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E:\Google Drive Backup\FAU\Meyer\FAU USP\AUT 0518 Projeto de Custos\2023\Viabilidade\"/>
    </mc:Choice>
  </mc:AlternateContent>
  <xr:revisionPtr revIDLastSave="0" documentId="13_ncr:1_{F9F85A6B-33ED-43B9-8C81-990BD1B72DC4}" xr6:coauthVersionLast="47" xr6:coauthVersionMax="47" xr10:uidLastSave="{00000000-0000-0000-0000-000000000000}"/>
  <bookViews>
    <workbookView xWindow="-120" yWindow="-120" windowWidth="26760" windowHeight="15120" firstSheet="1" activeTab="1" xr2:uid="{00000000-000D-0000-FFFF-FFFF00000000}"/>
  </bookViews>
  <sheets>
    <sheet name="Senha" sheetId="1" r:id="rId1"/>
    <sheet name="Parâmetros" sheetId="2" r:id="rId2"/>
    <sheet name="Equipes" sheetId="3" state="hidden" r:id="rId3"/>
    <sheet name="Entrada" sheetId="4" r:id="rId4"/>
    <sheet name="custo UrbanizR$" sheetId="5" r:id="rId5"/>
    <sheet name="custo Urbanização%" sheetId="6" state="hidden" r:id="rId6"/>
    <sheet name="custo obra$" sheetId="7" r:id="rId7"/>
    <sheet name="Custo de obra%" sheetId="8" state="hidden" r:id="rId8"/>
    <sheet name="CustoXReceita Empreend$" sheetId="9" state="hidden" r:id="rId9"/>
    <sheet name="Financiamento 2022" sheetId="25" state="hidden" r:id="rId10"/>
    <sheet name="Sinapi" sheetId="10" state="hidden" r:id="rId11"/>
    <sheet name="Indices setoriais" sheetId="11" state="hidden" r:id="rId12"/>
    <sheet name="CustoXReceita Empreend%" sheetId="12" state="hidden" r:id="rId13"/>
    <sheet name="ind" sheetId="13" state="hidden" r:id="rId14"/>
    <sheet name="Financiamentos2017" sheetId="14" state="hidden" r:id="rId15"/>
    <sheet name="ViabFinanceira5" sheetId="15" state="hidden" r:id="rId16"/>
    <sheet name="Obra" sheetId="16" state="hidden" r:id="rId17"/>
    <sheet name="Vendas" sheetId="17" state="hidden" r:id="rId18"/>
    <sheet name="ViabFinanceira19" sheetId="18" state="hidden" r:id="rId19"/>
    <sheet name="Venda" sheetId="19" state="hidden" r:id="rId20"/>
    <sheet name="Obras" sheetId="20" state="hidden" r:id="rId21"/>
    <sheet name="Financiamento1015" sheetId="21" state="hidden" r:id="rId22"/>
  </sheets>
  <calcPr calcId="181029"/>
</workbook>
</file>

<file path=xl/calcChain.xml><?xml version="1.0" encoding="utf-8"?>
<calcChain xmlns="http://schemas.openxmlformats.org/spreadsheetml/2006/main">
  <c r="Z21" i="9" l="1"/>
  <c r="AB5" i="9"/>
  <c r="C21" i="2"/>
  <c r="C24" i="2"/>
  <c r="C23" i="2"/>
  <c r="D22" i="4"/>
  <c r="E22" i="4"/>
  <c r="F22" i="4"/>
  <c r="G22" i="4"/>
  <c r="H22" i="4"/>
  <c r="I22" i="4"/>
  <c r="J22" i="4"/>
  <c r="K22" i="4"/>
  <c r="L22" i="4"/>
  <c r="M22" i="4"/>
  <c r="N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N12" i="2"/>
  <c r="N11" i="2"/>
  <c r="M11" i="2"/>
  <c r="C8" i="2"/>
  <c r="C14" i="2"/>
  <c r="C13" i="2"/>
  <c r="C12" i="2"/>
  <c r="C8" i="9" l="1"/>
  <c r="AB39" i="9"/>
  <c r="AB38" i="9"/>
  <c r="AB40" i="9"/>
  <c r="AB41" i="9"/>
  <c r="AB42" i="9"/>
  <c r="AB43" i="9"/>
  <c r="AB35" i="9"/>
  <c r="Z40" i="9"/>
  <c r="Y14" i="8"/>
  <c r="AA25" i="7"/>
  <c r="AA21" i="7"/>
  <c r="AA22" i="7"/>
  <c r="AA23" i="7"/>
  <c r="AA19" i="7"/>
  <c r="Y22" i="7"/>
  <c r="Z17" i="4"/>
  <c r="AA10" i="5"/>
  <c r="M14" i="8"/>
  <c r="O14" i="8"/>
  <c r="P14" i="8"/>
  <c r="Q14" i="8"/>
  <c r="T13" i="9"/>
  <c r="T14" i="9"/>
  <c r="Q22" i="9"/>
  <c r="R22" i="9"/>
  <c r="S22" i="9"/>
  <c r="T22" i="9"/>
  <c r="Q25" i="9"/>
  <c r="R25" i="9"/>
  <c r="S25" i="9"/>
  <c r="T25" i="9"/>
  <c r="Q35" i="9"/>
  <c r="R35" i="9"/>
  <c r="T35" i="9"/>
  <c r="Q37" i="9"/>
  <c r="R37" i="9"/>
  <c r="S37" i="9"/>
  <c r="T37" i="9"/>
  <c r="Q38" i="9"/>
  <c r="R38" i="9"/>
  <c r="T38" i="9"/>
  <c r="Q39" i="9"/>
  <c r="Q29" i="9" s="1"/>
  <c r="R39" i="9"/>
  <c r="R29" i="9" s="1"/>
  <c r="T39" i="9"/>
  <c r="T43" i="9" s="1"/>
  <c r="Q40" i="9"/>
  <c r="R40" i="9"/>
  <c r="S40" i="9"/>
  <c r="T40" i="9"/>
  <c r="Q41" i="9"/>
  <c r="R41" i="9"/>
  <c r="T41" i="9"/>
  <c r="Q42" i="9"/>
  <c r="R42" i="9"/>
  <c r="T42" i="9"/>
  <c r="Q43" i="9"/>
  <c r="R43" i="9"/>
  <c r="Q44" i="9"/>
  <c r="R44" i="9"/>
  <c r="T44" i="9"/>
  <c r="P9" i="7"/>
  <c r="Q9" i="7"/>
  <c r="Q9" i="9" s="1"/>
  <c r="R9" i="7"/>
  <c r="R26" i="7" s="1"/>
  <c r="S9" i="7"/>
  <c r="Q19" i="7"/>
  <c r="Q24" i="7" s="1"/>
  <c r="R19" i="7"/>
  <c r="Q21" i="7"/>
  <c r="R21" i="7"/>
  <c r="P22" i="7"/>
  <c r="Q22" i="7"/>
  <c r="R22" i="7"/>
  <c r="S22" i="7"/>
  <c r="P23" i="7"/>
  <c r="Q23" i="7"/>
  <c r="R23" i="7"/>
  <c r="S23" i="7"/>
  <c r="S41" i="9" s="1"/>
  <c r="R24" i="7"/>
  <c r="Q25" i="7"/>
  <c r="R25" i="7"/>
  <c r="AU9" i="9"/>
  <c r="AU22" i="9"/>
  <c r="AU25" i="9"/>
  <c r="AU35" i="9"/>
  <c r="AU37" i="9"/>
  <c r="AU38" i="9"/>
  <c r="AU39" i="9"/>
  <c r="AU29" i="9" s="1"/>
  <c r="AU40" i="9"/>
  <c r="AU41" i="9"/>
  <c r="AU42" i="9"/>
  <c r="AU44" i="9"/>
  <c r="AR14" i="8"/>
  <c r="AT19" i="7"/>
  <c r="AT21" i="7"/>
  <c r="AT22" i="7"/>
  <c r="AT23" i="7"/>
  <c r="AT25" i="7"/>
  <c r="AL9" i="9"/>
  <c r="AL22" i="9"/>
  <c r="AL25" i="9"/>
  <c r="AL35" i="9"/>
  <c r="AL37" i="9"/>
  <c r="AL38" i="9"/>
  <c r="AL39" i="9"/>
  <c r="AL29" i="9" s="1"/>
  <c r="AL40" i="9"/>
  <c r="AL41" i="9"/>
  <c r="AL42" i="9"/>
  <c r="AL44" i="9"/>
  <c r="AH9" i="9"/>
  <c r="AH22" i="9"/>
  <c r="AH25" i="9"/>
  <c r="AH35" i="9"/>
  <c r="AH37" i="9"/>
  <c r="AH38" i="9"/>
  <c r="AH39" i="9"/>
  <c r="AH29" i="9" s="1"/>
  <c r="AH40" i="9"/>
  <c r="AH41" i="9"/>
  <c r="AH42" i="9"/>
  <c r="AH44" i="9"/>
  <c r="E22" i="9"/>
  <c r="E25" i="9"/>
  <c r="C8" i="15" s="1"/>
  <c r="E35" i="9"/>
  <c r="E37" i="9"/>
  <c r="E38" i="9"/>
  <c r="E39" i="9"/>
  <c r="E29" i="9" s="1"/>
  <c r="E40" i="9"/>
  <c r="E41" i="9"/>
  <c r="E42" i="9"/>
  <c r="E44" i="9"/>
  <c r="F22" i="9"/>
  <c r="F25" i="9"/>
  <c r="F35" i="9"/>
  <c r="F37" i="9"/>
  <c r="F38" i="9"/>
  <c r="F39" i="9"/>
  <c r="F29" i="9" s="1"/>
  <c r="F40" i="9"/>
  <c r="F41" i="9"/>
  <c r="F42" i="9"/>
  <c r="F44" i="9"/>
  <c r="AI14" i="8"/>
  <c r="AE14" i="8"/>
  <c r="D14" i="8"/>
  <c r="C7" i="9"/>
  <c r="M12" i="2"/>
  <c r="D8" i="2"/>
  <c r="R9" i="9" l="1"/>
  <c r="S9" i="9"/>
  <c r="Q18" i="9"/>
  <c r="Q20" i="9"/>
  <c r="Q17" i="9"/>
  <c r="Q19" i="9"/>
  <c r="Q21" i="9"/>
  <c r="R18" i="9"/>
  <c r="R20" i="9"/>
  <c r="R17" i="9"/>
  <c r="R19" i="9"/>
  <c r="R21" i="9"/>
  <c r="T29" i="9"/>
  <c r="Q26" i="7"/>
  <c r="AU18" i="9"/>
  <c r="AU19" i="9"/>
  <c r="AU20" i="9"/>
  <c r="AU21" i="9"/>
  <c r="AU17" i="9"/>
  <c r="AU43" i="9"/>
  <c r="AL18" i="9"/>
  <c r="AL19" i="9"/>
  <c r="AL20" i="9"/>
  <c r="AL21" i="9"/>
  <c r="AL17" i="9"/>
  <c r="AL43" i="9"/>
  <c r="AH18" i="9"/>
  <c r="AH19" i="9"/>
  <c r="AH20" i="9"/>
  <c r="AH21" i="9"/>
  <c r="AH17" i="9"/>
  <c r="AH43" i="9"/>
  <c r="E18" i="9"/>
  <c r="E19" i="9"/>
  <c r="E20" i="9"/>
  <c r="E21" i="9"/>
  <c r="E17" i="9"/>
  <c r="E23" i="9" s="1"/>
  <c r="E43" i="9"/>
  <c r="F18" i="9"/>
  <c r="F19" i="9"/>
  <c r="F20" i="9"/>
  <c r="F21" i="9"/>
  <c r="F17" i="9"/>
  <c r="F43" i="9"/>
  <c r="J17" i="4"/>
  <c r="C9" i="20"/>
  <c r="C6" i="20"/>
  <c r="C5" i="20"/>
  <c r="C4" i="20"/>
  <c r="B8" i="19"/>
  <c r="AR7" i="19"/>
  <c r="G7" i="19"/>
  <c r="D7" i="19"/>
  <c r="AF6" i="19"/>
  <c r="C6" i="19"/>
  <c r="AG6" i="19" s="1"/>
  <c r="AQ5" i="19"/>
  <c r="AE5" i="19"/>
  <c r="AC5" i="19"/>
  <c r="T5" i="19"/>
  <c r="T8" i="19" s="1"/>
  <c r="O5" i="19"/>
  <c r="O8" i="19" s="1"/>
  <c r="D5" i="19"/>
  <c r="AR5" i="19" s="1"/>
  <c r="C5" i="19"/>
  <c r="B18" i="18"/>
  <c r="P9" i="18"/>
  <c r="O9" i="18"/>
  <c r="N9" i="18"/>
  <c r="M9" i="18"/>
  <c r="L9" i="18"/>
  <c r="J9" i="18"/>
  <c r="I9" i="18"/>
  <c r="H9" i="18"/>
  <c r="G9" i="18"/>
  <c r="F9" i="18"/>
  <c r="B8" i="17"/>
  <c r="D7" i="17"/>
  <c r="AR7" i="17" s="1"/>
  <c r="G7" i="17" s="1"/>
  <c r="AN6" i="17"/>
  <c r="AM6" i="17"/>
  <c r="AL6" i="17"/>
  <c r="AD6" i="17"/>
  <c r="AC6" i="17"/>
  <c r="Z6" i="17"/>
  <c r="C6" i="17"/>
  <c r="AP6" i="17" s="1"/>
  <c r="AQ5" i="17"/>
  <c r="AN5" i="17"/>
  <c r="AN8" i="17" s="1"/>
  <c r="AM5" i="17"/>
  <c r="AM8" i="17" s="1"/>
  <c r="AL5" i="17"/>
  <c r="AL8" i="17" s="1"/>
  <c r="AI5" i="17"/>
  <c r="AF5" i="17"/>
  <c r="AE5" i="17"/>
  <c r="AD5" i="17"/>
  <c r="AD8" i="17" s="1"/>
  <c r="AC5" i="17"/>
  <c r="AC8" i="17" s="1"/>
  <c r="AB5" i="17"/>
  <c r="W5" i="17"/>
  <c r="W8" i="17" s="1"/>
  <c r="V5" i="17"/>
  <c r="V8" i="17" s="1"/>
  <c r="U5" i="17"/>
  <c r="U8" i="17" s="1"/>
  <c r="T5" i="17"/>
  <c r="T8" i="17" s="1"/>
  <c r="S5" i="17"/>
  <c r="S8" i="17" s="1"/>
  <c r="P5" i="17"/>
  <c r="P8" i="17" s="1"/>
  <c r="M5" i="17"/>
  <c r="M8" i="17" s="1"/>
  <c r="L5" i="17"/>
  <c r="L8" i="17" s="1"/>
  <c r="K5" i="17"/>
  <c r="K8" i="17" s="1"/>
  <c r="H5" i="17"/>
  <c r="H8" i="17" s="1"/>
  <c r="D5" i="17"/>
  <c r="C5" i="17"/>
  <c r="AJ5" i="17" s="1"/>
  <c r="C9" i="16"/>
  <c r="C6" i="16"/>
  <c r="B19" i="15"/>
  <c r="P11" i="15"/>
  <c r="O11" i="15"/>
  <c r="N11" i="15"/>
  <c r="M11" i="15"/>
  <c r="L11" i="15"/>
  <c r="J11" i="15"/>
  <c r="I11" i="15"/>
  <c r="H11" i="15"/>
  <c r="G11" i="15"/>
  <c r="F11" i="15"/>
  <c r="N23" i="13"/>
  <c r="M23" i="13"/>
  <c r="L23" i="13"/>
  <c r="K23" i="13"/>
  <c r="J23" i="13"/>
  <c r="I23" i="13"/>
  <c r="H23" i="13"/>
  <c r="G23" i="13"/>
  <c r="F23" i="13"/>
  <c r="E23" i="13"/>
  <c r="L22" i="13"/>
  <c r="K22" i="13"/>
  <c r="J22" i="13"/>
  <c r="I22" i="13"/>
  <c r="H22" i="13"/>
  <c r="G22" i="13"/>
  <c r="F22" i="13"/>
  <c r="E22" i="13"/>
  <c r="L21" i="13"/>
  <c r="K21" i="13"/>
  <c r="J21" i="13"/>
  <c r="I21" i="13"/>
  <c r="H21" i="13"/>
  <c r="G21" i="13"/>
  <c r="F21" i="13"/>
  <c r="E21" i="13"/>
  <c r="K17" i="13"/>
  <c r="C17" i="13"/>
  <c r="J16" i="13"/>
  <c r="E16" i="13"/>
  <c r="L11" i="13"/>
  <c r="T9" i="13"/>
  <c r="T17" i="13" s="1"/>
  <c r="S9" i="13"/>
  <c r="S17" i="13" s="1"/>
  <c r="R9" i="13"/>
  <c r="R17" i="13" s="1"/>
  <c r="Q9" i="13"/>
  <c r="Q17" i="13" s="1"/>
  <c r="P9" i="13"/>
  <c r="P17" i="13" s="1"/>
  <c r="O9" i="13"/>
  <c r="O17" i="13" s="1"/>
  <c r="N9" i="13"/>
  <c r="N17" i="13" s="1"/>
  <c r="M9" i="13"/>
  <c r="M17" i="13" s="1"/>
  <c r="L9" i="13"/>
  <c r="L17" i="13" s="1"/>
  <c r="K9" i="13"/>
  <c r="J9" i="13"/>
  <c r="J17" i="13" s="1"/>
  <c r="I9" i="13"/>
  <c r="I17" i="13" s="1"/>
  <c r="H9" i="13"/>
  <c r="H17" i="13" s="1"/>
  <c r="G9" i="13"/>
  <c r="G17" i="13" s="1"/>
  <c r="F9" i="13"/>
  <c r="F17" i="13" s="1"/>
  <c r="E9" i="13"/>
  <c r="E17" i="13" s="1"/>
  <c r="D9" i="13"/>
  <c r="D17" i="13" s="1"/>
  <c r="C9" i="13"/>
  <c r="T8" i="13"/>
  <c r="T16" i="13" s="1"/>
  <c r="S8" i="13"/>
  <c r="S16" i="13" s="1"/>
  <c r="R8" i="13"/>
  <c r="R16" i="13" s="1"/>
  <c r="Q8" i="13"/>
  <c r="Q16" i="13" s="1"/>
  <c r="P8" i="13"/>
  <c r="P16" i="13" s="1"/>
  <c r="O8" i="13"/>
  <c r="O16" i="13" s="1"/>
  <c r="N8" i="13"/>
  <c r="N16" i="13" s="1"/>
  <c r="M8" i="13"/>
  <c r="M16" i="13" s="1"/>
  <c r="L8" i="13"/>
  <c r="L16" i="13" s="1"/>
  <c r="K8" i="13"/>
  <c r="K16" i="13" s="1"/>
  <c r="J8" i="13"/>
  <c r="I8" i="13"/>
  <c r="I16" i="13" s="1"/>
  <c r="H8" i="13"/>
  <c r="H16" i="13" s="1"/>
  <c r="G8" i="13"/>
  <c r="G16" i="13" s="1"/>
  <c r="F8" i="13"/>
  <c r="F16" i="13" s="1"/>
  <c r="E8" i="13"/>
  <c r="D8" i="13"/>
  <c r="D16" i="13" s="1"/>
  <c r="C8" i="13"/>
  <c r="C16" i="13" s="1"/>
  <c r="L4" i="13"/>
  <c r="L5" i="13" s="1"/>
  <c r="L12" i="13" s="1"/>
  <c r="K4" i="13"/>
  <c r="J4" i="13"/>
  <c r="J5" i="13" s="1"/>
  <c r="J12" i="13" s="1"/>
  <c r="I4" i="13"/>
  <c r="H4" i="13"/>
  <c r="G4" i="13"/>
  <c r="G11" i="13" s="1"/>
  <c r="F4" i="13"/>
  <c r="F11" i="13" s="1"/>
  <c r="E4" i="13"/>
  <c r="E5" i="13" s="1"/>
  <c r="E12" i="13" s="1"/>
  <c r="AM39" i="12"/>
  <c r="O39" i="12"/>
  <c r="N39" i="12"/>
  <c r="K39" i="12"/>
  <c r="AM38" i="12"/>
  <c r="O38" i="12"/>
  <c r="N38" i="12"/>
  <c r="K38" i="12"/>
  <c r="AM37" i="12"/>
  <c r="O37" i="12"/>
  <c r="N37" i="12"/>
  <c r="K37" i="12"/>
  <c r="AP9" i="12"/>
  <c r="AO9" i="12"/>
  <c r="AN9" i="12"/>
  <c r="AM9" i="12"/>
  <c r="AP4" i="12"/>
  <c r="AO4" i="12"/>
  <c r="AN4" i="12"/>
  <c r="AM4" i="12"/>
  <c r="AL4" i="12"/>
  <c r="AK4" i="12"/>
  <c r="AJ4" i="12"/>
  <c r="AI4" i="12"/>
  <c r="AH4" i="12"/>
  <c r="R4" i="12"/>
  <c r="Q4" i="12"/>
  <c r="P4" i="12"/>
  <c r="O4" i="12"/>
  <c r="N4" i="12"/>
  <c r="M4" i="12"/>
  <c r="L4" i="12"/>
  <c r="K4" i="12"/>
  <c r="I4" i="12"/>
  <c r="G34" i="11"/>
  <c r="A1" i="11"/>
  <c r="D98" i="10"/>
  <c r="C94" i="10"/>
  <c r="A84" i="10"/>
  <c r="D55" i="10"/>
  <c r="B55" i="10"/>
  <c r="G38" i="10"/>
  <c r="G37" i="10"/>
  <c r="A29" i="10"/>
  <c r="D21" i="10"/>
  <c r="M19" i="10"/>
  <c r="L19" i="10"/>
  <c r="I19" i="10"/>
  <c r="H19" i="10"/>
  <c r="M18" i="10"/>
  <c r="L18" i="10"/>
  <c r="I18" i="10"/>
  <c r="H18" i="10"/>
  <c r="M17" i="10"/>
  <c r="L17" i="10"/>
  <c r="J17" i="10"/>
  <c r="I17" i="10"/>
  <c r="H17" i="10"/>
  <c r="AV37" i="9"/>
  <c r="AT37" i="9"/>
  <c r="AS37" i="9"/>
  <c r="AR37" i="9"/>
  <c r="AQ37" i="9"/>
  <c r="AP37" i="9"/>
  <c r="AO37" i="9"/>
  <c r="AN37" i="9"/>
  <c r="AM37" i="9"/>
  <c r="AK37" i="9"/>
  <c r="AJ37" i="9"/>
  <c r="AI37" i="9"/>
  <c r="AG37" i="9"/>
  <c r="AE37" i="9"/>
  <c r="AD37" i="9"/>
  <c r="U37" i="9"/>
  <c r="P37" i="9"/>
  <c r="O37" i="9"/>
  <c r="N37" i="9"/>
  <c r="M37" i="9"/>
  <c r="L37" i="9"/>
  <c r="K37" i="9"/>
  <c r="J37" i="9"/>
  <c r="I37" i="9"/>
  <c r="H37" i="9"/>
  <c r="G37" i="9"/>
  <c r="D37" i="9"/>
  <c r="AZ25" i="9"/>
  <c r="AY25" i="9"/>
  <c r="AX25" i="9"/>
  <c r="AW25" i="9"/>
  <c r="AV25" i="9"/>
  <c r="AT25" i="9"/>
  <c r="AS25" i="9"/>
  <c r="AR25" i="9"/>
  <c r="AQ25" i="9"/>
  <c r="AP25" i="9"/>
  <c r="AO25" i="9"/>
  <c r="AN25" i="9"/>
  <c r="AM25" i="9"/>
  <c r="AK25" i="9"/>
  <c r="AJ25" i="9"/>
  <c r="AI25" i="9"/>
  <c r="AG25" i="9"/>
  <c r="AB25" i="9" s="1"/>
  <c r="AE25" i="9"/>
  <c r="AD25" i="9"/>
  <c r="X25" i="9"/>
  <c r="W25" i="9"/>
  <c r="V25" i="9"/>
  <c r="U25" i="9"/>
  <c r="P25" i="9"/>
  <c r="O25" i="9"/>
  <c r="N25" i="9"/>
  <c r="M25" i="9"/>
  <c r="L25" i="9"/>
  <c r="K25" i="9"/>
  <c r="J25" i="9"/>
  <c r="I25" i="9"/>
  <c r="H25" i="9"/>
  <c r="G25" i="9"/>
  <c r="D25" i="9"/>
  <c r="C23" i="9"/>
  <c r="B7" i="15" s="1"/>
  <c r="AZ22" i="9"/>
  <c r="AY22" i="9"/>
  <c r="AX22" i="9"/>
  <c r="AW22" i="9"/>
  <c r="AV22" i="9"/>
  <c r="AT22" i="9"/>
  <c r="AS22" i="9"/>
  <c r="AR22" i="9"/>
  <c r="AQ22" i="9"/>
  <c r="AP22" i="9"/>
  <c r="AO22" i="9"/>
  <c r="AN22" i="9"/>
  <c r="AM22" i="9"/>
  <c r="AK22" i="9"/>
  <c r="AJ22" i="9"/>
  <c r="AI22" i="9"/>
  <c r="AG22" i="9"/>
  <c r="AE22" i="9"/>
  <c r="AD22" i="9"/>
  <c r="Z22" i="9"/>
  <c r="X22" i="9"/>
  <c r="W22" i="9"/>
  <c r="V22" i="9"/>
  <c r="U22" i="9"/>
  <c r="P22" i="9"/>
  <c r="O22" i="9"/>
  <c r="N22" i="9"/>
  <c r="M22" i="9"/>
  <c r="L22" i="9"/>
  <c r="K22" i="9"/>
  <c r="J22" i="9"/>
  <c r="I22" i="9"/>
  <c r="H22" i="9"/>
  <c r="G22" i="9"/>
  <c r="D22" i="9"/>
  <c r="X14" i="9"/>
  <c r="W14" i="9"/>
  <c r="V14" i="9"/>
  <c r="U14" i="9"/>
  <c r="X13" i="9"/>
  <c r="W13" i="9"/>
  <c r="V13" i="9"/>
  <c r="U13" i="9"/>
  <c r="AZ9" i="9"/>
  <c r="AY9" i="9"/>
  <c r="AX9" i="9"/>
  <c r="AW9" i="9"/>
  <c r="AV9" i="9"/>
  <c r="AT9" i="9"/>
  <c r="AS9" i="9"/>
  <c r="AR9" i="9"/>
  <c r="AQ9" i="9"/>
  <c r="AP9" i="9"/>
  <c r="AO9" i="9"/>
  <c r="AN9" i="9"/>
  <c r="AM9" i="9"/>
  <c r="AK9" i="9"/>
  <c r="AJ9" i="9"/>
  <c r="AI9" i="9"/>
  <c r="AG9" i="9"/>
  <c r="AE9" i="9"/>
  <c r="AD9" i="9"/>
  <c r="U11" i="8"/>
  <c r="T11" i="8"/>
  <c r="S11" i="8"/>
  <c r="R11" i="8"/>
  <c r="AY23" i="7"/>
  <c r="AZ41" i="9" s="1"/>
  <c r="AX23" i="7"/>
  <c r="AY41" i="9" s="1"/>
  <c r="AW23" i="7"/>
  <c r="AX41" i="9" s="1"/>
  <c r="AV23" i="7"/>
  <c r="AW41" i="9" s="1"/>
  <c r="AU23" i="7"/>
  <c r="AV41" i="9" s="1"/>
  <c r="AP41" i="12" s="1"/>
  <c r="AO41" i="12"/>
  <c r="AS23" i="7"/>
  <c r="AT41" i="9" s="1"/>
  <c r="AN41" i="12" s="1"/>
  <c r="AR23" i="7"/>
  <c r="AS41" i="9" s="1"/>
  <c r="AM41" i="12" s="1"/>
  <c r="AQ23" i="7"/>
  <c r="AR41" i="9" s="1"/>
  <c r="AL41" i="12" s="1"/>
  <c r="AP23" i="7"/>
  <c r="AQ41" i="9" s="1"/>
  <c r="AK41" i="12" s="1"/>
  <c r="AO23" i="7"/>
  <c r="AP41" i="9" s="1"/>
  <c r="AJ41" i="12" s="1"/>
  <c r="AN23" i="7"/>
  <c r="AO41" i="9" s="1"/>
  <c r="AI41" i="12" s="1"/>
  <c r="AM23" i="7"/>
  <c r="AN41" i="9" s="1"/>
  <c r="AH41" i="12" s="1"/>
  <c r="AL23" i="7"/>
  <c r="AM41" i="9" s="1"/>
  <c r="AG41" i="12" s="1"/>
  <c r="AK23" i="7"/>
  <c r="AF41" i="12" s="1"/>
  <c r="AJ23" i="7"/>
  <c r="AK41" i="9" s="1"/>
  <c r="AE41" i="12" s="1"/>
  <c r="AI23" i="7"/>
  <c r="AJ41" i="9" s="1"/>
  <c r="AD41" i="12" s="1"/>
  <c r="AH23" i="7"/>
  <c r="AI41" i="9" s="1"/>
  <c r="AC41" i="12" s="1"/>
  <c r="AG23" i="7"/>
  <c r="AB41" i="12" s="1"/>
  <c r="AF23" i="7"/>
  <c r="AD23" i="7"/>
  <c r="AE41" i="9" s="1"/>
  <c r="Y41" i="12" s="1"/>
  <c r="AC23" i="7"/>
  <c r="AD41" i="9" s="1"/>
  <c r="W23" i="7"/>
  <c r="X41" i="9" s="1"/>
  <c r="V23" i="7"/>
  <c r="W41" i="9" s="1"/>
  <c r="U23" i="7"/>
  <c r="V41" i="9" s="1"/>
  <c r="T23" i="7"/>
  <c r="U41" i="9" s="1"/>
  <c r="P41" i="12"/>
  <c r="O41" i="12"/>
  <c r="P41" i="9"/>
  <c r="O23" i="7"/>
  <c r="O41" i="9" s="1"/>
  <c r="M41" i="12" s="1"/>
  <c r="N23" i="7"/>
  <c r="N41" i="9" s="1"/>
  <c r="L41" i="12" s="1"/>
  <c r="M23" i="7"/>
  <c r="M41" i="9" s="1"/>
  <c r="K41" i="12" s="1"/>
  <c r="L23" i="7"/>
  <c r="L41" i="9" s="1"/>
  <c r="J41" i="12" s="1"/>
  <c r="K23" i="7"/>
  <c r="K41" i="9" s="1"/>
  <c r="I41" i="12" s="1"/>
  <c r="J23" i="7"/>
  <c r="J41" i="9" s="1"/>
  <c r="H41" i="12" s="1"/>
  <c r="I23" i="7"/>
  <c r="I41" i="9" s="1"/>
  <c r="G41" i="12" s="1"/>
  <c r="H23" i="7"/>
  <c r="H41" i="9" s="1"/>
  <c r="G23" i="7"/>
  <c r="G41" i="9" s="1"/>
  <c r="E41" i="12" s="1"/>
  <c r="F23" i="7"/>
  <c r="D41" i="12" s="1"/>
  <c r="E23" i="7"/>
  <c r="C41" i="12" s="1"/>
  <c r="D23" i="7"/>
  <c r="Y23" i="7" s="1"/>
  <c r="AY22" i="7"/>
  <c r="AZ40" i="9" s="1"/>
  <c r="AX22" i="7"/>
  <c r="AY40" i="9" s="1"/>
  <c r="AW22" i="7"/>
  <c r="AX40" i="9" s="1"/>
  <c r="AV22" i="7"/>
  <c r="AW40" i="9" s="1"/>
  <c r="AU22" i="7"/>
  <c r="AV40" i="9" s="1"/>
  <c r="AP40" i="12" s="1"/>
  <c r="AO40" i="12"/>
  <c r="AS22" i="7"/>
  <c r="AT40" i="9" s="1"/>
  <c r="AN40" i="12" s="1"/>
  <c r="AR22" i="7"/>
  <c r="AS40" i="9" s="1"/>
  <c r="AM40" i="12" s="1"/>
  <c r="AQ22" i="7"/>
  <c r="AR40" i="9" s="1"/>
  <c r="AL40" i="12" s="1"/>
  <c r="AP22" i="7"/>
  <c r="AQ40" i="9" s="1"/>
  <c r="AK40" i="12" s="1"/>
  <c r="AO22" i="7"/>
  <c r="AP40" i="9" s="1"/>
  <c r="AJ40" i="12" s="1"/>
  <c r="AN22" i="7"/>
  <c r="AO40" i="9" s="1"/>
  <c r="AI40" i="12" s="1"/>
  <c r="AM22" i="7"/>
  <c r="AN40" i="9" s="1"/>
  <c r="AH40" i="12" s="1"/>
  <c r="AL22" i="7"/>
  <c r="AM40" i="9" s="1"/>
  <c r="AG40" i="12" s="1"/>
  <c r="AK22" i="7"/>
  <c r="AF40" i="12" s="1"/>
  <c r="AJ22" i="7"/>
  <c r="AK40" i="9" s="1"/>
  <c r="AE40" i="12" s="1"/>
  <c r="AI22" i="7"/>
  <c r="AJ40" i="9" s="1"/>
  <c r="AD40" i="12" s="1"/>
  <c r="AH22" i="7"/>
  <c r="AI40" i="9" s="1"/>
  <c r="AC40" i="12" s="1"/>
  <c r="AG22" i="7"/>
  <c r="AB40" i="12" s="1"/>
  <c r="AF22" i="7"/>
  <c r="AD22" i="7"/>
  <c r="AC22" i="7"/>
  <c r="AD40" i="9" s="1"/>
  <c r="W22" i="7"/>
  <c r="X40" i="9" s="1"/>
  <c r="V22" i="7"/>
  <c r="W40" i="9" s="1"/>
  <c r="U22" i="7"/>
  <c r="V40" i="9" s="1"/>
  <c r="T22" i="7"/>
  <c r="U40" i="9" s="1"/>
  <c r="P40" i="12"/>
  <c r="O40" i="12"/>
  <c r="P40" i="9"/>
  <c r="N40" i="12" s="1"/>
  <c r="O22" i="7"/>
  <c r="O40" i="9" s="1"/>
  <c r="M40" i="12" s="1"/>
  <c r="N22" i="7"/>
  <c r="N40" i="9" s="1"/>
  <c r="L40" i="12" s="1"/>
  <c r="M22" i="7"/>
  <c r="M40" i="9" s="1"/>
  <c r="K40" i="12" s="1"/>
  <c r="L22" i="7"/>
  <c r="L40" i="9" s="1"/>
  <c r="J40" i="12" s="1"/>
  <c r="K22" i="7"/>
  <c r="K40" i="9" s="1"/>
  <c r="I40" i="12" s="1"/>
  <c r="J22" i="7"/>
  <c r="J40" i="9" s="1"/>
  <c r="H40" i="12" s="1"/>
  <c r="I22" i="7"/>
  <c r="I40" i="9" s="1"/>
  <c r="G40" i="12" s="1"/>
  <c r="H22" i="7"/>
  <c r="H40" i="9" s="1"/>
  <c r="F40" i="12" s="1"/>
  <c r="G22" i="7"/>
  <c r="G40" i="9" s="1"/>
  <c r="E40" i="12" s="1"/>
  <c r="F22" i="7"/>
  <c r="D40" i="12" s="1"/>
  <c r="E22" i="7"/>
  <c r="C40" i="12" s="1"/>
  <c r="D22" i="7"/>
  <c r="W17" i="7"/>
  <c r="U10" i="8" s="1"/>
  <c r="V17" i="7"/>
  <c r="U17" i="7"/>
  <c r="T17" i="7"/>
  <c r="W15" i="7"/>
  <c r="V15" i="7"/>
  <c r="U15" i="7"/>
  <c r="T15" i="7"/>
  <c r="W14" i="7"/>
  <c r="V14" i="7"/>
  <c r="U14" i="7"/>
  <c r="T14" i="7"/>
  <c r="C7" i="7"/>
  <c r="AT7" i="7" s="1"/>
  <c r="C6" i="7"/>
  <c r="Q11" i="6"/>
  <c r="P11" i="6"/>
  <c r="M11" i="6"/>
  <c r="M8" i="6"/>
  <c r="M7" i="6"/>
  <c r="M6" i="6"/>
  <c r="M5" i="6"/>
  <c r="M9" i="6" s="1"/>
  <c r="AP19" i="5"/>
  <c r="AL19" i="5"/>
  <c r="W19" i="5"/>
  <c r="S19" i="5"/>
  <c r="F19" i="5"/>
  <c r="AW10" i="5"/>
  <c r="AU10" i="5"/>
  <c r="C5" i="5"/>
  <c r="AV22" i="4"/>
  <c r="AT22" i="4"/>
  <c r="AS22" i="4"/>
  <c r="L44" i="9"/>
  <c r="AX21" i="4"/>
  <c r="AW21" i="4"/>
  <c r="AY38" i="9" s="1"/>
  <c r="AV21" i="4"/>
  <c r="AU21" i="4"/>
  <c r="AU22" i="4" s="1"/>
  <c r="AT21" i="4"/>
  <c r="AS21" i="4"/>
  <c r="AR21" i="4"/>
  <c r="AR22" i="4" s="1"/>
  <c r="AQ21" i="4"/>
  <c r="AP21" i="4"/>
  <c r="AO21" i="4"/>
  <c r="AS38" i="9" s="1"/>
  <c r="AN21" i="4"/>
  <c r="AM21" i="4"/>
  <c r="AP21" i="7" s="1"/>
  <c r="AL21" i="4"/>
  <c r="AK21" i="4"/>
  <c r="AJ21" i="4"/>
  <c r="AI21" i="4"/>
  <c r="AH21" i="4"/>
  <c r="AG21" i="4"/>
  <c r="AJ21" i="7" s="1"/>
  <c r="AF21" i="4"/>
  <c r="AE21" i="4"/>
  <c r="AH21" i="7" s="1"/>
  <c r="AD21" i="4"/>
  <c r="AC21" i="4"/>
  <c r="AA21" i="4"/>
  <c r="Z21" i="4"/>
  <c r="X21" i="4"/>
  <c r="W21" i="4"/>
  <c r="V21" i="4"/>
  <c r="U21" i="4"/>
  <c r="T21" i="4"/>
  <c r="S21" i="4"/>
  <c r="R21" i="4"/>
  <c r="Q21" i="4"/>
  <c r="P21" i="4"/>
  <c r="O21" i="4"/>
  <c r="N21" i="4"/>
  <c r="O38" i="9" s="1"/>
  <c r="M21" i="4"/>
  <c r="L21" i="4"/>
  <c r="K21" i="4"/>
  <c r="J21" i="4"/>
  <c r="K21" i="7" s="1"/>
  <c r="I21" i="4"/>
  <c r="H21" i="4"/>
  <c r="I21" i="7" s="1"/>
  <c r="G21" i="4"/>
  <c r="F21" i="4"/>
  <c r="E21" i="4"/>
  <c r="D21" i="4"/>
  <c r="C21" i="4"/>
  <c r="AX17" i="4"/>
  <c r="AY10" i="5" s="1"/>
  <c r="AW17" i="4"/>
  <c r="AX10" i="5" s="1"/>
  <c r="AV17" i="4"/>
  <c r="AU17" i="4"/>
  <c r="AT17" i="4"/>
  <c r="AS17" i="4"/>
  <c r="AV19" i="7" s="1"/>
  <c r="AV25" i="7" s="1"/>
  <c r="AW42" i="9" s="1"/>
  <c r="AR17" i="4"/>
  <c r="AQ17" i="4"/>
  <c r="AP17" i="4"/>
  <c r="AQ14" i="8" s="1"/>
  <c r="AO17" i="4"/>
  <c r="AR10" i="5" s="1"/>
  <c r="AN17" i="4"/>
  <c r="AR44" i="9" s="1"/>
  <c r="AM17" i="4"/>
  <c r="AL17" i="4"/>
  <c r="AO10" i="5" s="1"/>
  <c r="AK17" i="4"/>
  <c r="AN19" i="7" s="1"/>
  <c r="AN25" i="7" s="1"/>
  <c r="AO42" i="9" s="1"/>
  <c r="AJ17" i="4"/>
  <c r="AM10" i="5" s="1"/>
  <c r="AI17" i="4"/>
  <c r="AL19" i="7" s="1"/>
  <c r="AL25" i="7" s="1"/>
  <c r="AM42" i="9" s="1"/>
  <c r="AH17" i="4"/>
  <c r="AK10" i="5" s="1"/>
  <c r="AG17" i="4"/>
  <c r="AJ10" i="5" s="1"/>
  <c r="AF17" i="4"/>
  <c r="AJ44" i="9" s="1"/>
  <c r="AE17" i="4"/>
  <c r="AI44" i="9" s="1"/>
  <c r="AD17" i="4"/>
  <c r="AG10" i="5" s="1"/>
  <c r="AC17" i="4"/>
  <c r="AG44" i="9" s="1"/>
  <c r="AA17" i="4"/>
  <c r="AD10" i="5" s="1"/>
  <c r="AD35" i="9"/>
  <c r="X17" i="4"/>
  <c r="W17" i="4"/>
  <c r="V17" i="4"/>
  <c r="U17" i="4"/>
  <c r="T17" i="4"/>
  <c r="S17" i="4"/>
  <c r="U11" i="6" s="1"/>
  <c r="R17" i="4"/>
  <c r="Q17" i="4"/>
  <c r="S11" i="6" s="1"/>
  <c r="P17" i="4"/>
  <c r="Q10" i="5" s="1"/>
  <c r="O17" i="4"/>
  <c r="N17" i="4"/>
  <c r="O44" i="9" s="1"/>
  <c r="M17" i="4"/>
  <c r="N44" i="9" s="1"/>
  <c r="L17" i="4"/>
  <c r="M19" i="7" s="1"/>
  <c r="K17" i="4"/>
  <c r="J14" i="8" s="1"/>
  <c r="K44" i="9"/>
  <c r="I17" i="4"/>
  <c r="J44" i="9" s="1"/>
  <c r="H17" i="4"/>
  <c r="G17" i="4"/>
  <c r="H10" i="5" s="1"/>
  <c r="F17" i="4"/>
  <c r="G10" i="5" s="1"/>
  <c r="E17" i="4"/>
  <c r="D17" i="4"/>
  <c r="E19" i="7" s="1"/>
  <c r="C17" i="4"/>
  <c r="AV11" i="4"/>
  <c r="AU11" i="4"/>
  <c r="AT11" i="4"/>
  <c r="AS11" i="4"/>
  <c r="T11" i="4"/>
  <c r="AX10" i="4"/>
  <c r="AX11" i="4" s="1"/>
  <c r="AW10" i="4"/>
  <c r="AW11" i="4" s="1"/>
  <c r="AV10" i="4"/>
  <c r="AU10" i="4"/>
  <c r="AT10" i="4"/>
  <c r="AS10" i="4"/>
  <c r="AR10" i="4"/>
  <c r="AR11" i="4" s="1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A10" i="4"/>
  <c r="Z10" i="4"/>
  <c r="X10" i="4"/>
  <c r="X11" i="4" s="1"/>
  <c r="W10" i="4"/>
  <c r="W11" i="4" s="1"/>
  <c r="V10" i="4"/>
  <c r="V11" i="4" s="1"/>
  <c r="U10" i="4"/>
  <c r="U11" i="4" s="1"/>
  <c r="T10" i="4"/>
  <c r="S10" i="4"/>
  <c r="S11" i="4" s="1"/>
  <c r="Q10" i="4"/>
  <c r="P10" i="4"/>
  <c r="P8" i="4" s="1"/>
  <c r="O10" i="4"/>
  <c r="N10" i="4"/>
  <c r="M10" i="4"/>
  <c r="L10" i="4"/>
  <c r="K10" i="4"/>
  <c r="J10" i="4"/>
  <c r="J8" i="4" s="1"/>
  <c r="I10" i="4"/>
  <c r="H10" i="4"/>
  <c r="H8" i="4" s="1"/>
  <c r="G10" i="4"/>
  <c r="F10" i="4"/>
  <c r="E10" i="4"/>
  <c r="D10" i="4"/>
  <c r="C10" i="4"/>
  <c r="AX9" i="4"/>
  <c r="AW9" i="4"/>
  <c r="AV9" i="4"/>
  <c r="AU9" i="4"/>
  <c r="AT9" i="4"/>
  <c r="AS9" i="4"/>
  <c r="AR9" i="4"/>
  <c r="AQ9" i="4"/>
  <c r="AP9" i="4"/>
  <c r="AO9" i="4"/>
  <c r="AO8" i="4" s="1"/>
  <c r="AN9" i="4"/>
  <c r="AN8" i="4" s="1"/>
  <c r="AM9" i="4"/>
  <c r="AM8" i="4" s="1"/>
  <c r="AL9" i="4"/>
  <c r="AL8" i="4" s="1"/>
  <c r="AK9" i="4"/>
  <c r="AK8" i="4" s="1"/>
  <c r="AJ9" i="4"/>
  <c r="AH9" i="4"/>
  <c r="AG9" i="4"/>
  <c r="AG8" i="4" s="1"/>
  <c r="AF9" i="4"/>
  <c r="AF8" i="4" s="1"/>
  <c r="AE9" i="4"/>
  <c r="AE8" i="4" s="1"/>
  <c r="AD9" i="4"/>
  <c r="AD8" i="4" s="1"/>
  <c r="AC9" i="4"/>
  <c r="AA9" i="4"/>
  <c r="Z9" i="4"/>
  <c r="X9" i="4"/>
  <c r="W9" i="4"/>
  <c r="V9" i="4"/>
  <c r="U9" i="4"/>
  <c r="T9" i="4"/>
  <c r="S9" i="4"/>
  <c r="R9" i="4"/>
  <c r="Q9" i="4"/>
  <c r="P9" i="4"/>
  <c r="O9" i="4"/>
  <c r="N9" i="4"/>
  <c r="M9" i="4"/>
  <c r="M8" i="4" s="1"/>
  <c r="L9" i="4"/>
  <c r="K9" i="4"/>
  <c r="K8" i="4" s="1"/>
  <c r="J9" i="4"/>
  <c r="I9" i="4"/>
  <c r="H9" i="4"/>
  <c r="G9" i="4"/>
  <c r="F9" i="4"/>
  <c r="F8" i="4" s="1"/>
  <c r="E9" i="4"/>
  <c r="E8" i="4" s="1"/>
  <c r="D9" i="4"/>
  <c r="D8" i="4" s="1"/>
  <c r="C9" i="4"/>
  <c r="C8" i="4" s="1"/>
  <c r="AA8" i="4"/>
  <c r="R8" i="4"/>
  <c r="N8" i="4"/>
  <c r="L8" i="4"/>
  <c r="AZ4" i="4"/>
  <c r="BB4" i="4" s="1"/>
  <c r="AZ3" i="4"/>
  <c r="C7" i="5"/>
  <c r="C6" i="5"/>
  <c r="S6" i="5" s="1"/>
  <c r="AS19" i="5"/>
  <c r="J6" i="2"/>
  <c r="C22" i="4" l="1"/>
  <c r="D44" i="9" s="1"/>
  <c r="D21" i="7"/>
  <c r="O22" i="4"/>
  <c r="P21" i="7"/>
  <c r="Y21" i="7" s="1"/>
  <c r="N41" i="12"/>
  <c r="P19" i="7"/>
  <c r="N14" i="8"/>
  <c r="Z25" i="9"/>
  <c r="Z37" i="9"/>
  <c r="AB37" i="9"/>
  <c r="F23" i="9"/>
  <c r="AU23" i="9"/>
  <c r="AA37" i="9"/>
  <c r="BC37" i="9" s="1"/>
  <c r="AL23" i="9"/>
  <c r="S7" i="5"/>
  <c r="AS5" i="5"/>
  <c r="AD5" i="5"/>
  <c r="S5" i="5"/>
  <c r="S8" i="5"/>
  <c r="S5" i="9" s="1"/>
  <c r="AU7" i="9"/>
  <c r="AJ7" i="7"/>
  <c r="AP7" i="7"/>
  <c r="AQ7" i="9" s="1"/>
  <c r="S38" i="9"/>
  <c r="S21" i="7"/>
  <c r="S44" i="9"/>
  <c r="S39" i="9"/>
  <c r="S19" i="7"/>
  <c r="S10" i="5"/>
  <c r="S11" i="5" s="1"/>
  <c r="S35" i="9"/>
  <c r="R23" i="9"/>
  <c r="T21" i="9"/>
  <c r="T17" i="9"/>
  <c r="T18" i="9"/>
  <c r="T20" i="9"/>
  <c r="T19" i="9"/>
  <c r="Q23" i="9"/>
  <c r="AH23" i="9"/>
  <c r="AQ8" i="4"/>
  <c r="AO44" i="9"/>
  <c r="AI10" i="5"/>
  <c r="O21" i="7"/>
  <c r="Z8" i="4"/>
  <c r="I8" i="4"/>
  <c r="Q8" i="4"/>
  <c r="G8" i="4"/>
  <c r="H7" i="5" s="1"/>
  <c r="O8" i="4"/>
  <c r="P7" i="5" s="1"/>
  <c r="AP8" i="4"/>
  <c r="AS7" i="5" s="1"/>
  <c r="B14" i="8"/>
  <c r="M44" i="9"/>
  <c r="AP44" i="9"/>
  <c r="W10" i="5"/>
  <c r="AL10" i="5"/>
  <c r="AC8" i="4"/>
  <c r="AF7" i="5" s="1"/>
  <c r="AD44" i="9"/>
  <c r="AR19" i="7"/>
  <c r="AR25" i="7" s="1"/>
  <c r="AS42" i="9" s="1"/>
  <c r="AP14" i="8"/>
  <c r="G44" i="9"/>
  <c r="AM44" i="9"/>
  <c r="AH8" i="4"/>
  <c r="AK7" i="5" s="1"/>
  <c r="AK14" i="8"/>
  <c r="AJ8" i="4"/>
  <c r="AM7" i="5" s="1"/>
  <c r="E11" i="13"/>
  <c r="J11" i="13"/>
  <c r="F5" i="13"/>
  <c r="F12" i="13" s="1"/>
  <c r="Z23" i="7"/>
  <c r="BD37" i="9"/>
  <c r="BB37" i="9"/>
  <c r="F41" i="12"/>
  <c r="E10" i="5"/>
  <c r="AB9" i="9"/>
  <c r="R10" i="8"/>
  <c r="AH7" i="7"/>
  <c r="AI7" i="9" s="1"/>
  <c r="T10" i="8"/>
  <c r="AG41" i="9"/>
  <c r="BD41" i="9" s="1"/>
  <c r="M24" i="7"/>
  <c r="D41" i="9"/>
  <c r="Z41" i="9" s="1"/>
  <c r="AG40" i="9"/>
  <c r="AW7" i="5"/>
  <c r="AO7" i="5"/>
  <c r="AG7" i="5"/>
  <c r="V7" i="5"/>
  <c r="N7" i="5"/>
  <c r="F7" i="5"/>
  <c r="AV7" i="5"/>
  <c r="AN7" i="5"/>
  <c r="U7" i="5"/>
  <c r="M7" i="5"/>
  <c r="E7" i="5"/>
  <c r="AU7" i="5"/>
  <c r="AD7" i="5"/>
  <c r="T7" i="5"/>
  <c r="L7" i="5"/>
  <c r="D7" i="5"/>
  <c r="Y7" i="5" s="1"/>
  <c r="AJ7" i="5"/>
  <c r="Q7" i="5"/>
  <c r="AX7" i="5"/>
  <c r="AT7" i="5"/>
  <c r="AL7" i="5"/>
  <c r="AC7" i="5"/>
  <c r="K7" i="5"/>
  <c r="R7" i="5"/>
  <c r="AR7" i="5"/>
  <c r="I7" i="5"/>
  <c r="AP7" i="5"/>
  <c r="J7" i="5"/>
  <c r="AH7" i="5"/>
  <c r="AY7" i="5"/>
  <c r="AQ7" i="5"/>
  <c r="AI7" i="5"/>
  <c r="W7" i="5"/>
  <c r="O7" i="5"/>
  <c r="G7" i="5"/>
  <c r="E24" i="7"/>
  <c r="E25" i="7"/>
  <c r="AK7" i="9"/>
  <c r="AU6" i="5"/>
  <c r="AM6" i="5"/>
  <c r="AD6" i="5"/>
  <c r="T6" i="5"/>
  <c r="L6" i="5"/>
  <c r="D6" i="5"/>
  <c r="AH6" i="5"/>
  <c r="AT6" i="5"/>
  <c r="AL6" i="5"/>
  <c r="AC6" i="5"/>
  <c r="K6" i="5"/>
  <c r="W6" i="5"/>
  <c r="AS6" i="5"/>
  <c r="AK6" i="5"/>
  <c r="R6" i="5"/>
  <c r="J6" i="5"/>
  <c r="AX6" i="5"/>
  <c r="O6" i="5"/>
  <c r="AR6" i="5"/>
  <c r="AJ6" i="5"/>
  <c r="Q6" i="5"/>
  <c r="I6" i="5"/>
  <c r="AP6" i="5"/>
  <c r="G6" i="5"/>
  <c r="AY6" i="5"/>
  <c r="AQ6" i="5"/>
  <c r="AI6" i="5"/>
  <c r="P6" i="5"/>
  <c r="H6" i="5"/>
  <c r="AW6" i="5"/>
  <c r="AO6" i="5"/>
  <c r="AG6" i="5"/>
  <c r="V6" i="5"/>
  <c r="N6" i="5"/>
  <c r="F6" i="5"/>
  <c r="AV6" i="5"/>
  <c r="AN6" i="5"/>
  <c r="AF6" i="5"/>
  <c r="U6" i="5"/>
  <c r="M6" i="5"/>
  <c r="E6" i="5"/>
  <c r="AK39" i="12"/>
  <c r="AK37" i="12"/>
  <c r="AQ39" i="9"/>
  <c r="AQ35" i="9"/>
  <c r="AN14" i="8"/>
  <c r="AP19" i="7"/>
  <c r="AP25" i="7" s="1"/>
  <c r="AQ42" i="9" s="1"/>
  <c r="W38" i="9"/>
  <c r="V21" i="7"/>
  <c r="K5" i="5"/>
  <c r="AC5" i="5"/>
  <c r="Z5" i="5" s="1"/>
  <c r="AL5" i="5"/>
  <c r="AT5" i="5"/>
  <c r="N10" i="5"/>
  <c r="L9" i="7"/>
  <c r="K9" i="7"/>
  <c r="I9" i="7"/>
  <c r="H9" i="7"/>
  <c r="W9" i="7"/>
  <c r="O9" i="7"/>
  <c r="G9" i="7"/>
  <c r="U9" i="7"/>
  <c r="M9" i="7"/>
  <c r="E9" i="7"/>
  <c r="E9" i="9" s="1"/>
  <c r="E39" i="12"/>
  <c r="E37" i="12"/>
  <c r="G35" i="9"/>
  <c r="G39" i="9"/>
  <c r="E14" i="8"/>
  <c r="G19" i="7"/>
  <c r="O39" i="9"/>
  <c r="O35" i="9"/>
  <c r="O19" i="7"/>
  <c r="V39" i="9"/>
  <c r="V35" i="9"/>
  <c r="S14" i="8"/>
  <c r="V11" i="6"/>
  <c r="AD39" i="12"/>
  <c r="P4" i="13"/>
  <c r="AD37" i="12"/>
  <c r="AJ35" i="9"/>
  <c r="AJ39" i="9"/>
  <c r="AG14" i="8"/>
  <c r="AI19" i="7"/>
  <c r="AI25" i="7" s="1"/>
  <c r="AJ42" i="9" s="1"/>
  <c r="AL39" i="12"/>
  <c r="AL37" i="12"/>
  <c r="AR35" i="9"/>
  <c r="AO14" i="8"/>
  <c r="AR39" i="9"/>
  <c r="AQ19" i="7"/>
  <c r="AQ25" i="7" s="1"/>
  <c r="AR42" i="9" s="1"/>
  <c r="AX35" i="9"/>
  <c r="AX39" i="9"/>
  <c r="AU14" i="8"/>
  <c r="AW19" i="7"/>
  <c r="AW25" i="7" s="1"/>
  <c r="AX42" i="9" s="1"/>
  <c r="G38" i="12"/>
  <c r="I38" i="9"/>
  <c r="P38" i="12"/>
  <c r="C23" i="13"/>
  <c r="X38" i="9"/>
  <c r="R21" i="13"/>
  <c r="T23" i="13"/>
  <c r="AF38" i="12"/>
  <c r="R22" i="13"/>
  <c r="AK21" i="7"/>
  <c r="AK7" i="7" s="1"/>
  <c r="AN38" i="12"/>
  <c r="AT38" i="9"/>
  <c r="AS21" i="7"/>
  <c r="AS7" i="7" s="1"/>
  <c r="AZ38" i="9"/>
  <c r="AY21" i="7"/>
  <c r="AY7" i="7" s="1"/>
  <c r="AE44" i="9"/>
  <c r="AA44" i="9" s="1"/>
  <c r="BC44" i="9" s="1"/>
  <c r="AN44" i="9"/>
  <c r="D5" i="5"/>
  <c r="L5" i="5"/>
  <c r="T5" i="5"/>
  <c r="AM5" i="5"/>
  <c r="AU5" i="5"/>
  <c r="F10" i="5"/>
  <c r="O10" i="5"/>
  <c r="AT10" i="5"/>
  <c r="D19" i="5"/>
  <c r="U19" i="5"/>
  <c r="AN19" i="5"/>
  <c r="N9" i="7"/>
  <c r="W20" i="7"/>
  <c r="AB14" i="8"/>
  <c r="W39" i="9"/>
  <c r="W35" i="9"/>
  <c r="T14" i="8"/>
  <c r="V19" i="7"/>
  <c r="C22" i="13"/>
  <c r="C21" i="13"/>
  <c r="X38" i="12"/>
  <c r="AD38" i="9"/>
  <c r="X39" i="9"/>
  <c r="X35" i="9"/>
  <c r="U14" i="8"/>
  <c r="W19" i="7"/>
  <c r="X11" i="6"/>
  <c r="I38" i="12"/>
  <c r="K38" i="9"/>
  <c r="Y38" i="12"/>
  <c r="AE38" i="9"/>
  <c r="AD21" i="7"/>
  <c r="AD6" i="7" s="1"/>
  <c r="F5" i="5"/>
  <c r="N5" i="5"/>
  <c r="V5" i="5"/>
  <c r="AG5" i="5"/>
  <c r="AO5" i="5"/>
  <c r="AW5" i="5"/>
  <c r="I19" i="5"/>
  <c r="AA19" i="5"/>
  <c r="T9" i="7"/>
  <c r="T9" i="9" s="1"/>
  <c r="U19" i="7"/>
  <c r="P39" i="9"/>
  <c r="P35" i="9"/>
  <c r="AS35" i="9"/>
  <c r="AS39" i="9"/>
  <c r="Q38" i="12"/>
  <c r="S22" i="13"/>
  <c r="S21" i="13"/>
  <c r="AG38" i="12"/>
  <c r="AM38" i="9"/>
  <c r="E5" i="5"/>
  <c r="AN5" i="5"/>
  <c r="G37" i="12"/>
  <c r="G39" i="12"/>
  <c r="I35" i="9"/>
  <c r="I39" i="9"/>
  <c r="G14" i="8"/>
  <c r="AF39" i="12"/>
  <c r="R4" i="13"/>
  <c r="AF37" i="12"/>
  <c r="AK19" i="7"/>
  <c r="AK25" i="7" s="1"/>
  <c r="R38" i="12"/>
  <c r="T22" i="13"/>
  <c r="T21" i="13"/>
  <c r="AH38" i="12"/>
  <c r="AN38" i="9"/>
  <c r="AM21" i="7"/>
  <c r="AM7" i="7" s="1"/>
  <c r="AP38" i="12"/>
  <c r="AV38" i="9"/>
  <c r="AU21" i="7"/>
  <c r="AU7" i="7" s="1"/>
  <c r="AU19" i="5"/>
  <c r="AM19" i="5"/>
  <c r="AD19" i="5"/>
  <c r="T19" i="5"/>
  <c r="K19" i="5"/>
  <c r="AZ19" i="5"/>
  <c r="AR19" i="5"/>
  <c r="AJ19" i="5"/>
  <c r="Z19" i="5"/>
  <c r="Q19" i="5"/>
  <c r="H19" i="5"/>
  <c r="AY19" i="5"/>
  <c r="AQ19" i="5"/>
  <c r="AI19" i="5"/>
  <c r="Y19" i="5"/>
  <c r="P19" i="5"/>
  <c r="G19" i="5"/>
  <c r="AW19" i="5"/>
  <c r="AO19" i="5"/>
  <c r="AG19" i="5"/>
  <c r="V19" i="5"/>
  <c r="N19" i="5"/>
  <c r="E19" i="5"/>
  <c r="H37" i="12"/>
  <c r="H39" i="12"/>
  <c r="J35" i="9"/>
  <c r="J39" i="9"/>
  <c r="J19" i="7"/>
  <c r="Q37" i="12"/>
  <c r="Q39" i="12"/>
  <c r="U10" i="5"/>
  <c r="X37" i="12"/>
  <c r="C4" i="13"/>
  <c r="AD39" i="9"/>
  <c r="X39" i="12"/>
  <c r="AA14" i="8"/>
  <c r="S4" i="13"/>
  <c r="AG37" i="12"/>
  <c r="AM39" i="9"/>
  <c r="AG39" i="12"/>
  <c r="AJ14" i="8"/>
  <c r="AM35" i="9"/>
  <c r="AO37" i="12"/>
  <c r="AO39" i="12"/>
  <c r="D22" i="13"/>
  <c r="D21" i="13"/>
  <c r="D23" i="13"/>
  <c r="B38" i="12"/>
  <c r="D38" i="9"/>
  <c r="J38" i="12"/>
  <c r="L38" i="9"/>
  <c r="L21" i="7"/>
  <c r="U38" i="9"/>
  <c r="T21" i="7"/>
  <c r="M21" i="13"/>
  <c r="O23" i="13"/>
  <c r="M22" i="13"/>
  <c r="AA38" i="12"/>
  <c r="AG38" i="9"/>
  <c r="AF21" i="7"/>
  <c r="AI38" i="12"/>
  <c r="AO38" i="9"/>
  <c r="AN21" i="7"/>
  <c r="AN7" i="7" s="1"/>
  <c r="AW38" i="9"/>
  <c r="AV21" i="7"/>
  <c r="AV7" i="7" s="1"/>
  <c r="AQ44" i="9"/>
  <c r="G5" i="5"/>
  <c r="O5" i="5"/>
  <c r="W5" i="5"/>
  <c r="AH5" i="5"/>
  <c r="AP5" i="5"/>
  <c r="AX5" i="5"/>
  <c r="I10" i="5"/>
  <c r="R10" i="5"/>
  <c r="AC10" i="5"/>
  <c r="J19" i="5"/>
  <c r="AB19" i="5"/>
  <c r="AT19" i="5"/>
  <c r="AT20" i="5" s="1"/>
  <c r="V9" i="7"/>
  <c r="AR21" i="7"/>
  <c r="AR7" i="7" s="1"/>
  <c r="M25" i="7"/>
  <c r="M42" i="9" s="1"/>
  <c r="C8" i="7"/>
  <c r="D39" i="12"/>
  <c r="D37" i="12"/>
  <c r="F19" i="7"/>
  <c r="F38" i="12"/>
  <c r="H38" i="9"/>
  <c r="H21" i="7"/>
  <c r="S23" i="13"/>
  <c r="Q22" i="13"/>
  <c r="Q21" i="13"/>
  <c r="AE38" i="12"/>
  <c r="AK38" i="9"/>
  <c r="F37" i="12"/>
  <c r="F39" i="12"/>
  <c r="H35" i="9"/>
  <c r="H39" i="9"/>
  <c r="F14" i="8"/>
  <c r="H19" i="7"/>
  <c r="AE39" i="12"/>
  <c r="Q4" i="13"/>
  <c r="AE37" i="12"/>
  <c r="AK35" i="9"/>
  <c r="AK39" i="9"/>
  <c r="AH14" i="8"/>
  <c r="H38" i="12"/>
  <c r="J38" i="9"/>
  <c r="J21" i="7"/>
  <c r="AO38" i="12"/>
  <c r="M5" i="5"/>
  <c r="AV5" i="5"/>
  <c r="P10" i="5"/>
  <c r="P37" i="12"/>
  <c r="P39" i="12"/>
  <c r="R11" i="6"/>
  <c r="I37" i="12"/>
  <c r="I39" i="12"/>
  <c r="K39" i="9"/>
  <c r="K35" i="9"/>
  <c r="I14" i="8"/>
  <c r="T4" i="13"/>
  <c r="AH37" i="12"/>
  <c r="AH39" i="12"/>
  <c r="AN39" i="9"/>
  <c r="AN35" i="9"/>
  <c r="AM19" i="7"/>
  <c r="AM25" i="7" s="1"/>
  <c r="AN42" i="9" s="1"/>
  <c r="AP37" i="12"/>
  <c r="AP39" i="12"/>
  <c r="AV39" i="9"/>
  <c r="AV35" i="9"/>
  <c r="AS14" i="8"/>
  <c r="AU19" i="7"/>
  <c r="AU25" i="7" s="1"/>
  <c r="AV42" i="9" s="1"/>
  <c r="C38" i="12"/>
  <c r="E21" i="7"/>
  <c r="L38" i="12"/>
  <c r="M38" i="9"/>
  <c r="M21" i="7"/>
  <c r="M8" i="7" s="1"/>
  <c r="N21" i="13"/>
  <c r="P23" i="13"/>
  <c r="N22" i="13"/>
  <c r="AB38" i="12"/>
  <c r="AG21" i="7"/>
  <c r="AG7" i="7" s="1"/>
  <c r="AJ38" i="12"/>
  <c r="AP38" i="9"/>
  <c r="AO21" i="7"/>
  <c r="AO7" i="7" s="1"/>
  <c r="H5" i="5"/>
  <c r="P5" i="5"/>
  <c r="AI5" i="5"/>
  <c r="AQ5" i="5"/>
  <c r="AY5" i="5"/>
  <c r="J10" i="5"/>
  <c r="M19" i="5"/>
  <c r="M20" i="5" s="1"/>
  <c r="M21" i="5" s="1"/>
  <c r="AF19" i="5"/>
  <c r="AF20" i="5" s="1"/>
  <c r="AF21" i="5" s="1"/>
  <c r="AV19" i="5"/>
  <c r="W11" i="6"/>
  <c r="D9" i="7"/>
  <c r="AC19" i="7"/>
  <c r="W21" i="7"/>
  <c r="W8" i="7" s="1"/>
  <c r="AE40" i="9"/>
  <c r="Y40" i="12" s="1"/>
  <c r="Z22" i="7"/>
  <c r="M39" i="12"/>
  <c r="M37" i="12"/>
  <c r="N39" i="9"/>
  <c r="N35" i="9"/>
  <c r="L14" i="8"/>
  <c r="N19" i="7"/>
  <c r="P38" i="9"/>
  <c r="AF5" i="5"/>
  <c r="AA5" i="5" s="1"/>
  <c r="AZ35" i="9"/>
  <c r="AZ39" i="9"/>
  <c r="AW14" i="8"/>
  <c r="AY19" i="7"/>
  <c r="AY25" i="7" s="1"/>
  <c r="AZ42" i="9" s="1"/>
  <c r="Y37" i="12"/>
  <c r="Y39" i="12"/>
  <c r="AE35" i="9"/>
  <c r="AA35" i="9" s="1"/>
  <c r="BC35" i="9" s="1"/>
  <c r="AE39" i="9"/>
  <c r="AD19" i="7"/>
  <c r="AD25" i="7" s="1"/>
  <c r="AE42" i="9" s="1"/>
  <c r="D4" i="13"/>
  <c r="B39" i="12"/>
  <c r="B37" i="12"/>
  <c r="D39" i="9"/>
  <c r="D35" i="9"/>
  <c r="D19" i="7"/>
  <c r="D24" i="7" s="1"/>
  <c r="J39" i="12"/>
  <c r="J37" i="12"/>
  <c r="L39" i="9"/>
  <c r="L35" i="9"/>
  <c r="L19" i="7"/>
  <c r="U39" i="9"/>
  <c r="U35" i="9"/>
  <c r="R14" i="8"/>
  <c r="T19" i="7"/>
  <c r="M4" i="13"/>
  <c r="AA37" i="12"/>
  <c r="AA39" i="12"/>
  <c r="AG39" i="9"/>
  <c r="AG35" i="9"/>
  <c r="AD14" i="8"/>
  <c r="AF10" i="5"/>
  <c r="AI37" i="12"/>
  <c r="AI39" i="12"/>
  <c r="AO39" i="9"/>
  <c r="AO35" i="9"/>
  <c r="AL14" i="8"/>
  <c r="AN10" i="5"/>
  <c r="AW39" i="9"/>
  <c r="AW35" i="9"/>
  <c r="AT14" i="8"/>
  <c r="AV10" i="5"/>
  <c r="D38" i="12"/>
  <c r="F21" i="7"/>
  <c r="M38" i="12"/>
  <c r="N38" i="9"/>
  <c r="N21" i="7"/>
  <c r="Q23" i="13"/>
  <c r="O22" i="13"/>
  <c r="O21" i="13"/>
  <c r="AC38" i="12"/>
  <c r="AI38" i="9"/>
  <c r="AK38" i="12"/>
  <c r="AQ38" i="9"/>
  <c r="H44" i="9"/>
  <c r="P44" i="9"/>
  <c r="AK44" i="9"/>
  <c r="AB44" i="9" s="1"/>
  <c r="AS44" i="9"/>
  <c r="AW22" i="4"/>
  <c r="I5" i="5"/>
  <c r="Q5" i="5"/>
  <c r="AJ5" i="5"/>
  <c r="AR5" i="5"/>
  <c r="K10" i="5"/>
  <c r="T10" i="5"/>
  <c r="AP10" i="5"/>
  <c r="O19" i="5"/>
  <c r="AH19" i="5"/>
  <c r="AX19" i="5"/>
  <c r="F9" i="7"/>
  <c r="F9" i="9" s="1"/>
  <c r="I19" i="7"/>
  <c r="AF19" i="7"/>
  <c r="AX21" i="7"/>
  <c r="AX7" i="7" s="1"/>
  <c r="H14" i="8"/>
  <c r="AC39" i="12"/>
  <c r="O4" i="13"/>
  <c r="AC37" i="12"/>
  <c r="AI35" i="9"/>
  <c r="AI39" i="9"/>
  <c r="AF14" i="8"/>
  <c r="AH19" i="7"/>
  <c r="AH25" i="7" s="1"/>
  <c r="AI42" i="9" s="1"/>
  <c r="AY35" i="9"/>
  <c r="AY39" i="9"/>
  <c r="AV14" i="8"/>
  <c r="AX19" i="7"/>
  <c r="AX25" i="7" s="1"/>
  <c r="AY42" i="9" s="1"/>
  <c r="U5" i="5"/>
  <c r="AL21" i="7"/>
  <c r="AL7" i="7" s="1"/>
  <c r="AN39" i="12"/>
  <c r="AN37" i="12"/>
  <c r="AT39" i="9"/>
  <c r="AT35" i="9"/>
  <c r="AS19" i="7"/>
  <c r="AS25" i="7" s="1"/>
  <c r="AT42" i="9" s="1"/>
  <c r="AS10" i="5"/>
  <c r="R39" i="12"/>
  <c r="R37" i="12"/>
  <c r="T11" i="6"/>
  <c r="C39" i="12"/>
  <c r="C37" i="12"/>
  <c r="C14" i="8"/>
  <c r="L39" i="12"/>
  <c r="L37" i="12"/>
  <c r="M39" i="9"/>
  <c r="M35" i="9"/>
  <c r="K14" i="8"/>
  <c r="M10" i="5"/>
  <c r="AB37" i="12"/>
  <c r="AB39" i="12"/>
  <c r="N4" i="13"/>
  <c r="AG19" i="7"/>
  <c r="AG25" i="7" s="1"/>
  <c r="AJ37" i="12"/>
  <c r="AJ39" i="12"/>
  <c r="AP39" i="9"/>
  <c r="AP35" i="9"/>
  <c r="AM14" i="8"/>
  <c r="AO19" i="7"/>
  <c r="AO25" i="7" s="1"/>
  <c r="AP42" i="9" s="1"/>
  <c r="E38" i="12"/>
  <c r="G38" i="9"/>
  <c r="V38" i="9"/>
  <c r="U21" i="7"/>
  <c r="R23" i="13"/>
  <c r="P22" i="13"/>
  <c r="P21" i="13"/>
  <c r="AD38" i="12"/>
  <c r="AJ38" i="9"/>
  <c r="AI21" i="7"/>
  <c r="AI7" i="7" s="1"/>
  <c r="AL38" i="12"/>
  <c r="AR38" i="9"/>
  <c r="AQ21" i="7"/>
  <c r="AQ7" i="7" s="1"/>
  <c r="AX38" i="9"/>
  <c r="AW21" i="7"/>
  <c r="AW7" i="7" s="1"/>
  <c r="I44" i="9"/>
  <c r="AT44" i="9"/>
  <c r="AX22" i="4"/>
  <c r="J5" i="5"/>
  <c r="R5" i="5"/>
  <c r="AK5" i="5"/>
  <c r="D10" i="5"/>
  <c r="L10" i="5"/>
  <c r="V10" i="5"/>
  <c r="AH10" i="5"/>
  <c r="AQ10" i="5"/>
  <c r="R19" i="5"/>
  <c r="AK19" i="5"/>
  <c r="J9" i="7"/>
  <c r="U20" i="7"/>
  <c r="S10" i="8"/>
  <c r="K19" i="7"/>
  <c r="AJ19" i="7"/>
  <c r="AJ25" i="7" s="1"/>
  <c r="AK42" i="9" s="1"/>
  <c r="G21" i="7"/>
  <c r="G8" i="7" s="1"/>
  <c r="AC21" i="7"/>
  <c r="D40" i="9"/>
  <c r="R41" i="12"/>
  <c r="Q41" i="12"/>
  <c r="X41" i="12"/>
  <c r="U41" i="12" s="1"/>
  <c r="AA41" i="9"/>
  <c r="BC41" i="9" s="1"/>
  <c r="B41" i="12"/>
  <c r="R40" i="12"/>
  <c r="Q40" i="12"/>
  <c r="X40" i="12"/>
  <c r="AA25" i="9"/>
  <c r="AA22" i="9"/>
  <c r="C7" i="18"/>
  <c r="AB22" i="9"/>
  <c r="E8" i="15"/>
  <c r="K5" i="13"/>
  <c r="K12" i="13" s="1"/>
  <c r="K11" i="13"/>
  <c r="AJ8" i="17"/>
  <c r="AB8" i="17"/>
  <c r="AQ8" i="17"/>
  <c r="AQ8" i="19"/>
  <c r="G5" i="13"/>
  <c r="G12" i="13" s="1"/>
  <c r="H11" i="13"/>
  <c r="H5" i="13"/>
  <c r="H12" i="13" s="1"/>
  <c r="AR8" i="19"/>
  <c r="I11" i="13"/>
  <c r="I5" i="13"/>
  <c r="I12" i="13" s="1"/>
  <c r="AR5" i="17"/>
  <c r="D8" i="17"/>
  <c r="AI8" i="17"/>
  <c r="C8" i="17"/>
  <c r="AP5" i="19"/>
  <c r="AH5" i="19"/>
  <c r="AH8" i="19" s="1"/>
  <c r="Z5" i="19"/>
  <c r="R5" i="19"/>
  <c r="R8" i="19" s="1"/>
  <c r="J5" i="19"/>
  <c r="J8" i="19" s="1"/>
  <c r="AO5" i="19"/>
  <c r="AG5" i="19"/>
  <c r="AG8" i="19" s="1"/>
  <c r="Y5" i="19"/>
  <c r="Y8" i="19" s="1"/>
  <c r="Q5" i="19"/>
  <c r="Q8" i="19" s="1"/>
  <c r="I5" i="19"/>
  <c r="I8" i="19" s="1"/>
  <c r="AN5" i="19"/>
  <c r="AF5" i="19"/>
  <c r="AF8" i="19" s="1"/>
  <c r="X5" i="19"/>
  <c r="X8" i="19" s="1"/>
  <c r="P5" i="19"/>
  <c r="P8" i="19" s="1"/>
  <c r="H5" i="19"/>
  <c r="S5" i="19"/>
  <c r="S8" i="19" s="1"/>
  <c r="AD5" i="19"/>
  <c r="AD8" i="19" s="1"/>
  <c r="AJ6" i="19"/>
  <c r="AB6" i="19"/>
  <c r="AQ6" i="19"/>
  <c r="AI6" i="19"/>
  <c r="AA6" i="19"/>
  <c r="AP6" i="19"/>
  <c r="AH6" i="19"/>
  <c r="Z6" i="19"/>
  <c r="AK6" i="19"/>
  <c r="AE8" i="17"/>
  <c r="AE6" i="17"/>
  <c r="AO6" i="17"/>
  <c r="U5" i="19"/>
  <c r="U8" i="19" s="1"/>
  <c r="AI5" i="19"/>
  <c r="AI8" i="19" s="1"/>
  <c r="D6" i="19"/>
  <c r="AR6" i="19" s="1"/>
  <c r="AL6" i="19"/>
  <c r="C8" i="19"/>
  <c r="AF8" i="17"/>
  <c r="AF6" i="17"/>
  <c r="K5" i="19"/>
  <c r="K8" i="19" s="1"/>
  <c r="V5" i="19"/>
  <c r="V8" i="19" s="1"/>
  <c r="AJ5" i="19"/>
  <c r="AJ8" i="19" s="1"/>
  <c r="AM6" i="19"/>
  <c r="AJ6" i="17"/>
  <c r="AB6" i="17"/>
  <c r="AQ6" i="17"/>
  <c r="AI6" i="17"/>
  <c r="AA6" i="17"/>
  <c r="G6" i="17" s="1"/>
  <c r="AG6" i="17"/>
  <c r="L5" i="19"/>
  <c r="L8" i="19" s="1"/>
  <c r="W5" i="19"/>
  <c r="W8" i="19" s="1"/>
  <c r="AK5" i="19"/>
  <c r="AC6" i="19"/>
  <c r="AC8" i="19" s="1"/>
  <c r="AN6" i="19"/>
  <c r="C5" i="16"/>
  <c r="C4" i="16"/>
  <c r="N5" i="17"/>
  <c r="N8" i="17" s="1"/>
  <c r="X5" i="17"/>
  <c r="X8" i="17" s="1"/>
  <c r="D6" i="17"/>
  <c r="AR6" i="17" s="1"/>
  <c r="AH6" i="17"/>
  <c r="M5" i="19"/>
  <c r="M8" i="19" s="1"/>
  <c r="AA5" i="19"/>
  <c r="AL5" i="19"/>
  <c r="AL8" i="19" s="1"/>
  <c r="AD6" i="19"/>
  <c r="AO6" i="19"/>
  <c r="AP5" i="17"/>
  <c r="AP8" i="17" s="1"/>
  <c r="AH5" i="17"/>
  <c r="Z5" i="17"/>
  <c r="Z8" i="17" s="1"/>
  <c r="R5" i="17"/>
  <c r="R8" i="17" s="1"/>
  <c r="J5" i="17"/>
  <c r="J8" i="17" s="1"/>
  <c r="AO5" i="17"/>
  <c r="AG5" i="17"/>
  <c r="Y5" i="17"/>
  <c r="Y8" i="17" s="1"/>
  <c r="Q5" i="17"/>
  <c r="Q8" i="17" s="1"/>
  <c r="I5" i="17"/>
  <c r="I8" i="17" s="1"/>
  <c r="O5" i="17"/>
  <c r="O8" i="17" s="1"/>
  <c r="AA5" i="17"/>
  <c r="AK5" i="17"/>
  <c r="AK8" i="17" s="1"/>
  <c r="AK6" i="17"/>
  <c r="N5" i="19"/>
  <c r="N8" i="19" s="1"/>
  <c r="AB5" i="19"/>
  <c r="AB8" i="19" s="1"/>
  <c r="AM5" i="19"/>
  <c r="AM8" i="19" s="1"/>
  <c r="AE6" i="19"/>
  <c r="AE8" i="19" s="1"/>
  <c r="W14" i="8" l="1"/>
  <c r="Z38" i="9"/>
  <c r="BB38" i="9" s="1"/>
  <c r="Z35" i="9"/>
  <c r="BB35" i="9" s="1"/>
  <c r="D26" i="7"/>
  <c r="Y9" i="7"/>
  <c r="Z39" i="9"/>
  <c r="BB39" i="9" s="1"/>
  <c r="BB41" i="9"/>
  <c r="Y10" i="5"/>
  <c r="Z11" i="6" s="1"/>
  <c r="P24" i="7"/>
  <c r="Y24" i="7" s="1"/>
  <c r="Y19" i="7"/>
  <c r="P25" i="7"/>
  <c r="P26" i="7"/>
  <c r="Z44" i="9"/>
  <c r="BB44" i="9" s="1"/>
  <c r="AA7" i="5"/>
  <c r="AA6" i="5"/>
  <c r="Y5" i="5"/>
  <c r="S5" i="7"/>
  <c r="O8" i="7"/>
  <c r="R8" i="7"/>
  <c r="Q8" i="7"/>
  <c r="P8" i="7"/>
  <c r="AL7" i="9"/>
  <c r="S8" i="7"/>
  <c r="S8" i="9" s="1"/>
  <c r="S11" i="9" s="1"/>
  <c r="AH7" i="9"/>
  <c r="S24" i="7"/>
  <c r="S25" i="7"/>
  <c r="S42" i="9" s="1"/>
  <c r="S26" i="7"/>
  <c r="S29" i="9"/>
  <c r="S43" i="9"/>
  <c r="T23" i="9"/>
  <c r="E11" i="15"/>
  <c r="BB8" i="15"/>
  <c r="X14" i="8"/>
  <c r="AS8" i="5"/>
  <c r="AS5" i="7" s="1"/>
  <c r="L8" i="5"/>
  <c r="L5" i="7" s="1"/>
  <c r="D8" i="5"/>
  <c r="D7" i="6" s="1"/>
  <c r="Z6" i="5"/>
  <c r="O8" i="5"/>
  <c r="O11" i="5" s="1"/>
  <c r="V39" i="12"/>
  <c r="Z10" i="5"/>
  <c r="AA11" i="6" s="1"/>
  <c r="Y6" i="5"/>
  <c r="U39" i="12"/>
  <c r="Z7" i="5"/>
  <c r="AA41" i="12"/>
  <c r="V41" i="12" s="1"/>
  <c r="BD44" i="9"/>
  <c r="AA40" i="12"/>
  <c r="V40" i="12" s="1"/>
  <c r="BD40" i="9"/>
  <c r="BD39" i="9"/>
  <c r="BD38" i="9"/>
  <c r="T41" i="12"/>
  <c r="AA38" i="9"/>
  <c r="BC38" i="9" s="1"/>
  <c r="I8" i="7"/>
  <c r="I8" i="9" s="1"/>
  <c r="V8" i="7"/>
  <c r="T7" i="8" s="1"/>
  <c r="K8" i="7"/>
  <c r="F8" i="7"/>
  <c r="H8" i="7"/>
  <c r="H8" i="9" s="1"/>
  <c r="U8" i="7"/>
  <c r="V8" i="9" s="1"/>
  <c r="E8" i="7"/>
  <c r="E8" i="9" s="1"/>
  <c r="N8" i="7"/>
  <c r="N8" i="9" s="1"/>
  <c r="D25" i="7"/>
  <c r="AM7" i="9"/>
  <c r="V44" i="9"/>
  <c r="V43" i="9"/>
  <c r="V29" i="9"/>
  <c r="AW7" i="9"/>
  <c r="AT8" i="8"/>
  <c r="S5" i="13"/>
  <c r="S12" i="13" s="1"/>
  <c r="S11" i="13"/>
  <c r="D20" i="5"/>
  <c r="AJ43" i="9"/>
  <c r="AJ29" i="9"/>
  <c r="AP8" i="19"/>
  <c r="AO43" i="9"/>
  <c r="AO29" i="9"/>
  <c r="AZ44" i="9"/>
  <c r="AZ43" i="9"/>
  <c r="AZ29" i="9"/>
  <c r="P43" i="9"/>
  <c r="Z43" i="9" s="1"/>
  <c r="P29" i="9"/>
  <c r="H9" i="9"/>
  <c r="H26" i="7"/>
  <c r="S20" i="5"/>
  <c r="R8" i="5"/>
  <c r="M11" i="13"/>
  <c r="M5" i="13"/>
  <c r="M12" i="13" s="1"/>
  <c r="W9" i="9"/>
  <c r="W15" i="9" s="1"/>
  <c r="W27" i="9" s="1"/>
  <c r="W36" i="9" s="1"/>
  <c r="V26" i="7"/>
  <c r="T9" i="8"/>
  <c r="AO8" i="17"/>
  <c r="H8" i="19"/>
  <c r="G5" i="19"/>
  <c r="G5" i="17"/>
  <c r="E7" i="18"/>
  <c r="AA40" i="9"/>
  <c r="BC40" i="9" s="1"/>
  <c r="AC6" i="7"/>
  <c r="Z21" i="7"/>
  <c r="J20" i="5"/>
  <c r="J8" i="5"/>
  <c r="J6" i="6" s="1"/>
  <c r="N11" i="13"/>
  <c r="N5" i="13"/>
  <c r="N12" i="13" s="1"/>
  <c r="I24" i="7"/>
  <c r="I25" i="7"/>
  <c r="I42" i="9" s="1"/>
  <c r="AR8" i="5"/>
  <c r="AS20" i="5"/>
  <c r="T25" i="7"/>
  <c r="U42" i="9" s="1"/>
  <c r="T20" i="7"/>
  <c r="T24" i="7"/>
  <c r="AE43" i="9"/>
  <c r="AE29" i="9"/>
  <c r="AE17" i="9" s="1"/>
  <c r="AC25" i="7"/>
  <c r="Z19" i="7"/>
  <c r="AV44" i="9"/>
  <c r="AV43" i="9"/>
  <c r="AV29" i="9"/>
  <c r="T11" i="13"/>
  <c r="T5" i="13"/>
  <c r="T12" i="13" s="1"/>
  <c r="N20" i="5"/>
  <c r="M8" i="5"/>
  <c r="N7" i="6" s="1"/>
  <c r="AI20" i="5"/>
  <c r="AH8" i="5"/>
  <c r="AI7" i="6" s="1"/>
  <c r="T8" i="7"/>
  <c r="T8" i="9" s="1"/>
  <c r="AD43" i="9"/>
  <c r="AA39" i="9"/>
  <c r="BC39" i="9" s="1"/>
  <c r="AD29" i="9"/>
  <c r="U24" i="7"/>
  <c r="U25" i="7"/>
  <c r="V42" i="9" s="1"/>
  <c r="W20" i="5"/>
  <c r="V8" i="5"/>
  <c r="W8" i="6" s="1"/>
  <c r="AV20" i="5"/>
  <c r="AU8" i="5"/>
  <c r="AV7" i="6" s="1"/>
  <c r="AZ7" i="9"/>
  <c r="AW8" i="8"/>
  <c r="P11" i="13"/>
  <c r="P5" i="13"/>
  <c r="P12" i="13" s="1"/>
  <c r="E26" i="7"/>
  <c r="I9" i="9"/>
  <c r="I26" i="7"/>
  <c r="L9" i="9"/>
  <c r="L26" i="7"/>
  <c r="N24" i="7"/>
  <c r="N25" i="7"/>
  <c r="N42" i="9" s="1"/>
  <c r="J9" i="9"/>
  <c r="J26" i="7"/>
  <c r="V37" i="12"/>
  <c r="AV7" i="9"/>
  <c r="AS8" i="8"/>
  <c r="AP20" i="5"/>
  <c r="AO8" i="5"/>
  <c r="AP6" i="6" s="1"/>
  <c r="AX7" i="9"/>
  <c r="AU8" i="8"/>
  <c r="AW20" i="5"/>
  <c r="AV8" i="5"/>
  <c r="U38" i="12"/>
  <c r="P9" i="9"/>
  <c r="K8" i="9"/>
  <c r="AA8" i="19"/>
  <c r="U40" i="12"/>
  <c r="G8" i="9"/>
  <c r="AR7" i="9"/>
  <c r="AP43" i="9"/>
  <c r="AP29" i="9"/>
  <c r="F26" i="7"/>
  <c r="AJ8" i="5"/>
  <c r="AK6" i="6" s="1"/>
  <c r="AK20" i="5"/>
  <c r="AB11" i="6"/>
  <c r="AG20" i="5"/>
  <c r="AF8" i="5"/>
  <c r="N43" i="9"/>
  <c r="N29" i="9"/>
  <c r="AZ20" i="5"/>
  <c r="AY8" i="5"/>
  <c r="AZ6" i="6" s="1"/>
  <c r="W8" i="5"/>
  <c r="X8" i="6" s="1"/>
  <c r="Y20" i="5"/>
  <c r="C5" i="13"/>
  <c r="C12" i="13" s="1"/>
  <c r="C11" i="13"/>
  <c r="AN7" i="9"/>
  <c r="I43" i="9"/>
  <c r="I29" i="9"/>
  <c r="AN8" i="5"/>
  <c r="AO6" i="6" s="1"/>
  <c r="AO20" i="5"/>
  <c r="O20" i="5"/>
  <c r="N8" i="5"/>
  <c r="O6" i="6" s="1"/>
  <c r="W24" i="7"/>
  <c r="W25" i="7"/>
  <c r="X42" i="9" s="1"/>
  <c r="N9" i="9"/>
  <c r="N26" i="7"/>
  <c r="AN20" i="5"/>
  <c r="AM8" i="5"/>
  <c r="AN8" i="6" s="1"/>
  <c r="O43" i="9"/>
  <c r="O29" i="9"/>
  <c r="M9" i="9"/>
  <c r="M26" i="7"/>
  <c r="AS7" i="9"/>
  <c r="AX20" i="5"/>
  <c r="AW8" i="5"/>
  <c r="AX6" i="6" s="1"/>
  <c r="T20" i="5"/>
  <c r="T8" i="6"/>
  <c r="AL20" i="5"/>
  <c r="AK8" i="5"/>
  <c r="AL8" i="6" s="1"/>
  <c r="AY7" i="9"/>
  <c r="AV8" i="8"/>
  <c r="D11" i="13"/>
  <c r="D5" i="13"/>
  <c r="D12" i="13" s="1"/>
  <c r="AP7" i="9"/>
  <c r="O24" i="7"/>
  <c r="O25" i="7"/>
  <c r="O42" i="9" s="1"/>
  <c r="K20" i="5"/>
  <c r="K8" i="5"/>
  <c r="K7" i="6" s="1"/>
  <c r="AF25" i="7"/>
  <c r="M8" i="9"/>
  <c r="T38" i="12"/>
  <c r="S7" i="8"/>
  <c r="AT43" i="9"/>
  <c r="AT29" i="9"/>
  <c r="AY44" i="9"/>
  <c r="AY43" i="9"/>
  <c r="AY29" i="9"/>
  <c r="O11" i="13"/>
  <c r="O5" i="13"/>
  <c r="O12" i="13" s="1"/>
  <c r="Q8" i="5"/>
  <c r="R20" i="5"/>
  <c r="AW44" i="9"/>
  <c r="AW43" i="9"/>
  <c r="AW29" i="9"/>
  <c r="AR20" i="5"/>
  <c r="AQ8" i="5"/>
  <c r="Q11" i="13"/>
  <c r="Q5" i="13"/>
  <c r="Q12" i="13" s="1"/>
  <c r="P20" i="5"/>
  <c r="AF7" i="7"/>
  <c r="AA7" i="7" s="1"/>
  <c r="L8" i="7"/>
  <c r="U37" i="12"/>
  <c r="J25" i="7"/>
  <c r="J42" i="9" s="1"/>
  <c r="J24" i="7"/>
  <c r="E8" i="5"/>
  <c r="E20" i="5"/>
  <c r="AS43" i="9"/>
  <c r="AS29" i="9"/>
  <c r="U9" i="9"/>
  <c r="U15" i="9" s="1"/>
  <c r="U27" i="9" s="1"/>
  <c r="U36" i="9" s="1"/>
  <c r="T26" i="7"/>
  <c r="R9" i="8"/>
  <c r="F20" i="5"/>
  <c r="F8" i="5"/>
  <c r="F6" i="6" s="1"/>
  <c r="V24" i="7"/>
  <c r="V25" i="7"/>
  <c r="W42" i="9" s="1"/>
  <c r="V20" i="7"/>
  <c r="AD8" i="5"/>
  <c r="AT7" i="9"/>
  <c r="G24" i="7"/>
  <c r="G25" i="7"/>
  <c r="G42" i="9" s="1"/>
  <c r="V9" i="9"/>
  <c r="V15" i="9" s="1"/>
  <c r="V27" i="9" s="1"/>
  <c r="V36" i="9" s="1"/>
  <c r="U26" i="7"/>
  <c r="S9" i="8"/>
  <c r="K26" i="7"/>
  <c r="K9" i="9"/>
  <c r="AU20" i="5"/>
  <c r="AT8" i="5"/>
  <c r="AO7" i="6"/>
  <c r="T39" i="12"/>
  <c r="H20" i="5"/>
  <c r="H8" i="5"/>
  <c r="H6" i="6" s="1"/>
  <c r="M43" i="9"/>
  <c r="M29" i="9"/>
  <c r="AY20" i="5"/>
  <c r="AX8" i="5"/>
  <c r="AY6" i="6" s="1"/>
  <c r="AR43" i="9"/>
  <c r="AR29" i="9"/>
  <c r="AG8" i="17"/>
  <c r="AI43" i="9"/>
  <c r="AI29" i="9"/>
  <c r="AC8" i="12" s="1"/>
  <c r="AK43" i="9"/>
  <c r="AK29" i="9"/>
  <c r="AE8" i="12" s="1"/>
  <c r="AO7" i="9"/>
  <c r="AH20" i="5"/>
  <c r="AG8" i="5"/>
  <c r="AH6" i="6" s="1"/>
  <c r="AK8" i="19"/>
  <c r="G6" i="19"/>
  <c r="AR8" i="17"/>
  <c r="E12" i="15"/>
  <c r="K25" i="7"/>
  <c r="K42" i="9" s="1"/>
  <c r="K24" i="7"/>
  <c r="C9" i="15"/>
  <c r="I8" i="5"/>
  <c r="I20" i="5"/>
  <c r="BD35" i="9"/>
  <c r="U44" i="9"/>
  <c r="U43" i="9"/>
  <c r="U29" i="9"/>
  <c r="D43" i="9"/>
  <c r="D29" i="9"/>
  <c r="D9" i="9"/>
  <c r="BF9" i="9" s="1"/>
  <c r="AJ20" i="5"/>
  <c r="AI8" i="5"/>
  <c r="AJ6" i="6" s="1"/>
  <c r="K43" i="9"/>
  <c r="K29" i="9"/>
  <c r="J8" i="7"/>
  <c r="F24" i="7"/>
  <c r="F25" i="7"/>
  <c r="G8" i="5"/>
  <c r="G8" i="6" s="1"/>
  <c r="G20" i="5"/>
  <c r="AM43" i="9"/>
  <c r="AM29" i="9"/>
  <c r="J43" i="9"/>
  <c r="J29" i="9"/>
  <c r="AE6" i="9"/>
  <c r="U20" i="5"/>
  <c r="T8" i="5"/>
  <c r="AX44" i="9"/>
  <c r="AX43" i="9"/>
  <c r="AX29" i="9"/>
  <c r="G9" i="9"/>
  <c r="G26" i="7"/>
  <c r="AM20" i="5"/>
  <c r="AL8" i="5"/>
  <c r="AK7" i="6"/>
  <c r="AN43" i="9"/>
  <c r="AN29" i="9"/>
  <c r="D8" i="7"/>
  <c r="Y8" i="7" s="1"/>
  <c r="W44" i="9"/>
  <c r="W43" i="9"/>
  <c r="W29" i="9"/>
  <c r="X9" i="9"/>
  <c r="X15" i="9" s="1"/>
  <c r="X27" i="9" s="1"/>
  <c r="X36" i="9" s="1"/>
  <c r="W26" i="7"/>
  <c r="U9" i="8"/>
  <c r="U8" i="5"/>
  <c r="V7" i="6" s="1"/>
  <c r="V20" i="5"/>
  <c r="L43" i="9"/>
  <c r="L29" i="9"/>
  <c r="H43" i="9"/>
  <c r="H29" i="9"/>
  <c r="R5" i="13"/>
  <c r="R12" i="13" s="1"/>
  <c r="R11" i="13"/>
  <c r="B40" i="12"/>
  <c r="T40" i="12" s="1"/>
  <c r="BB40" i="9"/>
  <c r="X8" i="9"/>
  <c r="U7" i="8"/>
  <c r="AP8" i="5"/>
  <c r="AQ8" i="6" s="1"/>
  <c r="AQ20" i="5"/>
  <c r="AO8" i="19"/>
  <c r="AA8" i="17"/>
  <c r="G8" i="17" s="1"/>
  <c r="AH8" i="17"/>
  <c r="D8" i="19"/>
  <c r="AN8" i="19"/>
  <c r="Z8" i="19"/>
  <c r="AJ7" i="9"/>
  <c r="AG43" i="9"/>
  <c r="AG29" i="9"/>
  <c r="L25" i="7"/>
  <c r="L42" i="9" s="1"/>
  <c r="L24" i="7"/>
  <c r="T37" i="12"/>
  <c r="Q20" i="5"/>
  <c r="P8" i="5"/>
  <c r="H24" i="7"/>
  <c r="H25" i="7"/>
  <c r="H42" i="9" s="1"/>
  <c r="V38" i="12"/>
  <c r="P9" i="12"/>
  <c r="P42" i="9"/>
  <c r="X44" i="9"/>
  <c r="X43" i="9"/>
  <c r="X29" i="9"/>
  <c r="G43" i="9"/>
  <c r="G29" i="9"/>
  <c r="O9" i="9"/>
  <c r="O26" i="7"/>
  <c r="AD20" i="5"/>
  <c r="AC8" i="5"/>
  <c r="AQ43" i="9"/>
  <c r="AQ29" i="9"/>
  <c r="AK8" i="12" s="1"/>
  <c r="BF5" i="9" l="1"/>
  <c r="BF25" i="9"/>
  <c r="BF29" i="9"/>
  <c r="Y26" i="7"/>
  <c r="Z9" i="9"/>
  <c r="Y25" i="7"/>
  <c r="AP8" i="12"/>
  <c r="Z29" i="9"/>
  <c r="N9" i="12"/>
  <c r="AB29" i="9"/>
  <c r="L5" i="9"/>
  <c r="W7" i="6"/>
  <c r="R8" i="6"/>
  <c r="Q5" i="9"/>
  <c r="Q5" i="7"/>
  <c r="Q11" i="7" s="1"/>
  <c r="D11" i="5"/>
  <c r="Y8" i="5"/>
  <c r="Z6" i="6" s="1"/>
  <c r="AT7" i="6"/>
  <c r="AT5" i="6"/>
  <c r="AT9" i="6" s="1"/>
  <c r="Q7" i="6"/>
  <c r="P5" i="7"/>
  <c r="AX8" i="6"/>
  <c r="AG8" i="6"/>
  <c r="AA8" i="5"/>
  <c r="AB6" i="6" s="1"/>
  <c r="D6" i="6"/>
  <c r="S6" i="6"/>
  <c r="R5" i="9"/>
  <c r="R5" i="7"/>
  <c r="R11" i="7" s="1"/>
  <c r="AV6" i="6"/>
  <c r="AV8" i="6"/>
  <c r="AU8" i="6"/>
  <c r="AT5" i="7"/>
  <c r="AT21" i="5"/>
  <c r="AY7" i="6"/>
  <c r="D8" i="6"/>
  <c r="AS11" i="5"/>
  <c r="AT11" i="6" s="1"/>
  <c r="AT8" i="6"/>
  <c r="U8" i="6"/>
  <c r="T5" i="9"/>
  <c r="T11" i="9" s="1"/>
  <c r="T15" i="9" s="1"/>
  <c r="T27" i="9" s="1"/>
  <c r="AT6" i="6"/>
  <c r="S11" i="7"/>
  <c r="S14" i="7" s="1"/>
  <c r="P11" i="7"/>
  <c r="W8" i="9"/>
  <c r="Q8" i="9"/>
  <c r="R8" i="9"/>
  <c r="F8" i="9"/>
  <c r="O8" i="9"/>
  <c r="AE7" i="6"/>
  <c r="AD11" i="5"/>
  <c r="AM7" i="6"/>
  <c r="AS7" i="6"/>
  <c r="S21" i="9"/>
  <c r="S20" i="9"/>
  <c r="Q20" i="12" s="1"/>
  <c r="S18" i="9"/>
  <c r="Q18" i="12" s="1"/>
  <c r="S17" i="9"/>
  <c r="S19" i="9"/>
  <c r="F8" i="6"/>
  <c r="AO8" i="6"/>
  <c r="AS8" i="6"/>
  <c r="P8" i="6"/>
  <c r="L11" i="5"/>
  <c r="J7" i="6"/>
  <c r="S7" i="6"/>
  <c r="J8" i="6"/>
  <c r="S8" i="6"/>
  <c r="F7" i="6"/>
  <c r="Q6" i="6"/>
  <c r="D7" i="12"/>
  <c r="AI8" i="12"/>
  <c r="AP7" i="6"/>
  <c r="N8" i="6"/>
  <c r="AE8" i="6"/>
  <c r="AE6" i="6"/>
  <c r="AP8" i="6"/>
  <c r="AM8" i="6"/>
  <c r="AJ7" i="6"/>
  <c r="AM6" i="6"/>
  <c r="V6" i="6"/>
  <c r="AZ8" i="6"/>
  <c r="AG7" i="6"/>
  <c r="AD6" i="6"/>
  <c r="Z8" i="5"/>
  <c r="AA7" i="6" s="1"/>
  <c r="AR7" i="6"/>
  <c r="BD43" i="9"/>
  <c r="D9" i="12"/>
  <c r="M9" i="12"/>
  <c r="BB43" i="9"/>
  <c r="G7" i="12"/>
  <c r="E9" i="12"/>
  <c r="AO8" i="12"/>
  <c r="K7" i="12"/>
  <c r="K9" i="12"/>
  <c r="AN8" i="12"/>
  <c r="AJ8" i="12"/>
  <c r="AB8" i="12"/>
  <c r="Q9" i="12"/>
  <c r="AD8" i="12"/>
  <c r="L9" i="12"/>
  <c r="L7" i="12"/>
  <c r="AI6" i="6"/>
  <c r="H8" i="6"/>
  <c r="AN7" i="6"/>
  <c r="H7" i="6"/>
  <c r="AN6" i="6"/>
  <c r="K8" i="6"/>
  <c r="G6" i="6"/>
  <c r="AI8" i="6"/>
  <c r="Q8" i="6"/>
  <c r="N6" i="6"/>
  <c r="O8" i="6"/>
  <c r="G7" i="6"/>
  <c r="O7" i="6"/>
  <c r="I9" i="12"/>
  <c r="E7" i="13"/>
  <c r="E15" i="13" s="1"/>
  <c r="E19" i="13" s="1"/>
  <c r="E11" i="5"/>
  <c r="E21" i="5"/>
  <c r="E5" i="7"/>
  <c r="E5" i="9" s="1"/>
  <c r="E11" i="9" s="1"/>
  <c r="E5" i="6"/>
  <c r="E9" i="6" s="1"/>
  <c r="AV11" i="5"/>
  <c r="AW11" i="6" s="1"/>
  <c r="AW21" i="5"/>
  <c r="AV5" i="7"/>
  <c r="AW5" i="6"/>
  <c r="AW9" i="6" s="1"/>
  <c r="Y29" i="12"/>
  <c r="AE21" i="9"/>
  <c r="Y21" i="12" s="1"/>
  <c r="AE20" i="9"/>
  <c r="Y20" i="12" s="1"/>
  <c r="AE19" i="9"/>
  <c r="Y19" i="12" s="1"/>
  <c r="AE18" i="9"/>
  <c r="Y18" i="12" s="1"/>
  <c r="Y22" i="12"/>
  <c r="Y25" i="12"/>
  <c r="I29" i="12"/>
  <c r="K21" i="9"/>
  <c r="I21" i="12" s="1"/>
  <c r="K18" i="9"/>
  <c r="I18" i="12" s="1"/>
  <c r="K19" i="9"/>
  <c r="I19" i="12" s="1"/>
  <c r="K20" i="9"/>
  <c r="I20" i="12" s="1"/>
  <c r="K17" i="9"/>
  <c r="I22" i="12"/>
  <c r="I25" i="12"/>
  <c r="G29" i="12"/>
  <c r="I17" i="9"/>
  <c r="I21" i="9"/>
  <c r="G21" i="12" s="1"/>
  <c r="I20" i="9"/>
  <c r="G20" i="12" s="1"/>
  <c r="I18" i="9"/>
  <c r="G18" i="12" s="1"/>
  <c r="I19" i="9"/>
  <c r="G19" i="12" s="1"/>
  <c r="G22" i="12"/>
  <c r="G25" i="12"/>
  <c r="AJ29" i="12"/>
  <c r="AP19" i="9"/>
  <c r="AJ19" i="12" s="1"/>
  <c r="AP17" i="9"/>
  <c r="AP20" i="9"/>
  <c r="AJ20" i="12" s="1"/>
  <c r="AP18" i="9"/>
  <c r="AJ18" i="12" s="1"/>
  <c r="AP21" i="9"/>
  <c r="AJ21" i="12" s="1"/>
  <c r="AJ22" i="12"/>
  <c r="AJ25" i="12"/>
  <c r="AR8" i="6"/>
  <c r="AK29" i="12"/>
  <c r="AQ18" i="9"/>
  <c r="AK18" i="12" s="1"/>
  <c r="AQ21" i="9"/>
  <c r="AK21" i="12" s="1"/>
  <c r="AQ19" i="9"/>
  <c r="AK19" i="12" s="1"/>
  <c r="AQ17" i="9"/>
  <c r="AQ20" i="9"/>
  <c r="AK20" i="12" s="1"/>
  <c r="AK22" i="12"/>
  <c r="AK25" i="12"/>
  <c r="E29" i="12"/>
  <c r="G19" i="9"/>
  <c r="E19" i="12" s="1"/>
  <c r="G17" i="9"/>
  <c r="G21" i="9"/>
  <c r="E21" i="12" s="1"/>
  <c r="G20" i="9"/>
  <c r="E20" i="12" s="1"/>
  <c r="G18" i="9"/>
  <c r="E18" i="12" s="1"/>
  <c r="E22" i="12"/>
  <c r="E25" i="12"/>
  <c r="V5" i="9"/>
  <c r="U11" i="5"/>
  <c r="V21" i="5"/>
  <c r="U5" i="7"/>
  <c r="S5" i="8" s="1"/>
  <c r="V5" i="6"/>
  <c r="V9" i="6" s="1"/>
  <c r="W37" i="9"/>
  <c r="W19" i="9"/>
  <c r="W31" i="9"/>
  <c r="W32" i="9" s="1"/>
  <c r="W17" i="9"/>
  <c r="W21" i="9"/>
  <c r="W20" i="9"/>
  <c r="W18" i="9"/>
  <c r="AW7" i="6"/>
  <c r="R9" i="12"/>
  <c r="P8" i="9"/>
  <c r="N7" i="12" s="1"/>
  <c r="R7" i="6"/>
  <c r="L7" i="13"/>
  <c r="L15" i="13" s="1"/>
  <c r="L19" i="13" s="1"/>
  <c r="AE5" i="6"/>
  <c r="AE9" i="6" s="1"/>
  <c r="AD5" i="7"/>
  <c r="P6" i="6"/>
  <c r="AG42" i="9"/>
  <c r="AO29" i="12"/>
  <c r="AO21" i="12"/>
  <c r="AO20" i="12"/>
  <c r="AO19" i="12"/>
  <c r="AO18" i="12"/>
  <c r="AO25" i="12"/>
  <c r="AO22" i="12"/>
  <c r="R5" i="12"/>
  <c r="R11" i="12" s="1"/>
  <c r="R15" i="12" s="1"/>
  <c r="R27" i="12" s="1"/>
  <c r="T21" i="5"/>
  <c r="T5" i="6"/>
  <c r="T9" i="6" s="1"/>
  <c r="AW6" i="6"/>
  <c r="C9" i="12"/>
  <c r="V5" i="7"/>
  <c r="T5" i="8" s="1"/>
  <c r="W21" i="5"/>
  <c r="W5" i="9"/>
  <c r="W5" i="6"/>
  <c r="W9" i="6" s="1"/>
  <c r="V11" i="5"/>
  <c r="U8" i="9"/>
  <c r="R7" i="8"/>
  <c r="AZ7" i="6"/>
  <c r="AZ17" i="9"/>
  <c r="AZ21" i="9"/>
  <c r="AZ20" i="9"/>
  <c r="AZ18" i="9"/>
  <c r="AZ37" i="9"/>
  <c r="AZ19" i="9"/>
  <c r="T7" i="6"/>
  <c r="D29" i="12"/>
  <c r="D20" i="12"/>
  <c r="D18" i="12"/>
  <c r="D21" i="12"/>
  <c r="D19" i="12"/>
  <c r="D22" i="12"/>
  <c r="D25" i="12"/>
  <c r="AG29" i="12"/>
  <c r="AM21" i="9"/>
  <c r="AG21" i="12" s="1"/>
  <c r="AM20" i="9"/>
  <c r="AG20" i="12" s="1"/>
  <c r="AM19" i="9"/>
  <c r="AG19" i="12" s="1"/>
  <c r="AM17" i="9"/>
  <c r="AM18" i="9"/>
  <c r="AG18" i="12" s="1"/>
  <c r="AG22" i="12"/>
  <c r="AG25" i="12"/>
  <c r="F12" i="15"/>
  <c r="G12" i="15" s="1"/>
  <c r="H12" i="15" s="1"/>
  <c r="I12" i="15" s="1"/>
  <c r="J12" i="15" s="1"/>
  <c r="AQ11" i="5"/>
  <c r="AR5" i="6"/>
  <c r="AR9" i="6" s="1"/>
  <c r="AQ5" i="7"/>
  <c r="AR21" i="5"/>
  <c r="AA29" i="12"/>
  <c r="AG20" i="9"/>
  <c r="AG18" i="9"/>
  <c r="AG21" i="9"/>
  <c r="AG17" i="9"/>
  <c r="AG19" i="9"/>
  <c r="AA22" i="12"/>
  <c r="AA25" i="12"/>
  <c r="U5" i="6"/>
  <c r="U9" i="6" s="1"/>
  <c r="T5" i="7"/>
  <c r="R5" i="8" s="1"/>
  <c r="U21" i="5"/>
  <c r="U5" i="9"/>
  <c r="T11" i="5"/>
  <c r="B9" i="12"/>
  <c r="AA43" i="9"/>
  <c r="BC43" i="9" s="1"/>
  <c r="O29" i="12"/>
  <c r="O21" i="12"/>
  <c r="O20" i="12"/>
  <c r="O18" i="12"/>
  <c r="O19" i="12"/>
  <c r="O22" i="12"/>
  <c r="O25" i="12"/>
  <c r="F29" i="12"/>
  <c r="H18" i="9"/>
  <c r="H21" i="9"/>
  <c r="H20" i="9"/>
  <c r="H19" i="9"/>
  <c r="H17" i="9"/>
  <c r="F25" i="12"/>
  <c r="F22" i="12"/>
  <c r="U6" i="6"/>
  <c r="C8" i="18"/>
  <c r="B29" i="12"/>
  <c r="D21" i="9"/>
  <c r="D20" i="9"/>
  <c r="D19" i="9"/>
  <c r="D17" i="9"/>
  <c r="D18" i="9"/>
  <c r="B25" i="12"/>
  <c r="B22" i="12"/>
  <c r="I7" i="13"/>
  <c r="I15" i="13" s="1"/>
  <c r="I19" i="13" s="1"/>
  <c r="I21" i="5"/>
  <c r="I5" i="6"/>
  <c r="I9" i="6" s="1"/>
  <c r="I5" i="7"/>
  <c r="I11" i="5"/>
  <c r="N7" i="13"/>
  <c r="N15" i="13" s="1"/>
  <c r="N19" i="13" s="1"/>
  <c r="AG5" i="7"/>
  <c r="AH5" i="9" s="1"/>
  <c r="AH11" i="9" s="1"/>
  <c r="AH21" i="5"/>
  <c r="AH5" i="6"/>
  <c r="AH9" i="6" s="1"/>
  <c r="AG11" i="5"/>
  <c r="AX5" i="7"/>
  <c r="AY5" i="6"/>
  <c r="AY9" i="6" s="1"/>
  <c r="AY21" i="5"/>
  <c r="AX11" i="5"/>
  <c r="AY11" i="6" s="1"/>
  <c r="E8" i="6"/>
  <c r="T6" i="6"/>
  <c r="AM8" i="12"/>
  <c r="T7" i="13"/>
  <c r="T15" i="13" s="1"/>
  <c r="T19" i="13" s="1"/>
  <c r="AN5" i="6"/>
  <c r="AN9" i="6" s="1"/>
  <c r="AM5" i="7"/>
  <c r="AN21" i="5"/>
  <c r="AM11" i="5"/>
  <c r="AB20" i="5"/>
  <c r="I7" i="12"/>
  <c r="AT5" i="9"/>
  <c r="AS11" i="7"/>
  <c r="W6" i="6"/>
  <c r="O7" i="13"/>
  <c r="O15" i="13" s="1"/>
  <c r="O19" i="13" s="1"/>
  <c r="AH11" i="5"/>
  <c r="AI21" i="5"/>
  <c r="AH5" i="7"/>
  <c r="AI5" i="6"/>
  <c r="AI9" i="6" s="1"/>
  <c r="AP29" i="12"/>
  <c r="AV21" i="9"/>
  <c r="AP21" i="12" s="1"/>
  <c r="AV20" i="9"/>
  <c r="AP20" i="12" s="1"/>
  <c r="AV19" i="9"/>
  <c r="AP19" i="12" s="1"/>
  <c r="AV17" i="9"/>
  <c r="AV18" i="9"/>
  <c r="AP18" i="12" s="1"/>
  <c r="AP22" i="12"/>
  <c r="AP25" i="12"/>
  <c r="BC7" i="18"/>
  <c r="E9" i="18"/>
  <c r="AD29" i="12"/>
  <c r="AJ17" i="9"/>
  <c r="AJ21" i="9"/>
  <c r="AD21" i="12" s="1"/>
  <c r="AJ18" i="9"/>
  <c r="AD18" i="12" s="1"/>
  <c r="AJ20" i="9"/>
  <c r="AD20" i="12" s="1"/>
  <c r="AJ19" i="9"/>
  <c r="AD19" i="12" s="1"/>
  <c r="AD22" i="12"/>
  <c r="AD25" i="12"/>
  <c r="R6" i="6"/>
  <c r="M7" i="13"/>
  <c r="M15" i="13" s="1"/>
  <c r="M19" i="13" s="1"/>
  <c r="AF11" i="5"/>
  <c r="AG21" i="5"/>
  <c r="AG5" i="6"/>
  <c r="AG9" i="6" s="1"/>
  <c r="AF5" i="7"/>
  <c r="C7" i="13"/>
  <c r="C15" i="13" s="1"/>
  <c r="C19" i="13" s="1"/>
  <c r="AC5" i="7"/>
  <c r="AD21" i="5"/>
  <c r="AD5" i="6"/>
  <c r="AD9" i="6" s="1"/>
  <c r="AC11" i="5"/>
  <c r="AF29" i="12"/>
  <c r="AF21" i="12"/>
  <c r="AF20" i="12"/>
  <c r="AF19" i="12"/>
  <c r="AF18" i="12"/>
  <c r="AF22" i="12"/>
  <c r="AF25" i="12"/>
  <c r="P5" i="9"/>
  <c r="P11" i="5"/>
  <c r="Q5" i="6"/>
  <c r="Q9" i="6" s="1"/>
  <c r="Q21" i="5"/>
  <c r="AD8" i="6"/>
  <c r="S7" i="13"/>
  <c r="S15" i="13" s="1"/>
  <c r="S19" i="13" s="1"/>
  <c r="AL5" i="7"/>
  <c r="AM21" i="5"/>
  <c r="AM5" i="6"/>
  <c r="AM9" i="6" s="1"/>
  <c r="AL11" i="5"/>
  <c r="G7" i="13"/>
  <c r="G15" i="13" s="1"/>
  <c r="G19" i="13" s="1"/>
  <c r="G21" i="5"/>
  <c r="G5" i="6"/>
  <c r="G9" i="6" s="1"/>
  <c r="G5" i="7"/>
  <c r="G11" i="5"/>
  <c r="P7" i="13"/>
  <c r="P15" i="13" s="1"/>
  <c r="P19" i="13" s="1"/>
  <c r="AI11" i="5"/>
  <c r="AJ5" i="6"/>
  <c r="AJ9" i="6" s="1"/>
  <c r="AI5" i="7"/>
  <c r="AJ21" i="5"/>
  <c r="I6" i="6"/>
  <c r="I8" i="6"/>
  <c r="AW20" i="9"/>
  <c r="AW37" i="9"/>
  <c r="AW18" i="9"/>
  <c r="AW19" i="9"/>
  <c r="AW17" i="9"/>
  <c r="AW21" i="9"/>
  <c r="AY37" i="9"/>
  <c r="AY18" i="9"/>
  <c r="AY19" i="9"/>
  <c r="AY21" i="9"/>
  <c r="AY17" i="9"/>
  <c r="AY20" i="9"/>
  <c r="AH7" i="6"/>
  <c r="AJ8" i="6"/>
  <c r="O9" i="12"/>
  <c r="N5" i="9"/>
  <c r="N5" i="7"/>
  <c r="O21" i="5"/>
  <c r="O5" i="6"/>
  <c r="O9" i="6" s="1"/>
  <c r="N11" i="5"/>
  <c r="O11" i="6" s="1"/>
  <c r="AH8" i="12"/>
  <c r="AG6" i="6"/>
  <c r="Q7" i="13"/>
  <c r="Q15" i="13" s="1"/>
  <c r="Q19" i="13" s="1"/>
  <c r="AK21" i="5"/>
  <c r="AK5" i="6"/>
  <c r="AK9" i="6" s="1"/>
  <c r="AJ5" i="7"/>
  <c r="AJ11" i="5"/>
  <c r="AL8" i="12"/>
  <c r="AH8" i="6"/>
  <c r="O7" i="12"/>
  <c r="R21" i="5"/>
  <c r="R5" i="6"/>
  <c r="R9" i="6" s="1"/>
  <c r="Q11" i="5"/>
  <c r="AC29" i="12"/>
  <c r="AI18" i="9"/>
  <c r="AC18" i="12" s="1"/>
  <c r="AI20" i="9"/>
  <c r="AC20" i="12" s="1"/>
  <c r="AI19" i="9"/>
  <c r="AC19" i="12" s="1"/>
  <c r="AI17" i="9"/>
  <c r="AI21" i="9"/>
  <c r="AC21" i="12" s="1"/>
  <c r="AC22" i="12"/>
  <c r="AC25" i="12"/>
  <c r="P7" i="6"/>
  <c r="U7" i="6"/>
  <c r="L11" i="7"/>
  <c r="D8" i="9"/>
  <c r="BF8" i="9" s="1"/>
  <c r="Y6" i="12"/>
  <c r="R29" i="12"/>
  <c r="R21" i="12"/>
  <c r="R20" i="12"/>
  <c r="R18" i="12"/>
  <c r="R19" i="12"/>
  <c r="R13" i="12"/>
  <c r="R14" i="12"/>
  <c r="R25" i="12"/>
  <c r="R22" i="12"/>
  <c r="AU21" i="5"/>
  <c r="AT11" i="5"/>
  <c r="AU11" i="6" s="1"/>
  <c r="AU5" i="6"/>
  <c r="AU9" i="6" s="1"/>
  <c r="AM29" i="12"/>
  <c r="AS21" i="9"/>
  <c r="AM21" i="12" s="1"/>
  <c r="AS20" i="9"/>
  <c r="AM20" i="12" s="1"/>
  <c r="AS18" i="9"/>
  <c r="AM18" i="12" s="1"/>
  <c r="AS19" i="9"/>
  <c r="AM19" i="12" s="1"/>
  <c r="AS17" i="9"/>
  <c r="AM22" i="12"/>
  <c r="AM25" i="12"/>
  <c r="L8" i="9"/>
  <c r="L11" i="9" s="1"/>
  <c r="K7" i="13"/>
  <c r="K15" i="13" s="1"/>
  <c r="K19" i="13" s="1"/>
  <c r="K5" i="9"/>
  <c r="K5" i="7"/>
  <c r="K21" i="5"/>
  <c r="K5" i="6"/>
  <c r="K9" i="6" s="1"/>
  <c r="K11" i="5"/>
  <c r="Q7" i="12"/>
  <c r="R7" i="13"/>
  <c r="R15" i="13" s="1"/>
  <c r="R19" i="13" s="1"/>
  <c r="AL5" i="6"/>
  <c r="AL9" i="6" s="1"/>
  <c r="AK5" i="7"/>
  <c r="AL5" i="9" s="1"/>
  <c r="AL11" i="9" s="1"/>
  <c r="AK11" i="5"/>
  <c r="AL21" i="5"/>
  <c r="V8" i="6"/>
  <c r="AL7" i="6"/>
  <c r="AY11" i="5"/>
  <c r="AZ11" i="6" s="1"/>
  <c r="AZ5" i="6"/>
  <c r="AZ9" i="6" s="1"/>
  <c r="AY5" i="7"/>
  <c r="AZ21" i="5"/>
  <c r="AY8" i="6"/>
  <c r="AU7" i="6"/>
  <c r="J7" i="13"/>
  <c r="J15" i="13" s="1"/>
  <c r="J19" i="13" s="1"/>
  <c r="J5" i="9"/>
  <c r="J5" i="6"/>
  <c r="J9" i="6" s="1"/>
  <c r="J5" i="7"/>
  <c r="J11" i="5"/>
  <c r="J21" i="5"/>
  <c r="F9" i="12"/>
  <c r="AI29" i="12"/>
  <c r="AO20" i="9"/>
  <c r="AI20" i="12" s="1"/>
  <c r="AO18" i="9"/>
  <c r="AI18" i="12" s="1"/>
  <c r="AO17" i="9"/>
  <c r="AO21" i="9"/>
  <c r="AI21" i="12" s="1"/>
  <c r="AO19" i="9"/>
  <c r="AI19" i="12" s="1"/>
  <c r="AI25" i="12"/>
  <c r="AI22" i="12"/>
  <c r="Z20" i="5"/>
  <c r="AB29" i="12"/>
  <c r="AB19" i="12"/>
  <c r="AB21" i="12"/>
  <c r="AB18" i="12"/>
  <c r="AB20" i="12"/>
  <c r="AB25" i="12"/>
  <c r="AB22" i="12"/>
  <c r="AG8" i="12"/>
  <c r="Q29" i="12"/>
  <c r="Q21" i="12"/>
  <c r="Q19" i="12"/>
  <c r="Q22" i="12"/>
  <c r="Q25" i="12"/>
  <c r="AQ21" i="5"/>
  <c r="AP5" i="7"/>
  <c r="AP11" i="5"/>
  <c r="AQ11" i="6" s="1"/>
  <c r="AQ5" i="6"/>
  <c r="AQ9" i="6" s="1"/>
  <c r="AD7" i="6"/>
  <c r="AX37" i="9"/>
  <c r="AX19" i="9"/>
  <c r="AX17" i="9"/>
  <c r="AX21" i="9"/>
  <c r="AX18" i="9"/>
  <c r="AX20" i="9"/>
  <c r="H29" i="12"/>
  <c r="J21" i="9"/>
  <c r="H21" i="12" s="1"/>
  <c r="J18" i="9"/>
  <c r="H18" i="12" s="1"/>
  <c r="J19" i="9"/>
  <c r="H19" i="12" s="1"/>
  <c r="J17" i="9"/>
  <c r="J20" i="9"/>
  <c r="H20" i="12" s="1"/>
  <c r="H25" i="12"/>
  <c r="H22" i="12"/>
  <c r="U21" i="9"/>
  <c r="U19" i="9"/>
  <c r="U31" i="9"/>
  <c r="U32" i="9" s="1"/>
  <c r="U18" i="9"/>
  <c r="U20" i="9"/>
  <c r="U17" i="9"/>
  <c r="K29" i="12"/>
  <c r="M21" i="9"/>
  <c r="K21" i="12" s="1"/>
  <c r="M19" i="9"/>
  <c r="K19" i="12" s="1"/>
  <c r="M17" i="9"/>
  <c r="M18" i="9"/>
  <c r="K18" i="12" s="1"/>
  <c r="M20" i="9"/>
  <c r="K20" i="12" s="1"/>
  <c r="K22" i="12"/>
  <c r="K25" i="12"/>
  <c r="H7" i="13"/>
  <c r="H15" i="13" s="1"/>
  <c r="H19" i="13" s="1"/>
  <c r="H11" i="5"/>
  <c r="H5" i="6"/>
  <c r="H9" i="6" s="1"/>
  <c r="H5" i="7"/>
  <c r="H21" i="5"/>
  <c r="AU6" i="6"/>
  <c r="C7" i="12"/>
  <c r="K6" i="6"/>
  <c r="R7" i="12"/>
  <c r="AL6" i="6"/>
  <c r="AF8" i="12"/>
  <c r="I7" i="6"/>
  <c r="E7" i="12"/>
  <c r="E7" i="6"/>
  <c r="AK8" i="6"/>
  <c r="M11" i="5"/>
  <c r="N11" i="6" s="1"/>
  <c r="N21" i="5"/>
  <c r="M5" i="7"/>
  <c r="M5" i="9"/>
  <c r="N5" i="6"/>
  <c r="N9" i="6" s="1"/>
  <c r="AS21" i="5"/>
  <c r="AS5" i="6"/>
  <c r="AS9" i="6" s="1"/>
  <c r="AR5" i="7"/>
  <c r="AR11" i="5"/>
  <c r="G8" i="19"/>
  <c r="S5" i="6"/>
  <c r="S9" i="6" s="1"/>
  <c r="R11" i="5"/>
  <c r="S21" i="5"/>
  <c r="N29" i="12"/>
  <c r="P18" i="9"/>
  <c r="N18" i="12" s="1"/>
  <c r="P19" i="9"/>
  <c r="N19" i="12" s="1"/>
  <c r="P17" i="9"/>
  <c r="P20" i="9"/>
  <c r="N20" i="12" s="1"/>
  <c r="P21" i="9"/>
  <c r="N21" i="12" s="1"/>
  <c r="N22" i="12"/>
  <c r="N25" i="12"/>
  <c r="D7" i="13"/>
  <c r="D15" i="13" s="1"/>
  <c r="D19" i="13" s="1"/>
  <c r="D5" i="6"/>
  <c r="D9" i="6" s="1"/>
  <c r="D5" i="7"/>
  <c r="D21" i="5"/>
  <c r="J8" i="9"/>
  <c r="H7" i="12" s="1"/>
  <c r="C29" i="12"/>
  <c r="C22" i="12"/>
  <c r="C25" i="12"/>
  <c r="O5" i="9"/>
  <c r="P5" i="6"/>
  <c r="P9" i="6" s="1"/>
  <c r="O5" i="7"/>
  <c r="O11" i="7" s="1"/>
  <c r="P21" i="5"/>
  <c r="X5" i="9"/>
  <c r="Y21" i="5"/>
  <c r="W5" i="7"/>
  <c r="U5" i="8" s="1"/>
  <c r="X5" i="6"/>
  <c r="X9" i="6" s="1"/>
  <c r="W11" i="5"/>
  <c r="AD6" i="9"/>
  <c r="Z6" i="7"/>
  <c r="AL29" i="12"/>
  <c r="AR17" i="9"/>
  <c r="AR21" i="9"/>
  <c r="AL21" i="12" s="1"/>
  <c r="AR18" i="9"/>
  <c r="AL18" i="12" s="1"/>
  <c r="AR20" i="9"/>
  <c r="AL20" i="12" s="1"/>
  <c r="AR19" i="9"/>
  <c r="AL19" i="12" s="1"/>
  <c r="AL22" i="12"/>
  <c r="AL25" i="12"/>
  <c r="E6" i="6"/>
  <c r="M29" i="12"/>
  <c r="O19" i="9"/>
  <c r="M19" i="12" s="1"/>
  <c r="O17" i="9"/>
  <c r="O20" i="9"/>
  <c r="M20" i="12" s="1"/>
  <c r="O21" i="9"/>
  <c r="M21" i="12" s="1"/>
  <c r="O18" i="9"/>
  <c r="M18" i="12" s="1"/>
  <c r="M22" i="12"/>
  <c r="M25" i="12"/>
  <c r="X6" i="6"/>
  <c r="AA20" i="5"/>
  <c r="P29" i="12"/>
  <c r="P21" i="12"/>
  <c r="P20" i="12"/>
  <c r="P18" i="12"/>
  <c r="P19" i="12"/>
  <c r="P25" i="12"/>
  <c r="P22" i="12"/>
  <c r="AW8" i="6"/>
  <c r="X37" i="9"/>
  <c r="X31" i="9"/>
  <c r="X32" i="9" s="1"/>
  <c r="X18" i="9"/>
  <c r="X21" i="9"/>
  <c r="X19" i="9"/>
  <c r="X17" i="9"/>
  <c r="X20" i="9"/>
  <c r="AQ6" i="6"/>
  <c r="L21" i="9"/>
  <c r="L20" i="9"/>
  <c r="L19" i="9"/>
  <c r="L17" i="9"/>
  <c r="L18" i="9"/>
  <c r="AH29" i="12"/>
  <c r="AN21" i="9"/>
  <c r="AH21" i="12" s="1"/>
  <c r="AN20" i="9"/>
  <c r="AH20" i="12" s="1"/>
  <c r="AN19" i="9"/>
  <c r="AH19" i="12" s="1"/>
  <c r="AN17" i="9"/>
  <c r="AN18" i="9"/>
  <c r="AH18" i="12" s="1"/>
  <c r="AH22" i="12"/>
  <c r="AH25" i="12"/>
  <c r="X7" i="6"/>
  <c r="AE29" i="12"/>
  <c r="AK21" i="9"/>
  <c r="AE21" i="12" s="1"/>
  <c r="AK20" i="9"/>
  <c r="AE20" i="12" s="1"/>
  <c r="AK19" i="9"/>
  <c r="AE19" i="12" s="1"/>
  <c r="AK17" i="9"/>
  <c r="AK18" i="9"/>
  <c r="AE18" i="12" s="1"/>
  <c r="AE25" i="12"/>
  <c r="AE22" i="12"/>
  <c r="F7" i="13"/>
  <c r="F15" i="13" s="1"/>
  <c r="F19" i="13" s="1"/>
  <c r="F5" i="7"/>
  <c r="F5" i="9" s="1"/>
  <c r="F21" i="5"/>
  <c r="F5" i="6"/>
  <c r="F9" i="6" s="1"/>
  <c r="F11" i="5"/>
  <c r="AG7" i="9"/>
  <c r="AB7" i="9" s="1"/>
  <c r="AR6" i="6"/>
  <c r="AN29" i="12"/>
  <c r="AT21" i="9"/>
  <c r="AN21" i="12" s="1"/>
  <c r="AT20" i="9"/>
  <c r="AN20" i="12" s="1"/>
  <c r="AT18" i="9"/>
  <c r="AN18" i="12" s="1"/>
  <c r="AT19" i="9"/>
  <c r="AN19" i="12" s="1"/>
  <c r="AT17" i="9"/>
  <c r="AN22" i="12"/>
  <c r="AN25" i="12"/>
  <c r="F7" i="12"/>
  <c r="AW5" i="7"/>
  <c r="AX21" i="5"/>
  <c r="AX5" i="6"/>
  <c r="AX9" i="6" s="1"/>
  <c r="AW11" i="5"/>
  <c r="AX11" i="6" s="1"/>
  <c r="AX7" i="6"/>
  <c r="AN11" i="5"/>
  <c r="AO11" i="6" s="1"/>
  <c r="AO21" i="5"/>
  <c r="AO5" i="6"/>
  <c r="AO9" i="6" s="1"/>
  <c r="AN5" i="7"/>
  <c r="L29" i="12"/>
  <c r="N20" i="9"/>
  <c r="L20" i="12" s="1"/>
  <c r="N18" i="9"/>
  <c r="L18" i="12" s="1"/>
  <c r="N19" i="9"/>
  <c r="L19" i="12" s="1"/>
  <c r="N17" i="9"/>
  <c r="N21" i="9"/>
  <c r="L21" i="12" s="1"/>
  <c r="L25" i="12"/>
  <c r="L22" i="12"/>
  <c r="D42" i="9"/>
  <c r="Z42" i="9" s="1"/>
  <c r="AO5" i="7"/>
  <c r="AP21" i="5"/>
  <c r="AP5" i="6"/>
  <c r="AP9" i="6" s="1"/>
  <c r="AO11" i="5"/>
  <c r="AP11" i="6" s="1"/>
  <c r="H9" i="12"/>
  <c r="AQ7" i="6"/>
  <c r="G9" i="12"/>
  <c r="AV5" i="6"/>
  <c r="AV9" i="6" s="1"/>
  <c r="AU5" i="7"/>
  <c r="AU11" i="5"/>
  <c r="AV11" i="6" s="1"/>
  <c r="AV21" i="5"/>
  <c r="X29" i="12"/>
  <c r="AA29" i="9"/>
  <c r="AD21" i="9"/>
  <c r="AD20" i="9"/>
  <c r="AD17" i="9"/>
  <c r="AD18" i="9"/>
  <c r="AD19" i="9"/>
  <c r="X25" i="12"/>
  <c r="X22" i="12"/>
  <c r="AD42" i="9"/>
  <c r="AA42" i="9" s="1"/>
  <c r="BC42" i="9" s="1"/>
  <c r="Z25" i="7"/>
  <c r="AS6" i="6"/>
  <c r="V20" i="9"/>
  <c r="V37" i="9"/>
  <c r="V31" i="9"/>
  <c r="V32" i="9" s="1"/>
  <c r="V18" i="9"/>
  <c r="V19" i="9"/>
  <c r="V21" i="9"/>
  <c r="V17" i="9"/>
  <c r="M7" i="12"/>
  <c r="AB21" i="9" l="1"/>
  <c r="Z20" i="9"/>
  <c r="AB18" i="9"/>
  <c r="BB21" i="9"/>
  <c r="AB20" i="9"/>
  <c r="Z19" i="9"/>
  <c r="BB19" i="9" s="1"/>
  <c r="Z18" i="9"/>
  <c r="BB18" i="9" s="1"/>
  <c r="AB19" i="9"/>
  <c r="BD19" i="9" s="1"/>
  <c r="Z17" i="9"/>
  <c r="BB17" i="9" s="1"/>
  <c r="AB17" i="9"/>
  <c r="Z5" i="7"/>
  <c r="Q11" i="9"/>
  <c r="T36" i="9"/>
  <c r="T31" i="9"/>
  <c r="T32" i="9" s="1"/>
  <c r="AA5" i="7"/>
  <c r="AU5" i="9"/>
  <c r="AU11" i="9" s="1"/>
  <c r="AT11" i="7"/>
  <c r="F11" i="9"/>
  <c r="Y11" i="5"/>
  <c r="Y5" i="7"/>
  <c r="AA11" i="5"/>
  <c r="R11" i="9"/>
  <c r="Z8" i="9"/>
  <c r="BB8" i="9" s="1"/>
  <c r="S15" i="7"/>
  <c r="S14" i="9" s="1"/>
  <c r="Q14" i="12" s="1"/>
  <c r="P14" i="7"/>
  <c r="P15" i="7"/>
  <c r="Q14" i="7"/>
  <c r="Q15" i="7"/>
  <c r="P7" i="12"/>
  <c r="R15" i="7"/>
  <c r="R14" i="7"/>
  <c r="AS11" i="6"/>
  <c r="S13" i="9"/>
  <c r="S23" i="9"/>
  <c r="Z11" i="5"/>
  <c r="AR11" i="6"/>
  <c r="BD20" i="9"/>
  <c r="C19" i="12"/>
  <c r="C18" i="12"/>
  <c r="C21" i="12"/>
  <c r="BD17" i="9"/>
  <c r="C20" i="12"/>
  <c r="BD21" i="9"/>
  <c r="BD42" i="9"/>
  <c r="BB42" i="9"/>
  <c r="BD18" i="9"/>
  <c r="F19" i="12"/>
  <c r="F21" i="12"/>
  <c r="F18" i="12"/>
  <c r="F20" i="12"/>
  <c r="BB20" i="9"/>
  <c r="U25" i="12"/>
  <c r="L23" i="9"/>
  <c r="D11" i="7"/>
  <c r="Z7" i="6"/>
  <c r="X19" i="12"/>
  <c r="AA19" i="9"/>
  <c r="BC19" i="9" s="1"/>
  <c r="F6" i="13"/>
  <c r="F14" i="13" s="1"/>
  <c r="F11" i="6"/>
  <c r="X18" i="12"/>
  <c r="AA18" i="9"/>
  <c r="BC18" i="9" s="1"/>
  <c r="AI17" i="12"/>
  <c r="AI23" i="12" s="1"/>
  <c r="AO23" i="9"/>
  <c r="AK11" i="7"/>
  <c r="B7" i="12"/>
  <c r="T7" i="12" s="1"/>
  <c r="AC17" i="12"/>
  <c r="AC23" i="12" s="1"/>
  <c r="AI23" i="9"/>
  <c r="AA21" i="5"/>
  <c r="AA5" i="6"/>
  <c r="AA9" i="6" s="1"/>
  <c r="AS15" i="7"/>
  <c r="AT14" i="9" s="1"/>
  <c r="AN14" i="12" s="1"/>
  <c r="AS14" i="7"/>
  <c r="AN5" i="9"/>
  <c r="AM11" i="7"/>
  <c r="I6" i="13"/>
  <c r="I14" i="13" s="1"/>
  <c r="I11" i="6"/>
  <c r="B17" i="12"/>
  <c r="D23" i="9"/>
  <c r="BF23" i="9" s="1"/>
  <c r="BD29" i="9"/>
  <c r="BD22" i="9"/>
  <c r="BD25" i="9"/>
  <c r="G17" i="12"/>
  <c r="G23" i="12" s="1"/>
  <c r="I23" i="9"/>
  <c r="L17" i="12"/>
  <c r="L23" i="12" s="1"/>
  <c r="N23" i="9"/>
  <c r="AU5" i="8"/>
  <c r="AU11" i="8" s="1"/>
  <c r="AW11" i="7"/>
  <c r="AX5" i="9"/>
  <c r="AW9" i="15"/>
  <c r="AW7" i="15" s="1"/>
  <c r="AO9" i="15"/>
  <c r="AO7" i="15" s="1"/>
  <c r="AG9" i="15"/>
  <c r="AG7" i="15" s="1"/>
  <c r="Y9" i="15"/>
  <c r="Y7" i="15" s="1"/>
  <c r="Y11" i="15" s="1"/>
  <c r="Q9" i="15"/>
  <c r="AV9" i="15"/>
  <c r="AV7" i="15" s="1"/>
  <c r="AN9" i="15"/>
  <c r="AN7" i="15" s="1"/>
  <c r="AF9" i="15"/>
  <c r="AF7" i="15" s="1"/>
  <c r="X9" i="15"/>
  <c r="X7" i="15" s="1"/>
  <c r="X11" i="15" s="1"/>
  <c r="AZ9" i="15"/>
  <c r="AZ7" i="15" s="1"/>
  <c r="AP9" i="15"/>
  <c r="AP7" i="15" s="1"/>
  <c r="AD9" i="15"/>
  <c r="AD7" i="15" s="1"/>
  <c r="T9" i="15"/>
  <c r="T7" i="15" s="1"/>
  <c r="T11" i="15" s="1"/>
  <c r="AY9" i="15"/>
  <c r="AY7" i="15" s="1"/>
  <c r="AM9" i="15"/>
  <c r="AM7" i="15" s="1"/>
  <c r="AC9" i="15"/>
  <c r="AC7" i="15" s="1"/>
  <c r="S9" i="15"/>
  <c r="S7" i="15" s="1"/>
  <c r="S11" i="15" s="1"/>
  <c r="AX9" i="15"/>
  <c r="AX7" i="15" s="1"/>
  <c r="AL9" i="15"/>
  <c r="AL7" i="15" s="1"/>
  <c r="AB9" i="15"/>
  <c r="AB7" i="15" s="1"/>
  <c r="AB11" i="15" s="1"/>
  <c r="R9" i="15"/>
  <c r="R7" i="15" s="1"/>
  <c r="R11" i="15" s="1"/>
  <c r="AU9" i="15"/>
  <c r="AU7" i="15" s="1"/>
  <c r="AK9" i="15"/>
  <c r="AK7" i="15" s="1"/>
  <c r="AA9" i="15"/>
  <c r="AA7" i="15" s="1"/>
  <c r="AA11" i="15" s="1"/>
  <c r="AT9" i="15"/>
  <c r="AT7" i="15" s="1"/>
  <c r="AJ9" i="15"/>
  <c r="AJ7" i="15" s="1"/>
  <c r="Z9" i="15"/>
  <c r="Z7" i="15" s="1"/>
  <c r="Z11" i="15" s="1"/>
  <c r="AS9" i="15"/>
  <c r="AS7" i="15" s="1"/>
  <c r="AI9" i="15"/>
  <c r="AI7" i="15" s="1"/>
  <c r="W9" i="15"/>
  <c r="W7" i="15" s="1"/>
  <c r="W11" i="15" s="1"/>
  <c r="AR9" i="15"/>
  <c r="AR7" i="15" s="1"/>
  <c r="AH9" i="15"/>
  <c r="AH7" i="15" s="1"/>
  <c r="V9" i="15"/>
  <c r="V7" i="15" s="1"/>
  <c r="V11" i="15" s="1"/>
  <c r="BA9" i="15"/>
  <c r="BA7" i="15" s="1"/>
  <c r="BA11" i="15" s="1"/>
  <c r="AQ9" i="15"/>
  <c r="AQ7" i="15" s="1"/>
  <c r="AE9" i="15"/>
  <c r="AE7" i="15" s="1"/>
  <c r="U9" i="15"/>
  <c r="U7" i="15" s="1"/>
  <c r="U11" i="15" s="1"/>
  <c r="J11" i="7"/>
  <c r="I5" i="12"/>
  <c r="I11" i="12" s="1"/>
  <c r="K11" i="9"/>
  <c r="AK5" i="9"/>
  <c r="AJ11" i="7"/>
  <c r="X17" i="12"/>
  <c r="AD23" i="9"/>
  <c r="AA17" i="9"/>
  <c r="BC17" i="9" s="1"/>
  <c r="AS5" i="8"/>
  <c r="AS11" i="8" s="1"/>
  <c r="AU11" i="7"/>
  <c r="AV5" i="9"/>
  <c r="AP5" i="12" s="1"/>
  <c r="AP11" i="12" s="1"/>
  <c r="AP15" i="12" s="1"/>
  <c r="AP27" i="12" s="1"/>
  <c r="AP31" i="12" s="1"/>
  <c r="AP5" i="9"/>
  <c r="AO11" i="7"/>
  <c r="AE17" i="12"/>
  <c r="AE23" i="12" s="1"/>
  <c r="AK23" i="9"/>
  <c r="X23" i="9"/>
  <c r="Z5" i="6"/>
  <c r="Z9" i="6" s="1"/>
  <c r="Z21" i="5"/>
  <c r="U23" i="9"/>
  <c r="Q17" i="12"/>
  <c r="Q23" i="12" s="1"/>
  <c r="AZ5" i="9"/>
  <c r="AW5" i="8"/>
  <c r="AW11" i="8" s="1"/>
  <c r="AY11" i="7"/>
  <c r="L15" i="7"/>
  <c r="L14" i="9" s="1"/>
  <c r="L14" i="7"/>
  <c r="L13" i="9" s="1"/>
  <c r="N11" i="7"/>
  <c r="P6" i="13"/>
  <c r="P14" i="13" s="1"/>
  <c r="AJ11" i="6"/>
  <c r="S6" i="13"/>
  <c r="S14" i="13" s="1"/>
  <c r="AM11" i="6"/>
  <c r="AF17" i="12"/>
  <c r="AF23" i="12" s="1"/>
  <c r="M6" i="13"/>
  <c r="M14" i="13" s="1"/>
  <c r="AG11" i="6"/>
  <c r="I5" i="9"/>
  <c r="I11" i="7"/>
  <c r="B19" i="12"/>
  <c r="AA8" i="6"/>
  <c r="O17" i="12"/>
  <c r="O23" i="12" s="1"/>
  <c r="AA21" i="12"/>
  <c r="V21" i="12" s="1"/>
  <c r="AG17" i="12"/>
  <c r="AG23" i="12" s="1"/>
  <c r="AM23" i="9"/>
  <c r="F11" i="7"/>
  <c r="O15" i="7"/>
  <c r="O14" i="9" s="1"/>
  <c r="M14" i="12" s="1"/>
  <c r="O14" i="7"/>
  <c r="H5" i="12"/>
  <c r="H11" i="12" s="1"/>
  <c r="J11" i="9"/>
  <c r="AA18" i="12"/>
  <c r="V18" i="12" s="1"/>
  <c r="AK17" i="12"/>
  <c r="AK23" i="12" s="1"/>
  <c r="AQ23" i="9"/>
  <c r="V23" i="9"/>
  <c r="X20" i="12"/>
  <c r="AA20" i="9"/>
  <c r="BC20" i="9" s="1"/>
  <c r="AH17" i="12"/>
  <c r="AH23" i="12" s="1"/>
  <c r="AN23" i="9"/>
  <c r="M17" i="12"/>
  <c r="M23" i="12" s="1"/>
  <c r="O23" i="9"/>
  <c r="X6" i="12"/>
  <c r="U6" i="12" s="1"/>
  <c r="AA6" i="9"/>
  <c r="BC6" i="9" s="1"/>
  <c r="N17" i="12"/>
  <c r="N23" i="12" s="1"/>
  <c r="P23" i="9"/>
  <c r="K5" i="12"/>
  <c r="K11" i="12" s="1"/>
  <c r="M11" i="9"/>
  <c r="AQ5" i="9"/>
  <c r="AP11" i="7"/>
  <c r="G6" i="13"/>
  <c r="G14" i="13" s="1"/>
  <c r="G11" i="6"/>
  <c r="AP17" i="12"/>
  <c r="AP23" i="12" s="1"/>
  <c r="AV23" i="9"/>
  <c r="N6" i="13"/>
  <c r="N14" i="13" s="1"/>
  <c r="AH11" i="6"/>
  <c r="B20" i="12"/>
  <c r="D17" i="12"/>
  <c r="D23" i="12" s="1"/>
  <c r="AB8" i="6"/>
  <c r="E17" i="12"/>
  <c r="E23" i="12" s="1"/>
  <c r="G23" i="9"/>
  <c r="AB7" i="6"/>
  <c r="E11" i="7"/>
  <c r="D6" i="13"/>
  <c r="D14" i="13" s="1"/>
  <c r="D11" i="6"/>
  <c r="J23" i="9"/>
  <c r="H17" i="12"/>
  <c r="H23" i="12" s="1"/>
  <c r="X21" i="12"/>
  <c r="AA21" i="9"/>
  <c r="BC21" i="9" s="1"/>
  <c r="AN17" i="12"/>
  <c r="AN23" i="12" s="1"/>
  <c r="AT23" i="9"/>
  <c r="AA6" i="6"/>
  <c r="D5" i="9"/>
  <c r="P5" i="12"/>
  <c r="M11" i="7"/>
  <c r="Z8" i="6"/>
  <c r="H5" i="9"/>
  <c r="H11" i="7"/>
  <c r="K17" i="12"/>
  <c r="K23" i="12" s="1"/>
  <c r="M23" i="9"/>
  <c r="AX23" i="9"/>
  <c r="K6" i="13"/>
  <c r="K14" i="13" s="1"/>
  <c r="K11" i="6"/>
  <c r="G5" i="9"/>
  <c r="G11" i="7"/>
  <c r="AM5" i="9"/>
  <c r="AL11" i="7"/>
  <c r="N5" i="12"/>
  <c r="N11" i="12" s="1"/>
  <c r="P11" i="9"/>
  <c r="O6" i="13"/>
  <c r="O14" i="13" s="1"/>
  <c r="AI11" i="6"/>
  <c r="B21" i="12"/>
  <c r="F17" i="12"/>
  <c r="H23" i="9"/>
  <c r="V25" i="12"/>
  <c r="AA20" i="12"/>
  <c r="V20" i="12" s="1"/>
  <c r="AO17" i="12"/>
  <c r="AO23" i="12" s="1"/>
  <c r="W23" i="9"/>
  <c r="C17" i="12"/>
  <c r="O5" i="12"/>
  <c r="O11" i="12" s="1"/>
  <c r="L5" i="12"/>
  <c r="L11" i="12" s="1"/>
  <c r="N11" i="9"/>
  <c r="AD5" i="9"/>
  <c r="AC11" i="7"/>
  <c r="AD17" i="12"/>
  <c r="AD23" i="12" s="1"/>
  <c r="AJ23" i="9"/>
  <c r="AN5" i="12"/>
  <c r="AN11" i="12" s="1"/>
  <c r="AT11" i="9"/>
  <c r="M5" i="12"/>
  <c r="M11" i="12" s="1"/>
  <c r="O11" i="9"/>
  <c r="R17" i="12"/>
  <c r="R23" i="12" s="1"/>
  <c r="AB5" i="6"/>
  <c r="AB9" i="6" s="1"/>
  <c r="AB21" i="5"/>
  <c r="T22" i="12"/>
  <c r="BB29" i="9"/>
  <c r="BB25" i="9"/>
  <c r="BB9" i="9"/>
  <c r="V22" i="12"/>
  <c r="V29" i="12"/>
  <c r="L6" i="13"/>
  <c r="L14" i="13" s="1"/>
  <c r="AE11" i="6"/>
  <c r="E6" i="13"/>
  <c r="E14" i="13" s="1"/>
  <c r="E11" i="6"/>
  <c r="AI5" i="9"/>
  <c r="AH11" i="7"/>
  <c r="AY5" i="9"/>
  <c r="AV5" i="8"/>
  <c r="AV11" i="8" s="1"/>
  <c r="AX11" i="7"/>
  <c r="BC29" i="9"/>
  <c r="BC25" i="9"/>
  <c r="U29" i="12"/>
  <c r="AO5" i="9"/>
  <c r="AN11" i="7"/>
  <c r="AA8" i="12"/>
  <c r="V8" i="12" s="1"/>
  <c r="BD7" i="9"/>
  <c r="P17" i="12"/>
  <c r="P23" i="12" s="1"/>
  <c r="AL17" i="12"/>
  <c r="AL23" i="12" s="1"/>
  <c r="AR23" i="9"/>
  <c r="H6" i="13"/>
  <c r="H14" i="13" s="1"/>
  <c r="H11" i="6"/>
  <c r="AB17" i="12"/>
  <c r="AB23" i="12" s="1"/>
  <c r="AM17" i="12"/>
  <c r="AM23" i="12" s="1"/>
  <c r="AS23" i="9"/>
  <c r="AW23" i="9"/>
  <c r="C6" i="13"/>
  <c r="C14" i="13" s="1"/>
  <c r="AD11" i="6"/>
  <c r="AG5" i="9"/>
  <c r="AF11" i="7"/>
  <c r="E11" i="18"/>
  <c r="T6" i="13"/>
  <c r="T14" i="13" s="1"/>
  <c r="AN11" i="6"/>
  <c r="AG11" i="7"/>
  <c r="T25" i="12"/>
  <c r="T29" i="12"/>
  <c r="T9" i="12"/>
  <c r="AA19" i="12"/>
  <c r="V19" i="12" s="1"/>
  <c r="AZ23" i="9"/>
  <c r="AE5" i="9"/>
  <c r="AD11" i="7"/>
  <c r="AJ17" i="12"/>
  <c r="AJ23" i="12" s="1"/>
  <c r="AP23" i="9"/>
  <c r="I17" i="12"/>
  <c r="I23" i="12" s="1"/>
  <c r="K23" i="9"/>
  <c r="AS5" i="9"/>
  <c r="AR11" i="7"/>
  <c r="J6" i="13"/>
  <c r="J14" i="13" s="1"/>
  <c r="J11" i="6"/>
  <c r="R6" i="13"/>
  <c r="R14" i="13" s="1"/>
  <c r="AL11" i="6"/>
  <c r="K11" i="7"/>
  <c r="Q6" i="13"/>
  <c r="Q14" i="13" s="1"/>
  <c r="AK11" i="6"/>
  <c r="AY23" i="9"/>
  <c r="AJ5" i="9"/>
  <c r="AI11" i="7"/>
  <c r="B18" i="12"/>
  <c r="T18" i="12" s="1"/>
  <c r="AU8" i="18"/>
  <c r="AM8" i="18"/>
  <c r="AE8" i="18"/>
  <c r="W8" i="18"/>
  <c r="AT8" i="18"/>
  <c r="AL8" i="18"/>
  <c r="AD8" i="18"/>
  <c r="V8" i="18"/>
  <c r="BA8" i="18"/>
  <c r="AV8" i="18"/>
  <c r="AJ8" i="18"/>
  <c r="Z8" i="18"/>
  <c r="AS8" i="18"/>
  <c r="AI8" i="18"/>
  <c r="Y8" i="18"/>
  <c r="AR8" i="18"/>
  <c r="AH8" i="18"/>
  <c r="X8" i="18"/>
  <c r="AQ8" i="18"/>
  <c r="AG8" i="18"/>
  <c r="U8" i="18"/>
  <c r="AZ8" i="18"/>
  <c r="AP8" i="18"/>
  <c r="AF8" i="18"/>
  <c r="T8" i="18"/>
  <c r="AY8" i="18"/>
  <c r="AO8" i="18"/>
  <c r="AC8" i="18"/>
  <c r="S8" i="18"/>
  <c r="AX8" i="18"/>
  <c r="AN8" i="18"/>
  <c r="AB8" i="18"/>
  <c r="R8" i="18"/>
  <c r="AA8" i="18"/>
  <c r="Q8" i="18"/>
  <c r="AW8" i="18"/>
  <c r="AK8" i="18"/>
  <c r="B7" i="18"/>
  <c r="AA17" i="12"/>
  <c r="AG23" i="9"/>
  <c r="AR5" i="9"/>
  <c r="AQ11" i="7"/>
  <c r="Q5" i="12"/>
  <c r="Q11" i="12" s="1"/>
  <c r="Y17" i="12"/>
  <c r="Y23" i="12" s="1"/>
  <c r="AE23" i="9"/>
  <c r="AW5" i="9"/>
  <c r="AV11" i="7"/>
  <c r="AT5" i="8"/>
  <c r="AT11" i="8" s="1"/>
  <c r="S17" i="7" l="1"/>
  <c r="Q10" i="8" s="1"/>
  <c r="P11" i="12"/>
  <c r="R31" i="12"/>
  <c r="Z23" i="9"/>
  <c r="BB23" i="9" s="1"/>
  <c r="AB23" i="9"/>
  <c r="Z5" i="9"/>
  <c r="AT14" i="7"/>
  <c r="AT15" i="7"/>
  <c r="AU14" i="9" s="1"/>
  <c r="AT17" i="7"/>
  <c r="S20" i="7"/>
  <c r="S27" i="7" s="1"/>
  <c r="BD5" i="9"/>
  <c r="Q17" i="7"/>
  <c r="O10" i="8" s="1"/>
  <c r="Q14" i="9"/>
  <c r="O14" i="12" s="1"/>
  <c r="Q13" i="9"/>
  <c r="O13" i="9"/>
  <c r="M13" i="12" s="1"/>
  <c r="M15" i="12" s="1"/>
  <c r="M27" i="12" s="1"/>
  <c r="R13" i="9"/>
  <c r="P13" i="12" s="1"/>
  <c r="R17" i="7"/>
  <c r="P10" i="8" s="1"/>
  <c r="R14" i="9"/>
  <c r="P14" i="12" s="1"/>
  <c r="P17" i="7"/>
  <c r="N10" i="8" s="1"/>
  <c r="Y11" i="7"/>
  <c r="BA5" i="7" s="1"/>
  <c r="AA11" i="7"/>
  <c r="Q9" i="8"/>
  <c r="Q5" i="8"/>
  <c r="Q7" i="8"/>
  <c r="D15" i="7"/>
  <c r="D14" i="7"/>
  <c r="S15" i="9"/>
  <c r="S27" i="9" s="1"/>
  <c r="Q13" i="12"/>
  <c r="Q15" i="12" s="1"/>
  <c r="Q27" i="12" s="1"/>
  <c r="T20" i="12"/>
  <c r="C7" i="15"/>
  <c r="C15" i="15"/>
  <c r="BB9" i="15"/>
  <c r="T19" i="12"/>
  <c r="C23" i="12"/>
  <c r="T21" i="12"/>
  <c r="BD23" i="9"/>
  <c r="BB5" i="9"/>
  <c r="F23" i="12"/>
  <c r="L15" i="9"/>
  <c r="L27" i="9" s="1"/>
  <c r="L36" i="9" s="1"/>
  <c r="AT13" i="9"/>
  <c r="AN13" i="12" s="1"/>
  <c r="AN15" i="12" s="1"/>
  <c r="AN27" i="12" s="1"/>
  <c r="AN31" i="12" s="1"/>
  <c r="V17" i="12"/>
  <c r="AA23" i="12"/>
  <c r="V23" i="12" s="1"/>
  <c r="K15" i="7"/>
  <c r="K14" i="9" s="1"/>
  <c r="I14" i="12" s="1"/>
  <c r="K14" i="7"/>
  <c r="K13" i="9" s="1"/>
  <c r="I13" i="12" s="1"/>
  <c r="AB5" i="12"/>
  <c r="AB11" i="12" s="1"/>
  <c r="AA5" i="12"/>
  <c r="AG11" i="9"/>
  <c r="AC5" i="12"/>
  <c r="AC11" i="12" s="1"/>
  <c r="AI11" i="9"/>
  <c r="AL14" i="7"/>
  <c r="AM13" i="9" s="1"/>
  <c r="AG13" i="12" s="1"/>
  <c r="AL15" i="7"/>
  <c r="AM14" i="9" s="1"/>
  <c r="AG14" i="12" s="1"/>
  <c r="D5" i="12"/>
  <c r="D11" i="12" s="1"/>
  <c r="AE5" i="12"/>
  <c r="AE11" i="12" s="1"/>
  <c r="AK11" i="9"/>
  <c r="C6" i="18"/>
  <c r="B6" i="18" s="1"/>
  <c r="S6" i="18" s="1"/>
  <c r="S9" i="18" s="1"/>
  <c r="AM5" i="12"/>
  <c r="AM11" i="12" s="1"/>
  <c r="AS11" i="9"/>
  <c r="AI15" i="7"/>
  <c r="AJ14" i="9" s="1"/>
  <c r="AD14" i="12" s="1"/>
  <c r="AI14" i="7"/>
  <c r="AJ13" i="9" s="1"/>
  <c r="AD13" i="12" s="1"/>
  <c r="AG5" i="12"/>
  <c r="AG11" i="12" s="1"/>
  <c r="AM11" i="9"/>
  <c r="M15" i="7"/>
  <c r="M14" i="9" s="1"/>
  <c r="K14" i="12" s="1"/>
  <c r="M14" i="7"/>
  <c r="M13" i="9" s="1"/>
  <c r="K13" i="12" s="1"/>
  <c r="AU15" i="7"/>
  <c r="AV14" i="9" s="1"/>
  <c r="AP14" i="12" s="1"/>
  <c r="AU14" i="7"/>
  <c r="AV13" i="9" s="1"/>
  <c r="B23" i="12"/>
  <c r="T17" i="12"/>
  <c r="AS17" i="7"/>
  <c r="G15" i="7"/>
  <c r="G14" i="9" s="1"/>
  <c r="E14" i="12" s="1"/>
  <c r="G14" i="7"/>
  <c r="G13" i="9" s="1"/>
  <c r="E13" i="12" s="1"/>
  <c r="N15" i="7"/>
  <c r="N14" i="9" s="1"/>
  <c r="L14" i="12" s="1"/>
  <c r="N14" i="7"/>
  <c r="N13" i="9" s="1"/>
  <c r="L13" i="12" s="1"/>
  <c r="AO14" i="12"/>
  <c r="AX15" i="7"/>
  <c r="AY14" i="9" s="1"/>
  <c r="AX14" i="7"/>
  <c r="AY13" i="9" s="1"/>
  <c r="AC15" i="7"/>
  <c r="Z11" i="7"/>
  <c r="AC14" i="7"/>
  <c r="AO5" i="12"/>
  <c r="AO11" i="12" s="1"/>
  <c r="AD15" i="7"/>
  <c r="AE14" i="9" s="1"/>
  <c r="Y14" i="12" s="1"/>
  <c r="AD14" i="7"/>
  <c r="AE13" i="9" s="1"/>
  <c r="Y13" i="12" s="1"/>
  <c r="F11" i="18"/>
  <c r="G11" i="18" s="1"/>
  <c r="H11" i="18" s="1"/>
  <c r="I11" i="18" s="1"/>
  <c r="J11" i="18" s="1"/>
  <c r="AN14" i="7"/>
  <c r="AO13" i="9" s="1"/>
  <c r="AI13" i="12" s="1"/>
  <c r="AN15" i="7"/>
  <c r="AO14" i="9" s="1"/>
  <c r="AI14" i="12" s="1"/>
  <c r="E5" i="12"/>
  <c r="E11" i="12" s="1"/>
  <c r="G11" i="9"/>
  <c r="H15" i="7"/>
  <c r="H14" i="9" s="1"/>
  <c r="H14" i="7"/>
  <c r="H13" i="9" s="1"/>
  <c r="C5" i="12"/>
  <c r="C11" i="12" s="1"/>
  <c r="I14" i="7"/>
  <c r="I13" i="9" s="1"/>
  <c r="G13" i="12" s="1"/>
  <c r="I15" i="7"/>
  <c r="I14" i="9" s="1"/>
  <c r="G14" i="12" s="1"/>
  <c r="P14" i="9"/>
  <c r="N14" i="12" s="1"/>
  <c r="P13" i="9"/>
  <c r="N13" i="12" s="1"/>
  <c r="AA23" i="9"/>
  <c r="BC23" i="9" s="1"/>
  <c r="AM15" i="7"/>
  <c r="AN14" i="9" s="1"/>
  <c r="AH14" i="12" s="1"/>
  <c r="AM14" i="7"/>
  <c r="AN13" i="9" s="1"/>
  <c r="AH13" i="12" s="1"/>
  <c r="AK15" i="7"/>
  <c r="AK14" i="7"/>
  <c r="AQ15" i="7"/>
  <c r="AR14" i="9" s="1"/>
  <c r="AL14" i="12" s="1"/>
  <c r="AQ14" i="7"/>
  <c r="AR13" i="9" s="1"/>
  <c r="AL13" i="12" s="1"/>
  <c r="AD5" i="12"/>
  <c r="AD11" i="12" s="1"/>
  <c r="AJ11" i="9"/>
  <c r="AV15" i="7"/>
  <c r="AW14" i="9" s="1"/>
  <c r="AV14" i="7"/>
  <c r="AW13" i="9" s="1"/>
  <c r="BC8" i="18"/>
  <c r="C14" i="18" a="1"/>
  <c r="C14" i="18" s="1"/>
  <c r="AF15" i="7"/>
  <c r="AF14" i="7"/>
  <c r="O13" i="12"/>
  <c r="E14" i="7"/>
  <c r="E13" i="9" s="1"/>
  <c r="E15" i="7"/>
  <c r="AP15" i="7"/>
  <c r="AQ14" i="9" s="1"/>
  <c r="AK14" i="12" s="1"/>
  <c r="AP14" i="7"/>
  <c r="AQ13" i="9" s="1"/>
  <c r="AK13" i="12" s="1"/>
  <c r="O17" i="7"/>
  <c r="AO15" i="7"/>
  <c r="AP14" i="9" s="1"/>
  <c r="AJ14" i="12" s="1"/>
  <c r="AO14" i="7"/>
  <c r="AP13" i="9" s="1"/>
  <c r="AJ13" i="12" s="1"/>
  <c r="X23" i="12"/>
  <c r="U23" i="12" s="1"/>
  <c r="J15" i="7"/>
  <c r="J14" i="9" s="1"/>
  <c r="J14" i="7"/>
  <c r="J13" i="9" s="1"/>
  <c r="H13" i="12" s="1"/>
  <c r="AL5" i="12"/>
  <c r="AL11" i="12" s="1"/>
  <c r="AR11" i="9"/>
  <c r="AR14" i="7"/>
  <c r="AS13" i="9" s="1"/>
  <c r="AM13" i="12" s="1"/>
  <c r="AR15" i="7"/>
  <c r="AS14" i="9" s="1"/>
  <c r="AM14" i="12" s="1"/>
  <c r="Y5" i="12"/>
  <c r="Y11" i="12" s="1"/>
  <c r="AE11" i="9"/>
  <c r="AG15" i="7"/>
  <c r="AG14" i="7"/>
  <c r="AI5" i="12"/>
  <c r="AI11" i="12" s="1"/>
  <c r="AO11" i="9"/>
  <c r="AH15" i="7"/>
  <c r="AI14" i="9" s="1"/>
  <c r="AC14" i="12" s="1"/>
  <c r="AH14" i="7"/>
  <c r="AI13" i="9" s="1"/>
  <c r="AC13" i="12" s="1"/>
  <c r="X5" i="12"/>
  <c r="AA5" i="9"/>
  <c r="BC5" i="9" s="1"/>
  <c r="AD11" i="9"/>
  <c r="F5" i="12"/>
  <c r="F11" i="12" s="1"/>
  <c r="H11" i="9"/>
  <c r="F15" i="7"/>
  <c r="F14" i="7"/>
  <c r="G5" i="12"/>
  <c r="G11" i="12" s="1"/>
  <c r="I11" i="9"/>
  <c r="L17" i="7"/>
  <c r="AJ14" i="7"/>
  <c r="AK13" i="9" s="1"/>
  <c r="AE13" i="12" s="1"/>
  <c r="AJ15" i="7"/>
  <c r="AK14" i="9" s="1"/>
  <c r="AE14" i="12" s="1"/>
  <c r="AW15" i="7"/>
  <c r="AX14" i="9" s="1"/>
  <c r="AW14" i="7"/>
  <c r="AX13" i="9" s="1"/>
  <c r="AH5" i="12"/>
  <c r="AH11" i="12" s="1"/>
  <c r="AN11" i="9"/>
  <c r="AF5" i="12"/>
  <c r="AF11" i="12" s="1"/>
  <c r="B5" i="12"/>
  <c r="D11" i="9"/>
  <c r="BF11" i="9" s="1"/>
  <c r="AK5" i="12"/>
  <c r="AK11" i="12" s="1"/>
  <c r="AQ11" i="9"/>
  <c r="AY15" i="7"/>
  <c r="AZ14" i="9" s="1"/>
  <c r="AY14" i="7"/>
  <c r="AZ13" i="9" s="1"/>
  <c r="AJ5" i="12"/>
  <c r="AJ11" i="12" s="1"/>
  <c r="AP11" i="9"/>
  <c r="Q7" i="15"/>
  <c r="I15" i="12" l="1"/>
  <c r="I27" i="12" s="1"/>
  <c r="O15" i="12"/>
  <c r="O27" i="12" s="1"/>
  <c r="Q15" i="9"/>
  <c r="Q27" i="9" s="1"/>
  <c r="AR8" i="8"/>
  <c r="AT20" i="7"/>
  <c r="AR5" i="8"/>
  <c r="Q11" i="8"/>
  <c r="AU13" i="9"/>
  <c r="AR10" i="8"/>
  <c r="Z11" i="9"/>
  <c r="R15" i="9"/>
  <c r="R27" i="9" s="1"/>
  <c r="R36" i="9" s="1"/>
  <c r="AA15" i="7"/>
  <c r="AA14" i="7"/>
  <c r="AL13" i="9"/>
  <c r="AF13" i="12" s="1"/>
  <c r="O20" i="7"/>
  <c r="O27" i="7" s="1"/>
  <c r="M9" i="8"/>
  <c r="M5" i="8"/>
  <c r="M7" i="8"/>
  <c r="AL14" i="9"/>
  <c r="AF14" i="12" s="1"/>
  <c r="AB11" i="9"/>
  <c r="BD11" i="9" s="1"/>
  <c r="O15" i="9"/>
  <c r="O27" i="9" s="1"/>
  <c r="O36" i="9" s="1"/>
  <c r="AH13" i="9"/>
  <c r="E14" i="9"/>
  <c r="C5" i="15" s="1"/>
  <c r="Y14" i="7"/>
  <c r="P20" i="7"/>
  <c r="P27" i="7" s="1"/>
  <c r="N9" i="8"/>
  <c r="N5" i="8"/>
  <c r="N7" i="8"/>
  <c r="Q36" i="9"/>
  <c r="Q31" i="9"/>
  <c r="Q32" i="9" s="1"/>
  <c r="M10" i="8"/>
  <c r="F14" i="9"/>
  <c r="D14" i="12" s="1"/>
  <c r="AH14" i="9"/>
  <c r="AB14" i="12" s="1"/>
  <c r="Y15" i="7"/>
  <c r="F13" i="9"/>
  <c r="R20" i="7"/>
  <c r="R27" i="7" s="1"/>
  <c r="P5" i="8"/>
  <c r="P9" i="8"/>
  <c r="P7" i="8"/>
  <c r="Q20" i="7"/>
  <c r="Q27" i="7" s="1"/>
  <c r="O5" i="8"/>
  <c r="O9" i="8"/>
  <c r="O7" i="8"/>
  <c r="S36" i="9"/>
  <c r="S31" i="9"/>
  <c r="S32" i="9" s="1"/>
  <c r="P15" i="12"/>
  <c r="P27" i="12" s="1"/>
  <c r="AJ6" i="18"/>
  <c r="AQ6" i="18"/>
  <c r="AA6" i="18"/>
  <c r="AA9" i="18" s="1"/>
  <c r="AT6" i="18"/>
  <c r="R6" i="18"/>
  <c r="R9" i="18" s="1"/>
  <c r="D17" i="7"/>
  <c r="V6" i="18"/>
  <c r="V9" i="18" s="1"/>
  <c r="AC6" i="18"/>
  <c r="AV6" i="18"/>
  <c r="Z6" i="18"/>
  <c r="Z9" i="18" s="1"/>
  <c r="AE6" i="18"/>
  <c r="AM6" i="18"/>
  <c r="AU6" i="18"/>
  <c r="X6" i="18"/>
  <c r="X9" i="18" s="1"/>
  <c r="AW6" i="18"/>
  <c r="AY6" i="18"/>
  <c r="BA6" i="18"/>
  <c r="BA9" i="18" s="1"/>
  <c r="AH6" i="18"/>
  <c r="T6" i="18"/>
  <c r="T9" i="18" s="1"/>
  <c r="BB11" i="7"/>
  <c r="BB6" i="7"/>
  <c r="BB5" i="7"/>
  <c r="BC11" i="7"/>
  <c r="BC7" i="7"/>
  <c r="BC5" i="7"/>
  <c r="Q11" i="15"/>
  <c r="BB7" i="15"/>
  <c r="Q6" i="18"/>
  <c r="Q9" i="18" s="1"/>
  <c r="AA11" i="9"/>
  <c r="BC11" i="9" s="1"/>
  <c r="K15" i="9"/>
  <c r="K27" i="9" s="1"/>
  <c r="K31" i="9" s="1"/>
  <c r="U6" i="18"/>
  <c r="U9" i="18" s="1"/>
  <c r="AO6" i="18"/>
  <c r="L31" i="9"/>
  <c r="L32" i="9" s="1"/>
  <c r="C13" i="12"/>
  <c r="AO15" i="9"/>
  <c r="AO27" i="9" s="1"/>
  <c r="AO31" i="9" s="1"/>
  <c r="AO32" i="9" s="1"/>
  <c r="AW15" i="9"/>
  <c r="AW27" i="9" s="1"/>
  <c r="AW31" i="9" s="1"/>
  <c r="AW32" i="9" s="1"/>
  <c r="AG6" i="18"/>
  <c r="BB11" i="9"/>
  <c r="T23" i="12"/>
  <c r="F14" i="12"/>
  <c r="F13" i="12"/>
  <c r="BA11" i="7"/>
  <c r="BA9" i="7"/>
  <c r="BA8" i="7"/>
  <c r="L15" i="12"/>
  <c r="L27" i="12" s="1"/>
  <c r="W6" i="18"/>
  <c r="W9" i="18" s="1"/>
  <c r="N15" i="9"/>
  <c r="N27" i="9" s="1"/>
  <c r="N36" i="9" s="1"/>
  <c r="AZ15" i="9"/>
  <c r="AZ27" i="9" s="1"/>
  <c r="AZ31" i="9" s="1"/>
  <c r="AZ32" i="9" s="1"/>
  <c r="N15" i="12"/>
  <c r="N27" i="12" s="1"/>
  <c r="AT15" i="9"/>
  <c r="AT27" i="9" s="1"/>
  <c r="AT36" i="9" s="1"/>
  <c r="AN6" i="18"/>
  <c r="AI15" i="12"/>
  <c r="AI27" i="12" s="1"/>
  <c r="AI31" i="12" s="1"/>
  <c r="AK6" i="18"/>
  <c r="AI6" i="18"/>
  <c r="AQ15" i="9"/>
  <c r="AQ27" i="9" s="1"/>
  <c r="AQ36" i="9" s="1"/>
  <c r="AJ15" i="9"/>
  <c r="AJ27" i="9" s="1"/>
  <c r="AJ36" i="9" s="1"/>
  <c r="AZ6" i="18"/>
  <c r="AK15" i="12"/>
  <c r="AK27" i="12" s="1"/>
  <c r="AK31" i="12" s="1"/>
  <c r="AD15" i="12"/>
  <c r="AD27" i="12" s="1"/>
  <c r="AD31" i="12" s="1"/>
  <c r="AQ8" i="8"/>
  <c r="AQ5" i="8"/>
  <c r="AN15" i="9"/>
  <c r="AN27" i="9" s="1"/>
  <c r="AN31" i="9" s="1"/>
  <c r="AN32" i="9" s="1"/>
  <c r="Y15" i="12"/>
  <c r="Y27" i="12" s="1"/>
  <c r="Y31" i="12" s="1"/>
  <c r="AH15" i="12"/>
  <c r="AH27" i="12" s="1"/>
  <c r="AH31" i="12" s="1"/>
  <c r="AE15" i="9"/>
  <c r="AE27" i="9" s="1"/>
  <c r="AE36" i="9" s="1"/>
  <c r="AQ10" i="8"/>
  <c r="AF17" i="7"/>
  <c r="AG17" i="7"/>
  <c r="AN17" i="7"/>
  <c r="AL5" i="8" s="1"/>
  <c r="F17" i="7"/>
  <c r="AY17" i="7"/>
  <c r="AW10" i="8" s="1"/>
  <c r="AI17" i="7"/>
  <c r="AG5" i="8" s="1"/>
  <c r="P15" i="9"/>
  <c r="P27" i="9" s="1"/>
  <c r="P31" i="9" s="1"/>
  <c r="AM17" i="7"/>
  <c r="AK5" i="8" s="1"/>
  <c r="K15" i="12"/>
  <c r="K27" i="12" s="1"/>
  <c r="X11" i="12"/>
  <c r="U5" i="12"/>
  <c r="AR17" i="7"/>
  <c r="E17" i="7"/>
  <c r="I17" i="7"/>
  <c r="AM15" i="12"/>
  <c r="AM27" i="12" s="1"/>
  <c r="AM31" i="12" s="1"/>
  <c r="M15" i="9"/>
  <c r="M27" i="9" s="1"/>
  <c r="Y6" i="18"/>
  <c r="Y9" i="18" s="1"/>
  <c r="AW17" i="7"/>
  <c r="AX17" i="7"/>
  <c r="N17" i="7"/>
  <c r="AP13" i="12"/>
  <c r="AV15" i="9"/>
  <c r="AV27" i="9" s="1"/>
  <c r="M17" i="7"/>
  <c r="AL6" i="18"/>
  <c r="AF6" i="18"/>
  <c r="V5" i="12"/>
  <c r="AA11" i="12"/>
  <c r="AP6" i="18"/>
  <c r="AH17" i="7"/>
  <c r="AO17" i="7"/>
  <c r="AG13" i="9"/>
  <c r="AQ17" i="7"/>
  <c r="H17" i="7"/>
  <c r="AD13" i="9"/>
  <c r="Z14" i="7"/>
  <c r="AU17" i="7"/>
  <c r="AM15" i="9"/>
  <c r="AM27" i="9" s="1"/>
  <c r="AL17" i="7"/>
  <c r="AP15" i="9"/>
  <c r="AP27" i="9" s="1"/>
  <c r="AJ17" i="7"/>
  <c r="AG14" i="9"/>
  <c r="G15" i="9"/>
  <c r="G27" i="9" s="1"/>
  <c r="G17" i="7"/>
  <c r="AG15" i="12"/>
  <c r="AG27" i="12" s="1"/>
  <c r="AG31" i="12" s="1"/>
  <c r="AX6" i="18"/>
  <c r="AK15" i="9"/>
  <c r="AK27" i="9" s="1"/>
  <c r="H15" i="9"/>
  <c r="T5" i="12"/>
  <c r="B11" i="12"/>
  <c r="J10" i="8"/>
  <c r="L20" i="7"/>
  <c r="L27" i="7" s="1"/>
  <c r="J9" i="8"/>
  <c r="J5" i="8"/>
  <c r="J7" i="8"/>
  <c r="AV17" i="7"/>
  <c r="D13" i="9"/>
  <c r="BF13" i="9" s="1"/>
  <c r="E15" i="12"/>
  <c r="E27" i="12" s="1"/>
  <c r="AC17" i="7"/>
  <c r="AS6" i="18"/>
  <c r="Q31" i="12"/>
  <c r="AE15" i="12"/>
  <c r="AE27" i="12" s="1"/>
  <c r="AE31" i="12" s="1"/>
  <c r="AI15" i="9"/>
  <c r="AI27" i="9" s="1"/>
  <c r="K17" i="7"/>
  <c r="AR6" i="18"/>
  <c r="AJ15" i="12"/>
  <c r="AJ27" i="12" s="1"/>
  <c r="AJ31" i="12" s="1"/>
  <c r="I15" i="9"/>
  <c r="I27" i="9" s="1"/>
  <c r="AR15" i="9"/>
  <c r="AR27" i="9" s="1"/>
  <c r="H14" i="12"/>
  <c r="H15" i="12" s="1"/>
  <c r="H27" i="12" s="1"/>
  <c r="D14" i="9"/>
  <c r="BF14" i="9" s="1"/>
  <c r="AD14" i="9"/>
  <c r="Z15" i="7"/>
  <c r="AS20" i="7"/>
  <c r="J15" i="9"/>
  <c r="AC15" i="12"/>
  <c r="AC27" i="12" s="1"/>
  <c r="AC31" i="12" s="1"/>
  <c r="AB6" i="18"/>
  <c r="AB9" i="18" s="1"/>
  <c r="AX15" i="9"/>
  <c r="AX27" i="9" s="1"/>
  <c r="G15" i="12"/>
  <c r="G27" i="12" s="1"/>
  <c r="AL15" i="12"/>
  <c r="AL27" i="12" s="1"/>
  <c r="AL31" i="12" s="1"/>
  <c r="J17" i="7"/>
  <c r="AP17" i="7"/>
  <c r="AK17" i="7"/>
  <c r="AD17" i="7"/>
  <c r="AY15" i="9"/>
  <c r="AY27" i="9" s="1"/>
  <c r="AS15" i="9"/>
  <c r="AS27" i="9" s="1"/>
  <c r="AD6" i="18"/>
  <c r="AW36" i="9" l="1"/>
  <c r="AF15" i="12"/>
  <c r="AF27" i="12" s="1"/>
  <c r="AF31" i="12" s="1"/>
  <c r="C14" i="12"/>
  <c r="AB14" i="9"/>
  <c r="AH15" i="9"/>
  <c r="AH27" i="9" s="1"/>
  <c r="AH36" i="9" s="1"/>
  <c r="AU15" i="9"/>
  <c r="AU27" i="9" s="1"/>
  <c r="AO13" i="12"/>
  <c r="AO15" i="12" s="1"/>
  <c r="AO27" i="12" s="1"/>
  <c r="AO31" i="12" s="1"/>
  <c r="R31" i="9"/>
  <c r="R32" i="9" s="1"/>
  <c r="AR11" i="8"/>
  <c r="E15" i="9"/>
  <c r="E27" i="9" s="1"/>
  <c r="Z13" i="9"/>
  <c r="BB13" i="9" s="1"/>
  <c r="AL10" i="8"/>
  <c r="P11" i="8"/>
  <c r="O31" i="9"/>
  <c r="M31" i="12" s="1"/>
  <c r="AB13" i="9"/>
  <c r="BD13" i="9" s="1"/>
  <c r="K5" i="15"/>
  <c r="BB5" i="15" s="1"/>
  <c r="N11" i="8"/>
  <c r="AB13" i="12"/>
  <c r="AB15" i="12" s="1"/>
  <c r="AB27" i="12" s="1"/>
  <c r="AB31" i="12" s="1"/>
  <c r="AI5" i="8"/>
  <c r="AI8" i="8"/>
  <c r="AD10" i="8"/>
  <c r="AA17" i="7"/>
  <c r="AL15" i="9"/>
  <c r="AL27" i="9" s="1"/>
  <c r="AM20" i="7"/>
  <c r="F20" i="7"/>
  <c r="F27" i="7" s="1"/>
  <c r="D5" i="8"/>
  <c r="D9" i="8"/>
  <c r="D7" i="8"/>
  <c r="D10" i="8"/>
  <c r="AI10" i="8"/>
  <c r="F15" i="9"/>
  <c r="F27" i="9" s="1"/>
  <c r="Z14" i="9"/>
  <c r="BB14" i="9" s="1"/>
  <c r="AG20" i="7"/>
  <c r="AE5" i="8"/>
  <c r="AE8" i="8"/>
  <c r="O11" i="8"/>
  <c r="D13" i="12"/>
  <c r="D15" i="12" s="1"/>
  <c r="D27" i="12" s="1"/>
  <c r="AE10" i="8"/>
  <c r="M11" i="8"/>
  <c r="D20" i="7"/>
  <c r="Y17" i="7"/>
  <c r="W5" i="8" s="1"/>
  <c r="E36" i="9"/>
  <c r="AK10" i="8"/>
  <c r="AK8" i="8"/>
  <c r="AF20" i="7"/>
  <c r="AD5" i="8"/>
  <c r="AD8" i="8"/>
  <c r="AL8" i="8"/>
  <c r="AN20" i="7"/>
  <c r="K36" i="9"/>
  <c r="AZ36" i="9"/>
  <c r="C15" i="12"/>
  <c r="C27" i="12" s="1"/>
  <c r="AO36" i="9"/>
  <c r="AT31" i="9"/>
  <c r="AT32" i="9" s="1"/>
  <c r="F15" i="12"/>
  <c r="F27" i="12" s="1"/>
  <c r="H27" i="9"/>
  <c r="H36" i="9" s="1"/>
  <c r="AN36" i="9"/>
  <c r="N31" i="9"/>
  <c r="N32" i="9" s="1"/>
  <c r="AJ31" i="9"/>
  <c r="AJ32" i="9" s="1"/>
  <c r="P36" i="9"/>
  <c r="AE31" i="9"/>
  <c r="AE32" i="9" s="1"/>
  <c r="AQ31" i="9"/>
  <c r="AQ32" i="9" s="1"/>
  <c r="AG8" i="8"/>
  <c r="AQ11" i="8"/>
  <c r="AI20" i="7"/>
  <c r="AG10" i="8"/>
  <c r="AY20" i="7"/>
  <c r="AG15" i="9"/>
  <c r="N31" i="12"/>
  <c r="P32" i="9"/>
  <c r="AM10" i="8"/>
  <c r="AO20" i="7"/>
  <c r="AM8" i="8"/>
  <c r="AM5" i="8"/>
  <c r="BC6" i="18"/>
  <c r="X14" i="12"/>
  <c r="U14" i="12" s="1"/>
  <c r="AA14" i="9"/>
  <c r="BC14" i="9" s="1"/>
  <c r="AA10" i="8"/>
  <c r="AC20" i="7"/>
  <c r="Z17" i="7"/>
  <c r="AA6" i="8"/>
  <c r="AA5" i="8"/>
  <c r="AK20" i="7"/>
  <c r="AR36" i="9"/>
  <c r="AR31" i="9"/>
  <c r="AR32" i="9" s="1"/>
  <c r="I10" i="8"/>
  <c r="K20" i="7"/>
  <c r="K27" i="7" s="1"/>
  <c r="I9" i="8"/>
  <c r="I7" i="8"/>
  <c r="I5" i="8"/>
  <c r="J11" i="8"/>
  <c r="F10" i="8"/>
  <c r="H20" i="7"/>
  <c r="H27" i="7" s="1"/>
  <c r="F7" i="8"/>
  <c r="F9" i="8"/>
  <c r="F5" i="8"/>
  <c r="G10" i="8"/>
  <c r="I20" i="7"/>
  <c r="I27" i="7" s="1"/>
  <c r="G7" i="8"/>
  <c r="G9" i="8"/>
  <c r="G5" i="8"/>
  <c r="AS36" i="9"/>
  <c r="AS31" i="9"/>
  <c r="AS32" i="9" s="1"/>
  <c r="AD15" i="9"/>
  <c r="AA15" i="9" s="1"/>
  <c r="AJ10" i="8"/>
  <c r="AL20" i="7"/>
  <c r="AJ8" i="8"/>
  <c r="AJ5" i="8"/>
  <c r="AO10" i="8"/>
  <c r="AQ20" i="7"/>
  <c r="AO8" i="8"/>
  <c r="AO5" i="8"/>
  <c r="AF10" i="8"/>
  <c r="AH20" i="7"/>
  <c r="AF8" i="8"/>
  <c r="AF5" i="8"/>
  <c r="K10" i="8"/>
  <c r="M20" i="7"/>
  <c r="M27" i="7" s="1"/>
  <c r="K9" i="8"/>
  <c r="K7" i="8"/>
  <c r="K5" i="8"/>
  <c r="AP10" i="8"/>
  <c r="AR20" i="7"/>
  <c r="AP8" i="8"/>
  <c r="AP5" i="8"/>
  <c r="AI36" i="9"/>
  <c r="AI31" i="9"/>
  <c r="AI32" i="9" s="1"/>
  <c r="M36" i="9"/>
  <c r="M31" i="9"/>
  <c r="AN10" i="8"/>
  <c r="AP20" i="7"/>
  <c r="AN8" i="8"/>
  <c r="AN5" i="8"/>
  <c r="I31" i="12"/>
  <c r="K32" i="9"/>
  <c r="J27" i="9"/>
  <c r="C4" i="18"/>
  <c r="B14" i="12"/>
  <c r="T14" i="12" s="1"/>
  <c r="I36" i="9"/>
  <c r="I31" i="9"/>
  <c r="AK36" i="9"/>
  <c r="AK31" i="9"/>
  <c r="AK32" i="9" s="1"/>
  <c r="G36" i="9"/>
  <c r="G31" i="9"/>
  <c r="AM36" i="9"/>
  <c r="AM31" i="9"/>
  <c r="AM32" i="9" s="1"/>
  <c r="AV36" i="9"/>
  <c r="AV31" i="9"/>
  <c r="AV32" i="9" s="1"/>
  <c r="AW20" i="7"/>
  <c r="AU10" i="8"/>
  <c r="B13" i="12"/>
  <c r="AJ20" i="7"/>
  <c r="AH10" i="8"/>
  <c r="AH8" i="8"/>
  <c r="AH5" i="8"/>
  <c r="AU20" i="7"/>
  <c r="AS10" i="8"/>
  <c r="U11" i="12"/>
  <c r="AY36" i="9"/>
  <c r="AY31" i="9"/>
  <c r="AY32" i="9" s="1"/>
  <c r="AB10" i="8"/>
  <c r="AD20" i="7"/>
  <c r="AB6" i="8"/>
  <c r="AB5" i="8"/>
  <c r="D15" i="9"/>
  <c r="BF15" i="9" s="1"/>
  <c r="AV20" i="7"/>
  <c r="AT10" i="8"/>
  <c r="AP36" i="9"/>
  <c r="AP31" i="9"/>
  <c r="AP32" i="9" s="1"/>
  <c r="AA13" i="12"/>
  <c r="V13" i="12" s="1"/>
  <c r="L10" i="8"/>
  <c r="N20" i="7"/>
  <c r="N27" i="7" s="1"/>
  <c r="L9" i="8"/>
  <c r="L7" i="8"/>
  <c r="L5" i="8"/>
  <c r="E20" i="7"/>
  <c r="E27" i="7" s="1"/>
  <c r="C10" i="8"/>
  <c r="C7" i="8"/>
  <c r="C9" i="8"/>
  <c r="C5" i="8"/>
  <c r="H10" i="8"/>
  <c r="J20" i="7"/>
  <c r="J27" i="7" s="1"/>
  <c r="H9" i="8"/>
  <c r="H7" i="8"/>
  <c r="H5" i="8"/>
  <c r="B10" i="8"/>
  <c r="B9" i="8"/>
  <c r="B7" i="8"/>
  <c r="B5" i="8"/>
  <c r="AX36" i="9"/>
  <c r="AX31" i="9"/>
  <c r="AX32" i="9" s="1"/>
  <c r="T11" i="12"/>
  <c r="G20" i="7"/>
  <c r="G27" i="7" s="1"/>
  <c r="E10" i="8"/>
  <c r="E7" i="8"/>
  <c r="E9" i="8"/>
  <c r="E5" i="8"/>
  <c r="AA14" i="12"/>
  <c r="V14" i="12" s="1"/>
  <c r="BD14" i="9"/>
  <c r="X13" i="12"/>
  <c r="U13" i="12" s="1"/>
  <c r="AA13" i="9"/>
  <c r="BC13" i="9" s="1"/>
  <c r="V11" i="12"/>
  <c r="AV10" i="8"/>
  <c r="AX20" i="7"/>
  <c r="AH31" i="9" l="1"/>
  <c r="AH32" i="9" s="1"/>
  <c r="T13" i="12"/>
  <c r="E31" i="9"/>
  <c r="E32" i="9" s="1"/>
  <c r="AL11" i="8"/>
  <c r="AK11" i="8"/>
  <c r="K11" i="15"/>
  <c r="K12" i="15" s="1"/>
  <c r="L12" i="15" s="1"/>
  <c r="M12" i="15" s="1"/>
  <c r="N12" i="15" s="1"/>
  <c r="O12" i="15" s="1"/>
  <c r="P12" i="15" s="1"/>
  <c r="Q12" i="15" s="1"/>
  <c r="R12" i="15" s="1"/>
  <c r="S12" i="15" s="1"/>
  <c r="T12" i="15" s="1"/>
  <c r="U12" i="15" s="1"/>
  <c r="V12" i="15" s="1"/>
  <c r="W12" i="15" s="1"/>
  <c r="X12" i="15" s="1"/>
  <c r="Y12" i="15" s="1"/>
  <c r="Z12" i="15" s="1"/>
  <c r="AA12" i="15" s="1"/>
  <c r="AB12" i="15" s="1"/>
  <c r="Z15" i="9"/>
  <c r="BB15" i="9" s="1"/>
  <c r="P31" i="12"/>
  <c r="O32" i="9"/>
  <c r="C6" i="15"/>
  <c r="AH6" i="15" s="1"/>
  <c r="AH11" i="15" s="1"/>
  <c r="D11" i="8"/>
  <c r="AU31" i="9"/>
  <c r="AU32" i="9" s="1"/>
  <c r="AU36" i="9"/>
  <c r="W7" i="8"/>
  <c r="AG27" i="9"/>
  <c r="AB27" i="9" s="1"/>
  <c r="BD27" i="9" s="1"/>
  <c r="AB15" i="9"/>
  <c r="BD15" i="9" s="1"/>
  <c r="AI11" i="8"/>
  <c r="AE11" i="8"/>
  <c r="AD11" i="8"/>
  <c r="AA20" i="7"/>
  <c r="Y20" i="7"/>
  <c r="D27" i="7"/>
  <c r="Y27" i="7" s="1"/>
  <c r="F36" i="9"/>
  <c r="F31" i="9"/>
  <c r="F32" i="9" s="1"/>
  <c r="AL31" i="9"/>
  <c r="AL32" i="9" s="1"/>
  <c r="AL36" i="9"/>
  <c r="X10" i="8"/>
  <c r="X5" i="8"/>
  <c r="AM11" i="8"/>
  <c r="AG11" i="8"/>
  <c r="L31" i="12"/>
  <c r="H31" i="9"/>
  <c r="F31" i="12" s="1"/>
  <c r="W10" i="8"/>
  <c r="W9" i="8"/>
  <c r="Y8" i="8"/>
  <c r="Y5" i="8"/>
  <c r="Y10" i="8"/>
  <c r="B15" i="12"/>
  <c r="B27" i="12" s="1"/>
  <c r="T27" i="12" s="1"/>
  <c r="AO11" i="8"/>
  <c r="K11" i="8"/>
  <c r="AB11" i="8"/>
  <c r="Z20" i="7"/>
  <c r="AF11" i="8"/>
  <c r="AJ11" i="8"/>
  <c r="G11" i="8"/>
  <c r="F11" i="8"/>
  <c r="I11" i="8"/>
  <c r="B11" i="8"/>
  <c r="L11" i="8"/>
  <c r="C5" i="18"/>
  <c r="D27" i="9"/>
  <c r="BF27" i="9" s="1"/>
  <c r="AH11" i="8"/>
  <c r="J36" i="9"/>
  <c r="J31" i="9"/>
  <c r="K31" i="12"/>
  <c r="M32" i="9"/>
  <c r="K4" i="18"/>
  <c r="B4" i="18"/>
  <c r="C11" i="8"/>
  <c r="X15" i="12"/>
  <c r="G31" i="12"/>
  <c r="I32" i="9"/>
  <c r="AD27" i="9"/>
  <c r="BC15" i="9"/>
  <c r="AY6" i="15"/>
  <c r="AY11" i="15" s="1"/>
  <c r="AO6" i="15"/>
  <c r="AO11" i="15" s="1"/>
  <c r="AJ6" i="15"/>
  <c r="AJ11" i="15" s="1"/>
  <c r="AS6" i="15"/>
  <c r="AS11" i="15" s="1"/>
  <c r="AN11" i="8"/>
  <c r="AA11" i="8"/>
  <c r="X6" i="8"/>
  <c r="AA15" i="12"/>
  <c r="E11" i="8"/>
  <c r="H11" i="8"/>
  <c r="O31" i="12"/>
  <c r="E31" i="12"/>
  <c r="G32" i="9"/>
  <c r="AP11" i="8"/>
  <c r="AR6" i="15" l="1"/>
  <c r="AR11" i="15" s="1"/>
  <c r="AD6" i="15"/>
  <c r="AD11" i="15" s="1"/>
  <c r="AL6" i="15"/>
  <c r="AL11" i="15" s="1"/>
  <c r="AK6" i="15"/>
  <c r="AK11" i="15" s="1"/>
  <c r="AE6" i="15"/>
  <c r="AE11" i="15" s="1"/>
  <c r="AV6" i="15"/>
  <c r="AV11" i="15" s="1"/>
  <c r="AW6" i="15"/>
  <c r="AW11" i="15" s="1"/>
  <c r="AM6" i="15"/>
  <c r="AM11" i="15" s="1"/>
  <c r="AT6" i="15"/>
  <c r="AT11" i="15" s="1"/>
  <c r="AN6" i="15"/>
  <c r="AN11" i="15" s="1"/>
  <c r="AG6" i="15"/>
  <c r="AG11" i="15" s="1"/>
  <c r="AQ6" i="15"/>
  <c r="AQ11" i="15" s="1"/>
  <c r="AF6" i="15"/>
  <c r="AF11" i="15" s="1"/>
  <c r="AP6" i="15"/>
  <c r="AP11" i="15" s="1"/>
  <c r="AZ6" i="15"/>
  <c r="AZ11" i="15" s="1"/>
  <c r="AX6" i="15"/>
  <c r="AX11" i="15" s="1"/>
  <c r="AU6" i="15"/>
  <c r="AU11" i="15" s="1"/>
  <c r="AI6" i="15"/>
  <c r="AI11" i="15" s="1"/>
  <c r="AC6" i="15"/>
  <c r="AC11" i="15" s="1"/>
  <c r="AC12" i="15" s="1"/>
  <c r="AD12" i="15" s="1"/>
  <c r="AG36" i="9"/>
  <c r="AG31" i="9"/>
  <c r="AB31" i="9" s="1"/>
  <c r="BD31" i="9" s="1"/>
  <c r="AB36" i="9"/>
  <c r="BD36" i="9" s="1"/>
  <c r="Z27" i="9"/>
  <c r="BB27" i="9" s="1"/>
  <c r="D31" i="12"/>
  <c r="C31" i="12"/>
  <c r="H32" i="9"/>
  <c r="T15" i="12"/>
  <c r="Y11" i="8"/>
  <c r="D36" i="9"/>
  <c r="Z36" i="9" s="1"/>
  <c r="D31" i="9"/>
  <c r="K9" i="18"/>
  <c r="BC4" i="18"/>
  <c r="AX5" i="18"/>
  <c r="AX9" i="18" s="1"/>
  <c r="AP5" i="18"/>
  <c r="AP9" i="18" s="1"/>
  <c r="AH5" i="18"/>
  <c r="AH9" i="18" s="1"/>
  <c r="AW5" i="18"/>
  <c r="AW9" i="18" s="1"/>
  <c r="AO5" i="18"/>
  <c r="AO9" i="18" s="1"/>
  <c r="AG5" i="18"/>
  <c r="AG9" i="18" s="1"/>
  <c r="AS5" i="18"/>
  <c r="AS9" i="18" s="1"/>
  <c r="AI5" i="18"/>
  <c r="AI9" i="18" s="1"/>
  <c r="AR5" i="18"/>
  <c r="AR9" i="18" s="1"/>
  <c r="AF5" i="18"/>
  <c r="AF9" i="18" s="1"/>
  <c r="AQ5" i="18"/>
  <c r="AQ9" i="18" s="1"/>
  <c r="AE5" i="18"/>
  <c r="AE9" i="18" s="1"/>
  <c r="AZ5" i="18"/>
  <c r="AZ9" i="18" s="1"/>
  <c r="AN5" i="18"/>
  <c r="AN9" i="18" s="1"/>
  <c r="AD5" i="18"/>
  <c r="AD9" i="18" s="1"/>
  <c r="AY5" i="18"/>
  <c r="AY9" i="18" s="1"/>
  <c r="AM5" i="18"/>
  <c r="AM9" i="18" s="1"/>
  <c r="AC5" i="18"/>
  <c r="AV5" i="18"/>
  <c r="AV9" i="18" s="1"/>
  <c r="AL5" i="18"/>
  <c r="AL9" i="18" s="1"/>
  <c r="AU5" i="18"/>
  <c r="AU9" i="18" s="1"/>
  <c r="AK5" i="18"/>
  <c r="AK9" i="18" s="1"/>
  <c r="B5" i="18"/>
  <c r="AT5" i="18"/>
  <c r="AT9" i="18" s="1"/>
  <c r="AJ5" i="18"/>
  <c r="AJ9" i="18" s="1"/>
  <c r="X11" i="8"/>
  <c r="X27" i="12"/>
  <c r="U15" i="12"/>
  <c r="C14" i="15" a="1"/>
  <c r="AA27" i="9"/>
  <c r="BC27" i="9" s="1"/>
  <c r="AD36" i="9"/>
  <c r="AA36" i="9" s="1"/>
  <c r="BC36" i="9" s="1"/>
  <c r="AD31" i="9"/>
  <c r="AA27" i="12"/>
  <c r="V15" i="12"/>
  <c r="V28" i="12" s="1"/>
  <c r="H31" i="12"/>
  <c r="J32" i="9"/>
  <c r="W11" i="8"/>
  <c r="Z31" i="9" l="1"/>
  <c r="BF31" i="9"/>
  <c r="AE12" i="15"/>
  <c r="AF12" i="15" s="1"/>
  <c r="AG12" i="15" s="1"/>
  <c r="AH12" i="15" s="1"/>
  <c r="AI12" i="15" s="1"/>
  <c r="AJ12" i="15" s="1"/>
  <c r="AK12" i="15" s="1"/>
  <c r="AL12" i="15" s="1"/>
  <c r="AM12" i="15" s="1"/>
  <c r="AN12" i="15" s="1"/>
  <c r="AO12" i="15" s="1"/>
  <c r="AP12" i="15" s="1"/>
  <c r="AQ12" i="15" s="1"/>
  <c r="AR12" i="15" s="1"/>
  <c r="AS12" i="15" s="1"/>
  <c r="AT12" i="15" s="1"/>
  <c r="AU12" i="15" s="1"/>
  <c r="AV12" i="15" s="1"/>
  <c r="AW12" i="15" s="1"/>
  <c r="AX12" i="15" s="1"/>
  <c r="AY12" i="15" s="1"/>
  <c r="AZ12" i="15" s="1"/>
  <c r="BA12" i="15" s="1"/>
  <c r="C14" i="15"/>
  <c r="C16" i="15" s="1"/>
  <c r="AG32" i="9"/>
  <c r="AB32" i="9" s="1"/>
  <c r="BB6" i="15"/>
  <c r="BB11" i="15"/>
  <c r="C11" i="15"/>
  <c r="BB36" i="9"/>
  <c r="AC9" i="18"/>
  <c r="C9" i="18" s="1"/>
  <c r="B9" i="18" s="1"/>
  <c r="B8" i="18" s="1"/>
  <c r="BC5" i="18"/>
  <c r="AD32" i="9"/>
  <c r="AA32" i="9" s="1"/>
  <c r="AA31" i="9"/>
  <c r="BC31" i="9" s="1"/>
  <c r="C13" i="18" a="1"/>
  <c r="K11" i="18"/>
  <c r="U27" i="12"/>
  <c r="X31" i="12"/>
  <c r="U31" i="12" s="1"/>
  <c r="B31" i="12"/>
  <c r="T31" i="12" s="1"/>
  <c r="BB31" i="9"/>
  <c r="D32" i="9"/>
  <c r="Z32" i="9" s="1"/>
  <c r="V27" i="12"/>
  <c r="AA31" i="12"/>
  <c r="V31" i="12" s="1"/>
  <c r="C17" i="15" l="1"/>
  <c r="C13" i="18"/>
  <c r="B15" i="18" s="1"/>
  <c r="L11" i="18"/>
  <c r="M11" i="18" s="1"/>
  <c r="N11" i="18" s="1"/>
  <c r="O11" i="18" s="1"/>
  <c r="P11" i="18" s="1"/>
  <c r="Q11" i="18" s="1"/>
  <c r="R11" i="18" s="1"/>
  <c r="S11" i="18" s="1"/>
  <c r="T11" i="18" s="1"/>
  <c r="U11" i="18" s="1"/>
  <c r="V11" i="18" s="1"/>
  <c r="W11" i="18" s="1"/>
  <c r="X11" i="18" s="1"/>
  <c r="Y11" i="18" s="1"/>
  <c r="Z11" i="18" s="1"/>
  <c r="AA11" i="18" s="1"/>
  <c r="AB11" i="18" s="1"/>
  <c r="AC11" i="18" s="1"/>
  <c r="AD11" i="18" s="1"/>
  <c r="AE11" i="18" s="1"/>
  <c r="AF11" i="18" s="1"/>
  <c r="AG11" i="18" s="1"/>
  <c r="AH11" i="18" s="1"/>
  <c r="AI11" i="18" s="1"/>
  <c r="AJ11" i="18" s="1"/>
  <c r="AK11" i="18" s="1"/>
  <c r="AL11" i="18" s="1"/>
  <c r="AM11" i="18" s="1"/>
  <c r="AN11" i="18" s="1"/>
  <c r="AO11" i="18" s="1"/>
  <c r="AP11" i="18" s="1"/>
  <c r="AQ11" i="18" s="1"/>
  <c r="AR11" i="18" s="1"/>
  <c r="AS11" i="18" s="1"/>
  <c r="AT11" i="18" s="1"/>
  <c r="AU11" i="18" s="1"/>
  <c r="AV11" i="18" s="1"/>
  <c r="AW11" i="18" s="1"/>
  <c r="AX11" i="18" s="1"/>
  <c r="AY11" i="18" s="1"/>
  <c r="AZ11" i="18" s="1"/>
  <c r="BA11" i="18" s="1"/>
  <c r="C16" i="18" l="1"/>
</calcChain>
</file>

<file path=xl/sharedStrings.xml><?xml version="1.0" encoding="utf-8"?>
<sst xmlns="http://schemas.openxmlformats.org/spreadsheetml/2006/main" count="864" uniqueCount="457">
  <si>
    <t>Senha para desproteger a planilha: aut581</t>
  </si>
  <si>
    <t>IPCA</t>
  </si>
  <si>
    <t>Sidra Tabela 1737</t>
  </si>
  <si>
    <t xml:space="preserve">INCC-Di </t>
  </si>
  <si>
    <t>https://sindusconpr.com.br/incc-di-fgv-310-p</t>
  </si>
  <si>
    <t>Custos unitarios</t>
  </si>
  <si>
    <t>SINAPI custo médio m² - nº índice</t>
  </si>
  <si>
    <t>Sidra Tabela 2296</t>
  </si>
  <si>
    <t>Item</t>
  </si>
  <si>
    <t>Unidade</t>
  </si>
  <si>
    <t>R$/un.</t>
  </si>
  <si>
    <t>R$ total</t>
  </si>
  <si>
    <t>INCC - DI</t>
  </si>
  <si>
    <t>mar2019/mar2015</t>
  </si>
  <si>
    <t>Variação 2015/2011</t>
  </si>
  <si>
    <t xml:space="preserve">INCC </t>
  </si>
  <si>
    <t>Saneamento + iluminação pública</t>
  </si>
  <si>
    <t>total</t>
  </si>
  <si>
    <t>Sinapi</t>
  </si>
  <si>
    <t>INCC-Di mar2019/abr/2017</t>
  </si>
  <si>
    <t>média em mar/2011</t>
  </si>
  <si>
    <t>m²</t>
  </si>
  <si>
    <t xml:space="preserve">Preço </t>
  </si>
  <si>
    <t>Preço unitário</t>
  </si>
  <si>
    <t>Terreno</t>
  </si>
  <si>
    <t>Passeio de concreto</t>
  </si>
  <si>
    <t>Venda</t>
  </si>
  <si>
    <t>Pavimentação</t>
  </si>
  <si>
    <t>Gramado</t>
  </si>
  <si>
    <t>Custo total de urbanização</t>
  </si>
  <si>
    <t>Construção</t>
  </si>
  <si>
    <t>Casas</t>
  </si>
  <si>
    <t>até 5 pavimentos sem elevador</t>
  </si>
  <si>
    <t>+ 5 pavimentos com elevador(1)</t>
  </si>
  <si>
    <t>Elevador</t>
  </si>
  <si>
    <t>elevador</t>
  </si>
  <si>
    <t xml:space="preserve">un </t>
  </si>
  <si>
    <t xml:space="preserve">pavimento suplementar                  (nº pavimentos - 2) </t>
  </si>
  <si>
    <t>Áreas</t>
  </si>
  <si>
    <t>Área útil média por unidade</t>
  </si>
  <si>
    <t>Fontes: indicadores de planejamento SABESP, Prefeitura de São Paulo, Programa Guarapiranga / Mananciais e Sinapi.</t>
  </si>
  <si>
    <t>Valores atualizados por índices setoriais até Mar de 2019 e arredondados.</t>
  </si>
  <si>
    <t>Construção: Sinapi Custo unitário, em Mar/2021- IBGE/Sidra Tabela 647. Consultado em 10/06/2021. Disponível em: http://www.sidra.ibge.gov.br/</t>
  </si>
  <si>
    <t>Casa popular padrão baixo CP.1-2Q.....46</t>
  </si>
  <si>
    <t>(1)Acrescido em 6,26% (diferença entre Sinapi padrão médio PR4-2QP 1643 e PR8-2QP 2620)</t>
  </si>
  <si>
    <t>Equipes</t>
  </si>
  <si>
    <t xml:space="preserve">Indicadores de custos </t>
  </si>
  <si>
    <t>ATENÇÃO
SÓ EDITE CÉLULAS AMARELAS</t>
  </si>
  <si>
    <t>Conjuntos habitacionais</t>
  </si>
  <si>
    <t>casas</t>
  </si>
  <si>
    <t>Adotar</t>
  </si>
  <si>
    <t>Tipologia</t>
  </si>
  <si>
    <t>Com elevadores</t>
  </si>
  <si>
    <t>Sem elevadores</t>
  </si>
  <si>
    <t>Ímpares:</t>
  </si>
  <si>
    <t>-</t>
  </si>
  <si>
    <t>Equipe</t>
  </si>
  <si>
    <t>Pares:</t>
  </si>
  <si>
    <t>Quadro de áreas</t>
  </si>
  <si>
    <t>Área ocupada pelos prédios</t>
  </si>
  <si>
    <t>Terreno calculado</t>
  </si>
  <si>
    <t>Indicadores</t>
  </si>
  <si>
    <t>Nº de Blocos</t>
  </si>
  <si>
    <t>Nº médio de pavimentos residenciais</t>
  </si>
  <si>
    <t>un</t>
  </si>
  <si>
    <t>Nº médio de unidades por andar</t>
  </si>
  <si>
    <t>Área média do pavimento residencial</t>
  </si>
  <si>
    <t>Número de unidades habitacionais</t>
  </si>
  <si>
    <t>uh</t>
  </si>
  <si>
    <t>Outras áreas construídas</t>
  </si>
  <si>
    <t>Área construída total</t>
  </si>
  <si>
    <t>CA aproximado</t>
  </si>
  <si>
    <r>
      <rPr>
        <b/>
        <sz val="10"/>
        <color rgb="FFFFFFFF"/>
        <rFont val="Arial"/>
        <family val="2"/>
      </rPr>
      <t>Passeios:</t>
    </r>
    <r>
      <rPr>
        <sz val="10"/>
        <color rgb="FFFFFFFF"/>
        <rFont val="Arial"/>
        <family val="2"/>
      </rPr>
      <t xml:space="preserve"> área maior do que 3.500 (10% das áreas verdes) + (2.5x2x((área de pavimentação-(nº de cruzamentosx7x7))/7))</t>
    </r>
  </si>
  <si>
    <t xml:space="preserve">Indicadores escolhidos de custos de urbanização </t>
  </si>
  <si>
    <t>Loteamentos / conjuntos habitacionais (R$)</t>
  </si>
  <si>
    <t>Custo total por item</t>
  </si>
  <si>
    <t>Média</t>
  </si>
  <si>
    <t>Com elevador</t>
  </si>
  <si>
    <t>Sem elevador</t>
  </si>
  <si>
    <t>Custo de urbanização por unidade habitacional</t>
  </si>
  <si>
    <t>R$/uh</t>
  </si>
  <si>
    <t>Custos de passeio estimados</t>
  </si>
  <si>
    <t>normais</t>
  </si>
  <si>
    <t>suplementares</t>
  </si>
  <si>
    <t>Custo de urbanização sem passeio suplementares</t>
  </si>
  <si>
    <t>Custo de Urbanização: proporção por componente de custo (%)</t>
  </si>
  <si>
    <t>Estacionamento</t>
  </si>
  <si>
    <t>C/ elevadores</t>
  </si>
  <si>
    <t>s/ elevadores</t>
  </si>
  <si>
    <t>Saneamento</t>
  </si>
  <si>
    <t>m</t>
  </si>
  <si>
    <t>o</t>
  </si>
  <si>
    <t>estaciona/</t>
  </si>
  <si>
    <t>Estac.</t>
  </si>
  <si>
    <r>
      <rPr>
        <sz val="10"/>
        <color theme="1"/>
        <rFont val="Arial"/>
        <family val="2"/>
      </rPr>
      <t xml:space="preserve">Custos de obra - </t>
    </r>
    <r>
      <rPr>
        <b/>
        <sz val="10"/>
        <color rgb="FFFF0000"/>
        <rFont val="Arial"/>
        <family val="2"/>
      </rPr>
      <t>PARA A CONSTRUTORA</t>
    </r>
  </si>
  <si>
    <t>Loteamentos / conjuntos habitacionais</t>
  </si>
  <si>
    <t>C/ Elevador</t>
  </si>
  <si>
    <t>S/ Elevador</t>
  </si>
  <si>
    <t>Custo de urbanização</t>
  </si>
  <si>
    <t>Edificação                              casas</t>
  </si>
  <si>
    <t>até 5 pavimentos</t>
  </si>
  <si>
    <t>+ 5 pavimentos</t>
  </si>
  <si>
    <t>Elevadores</t>
  </si>
  <si>
    <t>calculo</t>
  </si>
  <si>
    <t>Custo de Construção (Urbaniza/ + Edificação)</t>
  </si>
  <si>
    <t>Base</t>
  </si>
  <si>
    <t>%</t>
  </si>
  <si>
    <t>BDI</t>
  </si>
  <si>
    <t>C. Constr</t>
  </si>
  <si>
    <t>Projetos</t>
  </si>
  <si>
    <t>Custo total de obra + projetos</t>
  </si>
  <si>
    <t>Custo por unidade habitacional</t>
  </si>
  <si>
    <t>Área Construida</t>
  </si>
  <si>
    <t>Número de Blocos</t>
  </si>
  <si>
    <t>un.</t>
  </si>
  <si>
    <t>Unidades por elevador</t>
  </si>
  <si>
    <t>Densidade líquida</t>
  </si>
  <si>
    <t xml:space="preserve">un./ha </t>
  </si>
  <si>
    <t>Custo do elevador por un/Habit.</t>
  </si>
  <si>
    <t>Proporção do custo do elevador no custo de obra</t>
  </si>
  <si>
    <r>
      <rPr>
        <sz val="10"/>
        <color theme="1"/>
        <rFont val="Arial"/>
        <family val="2"/>
      </rPr>
      <t xml:space="preserve">Custos de obra - </t>
    </r>
    <r>
      <rPr>
        <b/>
        <sz val="10"/>
        <color rgb="FFFF0000"/>
        <rFont val="Arial"/>
        <family val="2"/>
      </rPr>
      <t>PARA A CONSTRUTORA em %</t>
    </r>
  </si>
  <si>
    <t>C/ Elev.</t>
  </si>
  <si>
    <t>S/ Elev.</t>
  </si>
  <si>
    <t>Edificação                                      casas</t>
  </si>
  <si>
    <t>BDI + Projeto</t>
  </si>
  <si>
    <t>Custo total de obra</t>
  </si>
  <si>
    <t>Custos do empreendimento</t>
  </si>
  <si>
    <t>PARA O INCORPORADOR</t>
  </si>
  <si>
    <t>Construção                                Casas</t>
  </si>
  <si>
    <t>Custo de Urbaniza/ + Edificação</t>
  </si>
  <si>
    <t>C. Urb + Constr</t>
  </si>
  <si>
    <t>C. Obra</t>
  </si>
  <si>
    <t>Publicidade</t>
  </si>
  <si>
    <t>VGV</t>
  </si>
  <si>
    <t>Corretagem</t>
  </si>
  <si>
    <t>Desp. Legais/Outros(Comp. Amb.)</t>
  </si>
  <si>
    <t>Impostos (Pis/Cofins)</t>
  </si>
  <si>
    <t>Administração da Incorporação</t>
  </si>
  <si>
    <t>Outorga Onerosa</t>
  </si>
  <si>
    <t>R$</t>
  </si>
  <si>
    <t>Custos de incorporação</t>
  </si>
  <si>
    <t>Custo do terreno</t>
  </si>
  <si>
    <t>R$/m²</t>
  </si>
  <si>
    <t>Total de Custos (obr+ Inc+Terr)</t>
  </si>
  <si>
    <t>Vendas (VGV*)</t>
  </si>
  <si>
    <t>Margem R$ (VGV-Custos)           
                % (VGV-Custos)/VGV</t>
  </si>
  <si>
    <t>Observação: é a média das margens.                                                         Não é margem das médias.</t>
  </si>
  <si>
    <t>Custo por unidade Habitacional</t>
  </si>
  <si>
    <t>Preço por unidade habitacional</t>
  </si>
  <si>
    <t>Área útil total</t>
  </si>
  <si>
    <t>CA Bruto</t>
  </si>
  <si>
    <t>CA</t>
  </si>
  <si>
    <r>
      <rPr>
        <b/>
        <sz val="12"/>
        <color theme="1"/>
        <rFont val="Arial"/>
        <family val="2"/>
      </rPr>
      <t xml:space="preserve">* </t>
    </r>
    <r>
      <rPr>
        <sz val="10"/>
        <color theme="1"/>
        <rFont val="Arial"/>
        <family val="2"/>
      </rPr>
      <t>Valor Geral de Vendas</t>
    </r>
  </si>
  <si>
    <t xml:space="preserve">﻿CUSTOS DE PROJETOS (R$/m2) POR PADRÃO DE ACABAMENTO </t>
  </si>
  <si>
    <t xml:space="preserve">POR UNIDADE DE FEDERAÇÃO </t>
  </si>
  <si>
    <t xml:space="preserve">Março de 2012 </t>
  </si>
  <si>
    <t xml:space="preserve">(continuação) </t>
  </si>
  <si>
    <t xml:space="preserve">CUSTO MEDIO: 887,44 </t>
  </si>
  <si>
    <t xml:space="preserve">SÃO PAULO </t>
  </si>
  <si>
    <t>﻿PROJETOS -------------P A D R Ã O --------------</t>
  </si>
  <si>
    <t>ALTO</t>
  </si>
  <si>
    <t xml:space="preserve"> NORMAL</t>
  </si>
  <si>
    <t xml:space="preserve"> BAIXO</t>
  </si>
  <si>
    <t xml:space="preserve"> MÍNIMO </t>
  </si>
  <si>
    <t>Casa popular, 1 pavimento, varanda, sala, 2 quartos, circulação, banheiro e cozinha</t>
  </si>
  <si>
    <t xml:space="preserve">﻿CP.1-2Q...46 </t>
  </si>
  <si>
    <t xml:space="preserve"> </t>
  </si>
  <si>
    <t>Casa popular, 1 pavimento, sala, 2 quartos, circulação, banheiro e cozinha</t>
  </si>
  <si>
    <t xml:space="preserve">CP.1-2Q...40 </t>
  </si>
  <si>
    <t>Casa residencial, 1 pavimento, varanda, sala,2 quartos, circulação, banheiro, cozinha, área de serviço, quarto e WC de empregada</t>
  </si>
  <si>
    <t xml:space="preserve">CR.1-2Q...62 </t>
  </si>
  <si>
    <t>Casa residencial, geminada, 2 pavimentos, sala, 2 quartos, circulação, banheiro, cozinha, área de serviço, quarto e WC de empregada</t>
  </si>
  <si>
    <t xml:space="preserve">CR.2-2Q...81 </t>
  </si>
  <si>
    <t>Prédio residencial, térreo, 5 pavimentos tipo, sala, 2 quartos, banheiro, cozinha e área de serviço</t>
  </si>
  <si>
    <t xml:space="preserve">PR5-2QT.2125 </t>
  </si>
  <si>
    <t>Prédio residencial, térreo, 4 pavimentos tipo, sala, 2 quartos, circulação, banheiro, cozinha, área de serviço, quarto e WC de empregada</t>
  </si>
  <si>
    <t xml:space="preserve">PR4-2QT.1433 </t>
  </si>
  <si>
    <t>Prédio residencial, pilotis, 4 pavimentos tipo, sala, 2 quartos, circulação, banheiro, cozinha, área de serviço, quarto e WC de empregada</t>
  </si>
  <si>
    <t xml:space="preserve">PR4-2QP.1643 </t>
  </si>
  <si>
    <t>Prédio residencial, pilotis, 8 pavimentos tipo, sala, 2 quartos, circulação, banheiro, cozinha, área de serviço, quarto e WC de empregada</t>
  </si>
  <si>
    <t xml:space="preserve">PR8-2QP.2620 </t>
  </si>
  <si>
    <t>Prédio residencial, pilotis, 12 pavimentos tipo, sala, 2 quartos, circulação, banheiro, cozinha, área de serviço, quarto e WC de empregada</t>
  </si>
  <si>
    <t xml:space="preserve">PR12-2QP3597 </t>
  </si>
  <si>
    <t>diferença entre Sinapi padrão médio PR4-2QP e PR8-2QP =</t>
  </si>
  <si>
    <t>Tabela 2296 - Custo médio m² em moeda corrente e variações percentuais no mês, no ano e em doze mesesVariável = Custo médio m² - moeda corrente (Reais)Brasil e Unidade da FederaçãoMêsabril 2011março 2012Brasil779,18819,53São Paulo844,11887,44</t>
  </si>
  <si>
    <t>Sidra</t>
  </si>
  <si>
    <t>Tabela 647 - Custo de projeto m², por tipo de projeto e padrão de acabamento</t>
  </si>
  <si>
    <t>Unidade da Federação = São Paulo</t>
  </si>
  <si>
    <t>Variável = Custo de projeto m² (Reais)</t>
  </si>
  <si>
    <t>Tipo de projeto = PR4-2QP...1643 Prédio residencial, pilotis, 4 pavimentos tipo, sala, 2 quartos, circulação, banheiro, cozinha, área de serviço, quarto e WC de empregada</t>
  </si>
  <si>
    <t>Padrão de acabamento = Baixo</t>
  </si>
  <si>
    <t>Mês = março 2013</t>
  </si>
  <si>
    <t>690,11</t>
  </si>
  <si>
    <t>Variação Março 2011 para Março 2013</t>
  </si>
  <si>
    <t>Variação Março 2011 para Março 2015</t>
  </si>
  <si>
    <r>
      <rPr>
        <b/>
        <sz val="8"/>
        <color rgb="FF000000"/>
        <rFont val="Verdana"/>
        <family val="2"/>
      </rPr>
      <t>Nota:</t>
    </r>
    <r>
      <rPr>
        <sz val="8"/>
        <color rgb="FF000000"/>
        <rFont val="Verdana"/>
        <family val="2"/>
      </rPr>
      <t> </t>
    </r>
  </si>
  <si>
    <r>
      <rPr>
        <sz val="8"/>
        <color rgb="FF000000"/>
        <rFont val="Verdana"/>
        <family val="2"/>
      </rPr>
      <t>    Ver </t>
    </r>
    <r>
      <rPr>
        <b/>
        <sz val="8"/>
        <color rgb="FF000000"/>
        <rFont val="Verdana"/>
        <family val="2"/>
      </rPr>
      <t>moedas correntes</t>
    </r>
    <r>
      <rPr>
        <sz val="8"/>
        <color rgb="FF000000"/>
        <rFont val="Verdana"/>
        <family val="2"/>
      </rPr>
      <t> e </t>
    </r>
    <r>
      <rPr>
        <b/>
        <sz val="8"/>
        <color rgb="FF000000"/>
        <rFont val="Verdana"/>
        <family val="2"/>
      </rPr>
      <t>datas-base</t>
    </r>
    <r>
      <rPr>
        <sz val="8"/>
        <color rgb="FF000000"/>
        <rFont val="Verdana"/>
        <family val="2"/>
      </rPr>
      <t> das séries em http://www.ibge.gov.br/home/estatistica/indicadores/precos/sinapi/seriescustind.shtm </t>
    </r>
  </si>
  <si>
    <r>
      <rPr>
        <b/>
        <sz val="8"/>
        <color rgb="FF000000"/>
        <rFont val="Verdana"/>
        <family val="2"/>
      </rPr>
      <t>Fonte: IBGE - Sistema Nacional de Pesquisa de Custos e Índices da Construção Civil</t>
    </r>
    <r>
      <rPr>
        <sz val="8"/>
        <color rgb="FF000000"/>
        <rFont val="Verdana"/>
        <family val="2"/>
      </rPr>
      <t> </t>
    </r>
  </si>
  <si>
    <t>Tabela 2296 - Custo médio m² em moeda corrente e variações percentuais no mês, no ano e em doze meses</t>
  </si>
  <si>
    <t>Variável = Custo médio m² - número índice (Número índice)</t>
  </si>
  <si>
    <t>Mês</t>
  </si>
  <si>
    <r>
      <rPr>
        <b/>
        <sz val="8"/>
        <color rgb="FF000000"/>
        <rFont val="Verdana"/>
        <family val="2"/>
      </rPr>
      <t>Nota:</t>
    </r>
    <r>
      <rPr>
        <sz val="8"/>
        <color rgb="FF000000"/>
        <rFont val="Verdana"/>
        <family val="2"/>
      </rPr>
      <t> </t>
    </r>
  </si>
  <si>
    <r>
      <rPr>
        <sz val="8"/>
        <color rgb="FF000000"/>
        <rFont val="Verdana"/>
        <family val="2"/>
      </rPr>
      <t>1 - Os dados para as variáveis </t>
    </r>
    <r>
      <rPr>
        <b/>
        <sz val="8"/>
        <color rgb="FF000000"/>
        <rFont val="Verdana"/>
        <family val="2"/>
      </rPr>
      <t>Custo médio - componente material - moeda corrente</t>
    </r>
    <r>
      <rPr>
        <sz val="8"/>
        <color rgb="FF000000"/>
        <rFont val="Verdana"/>
        <family val="2"/>
      </rPr>
      <t> e </t>
    </r>
    <r>
      <rPr>
        <b/>
        <sz val="8"/>
        <color rgb="FF000000"/>
        <rFont val="Verdana"/>
        <family val="2"/>
      </rPr>
      <t>Custo médio - componente mão-de-obra - moeda corrente</t>
    </r>
    <r>
      <rPr>
        <sz val="8"/>
        <color rgb="FF000000"/>
        <rFont val="Verdana"/>
        <family val="2"/>
      </rPr>
      <t> estão disponíveis apenas para o nível territorial Brasil e a partir de julho de 1994;</t>
    </r>
  </si>
  <si>
    <r>
      <rPr>
        <sz val="8"/>
        <color rgb="FF000000"/>
        <rFont val="Verdana"/>
        <family val="2"/>
      </rPr>
      <t>2 - A variável </t>
    </r>
    <r>
      <rPr>
        <b/>
        <sz val="8"/>
        <color rgb="FF000000"/>
        <rFont val="Verdana"/>
        <family val="2"/>
      </rPr>
      <t>Custo médio m² - número índice</t>
    </r>
    <r>
      <rPr>
        <sz val="8"/>
        <color rgb="FF000000"/>
        <rFont val="Verdana"/>
        <family val="2"/>
      </rPr>
      <t> utiliza como base junho/94 = 100;</t>
    </r>
  </si>
  <si>
    <r>
      <rPr>
        <sz val="8"/>
        <color rgb="FF000000"/>
        <rFont val="Verdana"/>
        <family val="2"/>
      </rPr>
      <t>3 </t>
    </r>
    <r>
      <rPr>
        <b/>
        <sz val="8"/>
        <color rgb="FF000000"/>
        <rFont val="Verdana"/>
        <family val="2"/>
      </rPr>
      <t>- Série de custos (moedas)</t>
    </r>
    <r>
      <rPr>
        <sz val="8"/>
        <color rgb="FF000000"/>
        <rFont val="Verdana"/>
        <family val="2"/>
      </rPr>
      <t>:</t>
    </r>
  </si>
  <si>
    <t>Devido aos vários planos econômicos que resultaram em mudança da moeda, as séries de custos do SINAPI estão expressas da seguinte forma: </t>
  </si>
  <si>
    <t>março de 1986 à dezembro de 1988: Cz$ (cruzado); </t>
  </si>
  <si>
    <t>janeiro de 1989 à março de 1990: NCz$ (cruzado novo); </t>
  </si>
  <si>
    <t>abril de 1990 à julho de 1993: CR$ (cruzeiro); </t>
  </si>
  <si>
    <t>agosto de 1993 à junho de 1994: CR$ (cruzeiro real); </t>
  </si>
  <si>
    <t>julho de 1994 em diante: R$ (real).</t>
  </si>
  <si>
    <t>4 - A partir de janeiro de 2011, o custo nacional do SINAPI e os custos relativos às Regiões são calculados com uma nova estrutura de ponderação (número de domicílios com banheiro da PNAD 2009 em relação à PNAD 2004).</t>
  </si>
  <si>
    <t>Por isso, não devem ser comparados com os resultados anteriores que foram obtidos com outra estrutura de ponderação (crescimento populacional resultante do Censo Demográfico). </t>
  </si>
  <si>
    <r>
      <rPr>
        <b/>
        <sz val="8"/>
        <color rgb="FFFF0000"/>
        <rFont val="Verdana"/>
        <family val="2"/>
      </rPr>
      <t>Fonte: IBGE - Sistema Nacional de Pesquisa de Custos e Índices da Construção Civil</t>
    </r>
    <r>
      <rPr>
        <sz val="8"/>
        <color rgb="FFFF0000"/>
        <rFont val="Verdana"/>
        <family val="2"/>
      </rPr>
      <t> </t>
    </r>
  </si>
  <si>
    <r>
      <rPr>
        <b/>
        <sz val="9"/>
        <color rgb="FF000000"/>
        <rFont val="Verdana"/>
        <family val="2"/>
      </rPr>
      <t>1 -</t>
    </r>
    <r>
      <rPr>
        <sz val="9"/>
        <color rgb="FF000000"/>
        <rFont val="Verdana"/>
        <family val="2"/>
      </rPr>
      <t> Índices e Preços &gt;&gt; FGV &gt;&gt; INCC-M :: Índice FGV - INCC-M Global</t>
    </r>
  </si>
  <si>
    <r>
      <rPr>
        <b/>
        <sz val="9"/>
        <color rgb="FF000000"/>
        <rFont val="Verdana"/>
        <family val="2"/>
      </rPr>
      <t>Localidade:</t>
    </r>
    <r>
      <rPr>
        <sz val="9"/>
        <color rgb="FF000000"/>
        <rFont val="Verdana"/>
        <family val="2"/>
      </rPr>
      <t> Brasil</t>
    </r>
  </si>
  <si>
    <r>
      <rPr>
        <b/>
        <sz val="9"/>
        <color rgb="FF000000"/>
        <rFont val="Verdana"/>
        <family val="2"/>
      </rPr>
      <t>Fonte:</t>
    </r>
    <r>
      <rPr>
        <sz val="9"/>
        <color rgb="FF000000"/>
        <rFont val="Verdana"/>
        <family val="2"/>
      </rPr>
      <t> FGV</t>
    </r>
  </si>
  <si>
    <r>
      <rPr>
        <b/>
        <sz val="9"/>
        <color rgb="FF000000"/>
        <rFont val="Verdana"/>
        <family val="2"/>
      </rPr>
      <t>Periodicidade:</t>
    </r>
    <r>
      <rPr>
        <sz val="9"/>
        <color rgb="FF000000"/>
        <rFont val="Verdana"/>
        <family val="2"/>
      </rPr>
      <t> Mensal</t>
    </r>
  </si>
  <si>
    <r>
      <rPr>
        <b/>
        <sz val="9"/>
        <color rgb="FF000000"/>
        <rFont val="Verdana"/>
        <family val="2"/>
      </rPr>
      <t>Unidade:</t>
    </r>
    <r>
      <rPr>
        <sz val="9"/>
        <color rgb="FF000000"/>
        <rFont val="Verdana"/>
        <family val="2"/>
      </rPr>
      <t> Índice</t>
    </r>
  </si>
  <si>
    <r>
      <rPr>
        <b/>
        <sz val="9"/>
        <color rgb="FF000000"/>
        <rFont val="Verdana"/>
        <family val="2"/>
      </rPr>
      <t>Abrangência:</t>
    </r>
    <r>
      <rPr>
        <sz val="9"/>
        <color rgb="FF000000"/>
        <rFont val="Verdana"/>
        <family val="2"/>
      </rPr>
      <t> Brasil</t>
    </r>
  </si>
  <si>
    <r>
      <rPr>
        <b/>
        <sz val="9"/>
        <color rgb="FF000000"/>
        <rFont val="Verdana"/>
        <family val="2"/>
      </rPr>
      <t>Base:</t>
    </r>
    <r>
      <rPr>
        <sz val="9"/>
        <color rgb="FF000000"/>
        <rFont val="Verdana"/>
        <family val="2"/>
      </rPr>
      <t> Ago/1994=100</t>
    </r>
  </si>
  <si>
    <t>459,360</t>
  </si>
  <si>
    <t>531,339</t>
  </si>
  <si>
    <t>Angelo ) onde pegou?</t>
  </si>
  <si>
    <t>números-índice SINAPI</t>
  </si>
  <si>
    <t>SINAPI - Pesquisa</t>
  </si>
  <si>
    <t>::</t>
  </si>
  <si>
    <t>Conjuntura - Indicadores Econômicos</t>
  </si>
  <si>
    <t>JANEIRO DE 2012</t>
  </si>
  <si>
    <t>MESES</t>
  </si>
  <si>
    <t>SINAPI - BRASIL </t>
  </si>
  <si>
    <t>INCC - FGV</t>
  </si>
  <si>
    <t>IPCE - PINI</t>
  </si>
  <si>
    <t>INPC - IBGE</t>
  </si>
  <si>
    <t>IGP-M - FGV</t>
  </si>
  <si>
    <t>IPCA - IBGE</t>
  </si>
  <si>
    <t>ÍNDICE</t>
  </si>
  <si>
    <t>ACUMULADO NO ANO</t>
  </si>
  <si>
    <t>ACUMULADO 12 MESES</t>
  </si>
  <si>
    <t>  </t>
  </si>
  <si>
    <t>SINAPI - BRASIL</t>
  </si>
  <si>
    <t>Base 100 - Jun/94</t>
  </si>
  <si>
    <t>Base 100 - Dez/93</t>
  </si>
  <si>
    <t>Base 100 - Ago/94</t>
  </si>
  <si>
    <t>IGP - M - FGV</t>
  </si>
  <si>
    <t>Base 100 - Dez/92</t>
  </si>
  <si>
    <t>Março</t>
  </si>
  <si>
    <t>Variação Abr/2011 a Mar/2012</t>
  </si>
  <si>
    <t xml:space="preserve">Margem (VGV-Custos)             </t>
  </si>
  <si>
    <t>Observação: Média das margens.                               Não é margem das médias.</t>
  </si>
  <si>
    <t>Área útil</t>
  </si>
  <si>
    <r>
      <rPr>
        <b/>
        <sz val="12"/>
        <color theme="1"/>
        <rFont val="Arial"/>
        <family val="2"/>
      </rPr>
      <t xml:space="preserve">* </t>
    </r>
    <r>
      <rPr>
        <sz val="10"/>
        <color theme="1"/>
        <rFont val="Arial"/>
        <family val="2"/>
      </rPr>
      <t>Valor Geral de Vendas</t>
    </r>
  </si>
  <si>
    <t>Indicadores de custo por unidade habitacional dos projetos</t>
  </si>
  <si>
    <t>número de unidades habitacionais</t>
  </si>
  <si>
    <t>Densidade - Unidades por Hectare</t>
  </si>
  <si>
    <t xml:space="preserve">Custo total </t>
  </si>
  <si>
    <t xml:space="preserve">Custo de urbanização </t>
  </si>
  <si>
    <t>Custo de construção das uh</t>
  </si>
  <si>
    <t>Custo de terreno</t>
  </si>
  <si>
    <t>Custo do terreno urbanizado</t>
  </si>
  <si>
    <t>Coeficiente de Aproveitamento Bruto</t>
  </si>
  <si>
    <t>Coeficiente de aproveitamento Liquido Aproximado</t>
  </si>
  <si>
    <t>Eficiência (área contr total/ área constr útil)</t>
  </si>
  <si>
    <t>http://www8.caixa.gov.br/siopiinternet-web/simulaOperacaoInternet.do?method=enquadrarProdutos</t>
  </si>
  <si>
    <t>Residencial</t>
  </si>
  <si>
    <r>
      <rPr>
        <b/>
        <sz val="8"/>
        <color theme="1"/>
        <rFont val="Arial"/>
        <family val="2"/>
      </rPr>
      <t>Data da Simulação:25</t>
    </r>
    <r>
      <rPr>
        <sz val="8"/>
        <color theme="1"/>
        <rFont val="Arial"/>
        <family val="2"/>
      </rPr>
      <t>/05/2017</t>
    </r>
  </si>
  <si>
    <t>Aquisição de Imóvel Novo</t>
  </si>
  <si>
    <t>Dados iniciais</t>
  </si>
  <si>
    <t>Este financiamento é para uma pessoa: Pessoa Física</t>
  </si>
  <si>
    <t>Qual o tipo de financiamento você deseja? Residencial</t>
  </si>
  <si>
    <t>Em qual destas categorias o imóvel se enquadra? Aquisição de Imóvel Novo</t>
  </si>
  <si>
    <t>Valor aproximado do imóvel: R$ 144.000,00</t>
  </si>
  <si>
    <t>Onde está localizado o imóvel? SAO PAULO-SP</t>
  </si>
  <si>
    <t>Valor aproximado do imóvel: R$ 400.000,00</t>
  </si>
  <si>
    <t>Possuo imóvel nesta cidade: Não</t>
  </si>
  <si>
    <t>Seus dados</t>
  </si>
  <si>
    <t>Qual é a renda bruta familiar? R$ 1.600,00</t>
  </si>
  <si>
    <t>Qual é a data de nascimento do participante de maior idade? 20/09/1995</t>
  </si>
  <si>
    <t>Qual é a renda bruta familiar? R$ 12.000,00</t>
  </si>
  <si>
    <t>Possui 3 anos de trabalho sob regime do FGTS, somando-se todos os períodos trabalhados? Sim</t>
  </si>
  <si>
    <t>Qual é a data de nascimento do participante de maior idade? 05/04/1994</t>
  </si>
  <si>
    <t>Já fui beneficiado, ou o imóvel objeto do financiamento, com subsídio concedido pelo FGTS/União? Não</t>
  </si>
  <si>
    <t>Mais de um comprador ou dependente?? Sim</t>
  </si>
  <si>
    <t>Opções</t>
  </si>
  <si>
    <t>PMCMV FAIXA 1,5 - VEJA AQUI A MELHOR OPÇÃO SELECIONADA PARA VOCÊ</t>
  </si>
  <si>
    <t>PRÓ-COTISTA - SE VOCÊ TEM OU QUER TER RELACIONAMENTO + CONTA SALÁRIO COM A CAIXA.</t>
  </si>
  <si>
    <t>Resultados</t>
  </si>
  <si>
    <t>Confira o resultado da simulação. Se desejar, imprima a simulação e leve a uma agência.</t>
  </si>
  <si>
    <t>Minha Casa Minha Vida Faixa 1,5 - Aquisição de Imóvel Novo - Balcão.</t>
  </si>
  <si>
    <t>Valor do imóvel</t>
  </si>
  <si>
    <t>PROCOTISTA - Aquisição de Imóvel Novo - Com Relacionamento + Conta Salário.</t>
  </si>
  <si>
    <t>Prazo máximo</t>
  </si>
  <si>
    <t>360 meses</t>
  </si>
  <si>
    <t>Cota máxima financiamento</t>
  </si>
  <si>
    <t>Subsídio Minha Casa Minha Vida - Faixa 1</t>
  </si>
  <si>
    <t>Valor da entrada</t>
  </si>
  <si>
    <t>R$ 25.469,54 Alterar</t>
  </si>
  <si>
    <r>
      <rPr>
        <sz val="10"/>
        <color rgb="FF000000"/>
        <rFont val="Arial"/>
        <family val="2"/>
      </rPr>
      <t>R$ 60.000,00 </t>
    </r>
    <r>
      <rPr>
        <sz val="10"/>
        <color rgb="FF006BAE"/>
        <rFont val="Arial"/>
        <family val="2"/>
      </rPr>
      <t>Alterar</t>
    </r>
  </si>
  <si>
    <t>Prazo desejável</t>
  </si>
  <si>
    <t>360 meses Alterar</t>
  </si>
  <si>
    <t>Valor do financiamento</t>
  </si>
  <si>
    <t>Sistema de amortização</t>
  </si>
  <si>
    <r>
      <rPr>
        <sz val="10"/>
        <color rgb="FF000000"/>
        <rFont val="Arial"/>
        <family val="2"/>
      </rPr>
      <t>SAC </t>
    </r>
    <r>
      <rPr>
        <sz val="10"/>
        <color rgb="FF006BAE"/>
        <rFont val="Arial"/>
        <family val="2"/>
      </rPr>
      <t>Alterar</t>
    </r>
  </si>
  <si>
    <r>
      <rPr>
        <sz val="10"/>
        <color rgb="FF000000"/>
        <rFont val="Arial"/>
        <family val="2"/>
      </rPr>
      <t>SAC </t>
    </r>
    <r>
      <rPr>
        <sz val="10"/>
        <color rgb="FF006BAE"/>
        <rFont val="Arial"/>
        <family val="2"/>
      </rPr>
      <t>Alterar</t>
    </r>
  </si>
  <si>
    <t>Confira as Opções</t>
  </si>
  <si>
    <t>Clique para detalhar</t>
  </si>
  <si>
    <r>
      <rPr>
        <sz val="10"/>
        <color theme="1"/>
        <rFont val="Arial"/>
        <family val="2"/>
      </rPr>
      <t>Juros Nominais </t>
    </r>
    <r>
      <rPr>
        <sz val="6"/>
        <color theme="1"/>
        <rFont val="Arial"/>
        <family val="2"/>
      </rPr>
      <t>(taxas de juros a.a. + TR)</t>
    </r>
  </si>
  <si>
    <t>4.5000% a.a. + TR%</t>
  </si>
  <si>
    <r>
      <rPr>
        <sz val="10"/>
        <color theme="1"/>
        <rFont val="Arial"/>
        <family val="2"/>
      </rPr>
      <t>Juros Nominais </t>
    </r>
    <r>
      <rPr>
        <sz val="6"/>
        <color theme="1"/>
        <rFont val="Arial"/>
        <family val="2"/>
      </rPr>
      <t>(taxas de juros a.a. + TR)</t>
    </r>
  </si>
  <si>
    <t>7.5810% a.a. + TR%</t>
  </si>
  <si>
    <r>
      <rPr>
        <sz val="10"/>
        <color theme="1"/>
        <rFont val="Arial"/>
        <family val="2"/>
      </rPr>
      <t>Juros Efetivos </t>
    </r>
    <r>
      <rPr>
        <sz val="6"/>
        <color theme="1"/>
        <rFont val="Arial"/>
        <family val="2"/>
      </rPr>
      <t>(taxas de juros a.a. + TR)</t>
    </r>
  </si>
  <si>
    <t>4.5939 % a.a. + TR%</t>
  </si>
  <si>
    <r>
      <rPr>
        <sz val="10"/>
        <color theme="1"/>
        <rFont val="Arial"/>
        <family val="2"/>
      </rPr>
      <t>Juros Efetivos </t>
    </r>
    <r>
      <rPr>
        <sz val="6"/>
        <color theme="1"/>
        <rFont val="Arial"/>
        <family val="2"/>
      </rPr>
      <t>(taxas de juros a.a. + TR)</t>
    </r>
  </si>
  <si>
    <t>7.8500 % a.a. + TR%</t>
  </si>
  <si>
    <t>1ª Prestação</t>
  </si>
  <si>
    <t>R$ 481,29 </t>
  </si>
  <si>
    <t>R$ 480,00 </t>
  </si>
  <si>
    <t>R$ 480,21 </t>
  </si>
  <si>
    <t>R$ 3.187,69 </t>
  </si>
  <si>
    <t>R$ 3.177,39 </t>
  </si>
  <si>
    <t>R$ 3.180,77 </t>
  </si>
  <si>
    <t>R$ 3.207,69 </t>
  </si>
  <si>
    <t>Demais prestações</t>
  </si>
  <si>
    <t>Última Prestação</t>
  </si>
  <si>
    <r>
      <rPr>
        <sz val="10"/>
        <color theme="1"/>
        <rFont val="Arial"/>
        <family val="2"/>
      </rPr>
      <t>CET </t>
    </r>
    <r>
      <rPr>
        <sz val="6"/>
        <color theme="1"/>
        <rFont val="Arial"/>
        <family val="2"/>
      </rPr>
      <t>(Custo Efetivo Total a.a.)</t>
    </r>
  </si>
  <si>
    <t>Calcular</t>
  </si>
  <si>
    <r>
      <rPr>
        <sz val="10"/>
        <color theme="1"/>
        <rFont val="Arial"/>
        <family val="2"/>
      </rPr>
      <t>CET </t>
    </r>
    <r>
      <rPr>
        <sz val="6"/>
        <color theme="1"/>
        <rFont val="Arial"/>
        <family val="2"/>
      </rPr>
      <t>(Custo Efetivo Total a.a.)</t>
    </r>
  </si>
  <si>
    <r>
      <rPr>
        <sz val="10"/>
        <color theme="1"/>
        <rFont val="Arial"/>
        <family val="2"/>
      </rPr>
      <t>CESH </t>
    </r>
    <r>
      <rPr>
        <sz val="6"/>
        <color theme="1"/>
        <rFont val="Arial"/>
        <family val="2"/>
      </rPr>
      <t>(Custo Efetivo de Seguro Habitacion</t>
    </r>
  </si>
  <si>
    <r>
      <rPr>
        <sz val="10"/>
        <color theme="1"/>
        <rFont val="Arial"/>
        <family val="2"/>
      </rPr>
      <t>CESH </t>
    </r>
    <r>
      <rPr>
        <sz val="6"/>
        <color theme="1"/>
        <rFont val="Arial"/>
        <family val="2"/>
      </rPr>
      <t>(Custo Efetivo de Seguro Habitacional)</t>
    </r>
  </si>
  <si>
    <t>Viabilidade financeira do empreendimento (Dinâmica)</t>
  </si>
  <si>
    <t>Início (Compra do terreno)</t>
  </si>
  <si>
    <t>Lançamento</t>
  </si>
  <si>
    <t>Início das obras</t>
  </si>
  <si>
    <t>Conclusão das obras</t>
  </si>
  <si>
    <t>Entrega e financiamento</t>
  </si>
  <si>
    <t>Vendas (VGV)</t>
  </si>
  <si>
    <t>Saldo (Margem estática)</t>
  </si>
  <si>
    <t>Acumulado</t>
  </si>
  <si>
    <t>VPL</t>
  </si>
  <si>
    <t>VP VGV</t>
  </si>
  <si>
    <t>Margem em VP</t>
  </si>
  <si>
    <t>Exposição de caixa</t>
  </si>
  <si>
    <t>Taxa de desconto</t>
  </si>
  <si>
    <t>anual</t>
  </si>
  <si>
    <t>mensal</t>
  </si>
  <si>
    <t>Obra</t>
  </si>
  <si>
    <t>Mensal</t>
  </si>
  <si>
    <t>mês</t>
  </si>
  <si>
    <t>1o terço</t>
  </si>
  <si>
    <t>2o terço</t>
  </si>
  <si>
    <t>3o terço</t>
  </si>
  <si>
    <t>Tempo de obra</t>
  </si>
  <si>
    <t>meses</t>
  </si>
  <si>
    <t>1 terço</t>
  </si>
  <si>
    <t>Poupança durante a obra</t>
  </si>
  <si>
    <t>Saldo financiado (entrega da obra)</t>
  </si>
  <si>
    <t>Meses de poupança</t>
  </si>
  <si>
    <t>Total</t>
  </si>
  <si>
    <t>18º mês</t>
  </si>
  <si>
    <t>entrega da obra</t>
  </si>
  <si>
    <t>Projeto 19</t>
  </si>
  <si>
    <t>% VGV</t>
  </si>
  <si>
    <t>Fluxo de caixa das vendas</t>
  </si>
  <si>
    <t>Parâmetros de gastos da OBRA</t>
  </si>
  <si>
    <t>http://www8.caixa.gov.br/siopiinternet/simulaOperacaoInternet.do?method=inicializarCasoUso&amp;isVoltar=true</t>
  </si>
  <si>
    <t>Consultado em 11/06/2015</t>
  </si>
  <si>
    <t>Valor aproximado do imóvel: R$ 97.090,00</t>
  </si>
  <si>
    <t>Valor aproximado do imóvel: R$ 145.394,00</t>
  </si>
  <si>
    <t>Qual é a renda bruta familiar? R$ 3.275,00</t>
  </si>
  <si>
    <t>Qual é a data de nascimento do participante de maior idade? 12/06/1990</t>
  </si>
  <si>
    <t>VEJA AQUI A MELHOR OPÇÃO SELECIONADA PARA VOCÊ</t>
  </si>
  <si>
    <t>TAXA BALCÃO</t>
  </si>
  <si>
    <t>Minha Casa Minha Vida - Aquisição de Imóvel Novo - Balcão.</t>
  </si>
  <si>
    <t>R$ 97.090,00</t>
  </si>
  <si>
    <t>R$ 145.394,00</t>
  </si>
  <si>
    <t>Subsídio Minha Casa Minha Vida</t>
  </si>
  <si>
    <t>R$ 25.000,00</t>
  </si>
  <si>
    <t>R$ 2.113,00</t>
  </si>
  <si>
    <r>
      <rPr>
        <sz val="10"/>
        <color theme="1"/>
        <rFont val="Arial"/>
        <family val="2"/>
      </rPr>
      <t>R$ 0,00 </t>
    </r>
    <r>
      <rPr>
        <sz val="10"/>
        <color rgb="FF006BAE"/>
        <rFont val="Arial"/>
        <family val="2"/>
      </rPr>
      <t>Alterar</t>
    </r>
  </si>
  <si>
    <t>R$ 12.426,40 Alterar</t>
  </si>
  <si>
    <r>
      <rPr>
        <sz val="10"/>
        <color theme="1"/>
        <rFont val="Arial"/>
        <family val="2"/>
      </rPr>
      <t>360 meses </t>
    </r>
    <r>
      <rPr>
        <sz val="10"/>
        <color rgb="FF006BAE"/>
        <rFont val="Arial"/>
        <family val="2"/>
      </rPr>
      <t>Alterar</t>
    </r>
  </si>
  <si>
    <t>R$ 72.090,00</t>
  </si>
  <si>
    <t>R$ 130.854,60</t>
  </si>
  <si>
    <r>
      <rPr>
        <sz val="10"/>
        <color theme="1"/>
        <rFont val="Arial"/>
        <family val="2"/>
      </rPr>
      <t>SAC </t>
    </r>
    <r>
      <rPr>
        <sz val="10"/>
        <color rgb="FF006BAE"/>
        <rFont val="Arial"/>
        <family val="2"/>
      </rPr>
      <t>Alterar</t>
    </r>
  </si>
  <si>
    <t>SAC Alterar</t>
  </si>
  <si>
    <r>
      <rPr>
        <sz val="10"/>
        <color theme="1"/>
        <rFont val="Arial"/>
        <family val="2"/>
      </rPr>
      <t>Juros Nominais </t>
    </r>
    <r>
      <rPr>
        <sz val="8"/>
        <color theme="1"/>
        <rFont val="Arial"/>
        <family val="2"/>
      </rPr>
      <t>(taxas de juros a.a. + TR)</t>
    </r>
  </si>
  <si>
    <r>
      <rPr>
        <sz val="10"/>
        <color rgb="FF000000"/>
        <rFont val="Arial"/>
        <family val="2"/>
      </rPr>
      <t>Juros Nominais </t>
    </r>
    <r>
      <rPr>
        <sz val="8"/>
        <color rgb="FF000000"/>
        <rFont val="Arial"/>
        <family val="2"/>
      </rPr>
      <t>(taxas de juros a.a. + TR)</t>
    </r>
  </si>
  <si>
    <t>5.5000% a.a. + TR%</t>
  </si>
  <si>
    <r>
      <rPr>
        <sz val="10"/>
        <color theme="1"/>
        <rFont val="Arial"/>
        <family val="2"/>
      </rPr>
      <t>Juros Efetivos </t>
    </r>
    <r>
      <rPr>
        <sz val="8"/>
        <color theme="1"/>
        <rFont val="Arial"/>
        <family val="2"/>
      </rPr>
      <t>(taxas de juros a.a. + TR)</t>
    </r>
  </si>
  <si>
    <r>
      <rPr>
        <sz val="10"/>
        <color rgb="FF000000"/>
        <rFont val="Arial"/>
        <family val="2"/>
      </rPr>
      <t>Juros Efetivos </t>
    </r>
    <r>
      <rPr>
        <sz val="8"/>
        <color rgb="FF000000"/>
        <rFont val="Arial"/>
        <family val="2"/>
      </rPr>
      <t>(taxas de juros a.a. + TR)</t>
    </r>
  </si>
  <si>
    <t>5.6407 % a.a. + TR%</t>
  </si>
  <si>
    <t>R$ 479,99 </t>
  </si>
  <si>
    <t>R$ 982,49 </t>
  </si>
  <si>
    <t>R$ 201,00</t>
  </si>
  <si>
    <t>R$ 365,15</t>
  </si>
  <si>
    <r>
      <rPr>
        <sz val="10"/>
        <color theme="1"/>
        <rFont val="Arial"/>
        <family val="2"/>
      </rPr>
      <t>CET </t>
    </r>
    <r>
      <rPr>
        <sz val="8"/>
        <color theme="1"/>
        <rFont val="Arial"/>
        <family val="2"/>
      </rPr>
      <t>(Custo Efetivo Total a.a.)</t>
    </r>
  </si>
  <si>
    <r>
      <rPr>
        <sz val="10"/>
        <color rgb="FF000000"/>
        <rFont val="Arial"/>
        <family val="2"/>
      </rPr>
      <t>CET </t>
    </r>
    <r>
      <rPr>
        <sz val="8"/>
        <color rgb="FF000000"/>
        <rFont val="Arial"/>
        <family val="2"/>
      </rPr>
      <t>(Custo Efetivo Total a.a.)</t>
    </r>
  </si>
  <si>
    <r>
      <rPr>
        <sz val="10"/>
        <color theme="1"/>
        <rFont val="Arial"/>
        <family val="2"/>
      </rPr>
      <t>CESH </t>
    </r>
    <r>
      <rPr>
        <sz val="8"/>
        <color theme="1"/>
        <rFont val="Arial"/>
        <family val="2"/>
      </rPr>
      <t>(Custo Efetivo de Seguro Habitacional)</t>
    </r>
  </si>
  <si>
    <r>
      <rPr>
        <sz val="10"/>
        <color rgb="FF000000"/>
        <rFont val="Arial"/>
        <family val="2"/>
      </rPr>
      <t>CESH </t>
    </r>
    <r>
      <rPr>
        <sz val="8"/>
        <color rgb="FF000000"/>
        <rFont val="Arial"/>
        <family val="2"/>
      </rPr>
      <t>(Custo Efetivo de Seguro Habitacional)</t>
    </r>
  </si>
  <si>
    <t> Vo</t>
  </si>
  <si>
    <t>Variação Mar2022/Mar2011</t>
  </si>
  <si>
    <t>Impostos (IR/Pis/Cofins)</t>
  </si>
  <si>
    <t>Não entregou o desenho</t>
  </si>
  <si>
    <t xml:space="preserve">Densidade Bruta un./ha </t>
  </si>
  <si>
    <t>Projeto 5</t>
  </si>
  <si>
    <t>A</t>
  </si>
  <si>
    <t>B</t>
  </si>
  <si>
    <t>C</t>
  </si>
  <si>
    <t>A+B+C</t>
  </si>
  <si>
    <t>A+B+C+D</t>
  </si>
  <si>
    <t>D</t>
  </si>
  <si>
    <t>Simulador Habitacional CAIXA e Crédito Real Fácil CAIXA</t>
  </si>
  <si>
    <t>Faça uma simulação de financiamento ou do empréstimo Real Fácil CAIXA e saiba mais detalhes sobre prazos e condições. Depois, basta visitar um Correspondente CAIXA Aqui (CCA) ou uma agência da CAIXA, para concluir o processo e ter acesso ao seu crédito.</t>
  </si>
  <si>
    <t>Este financiamento ou empréstimo Real Fácil CAIXA é para uma pessoa: Pessoa Física</t>
  </si>
  <si>
    <t>Qual tipo de financiamento ou empréstimo Real Fácil CAIXA você deseja? Residencial</t>
  </si>
  <si>
    <t>O imóvel que deseja comprar ou oferecer em garantia é: Aquisição de Imóvel Novo</t>
  </si>
  <si>
    <t>Valor aproximado do imóvel: R$ 174.000,00</t>
  </si>
  <si>
    <t>Portabilidade de Crédito Imobiliário: Não</t>
  </si>
  <si>
    <t>Qual é a renda bruta familiar? R$ 4.000,00</t>
  </si>
  <si>
    <t>Qual é a data de nascimento do participante de maior idade? 15/08/1990</t>
  </si>
  <si>
    <t>Mais de um comprador ou dependente?? Não</t>
  </si>
  <si>
    <t>Você tem ou gostaria de ter relacionamento com a Caixa? Sim</t>
  </si>
  <si>
    <t>Algum dos participantes é Servidor Público? Não</t>
  </si>
  <si>
    <t>Você tem ou gostaria de ter crédito salário na CAIXA ou produto de Previdência? Sim</t>
  </si>
  <si>
    <t>Programa Casa Verde e Amarela: Imóvel vinculado a Empreendimento Financiado na CAIXA</t>
  </si>
  <si>
    <t>Programa Casa Verde e Amarela Faixa - Imovel vinculado a Empreendimento</t>
  </si>
  <si>
    <t>Valor do imóvel  </t>
  </si>
  <si>
    <t>Prazo máximo  </t>
  </si>
  <si>
    <t>Prazo escolhido  </t>
  </si>
  <si>
    <t>Cota máxima financiamento  </t>
  </si>
  <si>
    <t>Valor da entrada  </t>
  </si>
  <si>
    <t>Subsídio Casa Verde e Amarela</t>
  </si>
  <si>
    <t>Valor do financiamento  </t>
  </si>
  <si>
    <t>Sistema de amortização    /  indexador: SAC / TR - Sistema de Amortização Constante  </t>
  </si>
  <si>
    <t>SAC/TR</t>
  </si>
  <si>
    <r>
      <t>Comparar Cenários</t>
    </r>
    <r>
      <rPr>
        <sz val="10"/>
        <color rgb="FF000000"/>
        <rFont val="Arial"/>
        <family val="2"/>
        <scheme val="minor"/>
      </rPr>
      <t>   </t>
    </r>
  </si>
  <si>
    <r>
      <t> Volte à etapa anterior Veja a documentação   Alterar </t>
    </r>
    <r>
      <rPr>
        <sz val="10"/>
        <color rgb="FF006BAE"/>
        <rFont val="Arial"/>
        <family val="2"/>
        <scheme val="minor"/>
      </rPr>
      <t> Refazer simulação</t>
    </r>
  </si>
  <si>
    <r>
      <t> </t>
    </r>
    <r>
      <rPr>
        <sz val="10"/>
        <color rgb="FF006BAE"/>
        <rFont val="Arial"/>
        <family val="2"/>
        <scheme val="minor"/>
      </rPr>
      <t>Clique para detalhar</t>
    </r>
  </si>
  <si>
    <t>Juros Nominais</t>
  </si>
  <si>
    <t>6.50% a.a.</t>
  </si>
  <si>
    <t>Juros Efetivos</t>
  </si>
  <si>
    <t>6.70% a.a.</t>
  </si>
  <si>
    <r>
      <t>CET </t>
    </r>
    <r>
      <rPr>
        <sz val="8"/>
        <color rgb="FF000000"/>
        <rFont val="Arial"/>
        <family val="2"/>
        <scheme val="minor"/>
      </rPr>
      <t>(Custo Efetivo Total)</t>
    </r>
  </si>
  <si>
    <t>Ca</t>
  </si>
  <si>
    <t>para renda de R$ 4.000</t>
  </si>
  <si>
    <t>~175.000</t>
  </si>
  <si>
    <t>Subtotal Conferência</t>
  </si>
  <si>
    <t>Item - CUSTOS</t>
  </si>
  <si>
    <t>Incorporação</t>
  </si>
  <si>
    <t>Obra Total</t>
  </si>
  <si>
    <t>Taxa de atratividade</t>
  </si>
  <si>
    <t>Não entregou</t>
  </si>
  <si>
    <t>Erro de cálculo</t>
  </si>
  <si>
    <t>Não devia inserir pavimentação</t>
  </si>
  <si>
    <t>Nº exessivo de andares</t>
  </si>
  <si>
    <t>Prédio residencial sem pilotis, padrão baixo, PR4-2QT.1433</t>
  </si>
  <si>
    <t>Variação Abr/2023/mar2011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</si>
</sst>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8" formatCode="&quot;R$&quot;\ #,##0.00;[Red]\-&quot;R$&quot;\ #,##0.00"/>
    <numFmt numFmtId="164" formatCode="0.0000000"/>
    <numFmt numFmtId="165" formatCode="_-* #,##0_-;\-* #,##0_-;_-* &quot;-&quot;??_-;_-@"/>
    <numFmt numFmtId="166" formatCode="_-* #,##0.0000000_-;\-* #,##0.0000000_-;_-* &quot;-&quot;??_-;_-@"/>
    <numFmt numFmtId="167" formatCode="_-* #,##0.00_-;\-* #,##0.00_-;_-* &quot;-&quot;??_-;_-@"/>
    <numFmt numFmtId="168" formatCode="0.0"/>
    <numFmt numFmtId="169" formatCode="_(* #,##0.00_);_(* \(#,##0.00\);_(* &quot;-&quot;??_);_(@_)"/>
    <numFmt numFmtId="170" formatCode="_(* #,##0_);_(* \(#,##0\);_(* &quot;-&quot;??_);_(@_)"/>
    <numFmt numFmtId="171" formatCode="0.0%"/>
    <numFmt numFmtId="172" formatCode="_(* #,##0.0_);_(* \(#,##0.0\);_(* &quot;-&quot;??_);_(@_)"/>
    <numFmt numFmtId="173" formatCode="_(* #.0_);_(* \(#.0\);_(* &quot;-&quot;??_);_(@_)"/>
    <numFmt numFmtId="174" formatCode="_(* #.##_);_(* \(#.##\);_(* &quot;-&quot;??_);_(@_)"/>
    <numFmt numFmtId="175" formatCode="0.0000"/>
    <numFmt numFmtId="176" formatCode="_(* #,##0_);_(* \(#,##0\);_(* &quot;-&quot;_);_(@_)"/>
    <numFmt numFmtId="177" formatCode="0.000%"/>
    <numFmt numFmtId="178" formatCode="0.0000%"/>
    <numFmt numFmtId="179" formatCode="0.000000000000"/>
    <numFmt numFmtId="180" formatCode="#,##0.0"/>
    <numFmt numFmtId="181" formatCode="0.000"/>
    <numFmt numFmtId="182" formatCode="#,##0.000"/>
  </numFmts>
  <fonts count="101">
    <font>
      <sz val="10"/>
      <color rgb="FF000000"/>
      <name val="Arial"/>
      <scheme val="minor"/>
    </font>
    <font>
      <sz val="18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sz val="12"/>
      <color theme="1"/>
      <name val="Verdana"/>
      <family val="2"/>
    </font>
    <font>
      <sz val="10"/>
      <color theme="1"/>
      <name val="Calibri"/>
      <family val="2"/>
    </font>
    <font>
      <sz val="10"/>
      <color rgb="FFFF0000"/>
      <name val="Arial"/>
      <family val="2"/>
    </font>
    <font>
      <sz val="8"/>
      <color theme="1"/>
      <name val="Verdana"/>
      <family val="2"/>
    </font>
    <font>
      <b/>
      <sz val="17"/>
      <color theme="1"/>
      <name val="Arial"/>
      <family val="2"/>
    </font>
    <font>
      <b/>
      <sz val="10"/>
      <color rgb="FF000000"/>
      <name val="Arial"/>
      <family val="2"/>
    </font>
    <font>
      <sz val="8"/>
      <color rgb="FF000000"/>
      <name val="Verdana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7"/>
      <color theme="1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u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0"/>
      <color rgb="FFFFFFFF"/>
      <name val="Arial"/>
      <family val="2"/>
    </font>
    <font>
      <b/>
      <sz val="12"/>
      <color theme="1"/>
      <name val="Arial"/>
      <family val="2"/>
    </font>
    <font>
      <sz val="10"/>
      <color theme="1"/>
      <name val="Noto Sans Symbols"/>
    </font>
    <font>
      <sz val="9"/>
      <color rgb="FFFFFFFF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9"/>
      <color theme="1"/>
      <name val="Arial"/>
      <family val="2"/>
    </font>
    <font>
      <b/>
      <sz val="12"/>
      <color rgb="FF9CC2E5"/>
      <name val="Arial"/>
      <family val="2"/>
    </font>
    <font>
      <b/>
      <sz val="10"/>
      <color rgb="FF9CC2E5"/>
      <name val="Arial"/>
      <family val="2"/>
    </font>
    <font>
      <sz val="10"/>
      <color rgb="FF9CC2E5"/>
      <name val="Arial"/>
      <family val="2"/>
    </font>
    <font>
      <b/>
      <sz val="12"/>
      <color rgb="FFFFE598"/>
      <name val="Arial"/>
      <family val="2"/>
    </font>
    <font>
      <b/>
      <sz val="10"/>
      <color rgb="FFFFE598"/>
      <name val="Arial"/>
      <family val="2"/>
    </font>
    <font>
      <sz val="10"/>
      <color rgb="FFFFE598"/>
      <name val="Arial"/>
      <family val="2"/>
    </font>
    <font>
      <b/>
      <sz val="11"/>
      <color rgb="FFFFFFFF"/>
      <name val="Arial"/>
      <family val="2"/>
    </font>
    <font>
      <sz val="7"/>
      <color rgb="FF000000"/>
      <name val="Verdana"/>
      <family val="2"/>
    </font>
    <font>
      <sz val="7"/>
      <color rgb="FFFFFFFF"/>
      <name val="Verdana"/>
      <family val="2"/>
    </font>
    <font>
      <b/>
      <sz val="8"/>
      <color rgb="FFFFFFFF"/>
      <name val="Verdana"/>
      <family val="2"/>
    </font>
    <font>
      <b/>
      <sz val="8"/>
      <color theme="1"/>
      <name val="Verdana"/>
      <family val="2"/>
    </font>
    <font>
      <b/>
      <sz val="8"/>
      <color rgb="FF000000"/>
      <name val="Verdana"/>
      <family val="2"/>
    </font>
    <font>
      <sz val="7"/>
      <color theme="1"/>
      <name val="Verdana"/>
      <family val="2"/>
    </font>
    <font>
      <b/>
      <sz val="8"/>
      <color rgb="FFFF0000"/>
      <name val="Verdana"/>
      <family val="2"/>
    </font>
    <font>
      <b/>
      <sz val="9"/>
      <color rgb="FF000000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6"/>
      <color rgb="FF0039BA"/>
      <name val="Verdana"/>
      <family val="2"/>
    </font>
    <font>
      <sz val="8"/>
      <color rgb="FF808080"/>
      <name val="Verdana"/>
      <family val="2"/>
    </font>
    <font>
      <sz val="7"/>
      <color rgb="FF0066CC"/>
      <name val="Verdana"/>
      <family val="2"/>
    </font>
    <font>
      <b/>
      <sz val="8"/>
      <color rgb="FF0066CC"/>
      <name val="Verdana"/>
      <family val="2"/>
    </font>
    <font>
      <b/>
      <sz val="7"/>
      <color rgb="FF0066CC"/>
      <name val="Verdana"/>
      <family val="2"/>
    </font>
    <font>
      <b/>
      <sz val="7"/>
      <color theme="1"/>
      <name val="Arial"/>
      <family val="2"/>
    </font>
    <font>
      <b/>
      <sz val="7"/>
      <color theme="1"/>
      <name val="Verdana"/>
      <family val="2"/>
    </font>
    <font>
      <sz val="10"/>
      <color rgb="FF5C696F"/>
      <name val="Verdan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sz val="18"/>
      <color theme="1"/>
      <name val="Arial"/>
      <family val="2"/>
    </font>
    <font>
      <sz val="13"/>
      <color theme="1"/>
      <name val="Arial"/>
      <family val="2"/>
    </font>
    <font>
      <sz val="16"/>
      <color rgb="FFFF0000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sz val="10"/>
      <color rgb="FF006BAE"/>
      <name val="Arial"/>
      <family val="2"/>
    </font>
    <font>
      <sz val="10"/>
      <color rgb="FFA5AAB5"/>
      <name val="Arial"/>
      <family val="2"/>
    </font>
    <font>
      <sz val="18"/>
      <color rgb="FFA5AAB5"/>
      <name val="Arial"/>
      <family val="2"/>
    </font>
    <font>
      <sz val="18"/>
      <color rgb="FF000000"/>
      <name val="Arial"/>
      <family val="2"/>
    </font>
    <font>
      <sz val="8"/>
      <color rgb="FFA5AAB5"/>
      <name val="Arial"/>
      <family val="2"/>
    </font>
    <font>
      <sz val="8"/>
      <color rgb="FF000000"/>
      <name val="Arial"/>
      <family val="2"/>
    </font>
    <font>
      <b/>
      <sz val="16"/>
      <color rgb="FF000000"/>
      <name val="Arial"/>
      <family val="2"/>
    </font>
    <font>
      <sz val="10"/>
      <color rgb="FF1F2A47"/>
      <name val="Arial"/>
      <family val="2"/>
    </font>
    <font>
      <sz val="18"/>
      <color rgb="FF1F2A47"/>
      <name val="Arial"/>
      <family val="2"/>
    </font>
    <font>
      <sz val="10"/>
      <color rgb="FF4C556C"/>
      <name val="Arial"/>
      <family val="2"/>
    </font>
    <font>
      <sz val="13"/>
      <color rgb="FF1F2A47"/>
      <name val="Arial"/>
      <family val="2"/>
    </font>
    <font>
      <sz val="13"/>
      <color rgb="FF000000"/>
      <name val="Arial"/>
      <family val="2"/>
    </font>
    <font>
      <b/>
      <sz val="14"/>
      <color rgb="FF000000"/>
      <name val="Arial"/>
      <family val="2"/>
    </font>
    <font>
      <sz val="8"/>
      <color rgb="FFFF0000"/>
      <name val="Verdana"/>
      <family val="2"/>
    </font>
    <font>
      <sz val="9"/>
      <color rgb="FF000000"/>
      <name val="Verdana"/>
      <family val="2"/>
    </font>
    <font>
      <sz val="6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sz val="8"/>
      <color theme="0"/>
      <name val="Arial"/>
      <family val="2"/>
      <scheme val="minor"/>
    </font>
    <font>
      <sz val="8"/>
      <color theme="1"/>
      <name val="Arial"/>
      <family val="2"/>
    </font>
    <font>
      <b/>
      <sz val="12"/>
      <color rgb="FFFF0000"/>
      <name val="Arial"/>
      <family val="2"/>
    </font>
    <font>
      <sz val="10"/>
      <color rgb="FF000000"/>
      <name val="Arial"/>
      <family val="2"/>
      <scheme val="minor"/>
    </font>
    <font>
      <b/>
      <sz val="24"/>
      <color rgb="FF1F2A47"/>
      <name val="Arial"/>
      <family val="2"/>
      <scheme val="minor"/>
    </font>
    <font>
      <sz val="14"/>
      <color rgb="FF4C556C"/>
      <name val="Arial"/>
      <family val="2"/>
      <scheme val="minor"/>
    </font>
    <font>
      <sz val="10"/>
      <color rgb="FFA5AAB5"/>
      <name val="Arial"/>
      <family val="2"/>
      <scheme val="minor"/>
    </font>
    <font>
      <sz val="18"/>
      <color rgb="FFA5AAB5"/>
      <name val="Arial"/>
      <family val="2"/>
      <scheme val="minor"/>
    </font>
    <font>
      <sz val="8"/>
      <color rgb="FFA5AAB5"/>
      <name val="Arial"/>
      <family val="2"/>
      <scheme val="minor"/>
    </font>
    <font>
      <sz val="10"/>
      <color rgb="FF1F2A47"/>
      <name val="Arial"/>
      <family val="2"/>
      <scheme val="minor"/>
    </font>
    <font>
      <sz val="18"/>
      <color rgb="FF1F2A47"/>
      <name val="Arial"/>
      <family val="2"/>
      <scheme val="minor"/>
    </font>
    <font>
      <sz val="10"/>
      <color rgb="FF4C556C"/>
      <name val="Arial"/>
      <family val="2"/>
      <scheme val="minor"/>
    </font>
    <font>
      <sz val="13.5"/>
      <color rgb="FF1F2A47"/>
      <name val="Arial"/>
      <family val="2"/>
      <scheme val="minor"/>
    </font>
    <font>
      <sz val="10"/>
      <color rgb="FF006BAE"/>
      <name val="Arial"/>
      <family val="2"/>
      <scheme val="minor"/>
    </font>
    <font>
      <sz val="8"/>
      <color rgb="FF000000"/>
      <name val="Arial"/>
      <family val="2"/>
      <scheme val="minor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rgb="FFF4B083"/>
        <bgColor rgb="FFF4B083"/>
      </patternFill>
    </fill>
    <fill>
      <patternFill patternType="solid">
        <fgColor theme="1"/>
        <bgColor theme="1"/>
      </patternFill>
    </fill>
    <fill>
      <patternFill patternType="solid">
        <fgColor rgb="FF92D050"/>
        <bgColor rgb="FF92D050"/>
      </patternFill>
    </fill>
    <fill>
      <patternFill patternType="solid">
        <fgColor rgb="FF7030A0"/>
        <bgColor rgb="FF7030A0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000000"/>
        <bgColor rgb="FF000000"/>
      </patternFill>
    </fill>
    <fill>
      <patternFill patternType="solid">
        <fgColor rgb="FFB6DDE8"/>
        <bgColor rgb="FFB6DDE8"/>
      </patternFill>
    </fill>
    <fill>
      <patternFill patternType="solid">
        <fgColor rgb="FFC2D69B"/>
        <bgColor rgb="FFC2D69B"/>
      </patternFill>
    </fill>
    <fill>
      <patternFill patternType="solid">
        <fgColor rgb="FFC55A11"/>
        <bgColor rgb="FFC55A11"/>
      </patternFill>
    </fill>
    <fill>
      <patternFill patternType="solid">
        <fgColor rgb="FF595959"/>
        <bgColor rgb="FF595959"/>
      </patternFill>
    </fill>
    <fill>
      <patternFill patternType="solid">
        <fgColor rgb="FF00B0F0"/>
        <bgColor rgb="FF00B0F0"/>
      </patternFill>
    </fill>
    <fill>
      <patternFill patternType="solid">
        <fgColor rgb="FFC5E0B3"/>
        <bgColor rgb="FFC5E0B3"/>
      </patternFill>
    </fill>
    <fill>
      <patternFill patternType="solid">
        <fgColor rgb="FF0F243E"/>
        <bgColor rgb="FF0F243E"/>
      </patternFill>
    </fill>
    <fill>
      <patternFill patternType="solid">
        <fgColor rgb="FF5E98C4"/>
        <bgColor rgb="FF5E98C4"/>
      </patternFill>
    </fill>
    <fill>
      <patternFill patternType="solid">
        <fgColor rgb="FFEDF3F8"/>
        <bgColor rgb="FFEDF3F8"/>
      </patternFill>
    </fill>
    <fill>
      <patternFill patternType="solid">
        <fgColor rgb="FFFFF9B3"/>
        <bgColor rgb="FFFFF9B3"/>
      </patternFill>
    </fill>
    <fill>
      <patternFill patternType="solid">
        <fgColor rgb="FFCCCCCC"/>
        <bgColor rgb="FFCCCCCC"/>
      </patternFill>
    </fill>
    <fill>
      <patternFill patternType="solid">
        <fgColor rgb="FFFF6600"/>
        <bgColor rgb="FFFF6600"/>
      </patternFill>
    </fill>
    <fill>
      <patternFill patternType="solid">
        <fgColor rgb="FFFAFAFA"/>
        <bgColor rgb="FFFAFAFA"/>
      </patternFill>
    </fill>
    <fill>
      <patternFill patternType="solid">
        <fgColor rgb="FF7F7F7F"/>
        <bgColor rgb="FF7F7F7F"/>
      </patternFill>
    </fill>
    <fill>
      <patternFill patternType="solid">
        <fgColor rgb="FF99CCFF"/>
        <bgColor rgb="FF99CCFF"/>
      </patternFill>
    </fill>
    <fill>
      <patternFill patternType="solid">
        <fgColor rgb="FF95B3D7"/>
        <bgColor rgb="FF95B3D7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A6E4"/>
        <bgColor indexed="64"/>
      </patternFill>
    </fill>
    <fill>
      <patternFill patternType="solid">
        <fgColor rgb="FFC9A6E4"/>
        <bgColor rgb="FFFFFFFF"/>
      </patternFill>
    </fill>
    <fill>
      <patternFill patternType="solid">
        <fgColor rgb="FFC9A6E4"/>
        <bgColor rgb="FFB6DDE8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95B3D7"/>
      </patternFill>
    </fill>
    <fill>
      <patternFill patternType="solid">
        <fgColor theme="1"/>
        <bgColor rgb="FFA5A5A5"/>
      </patternFill>
    </fill>
    <fill>
      <patternFill patternType="solid">
        <fgColor rgb="FFFF0000"/>
        <bgColor rgb="FFFFFF00"/>
      </patternFill>
    </fill>
    <fill>
      <patternFill patternType="solid">
        <fgColor theme="5" tint="0.39997558519241921"/>
        <bgColor rgb="FFBFBFB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theme="0"/>
      </patternFill>
    </fill>
    <fill>
      <patternFill patternType="solid">
        <fgColor theme="5" tint="0.39997558519241921"/>
        <bgColor theme="1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39997558519241921"/>
        <bgColor rgb="FFC55A11"/>
      </patternFill>
    </fill>
    <fill>
      <patternFill patternType="solid">
        <fgColor theme="5" tint="0.39997558519241921"/>
        <bgColor rgb="FF595959"/>
      </patternFill>
    </fill>
    <fill>
      <patternFill patternType="solid">
        <fgColor theme="5" tint="0.39997558519241921"/>
        <bgColor rgb="FF0F243E"/>
      </patternFill>
    </fill>
    <fill>
      <patternFill patternType="solid">
        <fgColor rgb="FFFF0000"/>
        <bgColor indexed="64"/>
      </patternFill>
    </fill>
  </fills>
  <borders count="9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5E98C4"/>
      </left>
      <right style="thin">
        <color rgb="FF5E98C4"/>
      </right>
      <top style="thin">
        <color rgb="FF5E98C4"/>
      </top>
      <bottom style="thin">
        <color rgb="FF5E98C4"/>
      </bottom>
      <diagonal/>
    </border>
    <border>
      <left style="thin">
        <color rgb="FF5E98C4"/>
      </left>
      <right/>
      <top style="thin">
        <color rgb="FF5E98C4"/>
      </top>
      <bottom style="thin">
        <color rgb="FF5E98C4"/>
      </bottom>
      <diagonal/>
    </border>
    <border>
      <left/>
      <right style="thin">
        <color rgb="FF5E98C4"/>
      </right>
      <top style="thin">
        <color rgb="FF5E98C4"/>
      </top>
      <bottom style="thin">
        <color rgb="FF5E98C4"/>
      </bottom>
      <diagonal/>
    </border>
    <border>
      <left style="medium">
        <color rgb="FF333333"/>
      </left>
      <right style="medium">
        <color rgb="FF444444"/>
      </right>
      <top style="medium">
        <color rgb="FF333333"/>
      </top>
      <bottom style="medium">
        <color rgb="FF444444"/>
      </bottom>
      <diagonal/>
    </border>
    <border>
      <left/>
      <right style="medium">
        <color rgb="FF555555"/>
      </right>
      <top style="medium">
        <color rgb="FF333333"/>
      </top>
      <bottom style="medium">
        <color rgb="FF555555"/>
      </bottom>
      <diagonal/>
    </border>
    <border>
      <left style="medium">
        <color rgb="FF333333"/>
      </left>
      <right style="medium">
        <color rgb="FF444444"/>
      </right>
      <top/>
      <bottom style="medium">
        <color rgb="FF444444"/>
      </bottom>
      <diagonal/>
    </border>
    <border>
      <left/>
      <right style="medium">
        <color rgb="FF555555"/>
      </right>
      <top/>
      <bottom style="medium">
        <color rgb="FF55555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FFFFFF"/>
      </right>
      <top style="thin">
        <color rgb="FFFF6600"/>
      </top>
      <bottom/>
      <diagonal/>
    </border>
    <border>
      <left style="medium">
        <color rgb="FFFFFFFF"/>
      </left>
      <right/>
      <top style="thin">
        <color rgb="FFFF6600"/>
      </top>
      <bottom style="medium">
        <color rgb="FFFFFFFF"/>
      </bottom>
      <diagonal/>
    </border>
    <border>
      <left/>
      <right style="medium">
        <color rgb="FFFFFFFF"/>
      </right>
      <top style="thin">
        <color rgb="FFFF6600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6600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/>
      <bottom style="medium">
        <color rgb="FFFF6600"/>
      </bottom>
      <diagonal/>
    </border>
    <border>
      <left/>
      <right style="medium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6600"/>
      </right>
      <top/>
      <bottom/>
      <diagonal/>
    </border>
    <border>
      <left style="medium">
        <color rgb="FFFF6600"/>
      </left>
      <right/>
      <top/>
      <bottom/>
      <diagonal/>
    </border>
    <border>
      <left/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/>
      <right/>
      <top style="medium">
        <color rgb="FFFF6600"/>
      </top>
      <bottom/>
      <diagonal/>
    </border>
    <border>
      <left/>
      <right style="medium">
        <color rgb="FFFF6600"/>
      </right>
      <top style="medium">
        <color rgb="FFFF6600"/>
      </top>
      <bottom/>
      <diagonal/>
    </border>
    <border>
      <left/>
      <right style="medium">
        <color rgb="FFFF6600"/>
      </right>
      <top/>
      <bottom style="medium">
        <color rgb="FFFF6600"/>
      </bottom>
      <diagonal/>
    </border>
    <border>
      <left/>
      <right style="thin">
        <color rgb="FFFF6600"/>
      </right>
      <top/>
      <bottom style="medium">
        <color rgb="FFFFFFFF"/>
      </bottom>
      <diagonal/>
    </border>
    <border>
      <left/>
      <right style="thin">
        <color rgb="FFFF6600"/>
      </right>
      <top/>
      <bottom/>
      <diagonal/>
    </border>
    <border>
      <left/>
      <right/>
      <top style="medium">
        <color rgb="FFFF6600"/>
      </top>
      <bottom style="medium">
        <color rgb="FFFF66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EEEEEE"/>
      </bottom>
      <diagonal/>
    </border>
    <border>
      <left/>
      <right/>
      <top/>
      <bottom style="medium">
        <color rgb="FFEEEEEE"/>
      </bottom>
      <diagonal/>
    </border>
    <border>
      <left/>
      <right/>
      <top style="medium">
        <color rgb="FFEEEEEE"/>
      </top>
      <bottom style="medium">
        <color rgb="FFEEEEEE"/>
      </bottom>
      <diagonal/>
    </border>
    <border>
      <left/>
      <right/>
      <top style="medium">
        <color rgb="FFEEEEEE"/>
      </top>
      <bottom/>
      <diagonal/>
    </border>
    <border>
      <left/>
      <right/>
      <top/>
      <bottom style="medium">
        <color rgb="FFEEEEEE"/>
      </bottom>
      <diagonal/>
    </border>
    <border>
      <left/>
      <right/>
      <top style="medium">
        <color rgb="FFEEEEEE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C8CBD4"/>
      </bottom>
      <diagonal/>
    </border>
  </borders>
  <cellStyleXfs count="2">
    <xf numFmtId="0" fontId="0" fillId="0" borderId="0"/>
    <xf numFmtId="9" fontId="80" fillId="0" borderId="0" applyFont="0" applyFill="0" applyBorder="0" applyAlignment="0" applyProtection="0"/>
  </cellStyleXfs>
  <cellXfs count="78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2" fillId="2" borderId="4" xfId="0" applyFont="1" applyFill="1" applyBorder="1"/>
    <xf numFmtId="0" fontId="8" fillId="3" borderId="4" xfId="0" applyFont="1" applyFill="1" applyBorder="1"/>
    <xf numFmtId="0" fontId="2" fillId="3" borderId="4" xfId="0" applyFont="1" applyFill="1" applyBorder="1"/>
    <xf numFmtId="0" fontId="9" fillId="0" borderId="0" xfId="0" applyFont="1"/>
    <xf numFmtId="1" fontId="2" fillId="0" borderId="0" xfId="0" applyNumberFormat="1" applyFont="1"/>
    <xf numFmtId="0" fontId="10" fillId="3" borderId="4" xfId="0" applyFont="1" applyFill="1" applyBorder="1"/>
    <xf numFmtId="1" fontId="2" fillId="3" borderId="4" xfId="0" applyNumberFormat="1" applyFont="1" applyFill="1" applyBorder="1"/>
    <xf numFmtId="164" fontId="2" fillId="3" borderId="4" xfId="0" applyNumberFormat="1" applyFont="1" applyFill="1" applyBorder="1"/>
    <xf numFmtId="0" fontId="2" fillId="0" borderId="6" xfId="0" applyFont="1" applyBorder="1"/>
    <xf numFmtId="0" fontId="3" fillId="0" borderId="7" xfId="0" applyFont="1" applyBorder="1"/>
    <xf numFmtId="1" fontId="2" fillId="0" borderId="7" xfId="0" applyNumberFormat="1" applyFont="1" applyBorder="1"/>
    <xf numFmtId="1" fontId="2" fillId="3" borderId="8" xfId="0" applyNumberFormat="1" applyFont="1" applyFill="1" applyBorder="1"/>
    <xf numFmtId="1" fontId="2" fillId="0" borderId="9" xfId="0" applyNumberFormat="1" applyFont="1" applyBorder="1"/>
    <xf numFmtId="165" fontId="2" fillId="0" borderId="10" xfId="0" applyNumberFormat="1" applyFont="1" applyBorder="1"/>
    <xf numFmtId="0" fontId="2" fillId="0" borderId="11" xfId="0" applyFont="1" applyBorder="1"/>
    <xf numFmtId="2" fontId="2" fillId="4" borderId="12" xfId="0" applyNumberFormat="1" applyFont="1" applyFill="1" applyBorder="1"/>
    <xf numFmtId="165" fontId="2" fillId="0" borderId="11" xfId="0" applyNumberFormat="1" applyFont="1" applyBorder="1"/>
    <xf numFmtId="166" fontId="2" fillId="3" borderId="13" xfId="0" applyNumberFormat="1" applyFont="1" applyFill="1" applyBorder="1"/>
    <xf numFmtId="2" fontId="2" fillId="0" borderId="14" xfId="0" applyNumberFormat="1" applyFont="1" applyBorder="1"/>
    <xf numFmtId="0" fontId="2" fillId="5" borderId="4" xfId="0" applyFont="1" applyFill="1" applyBorder="1"/>
    <xf numFmtId="2" fontId="2" fillId="4" borderId="4" xfId="0" applyNumberFormat="1" applyFont="1" applyFill="1" applyBorder="1"/>
    <xf numFmtId="4" fontId="2" fillId="0" borderId="0" xfId="0" applyNumberFormat="1" applyFont="1"/>
    <xf numFmtId="0" fontId="11" fillId="0" borderId="0" xfId="0" applyFont="1"/>
    <xf numFmtId="0" fontId="2" fillId="0" borderId="0" xfId="0" applyFont="1" applyAlignment="1">
      <alignment horizontal="right"/>
    </xf>
    <xf numFmtId="167" fontId="2" fillId="4" borderId="4" xfId="0" applyNumberFormat="1" applyFont="1" applyFill="1" applyBorder="1"/>
    <xf numFmtId="168" fontId="2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horizontal="left"/>
    </xf>
    <xf numFmtId="169" fontId="2" fillId="0" borderId="0" xfId="0" applyNumberFormat="1" applyFont="1"/>
    <xf numFmtId="169" fontId="2" fillId="3" borderId="4" xfId="0" applyNumberFormat="1" applyFont="1" applyFill="1" applyBorder="1"/>
    <xf numFmtId="170" fontId="2" fillId="0" borderId="0" xfId="0" applyNumberFormat="1" applyFont="1"/>
    <xf numFmtId="0" fontId="2" fillId="0" borderId="0" xfId="0" applyFont="1" applyAlignment="1">
      <alignment horizontal="right" wrapText="1"/>
    </xf>
    <xf numFmtId="170" fontId="2" fillId="6" borderId="4" xfId="0" applyNumberFormat="1" applyFont="1" applyFill="1" applyBorder="1"/>
    <xf numFmtId="0" fontId="2" fillId="7" borderId="4" xfId="0" applyFont="1" applyFill="1" applyBorder="1"/>
    <xf numFmtId="170" fontId="2" fillId="7" borderId="4" xfId="0" applyNumberFormat="1" applyFont="1" applyFill="1" applyBorder="1"/>
    <xf numFmtId="169" fontId="2" fillId="8" borderId="4" xfId="0" applyNumberFormat="1" applyFont="1" applyFill="1" applyBorder="1"/>
    <xf numFmtId="9" fontId="2" fillId="0" borderId="0" xfId="0" applyNumberFormat="1" applyFont="1"/>
    <xf numFmtId="170" fontId="2" fillId="8" borderId="4" xfId="0" applyNumberFormat="1" applyFont="1" applyFill="1" applyBorder="1"/>
    <xf numFmtId="0" fontId="12" fillId="7" borderId="4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3" fillId="0" borderId="0" xfId="0" applyFont="1"/>
    <xf numFmtId="0" fontId="14" fillId="6" borderId="0" xfId="0" applyFont="1" applyFill="1" applyAlignment="1">
      <alignment horizontal="left"/>
    </xf>
    <xf numFmtId="0" fontId="15" fillId="0" borderId="0" xfId="0" applyFont="1"/>
    <xf numFmtId="3" fontId="2" fillId="0" borderId="0" xfId="0" applyNumberFormat="1" applyFont="1"/>
    <xf numFmtId="3" fontId="2" fillId="6" borderId="4" xfId="0" applyNumberFormat="1" applyFont="1" applyFill="1" applyBorder="1"/>
    <xf numFmtId="0" fontId="15" fillId="0" borderId="6" xfId="0" applyFont="1" applyBorder="1" applyAlignment="1">
      <alignment horizontal="right"/>
    </xf>
    <xf numFmtId="3" fontId="15" fillId="6" borderId="4" xfId="0" applyNumberFormat="1" applyFont="1" applyFill="1" applyBorder="1"/>
    <xf numFmtId="3" fontId="15" fillId="0" borderId="25" xfId="0" applyNumberFormat="1" applyFont="1" applyBorder="1" applyAlignment="1">
      <alignment horizontal="right"/>
    </xf>
    <xf numFmtId="3" fontId="15" fillId="0" borderId="24" xfId="0" applyNumberFormat="1" applyFont="1" applyBorder="1" applyAlignment="1">
      <alignment horizontal="center"/>
    </xf>
    <xf numFmtId="3" fontId="15" fillId="6" borderId="27" xfId="0" applyNumberFormat="1" applyFont="1" applyFill="1" applyBorder="1" applyAlignment="1">
      <alignment horizontal="center"/>
    </xf>
    <xf numFmtId="3" fontId="15" fillId="0" borderId="25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15" fillId="0" borderId="0" xfId="0" applyFont="1" applyAlignment="1">
      <alignment wrapText="1"/>
    </xf>
    <xf numFmtId="0" fontId="2" fillId="0" borderId="25" xfId="0" applyFont="1" applyBorder="1" applyAlignment="1">
      <alignment horizontal="center"/>
    </xf>
    <xf numFmtId="3" fontId="4" fillId="0" borderId="0" xfId="0" applyNumberFormat="1" applyFont="1" applyAlignment="1">
      <alignment wrapText="1"/>
    </xf>
    <xf numFmtId="3" fontId="17" fillId="0" borderId="0" xfId="0" applyNumberFormat="1" applyFont="1" applyAlignment="1">
      <alignment wrapText="1"/>
    </xf>
    <xf numFmtId="3" fontId="4" fillId="6" borderId="4" xfId="0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0" fontId="15" fillId="0" borderId="25" xfId="0" applyFont="1" applyBorder="1"/>
    <xf numFmtId="3" fontId="2" fillId="8" borderId="25" xfId="0" applyNumberFormat="1" applyFont="1" applyFill="1" applyBorder="1"/>
    <xf numFmtId="3" fontId="2" fillId="6" borderId="27" xfId="0" applyNumberFormat="1" applyFont="1" applyFill="1" applyBorder="1"/>
    <xf numFmtId="3" fontId="3" fillId="6" borderId="27" xfId="0" applyNumberFormat="1" applyFont="1" applyFill="1" applyBorder="1"/>
    <xf numFmtId="3" fontId="3" fillId="8" borderId="25" xfId="0" applyNumberFormat="1" applyFont="1" applyFill="1" applyBorder="1"/>
    <xf numFmtId="3" fontId="18" fillId="6" borderId="27" xfId="0" applyNumberFormat="1" applyFont="1" applyFill="1" applyBorder="1"/>
    <xf numFmtId="3" fontId="2" fillId="0" borderId="25" xfId="0" applyNumberFormat="1" applyFont="1" applyBorder="1"/>
    <xf numFmtId="3" fontId="2" fillId="0" borderId="28" xfId="0" applyNumberFormat="1" applyFont="1" applyBorder="1"/>
    <xf numFmtId="2" fontId="3" fillId="0" borderId="0" xfId="0" applyNumberFormat="1" applyFont="1"/>
    <xf numFmtId="0" fontId="19" fillId="3" borderId="25" xfId="0" applyFont="1" applyFill="1" applyBorder="1"/>
    <xf numFmtId="0" fontId="20" fillId="3" borderId="25" xfId="0" applyFont="1" applyFill="1" applyBorder="1" applyAlignment="1">
      <alignment horizontal="center"/>
    </xf>
    <xf numFmtId="3" fontId="20" fillId="3" borderId="25" xfId="0" applyNumberFormat="1" applyFont="1" applyFill="1" applyBorder="1"/>
    <xf numFmtId="3" fontId="18" fillId="0" borderId="0" xfId="0" applyNumberFormat="1" applyFont="1"/>
    <xf numFmtId="3" fontId="21" fillId="6" borderId="4" xfId="0" applyNumberFormat="1" applyFont="1" applyFill="1" applyBorder="1"/>
    <xf numFmtId="0" fontId="15" fillId="0" borderId="25" xfId="0" applyFont="1" applyBorder="1" applyAlignment="1">
      <alignment wrapText="1"/>
    </xf>
    <xf numFmtId="0" fontId="2" fillId="8" borderId="25" xfId="0" applyFont="1" applyFill="1" applyBorder="1"/>
    <xf numFmtId="3" fontId="2" fillId="4" borderId="25" xfId="0" applyNumberFormat="1" applyFont="1" applyFill="1" applyBorder="1"/>
    <xf numFmtId="169" fontId="2" fillId="0" borderId="25" xfId="0" applyNumberFormat="1" applyFont="1" applyBorder="1"/>
    <xf numFmtId="0" fontId="22" fillId="0" borderId="0" xfId="0" applyFont="1"/>
    <xf numFmtId="0" fontId="18" fillId="0" borderId="0" xfId="0" applyFont="1"/>
    <xf numFmtId="0" fontId="15" fillId="9" borderId="4" xfId="0" applyFont="1" applyFill="1" applyBorder="1" applyAlignment="1">
      <alignment horizontal="center"/>
    </xf>
    <xf numFmtId="0" fontId="3" fillId="9" borderId="4" xfId="0" applyFont="1" applyFill="1" applyBorder="1"/>
    <xf numFmtId="0" fontId="2" fillId="10" borderId="26" xfId="0" applyFont="1" applyFill="1" applyBorder="1"/>
    <xf numFmtId="0" fontId="2" fillId="10" borderId="13" xfId="0" applyFont="1" applyFill="1" applyBorder="1"/>
    <xf numFmtId="0" fontId="2" fillId="10" borderId="25" xfId="0" applyFont="1" applyFill="1" applyBorder="1"/>
    <xf numFmtId="0" fontId="2" fillId="9" borderId="4" xfId="0" applyFont="1" applyFill="1" applyBorder="1"/>
    <xf numFmtId="0" fontId="18" fillId="11" borderId="30" xfId="0" applyFont="1" applyFill="1" applyBorder="1"/>
    <xf numFmtId="0" fontId="3" fillId="7" borderId="31" xfId="0" applyFont="1" applyFill="1" applyBorder="1" applyAlignment="1">
      <alignment horizontal="center"/>
    </xf>
    <xf numFmtId="0" fontId="18" fillId="11" borderId="31" xfId="0" applyFont="1" applyFill="1" applyBorder="1"/>
    <xf numFmtId="0" fontId="2" fillId="9" borderId="27" xfId="0" applyFont="1" applyFill="1" applyBorder="1"/>
    <xf numFmtId="0" fontId="2" fillId="10" borderId="25" xfId="0" applyFont="1" applyFill="1" applyBorder="1" applyAlignment="1">
      <alignment horizontal="center"/>
    </xf>
    <xf numFmtId="4" fontId="2" fillId="10" borderId="25" xfId="0" applyNumberFormat="1" applyFont="1" applyFill="1" applyBorder="1"/>
    <xf numFmtId="165" fontId="2" fillId="6" borderId="25" xfId="0" applyNumberFormat="1" applyFont="1" applyFill="1" applyBorder="1"/>
    <xf numFmtId="165" fontId="2" fillId="6" borderId="32" xfId="0" applyNumberFormat="1" applyFont="1" applyFill="1" applyBorder="1"/>
    <xf numFmtId="165" fontId="2" fillId="9" borderId="4" xfId="0" applyNumberFormat="1" applyFont="1" applyFill="1" applyBorder="1"/>
    <xf numFmtId="170" fontId="23" fillId="11" borderId="31" xfId="0" applyNumberFormat="1" applyFont="1" applyFill="1" applyBorder="1"/>
    <xf numFmtId="170" fontId="12" fillId="7" borderId="25" xfId="0" applyNumberFormat="1" applyFont="1" applyFill="1" applyBorder="1"/>
    <xf numFmtId="170" fontId="23" fillId="11" borderId="25" xfId="0" applyNumberFormat="1" applyFont="1" applyFill="1" applyBorder="1"/>
    <xf numFmtId="170" fontId="2" fillId="9" borderId="27" xfId="0" applyNumberFormat="1" applyFont="1" applyFill="1" applyBorder="1"/>
    <xf numFmtId="170" fontId="2" fillId="7" borderId="25" xfId="0" applyNumberFormat="1" applyFont="1" applyFill="1" applyBorder="1"/>
    <xf numFmtId="170" fontId="2" fillId="6" borderId="25" xfId="0" applyNumberFormat="1" applyFont="1" applyFill="1" applyBorder="1"/>
    <xf numFmtId="170" fontId="2" fillId="6" borderId="32" xfId="0" applyNumberFormat="1" applyFont="1" applyFill="1" applyBorder="1"/>
    <xf numFmtId="170" fontId="2" fillId="9" borderId="4" xfId="0" applyNumberFormat="1" applyFont="1" applyFill="1" applyBorder="1"/>
    <xf numFmtId="170" fontId="2" fillId="0" borderId="25" xfId="0" applyNumberFormat="1" applyFont="1" applyBorder="1"/>
    <xf numFmtId="0" fontId="24" fillId="10" borderId="25" xfId="0" applyFont="1" applyFill="1" applyBorder="1" applyAlignment="1">
      <alignment horizontal="left"/>
    </xf>
    <xf numFmtId="0" fontId="24" fillId="10" borderId="32" xfId="0" applyFont="1" applyFill="1" applyBorder="1" applyAlignment="1">
      <alignment horizontal="left"/>
    </xf>
    <xf numFmtId="0" fontId="24" fillId="10" borderId="31" xfId="0" applyFont="1" applyFill="1" applyBorder="1" applyAlignment="1">
      <alignment horizontal="left"/>
    </xf>
    <xf numFmtId="170" fontId="15" fillId="0" borderId="25" xfId="0" applyNumberFormat="1" applyFont="1" applyBorder="1"/>
    <xf numFmtId="170" fontId="15" fillId="0" borderId="1" xfId="0" applyNumberFormat="1" applyFont="1" applyBorder="1"/>
    <xf numFmtId="170" fontId="15" fillId="9" borderId="4" xfId="0" applyNumberFormat="1" applyFont="1" applyFill="1" applyBorder="1"/>
    <xf numFmtId="170" fontId="15" fillId="9" borderId="27" xfId="0" applyNumberFormat="1" applyFont="1" applyFill="1" applyBorder="1"/>
    <xf numFmtId="170" fontId="15" fillId="7" borderId="25" xfId="0" applyNumberFormat="1" applyFont="1" applyFill="1" applyBorder="1"/>
    <xf numFmtId="170" fontId="15" fillId="6" borderId="25" xfId="0" applyNumberFormat="1" applyFont="1" applyFill="1" applyBorder="1"/>
    <xf numFmtId="0" fontId="2" fillId="0" borderId="0" xfId="0" applyFont="1" applyAlignment="1">
      <alignment horizontal="center"/>
    </xf>
    <xf numFmtId="170" fontId="2" fillId="6" borderId="4" xfId="0" applyNumberFormat="1" applyFont="1" applyFill="1" applyBorder="1" applyAlignment="1">
      <alignment horizontal="center"/>
    </xf>
    <xf numFmtId="170" fontId="2" fillId="6" borderId="25" xfId="0" applyNumberFormat="1" applyFont="1" applyFill="1" applyBorder="1" applyAlignment="1">
      <alignment horizontal="center"/>
    </xf>
    <xf numFmtId="170" fontId="2" fillId="9" borderId="4" xfId="0" applyNumberFormat="1" applyFont="1" applyFill="1" applyBorder="1" applyAlignment="1">
      <alignment horizontal="center"/>
    </xf>
    <xf numFmtId="170" fontId="23" fillId="9" borderId="31" xfId="0" applyNumberFormat="1" applyFont="1" applyFill="1" applyBorder="1"/>
    <xf numFmtId="170" fontId="12" fillId="9" borderId="25" xfId="0" applyNumberFormat="1" applyFont="1" applyFill="1" applyBorder="1" applyAlignment="1">
      <alignment horizontal="center"/>
    </xf>
    <xf numFmtId="170" fontId="23" fillId="9" borderId="25" xfId="0" applyNumberFormat="1" applyFont="1" applyFill="1" applyBorder="1"/>
    <xf numFmtId="0" fontId="2" fillId="10" borderId="25" xfId="0" applyFont="1" applyFill="1" applyBorder="1" applyAlignment="1">
      <alignment wrapText="1"/>
    </xf>
    <xf numFmtId="0" fontId="25" fillId="0" borderId="0" xfId="0" applyFont="1"/>
    <xf numFmtId="170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6" borderId="4" xfId="0" applyFont="1" applyFill="1" applyBorder="1"/>
    <xf numFmtId="3" fontId="4" fillId="0" borderId="0" xfId="0" applyNumberFormat="1" applyFont="1"/>
    <xf numFmtId="0" fontId="15" fillId="10" borderId="30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11" borderId="30" xfId="0" applyFont="1" applyFill="1" applyBorder="1"/>
    <xf numFmtId="0" fontId="23" fillId="11" borderId="30" xfId="0" applyFont="1" applyFill="1" applyBorder="1"/>
    <xf numFmtId="0" fontId="2" fillId="6" borderId="27" xfId="0" applyFont="1" applyFill="1" applyBorder="1"/>
    <xf numFmtId="0" fontId="26" fillId="11" borderId="32" xfId="0" applyFont="1" applyFill="1" applyBorder="1"/>
    <xf numFmtId="0" fontId="2" fillId="7" borderId="30" xfId="0" applyFont="1" applyFill="1" applyBorder="1"/>
    <xf numFmtId="0" fontId="2" fillId="10" borderId="31" xfId="0" applyFont="1" applyFill="1" applyBorder="1"/>
    <xf numFmtId="0" fontId="2" fillId="10" borderId="37" xfId="0" applyFont="1" applyFill="1" applyBorder="1"/>
    <xf numFmtId="0" fontId="2" fillId="10" borderId="25" xfId="0" applyFont="1" applyFill="1" applyBorder="1" applyAlignment="1">
      <alignment horizontal="right"/>
    </xf>
    <xf numFmtId="3" fontId="2" fillId="10" borderId="25" xfId="0" applyNumberFormat="1" applyFont="1" applyFill="1" applyBorder="1" applyAlignment="1">
      <alignment horizontal="right"/>
    </xf>
    <xf numFmtId="171" fontId="2" fillId="0" borderId="25" xfId="0" applyNumberFormat="1" applyFont="1" applyBorder="1"/>
    <xf numFmtId="171" fontId="2" fillId="6" borderId="27" xfId="0" applyNumberFormat="1" applyFont="1" applyFill="1" applyBorder="1"/>
    <xf numFmtId="171" fontId="23" fillId="11" borderId="25" xfId="0" applyNumberFormat="1" applyFont="1" applyFill="1" applyBorder="1"/>
    <xf numFmtId="171" fontId="12" fillId="7" borderId="25" xfId="0" applyNumberFormat="1" applyFont="1" applyFill="1" applyBorder="1"/>
    <xf numFmtId="171" fontId="2" fillId="7" borderId="25" xfId="0" applyNumberFormat="1" applyFont="1" applyFill="1" applyBorder="1"/>
    <xf numFmtId="171" fontId="2" fillId="0" borderId="23" xfId="0" applyNumberFormat="1" applyFont="1" applyBorder="1"/>
    <xf numFmtId="171" fontId="2" fillId="0" borderId="37" xfId="0" applyNumberFormat="1" applyFont="1" applyBorder="1"/>
    <xf numFmtId="0" fontId="2" fillId="10" borderId="38" xfId="0" applyFont="1" applyFill="1" applyBorder="1"/>
    <xf numFmtId="0" fontId="27" fillId="10" borderId="38" xfId="0" applyFont="1" applyFill="1" applyBorder="1" applyAlignment="1">
      <alignment horizontal="left"/>
    </xf>
    <xf numFmtId="0" fontId="27" fillId="10" borderId="32" xfId="0" applyFont="1" applyFill="1" applyBorder="1" applyAlignment="1">
      <alignment horizontal="left"/>
    </xf>
    <xf numFmtId="0" fontId="27" fillId="10" borderId="31" xfId="0" applyFont="1" applyFill="1" applyBorder="1" applyAlignment="1">
      <alignment horizontal="left"/>
    </xf>
    <xf numFmtId="171" fontId="4" fillId="0" borderId="25" xfId="0" applyNumberFormat="1" applyFont="1" applyBorder="1"/>
    <xf numFmtId="171" fontId="4" fillId="6" borderId="27" xfId="0" applyNumberFormat="1" applyFont="1" applyFill="1" applyBorder="1"/>
    <xf numFmtId="171" fontId="4" fillId="7" borderId="25" xfId="0" applyNumberFormat="1" applyFont="1" applyFill="1" applyBorder="1"/>
    <xf numFmtId="0" fontId="2" fillId="10" borderId="4" xfId="0" applyFont="1" applyFill="1" applyBorder="1" applyAlignment="1">
      <alignment horizontal="center"/>
    </xf>
    <xf numFmtId="171" fontId="23" fillId="0" borderId="25" xfId="0" applyNumberFormat="1" applyFont="1" applyBorder="1"/>
    <xf numFmtId="170" fontId="12" fillId="0" borderId="25" xfId="0" applyNumberFormat="1" applyFont="1" applyBorder="1"/>
    <xf numFmtId="170" fontId="2" fillId="0" borderId="0" xfId="0" applyNumberFormat="1" applyFont="1" applyAlignment="1">
      <alignment horizontal="center"/>
    </xf>
    <xf numFmtId="0" fontId="2" fillId="10" borderId="39" xfId="0" applyFont="1" applyFill="1" applyBorder="1"/>
    <xf numFmtId="0" fontId="4" fillId="10" borderId="40" xfId="0" applyFont="1" applyFill="1" applyBorder="1" applyAlignment="1">
      <alignment horizontal="center"/>
    </xf>
    <xf numFmtId="170" fontId="4" fillId="0" borderId="40" xfId="0" applyNumberFormat="1" applyFont="1" applyBorder="1"/>
    <xf numFmtId="170" fontId="4" fillId="6" borderId="27" xfId="0" applyNumberFormat="1" applyFont="1" applyFill="1" applyBorder="1"/>
    <xf numFmtId="165" fontId="23" fillId="11" borderId="25" xfId="0" applyNumberFormat="1" applyFont="1" applyFill="1" applyBorder="1"/>
    <xf numFmtId="165" fontId="12" fillId="7" borderId="25" xfId="0" applyNumberFormat="1" applyFont="1" applyFill="1" applyBorder="1"/>
    <xf numFmtId="0" fontId="4" fillId="0" borderId="0" xfId="0" applyFont="1" applyAlignment="1">
      <alignment horizontal="left"/>
    </xf>
    <xf numFmtId="170" fontId="4" fillId="0" borderId="0" xfId="0" applyNumberFormat="1" applyFont="1" applyAlignment="1">
      <alignment horizontal="left"/>
    </xf>
    <xf numFmtId="3" fontId="17" fillId="0" borderId="0" xfId="0" applyNumberFormat="1" applyFont="1" applyAlignment="1">
      <alignment horizontal="left" wrapText="1"/>
    </xf>
    <xf numFmtId="170" fontId="4" fillId="6" borderId="4" xfId="0" applyNumberFormat="1" applyFont="1" applyFill="1" applyBorder="1" applyAlignment="1">
      <alignment horizontal="left"/>
    </xf>
    <xf numFmtId="171" fontId="2" fillId="0" borderId="0" xfId="0" applyNumberFormat="1" applyFont="1"/>
    <xf numFmtId="0" fontId="2" fillId="9" borderId="4" xfId="0" applyFont="1" applyFill="1" applyBorder="1" applyAlignment="1">
      <alignment horizontal="center"/>
    </xf>
    <xf numFmtId="0" fontId="2" fillId="0" borderId="22" xfId="0" applyFont="1" applyBorder="1"/>
    <xf numFmtId="0" fontId="15" fillId="0" borderId="22" xfId="0" applyFont="1" applyBorder="1" applyAlignment="1">
      <alignment horizontal="center"/>
    </xf>
    <xf numFmtId="0" fontId="2" fillId="9" borderId="25" xfId="0" applyFont="1" applyFill="1" applyBorder="1"/>
    <xf numFmtId="0" fontId="2" fillId="0" borderId="25" xfId="0" applyFont="1" applyBorder="1"/>
    <xf numFmtId="0" fontId="15" fillId="12" borderId="25" xfId="0" applyFont="1" applyFill="1" applyBorder="1" applyAlignment="1">
      <alignment horizontal="center"/>
    </xf>
    <xf numFmtId="0" fontId="15" fillId="13" borderId="25" xfId="0" applyFont="1" applyFill="1" applyBorder="1" applyAlignment="1">
      <alignment horizontal="center"/>
    </xf>
    <xf numFmtId="0" fontId="2" fillId="13" borderId="25" xfId="0" applyFont="1" applyFill="1" applyBorder="1"/>
    <xf numFmtId="0" fontId="2" fillId="9" borderId="26" xfId="0" applyFont="1" applyFill="1" applyBorder="1"/>
    <xf numFmtId="0" fontId="3" fillId="9" borderId="27" xfId="0" applyFont="1" applyFill="1" applyBorder="1"/>
    <xf numFmtId="0" fontId="2" fillId="9" borderId="25" xfId="0" applyFont="1" applyFill="1" applyBorder="1" applyAlignment="1">
      <alignment horizontal="left"/>
    </xf>
    <xf numFmtId="0" fontId="28" fillId="9" borderId="32" xfId="0" applyFont="1" applyFill="1" applyBorder="1" applyAlignment="1">
      <alignment horizontal="center"/>
    </xf>
    <xf numFmtId="0" fontId="28" fillId="9" borderId="31" xfId="0" applyFont="1" applyFill="1" applyBorder="1" applyAlignment="1">
      <alignment horizontal="left"/>
    </xf>
    <xf numFmtId="170" fontId="2" fillId="9" borderId="25" xfId="0" applyNumberFormat="1" applyFont="1" applyFill="1" applyBorder="1"/>
    <xf numFmtId="170" fontId="15" fillId="12" borderId="25" xfId="0" applyNumberFormat="1" applyFont="1" applyFill="1" applyBorder="1"/>
    <xf numFmtId="170" fontId="15" fillId="13" borderId="25" xfId="0" applyNumberFormat="1" applyFont="1" applyFill="1" applyBorder="1"/>
    <xf numFmtId="170" fontId="2" fillId="13" borderId="25" xfId="0" applyNumberFormat="1" applyFont="1" applyFill="1" applyBorder="1"/>
    <xf numFmtId="171" fontId="15" fillId="12" borderId="25" xfId="0" applyNumberFormat="1" applyFont="1" applyFill="1" applyBorder="1"/>
    <xf numFmtId="171" fontId="15" fillId="13" borderId="25" xfId="0" applyNumberFormat="1" applyFont="1" applyFill="1" applyBorder="1"/>
    <xf numFmtId="0" fontId="2" fillId="9" borderId="8" xfId="0" applyFont="1" applyFill="1" applyBorder="1"/>
    <xf numFmtId="0" fontId="2" fillId="9" borderId="25" xfId="0" applyFont="1" applyFill="1" applyBorder="1" applyAlignment="1">
      <alignment horizontal="center"/>
    </xf>
    <xf numFmtId="170" fontId="2" fillId="9" borderId="31" xfId="0" applyNumberFormat="1" applyFont="1" applyFill="1" applyBorder="1"/>
    <xf numFmtId="170" fontId="2" fillId="9" borderId="41" xfId="0" applyNumberFormat="1" applyFont="1" applyFill="1" applyBorder="1"/>
    <xf numFmtId="170" fontId="2" fillId="0" borderId="7" xfId="0" applyNumberFormat="1" applyFont="1" applyBorder="1"/>
    <xf numFmtId="170" fontId="15" fillId="9" borderId="42" xfId="0" applyNumberFormat="1" applyFont="1" applyFill="1" applyBorder="1"/>
    <xf numFmtId="170" fontId="15" fillId="9" borderId="8" xfId="0" applyNumberFormat="1" applyFont="1" applyFill="1" applyBorder="1"/>
    <xf numFmtId="170" fontId="2" fillId="13" borderId="30" xfId="0" applyNumberFormat="1" applyFont="1" applyFill="1" applyBorder="1"/>
    <xf numFmtId="0" fontId="2" fillId="9" borderId="43" xfId="0" applyFont="1" applyFill="1" applyBorder="1" applyAlignment="1">
      <alignment horizontal="right"/>
    </xf>
    <xf numFmtId="170" fontId="2" fillId="9" borderId="30" xfId="0" applyNumberFormat="1" applyFont="1" applyFill="1" applyBorder="1"/>
    <xf numFmtId="170" fontId="2" fillId="9" borderId="12" xfId="0" applyNumberFormat="1" applyFont="1" applyFill="1" applyBorder="1"/>
    <xf numFmtId="170" fontId="2" fillId="0" borderId="11" xfId="0" applyNumberFormat="1" applyFont="1" applyBorder="1"/>
    <xf numFmtId="170" fontId="15" fillId="9" borderId="12" xfId="0" applyNumberFormat="1" applyFont="1" applyFill="1" applyBorder="1"/>
    <xf numFmtId="170" fontId="2" fillId="9" borderId="44" xfId="0" applyNumberFormat="1" applyFont="1" applyFill="1" applyBorder="1"/>
    <xf numFmtId="170" fontId="2" fillId="9" borderId="43" xfId="0" applyNumberFormat="1" applyFont="1" applyFill="1" applyBorder="1"/>
    <xf numFmtId="0" fontId="3" fillId="9" borderId="4" xfId="0" quotePrefix="1" applyFont="1" applyFill="1" applyBorder="1" applyAlignment="1">
      <alignment horizontal="right"/>
    </xf>
    <xf numFmtId="170" fontId="15" fillId="9" borderId="44" xfId="0" applyNumberFormat="1" applyFont="1" applyFill="1" applyBorder="1"/>
    <xf numFmtId="170" fontId="15" fillId="9" borderId="41" xfId="0" applyNumberFormat="1" applyFont="1" applyFill="1" applyBorder="1"/>
    <xf numFmtId="0" fontId="2" fillId="9" borderId="32" xfId="0" applyFont="1" applyFill="1" applyBorder="1" applyAlignment="1">
      <alignment horizontal="center"/>
    </xf>
    <xf numFmtId="170" fontId="15" fillId="9" borderId="44" xfId="0" applyNumberFormat="1" applyFont="1" applyFill="1" applyBorder="1" applyAlignment="1">
      <alignment horizontal="center"/>
    </xf>
    <xf numFmtId="170" fontId="15" fillId="9" borderId="4" xfId="0" applyNumberFormat="1" applyFont="1" applyFill="1" applyBorder="1" applyAlignment="1">
      <alignment horizontal="center"/>
    </xf>
    <xf numFmtId="0" fontId="2" fillId="9" borderId="41" xfId="0" applyFont="1" applyFill="1" applyBorder="1"/>
    <xf numFmtId="0" fontId="2" fillId="9" borderId="30" xfId="0" applyFont="1" applyFill="1" applyBorder="1" applyAlignment="1">
      <alignment horizontal="center"/>
    </xf>
    <xf numFmtId="0" fontId="29" fillId="11" borderId="25" xfId="0" applyFont="1" applyFill="1" applyBorder="1"/>
    <xf numFmtId="170" fontId="20" fillId="3" borderId="4" xfId="0" applyNumberFormat="1" applyFont="1" applyFill="1" applyBorder="1"/>
    <xf numFmtId="171" fontId="20" fillId="3" borderId="4" xfId="0" applyNumberFormat="1" applyFont="1" applyFill="1" applyBorder="1"/>
    <xf numFmtId="0" fontId="15" fillId="9" borderId="25" xfId="0" applyFont="1" applyFill="1" applyBorder="1" applyAlignment="1">
      <alignment horizontal="center"/>
    </xf>
    <xf numFmtId="0" fontId="15" fillId="9" borderId="25" xfId="0" applyFont="1" applyFill="1" applyBorder="1"/>
    <xf numFmtId="9" fontId="2" fillId="8" borderId="25" xfId="0" applyNumberFormat="1" applyFont="1" applyFill="1" applyBorder="1"/>
    <xf numFmtId="170" fontId="2" fillId="13" borderId="31" xfId="0" applyNumberFormat="1" applyFont="1" applyFill="1" applyBorder="1"/>
    <xf numFmtId="170" fontId="23" fillId="9" borderId="44" xfId="0" applyNumberFormat="1" applyFont="1" applyFill="1" applyBorder="1"/>
    <xf numFmtId="170" fontId="23" fillId="9" borderId="43" xfId="0" applyNumberFormat="1" applyFont="1" applyFill="1" applyBorder="1"/>
    <xf numFmtId="170" fontId="23" fillId="9" borderId="27" xfId="0" applyNumberFormat="1" applyFont="1" applyFill="1" applyBorder="1"/>
    <xf numFmtId="171" fontId="20" fillId="3" borderId="25" xfId="0" applyNumberFormat="1" applyFont="1" applyFill="1" applyBorder="1"/>
    <xf numFmtId="170" fontId="2" fillId="9" borderId="26" xfId="0" applyNumberFormat="1" applyFont="1" applyFill="1" applyBorder="1"/>
    <xf numFmtId="0" fontId="2" fillId="9" borderId="31" xfId="0" applyFont="1" applyFill="1" applyBorder="1"/>
    <xf numFmtId="170" fontId="2" fillId="0" borderId="1" xfId="0" applyNumberFormat="1" applyFont="1" applyBorder="1"/>
    <xf numFmtId="0" fontId="2" fillId="14" borderId="25" xfId="0" applyFont="1" applyFill="1" applyBorder="1"/>
    <xf numFmtId="0" fontId="2" fillId="14" borderId="25" xfId="0" applyFont="1" applyFill="1" applyBorder="1" applyAlignment="1">
      <alignment horizontal="center"/>
    </xf>
    <xf numFmtId="170" fontId="2" fillId="14" borderId="25" xfId="0" applyNumberFormat="1" applyFont="1" applyFill="1" applyBorder="1"/>
    <xf numFmtId="170" fontId="15" fillId="14" borderId="25" xfId="0" applyNumberFormat="1" applyFont="1" applyFill="1" applyBorder="1"/>
    <xf numFmtId="170" fontId="2" fillId="9" borderId="32" xfId="0" applyNumberFormat="1" applyFont="1" applyFill="1" applyBorder="1" applyAlignment="1">
      <alignment horizontal="center"/>
    </xf>
    <xf numFmtId="170" fontId="2" fillId="9" borderId="31" xfId="0" applyNumberFormat="1" applyFont="1" applyFill="1" applyBorder="1" applyAlignment="1">
      <alignment horizontal="center"/>
    </xf>
    <xf numFmtId="172" fontId="15" fillId="13" borderId="25" xfId="0" applyNumberFormat="1" applyFont="1" applyFill="1" applyBorder="1"/>
    <xf numFmtId="2" fontId="2" fillId="0" borderId="25" xfId="0" applyNumberFormat="1" applyFont="1" applyBorder="1"/>
    <xf numFmtId="170" fontId="15" fillId="0" borderId="22" xfId="0" applyNumberFormat="1" applyFont="1" applyBorder="1"/>
    <xf numFmtId="0" fontId="2" fillId="9" borderId="45" xfId="0" applyFont="1" applyFill="1" applyBorder="1"/>
    <xf numFmtId="170" fontId="15" fillId="13" borderId="31" xfId="0" applyNumberFormat="1" applyFont="1" applyFill="1" applyBorder="1"/>
    <xf numFmtId="170" fontId="2" fillId="13" borderId="4" xfId="0" applyNumberFormat="1" applyFont="1" applyFill="1" applyBorder="1"/>
    <xf numFmtId="0" fontId="2" fillId="9" borderId="25" xfId="0" applyFont="1" applyFill="1" applyBorder="1" applyAlignment="1">
      <alignment vertical="center"/>
    </xf>
    <xf numFmtId="0" fontId="2" fillId="9" borderId="42" xfId="0" applyFont="1" applyFill="1" applyBorder="1" applyAlignment="1">
      <alignment horizontal="center"/>
    </xf>
    <xf numFmtId="0" fontId="9" fillId="9" borderId="45" xfId="0" applyFont="1" applyFill="1" applyBorder="1"/>
    <xf numFmtId="170" fontId="2" fillId="9" borderId="45" xfId="0" applyNumberFormat="1" applyFont="1" applyFill="1" applyBorder="1"/>
    <xf numFmtId="170" fontId="9" fillId="0" borderId="25" xfId="0" applyNumberFormat="1" applyFont="1" applyBorder="1"/>
    <xf numFmtId="170" fontId="9" fillId="9" borderId="44" xfId="0" applyNumberFormat="1" applyFont="1" applyFill="1" applyBorder="1"/>
    <xf numFmtId="170" fontId="9" fillId="9" borderId="4" xfId="0" applyNumberFormat="1" applyFont="1" applyFill="1" applyBorder="1"/>
    <xf numFmtId="170" fontId="9" fillId="9" borderId="41" xfId="0" applyNumberFormat="1" applyFont="1" applyFill="1" applyBorder="1"/>
    <xf numFmtId="170" fontId="9" fillId="0" borderId="7" xfId="0" applyNumberFormat="1" applyFont="1" applyBorder="1"/>
    <xf numFmtId="0" fontId="2" fillId="9" borderId="25" xfId="0" applyFont="1" applyFill="1" applyBorder="1" applyAlignment="1">
      <alignment vertical="center" wrapText="1"/>
    </xf>
    <xf numFmtId="171" fontId="2" fillId="9" borderId="25" xfId="0" applyNumberFormat="1" applyFont="1" applyFill="1" applyBorder="1"/>
    <xf numFmtId="170" fontId="28" fillId="9" borderId="4" xfId="0" applyNumberFormat="1" applyFont="1" applyFill="1" applyBorder="1" applyAlignment="1">
      <alignment vertical="center" wrapText="1"/>
    </xf>
    <xf numFmtId="0" fontId="2" fillId="0" borderId="28" xfId="0" applyFont="1" applyBorder="1"/>
    <xf numFmtId="0" fontId="15" fillId="13" borderId="25" xfId="0" applyFont="1" applyFill="1" applyBorder="1"/>
    <xf numFmtId="0" fontId="2" fillId="0" borderId="25" xfId="0" applyFont="1" applyBorder="1" applyAlignment="1">
      <alignment horizontal="left"/>
    </xf>
    <xf numFmtId="171" fontId="2" fillId="0" borderId="28" xfId="0" applyNumberFormat="1" applyFont="1" applyBorder="1"/>
    <xf numFmtId="171" fontId="2" fillId="12" borderId="25" xfId="0" applyNumberFormat="1" applyFont="1" applyFill="1" applyBorder="1"/>
    <xf numFmtId="171" fontId="2" fillId="13" borderId="25" xfId="0" applyNumberFormat="1" applyFont="1" applyFill="1" applyBorder="1"/>
    <xf numFmtId="171" fontId="2" fillId="0" borderId="22" xfId="0" applyNumberFormat="1" applyFont="1" applyBorder="1"/>
    <xf numFmtId="9" fontId="2" fillId="13" borderId="31" xfId="0" applyNumberFormat="1" applyFont="1" applyFill="1" applyBorder="1"/>
    <xf numFmtId="9" fontId="2" fillId="0" borderId="6" xfId="0" applyNumberFormat="1" applyFont="1" applyBorder="1"/>
    <xf numFmtId="171" fontId="2" fillId="0" borderId="46" xfId="0" applyNumberFormat="1" applyFont="1" applyBorder="1"/>
    <xf numFmtId="171" fontId="2" fillId="0" borderId="47" xfId="0" applyNumberFormat="1" applyFont="1" applyBorder="1"/>
    <xf numFmtId="171" fontId="2" fillId="0" borderId="7" xfId="0" applyNumberFormat="1" applyFont="1" applyBorder="1"/>
    <xf numFmtId="0" fontId="3" fillId="0" borderId="0" xfId="0" quotePrefix="1" applyFont="1" applyAlignment="1">
      <alignment horizontal="right"/>
    </xf>
    <xf numFmtId="171" fontId="2" fillId="0" borderId="6" xfId="0" applyNumberFormat="1" applyFont="1" applyBorder="1"/>
    <xf numFmtId="9" fontId="2" fillId="0" borderId="11" xfId="0" applyNumberFormat="1" applyFont="1" applyBorder="1"/>
    <xf numFmtId="171" fontId="2" fillId="0" borderId="11" xfId="0" applyNumberFormat="1" applyFont="1" applyBorder="1"/>
    <xf numFmtId="0" fontId="2" fillId="0" borderId="46" xfId="0" applyFont="1" applyBorder="1" applyAlignment="1">
      <alignment horizontal="right"/>
    </xf>
    <xf numFmtId="171" fontId="2" fillId="0" borderId="10" xfId="0" applyNumberFormat="1" applyFont="1" applyBorder="1"/>
    <xf numFmtId="9" fontId="2" fillId="0" borderId="22" xfId="0" applyNumberFormat="1" applyFont="1" applyBorder="1"/>
    <xf numFmtId="0" fontId="28" fillId="0" borderId="25" xfId="0" applyFont="1" applyBorder="1"/>
    <xf numFmtId="9" fontId="20" fillId="3" borderId="25" xfId="0" applyNumberFormat="1" applyFont="1" applyFill="1" applyBorder="1"/>
    <xf numFmtId="9" fontId="2" fillId="0" borderId="25" xfId="0" applyNumberFormat="1" applyFont="1" applyBorder="1"/>
    <xf numFmtId="9" fontId="2" fillId="0" borderId="28" xfId="0" applyNumberFormat="1" applyFont="1" applyBorder="1"/>
    <xf numFmtId="0" fontId="28" fillId="0" borderId="0" xfId="0" applyFont="1"/>
    <xf numFmtId="9" fontId="20" fillId="0" borderId="0" xfId="0" applyNumberFormat="1" applyFont="1"/>
    <xf numFmtId="171" fontId="20" fillId="0" borderId="7" xfId="0" applyNumberFormat="1" applyFont="1" applyBorder="1"/>
    <xf numFmtId="171" fontId="20" fillId="0" borderId="0" xfId="0" applyNumberFormat="1" applyFont="1"/>
    <xf numFmtId="170" fontId="2" fillId="0" borderId="28" xfId="0" applyNumberFormat="1" applyFont="1" applyBorder="1"/>
    <xf numFmtId="3" fontId="2" fillId="12" borderId="25" xfId="0" applyNumberFormat="1" applyFont="1" applyFill="1" applyBorder="1"/>
    <xf numFmtId="165" fontId="2" fillId="13" borderId="25" xfId="0" applyNumberFormat="1" applyFont="1" applyFill="1" applyBorder="1"/>
    <xf numFmtId="165" fontId="2" fillId="12" borderId="25" xfId="0" applyNumberFormat="1" applyFont="1" applyFill="1" applyBorder="1"/>
    <xf numFmtId="170" fontId="30" fillId="0" borderId="0" xfId="0" applyNumberFormat="1" applyFont="1" applyAlignment="1">
      <alignment vertical="center" wrapText="1"/>
    </xf>
    <xf numFmtId="0" fontId="16" fillId="0" borderId="0" xfId="0" applyFont="1"/>
    <xf numFmtId="0" fontId="15" fillId="0" borderId="0" xfId="0" applyFont="1" applyAlignment="1">
      <alignment horizontal="center"/>
    </xf>
    <xf numFmtId="0" fontId="2" fillId="13" borderId="25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23" xfId="0" applyFont="1" applyBorder="1" applyAlignment="1">
      <alignment horizontal="left"/>
    </xf>
    <xf numFmtId="170" fontId="2" fillId="12" borderId="25" xfId="0" applyNumberFormat="1" applyFont="1" applyFill="1" applyBorder="1"/>
    <xf numFmtId="0" fontId="2" fillId="0" borderId="22" xfId="0" applyFont="1" applyBorder="1" applyAlignment="1">
      <alignment horizontal="center"/>
    </xf>
    <xf numFmtId="170" fontId="2" fillId="0" borderId="22" xfId="0" applyNumberFormat="1" applyFont="1" applyBorder="1"/>
    <xf numFmtId="170" fontId="2" fillId="0" borderId="9" xfId="0" applyNumberFormat="1" applyFont="1" applyBorder="1"/>
    <xf numFmtId="170" fontId="2" fillId="0" borderId="6" xfId="0" applyNumberFormat="1" applyFont="1" applyBorder="1"/>
    <xf numFmtId="171" fontId="2" fillId="0" borderId="9" xfId="0" applyNumberFormat="1" applyFont="1" applyBorder="1"/>
    <xf numFmtId="170" fontId="2" fillId="0" borderId="23" xfId="0" applyNumberFormat="1" applyFont="1" applyBorder="1"/>
    <xf numFmtId="170" fontId="2" fillId="0" borderId="14" xfId="0" applyNumberFormat="1" applyFont="1" applyBorder="1"/>
    <xf numFmtId="170" fontId="2" fillId="0" borderId="46" xfId="0" applyNumberFormat="1" applyFont="1" applyBorder="1"/>
    <xf numFmtId="0" fontId="24" fillId="10" borderId="25" xfId="0" applyFont="1" applyFill="1" applyBorder="1"/>
    <xf numFmtId="0" fontId="2" fillId="10" borderId="32" xfId="0" applyFont="1" applyFill="1" applyBorder="1" applyAlignment="1">
      <alignment horizontal="center"/>
    </xf>
    <xf numFmtId="170" fontId="2" fillId="10" borderId="30" xfId="0" applyNumberFormat="1" applyFont="1" applyFill="1" applyBorder="1"/>
    <xf numFmtId="170" fontId="2" fillId="10" borderId="25" xfId="0" applyNumberFormat="1" applyFont="1" applyFill="1" applyBorder="1"/>
    <xf numFmtId="171" fontId="2" fillId="10" borderId="4" xfId="0" applyNumberFormat="1" applyFont="1" applyFill="1" applyBorder="1"/>
    <xf numFmtId="170" fontId="20" fillId="0" borderId="0" xfId="0" applyNumberFormat="1" applyFont="1"/>
    <xf numFmtId="0" fontId="20" fillId="0" borderId="0" xfId="0" applyFont="1"/>
    <xf numFmtId="171" fontId="15" fillId="10" borderId="25" xfId="0" applyNumberFormat="1" applyFont="1" applyFill="1" applyBorder="1"/>
    <xf numFmtId="0" fontId="31" fillId="15" borderId="25" xfId="0" applyFont="1" applyFill="1" applyBorder="1"/>
    <xf numFmtId="170" fontId="32" fillId="15" borderId="25" xfId="0" applyNumberFormat="1" applyFont="1" applyFill="1" applyBorder="1"/>
    <xf numFmtId="170" fontId="32" fillId="11" borderId="25" xfId="0" applyNumberFormat="1" applyFont="1" applyFill="1" applyBorder="1"/>
    <xf numFmtId="170" fontId="33" fillId="0" borderId="28" xfId="0" applyNumberFormat="1" applyFont="1" applyBorder="1"/>
    <xf numFmtId="170" fontId="32" fillId="0" borderId="28" xfId="0" applyNumberFormat="1" applyFont="1" applyBorder="1"/>
    <xf numFmtId="0" fontId="23" fillId="0" borderId="0" xfId="0" applyFont="1"/>
    <xf numFmtId="171" fontId="32" fillId="15" borderId="25" xfId="0" applyNumberFormat="1" applyFont="1" applyFill="1" applyBorder="1"/>
    <xf numFmtId="0" fontId="24" fillId="0" borderId="7" xfId="0" applyFont="1" applyBorder="1"/>
    <xf numFmtId="0" fontId="15" fillId="0" borderId="7" xfId="0" applyFont="1" applyBorder="1" applyAlignment="1">
      <alignment horizontal="center"/>
    </xf>
    <xf numFmtId="170" fontId="15" fillId="0" borderId="0" xfId="0" applyNumberFormat="1" applyFont="1"/>
    <xf numFmtId="170" fontId="2" fillId="16" borderId="25" xfId="0" applyNumberFormat="1" applyFont="1" applyFill="1" applyBorder="1"/>
    <xf numFmtId="170" fontId="2" fillId="17" borderId="25" xfId="0" applyNumberFormat="1" applyFont="1" applyFill="1" applyBorder="1"/>
    <xf numFmtId="169" fontId="2" fillId="8" borderId="25" xfId="0" applyNumberFormat="1" applyFont="1" applyFill="1" applyBorder="1"/>
    <xf numFmtId="0" fontId="32" fillId="15" borderId="32" xfId="0" applyFont="1" applyFill="1" applyBorder="1"/>
    <xf numFmtId="9" fontId="32" fillId="15" borderId="31" xfId="0" applyNumberFormat="1" applyFont="1" applyFill="1" applyBorder="1"/>
    <xf numFmtId="0" fontId="33" fillId="0" borderId="0" xfId="0" applyFont="1"/>
    <xf numFmtId="0" fontId="31" fillId="0" borderId="0" xfId="0" applyFont="1"/>
    <xf numFmtId="0" fontId="32" fillId="0" borderId="0" xfId="0" applyFont="1" applyAlignment="1">
      <alignment horizontal="center"/>
    </xf>
    <xf numFmtId="9" fontId="32" fillId="0" borderId="0" xfId="0" applyNumberFormat="1" applyFont="1" applyAlignment="1">
      <alignment horizontal="center"/>
    </xf>
    <xf numFmtId="170" fontId="32" fillId="0" borderId="0" xfId="0" applyNumberFormat="1" applyFont="1"/>
    <xf numFmtId="171" fontId="32" fillId="0" borderId="0" xfId="0" applyNumberFormat="1" applyFont="1"/>
    <xf numFmtId="0" fontId="32" fillId="15" borderId="25" xfId="0" applyFont="1" applyFill="1" applyBorder="1" applyAlignment="1">
      <alignment horizontal="right"/>
    </xf>
    <xf numFmtId="170" fontId="15" fillId="8" borderId="25" xfId="0" applyNumberFormat="1" applyFont="1" applyFill="1" applyBorder="1"/>
    <xf numFmtId="0" fontId="24" fillId="0" borderId="0" xfId="0" applyFont="1"/>
    <xf numFmtId="171" fontId="15" fillId="0" borderId="0" xfId="0" applyNumberFormat="1" applyFont="1"/>
    <xf numFmtId="0" fontId="34" fillId="18" borderId="25" xfId="0" applyFont="1" applyFill="1" applyBorder="1"/>
    <xf numFmtId="170" fontId="35" fillId="18" borderId="25" xfId="0" applyNumberFormat="1" applyFont="1" applyFill="1" applyBorder="1"/>
    <xf numFmtId="0" fontId="36" fillId="0" borderId="0" xfId="0" applyFont="1"/>
    <xf numFmtId="170" fontId="35" fillId="11" borderId="25" xfId="0" applyNumberFormat="1" applyFont="1" applyFill="1" applyBorder="1"/>
    <xf numFmtId="170" fontId="35" fillId="0" borderId="28" xfId="0" applyNumberFormat="1" applyFont="1" applyBorder="1"/>
    <xf numFmtId="170" fontId="23" fillId="18" borderId="25" xfId="0" applyNumberFormat="1" applyFont="1" applyFill="1" applyBorder="1"/>
    <xf numFmtId="171" fontId="35" fillId="18" borderId="25" xfId="0" applyNumberFormat="1" applyFont="1" applyFill="1" applyBorder="1"/>
    <xf numFmtId="0" fontId="35" fillId="0" borderId="0" xfId="0" applyFont="1"/>
    <xf numFmtId="0" fontId="35" fillId="0" borderId="0" xfId="0" applyFont="1" applyAlignment="1">
      <alignment horizontal="center"/>
    </xf>
    <xf numFmtId="170" fontId="35" fillId="0" borderId="0" xfId="0" applyNumberFormat="1" applyFont="1"/>
    <xf numFmtId="171" fontId="35" fillId="0" borderId="0" xfId="0" applyNumberFormat="1" applyFont="1"/>
    <xf numFmtId="0" fontId="35" fillId="18" borderId="32" xfId="0" applyFont="1" applyFill="1" applyBorder="1" applyAlignment="1">
      <alignment horizontal="right"/>
    </xf>
    <xf numFmtId="0" fontId="24" fillId="0" borderId="28" xfId="0" applyFont="1" applyBorder="1"/>
    <xf numFmtId="38" fontId="23" fillId="18" borderId="25" xfId="0" applyNumberFormat="1" applyFont="1" applyFill="1" applyBorder="1"/>
    <xf numFmtId="38" fontId="23" fillId="0" borderId="28" xfId="0" applyNumberFormat="1" applyFont="1" applyBorder="1"/>
    <xf numFmtId="171" fontId="37" fillId="11" borderId="25" xfId="0" applyNumberFormat="1" applyFont="1" applyFill="1" applyBorder="1"/>
    <xf numFmtId="171" fontId="37" fillId="18" borderId="25" xfId="0" applyNumberFormat="1" applyFont="1" applyFill="1" applyBorder="1"/>
    <xf numFmtId="0" fontId="20" fillId="14" borderId="25" xfId="0" applyFont="1" applyFill="1" applyBorder="1"/>
    <xf numFmtId="0" fontId="20" fillId="14" borderId="25" xfId="0" applyFont="1" applyFill="1" applyBorder="1" applyAlignment="1">
      <alignment horizontal="center"/>
    </xf>
    <xf numFmtId="0" fontId="20" fillId="14" borderId="31" xfId="0" applyFont="1" applyFill="1" applyBorder="1" applyAlignment="1">
      <alignment horizontal="center"/>
    </xf>
    <xf numFmtId="170" fontId="20" fillId="14" borderId="25" xfId="0" applyNumberFormat="1" applyFont="1" applyFill="1" applyBorder="1"/>
    <xf numFmtId="170" fontId="23" fillId="14" borderId="25" xfId="0" applyNumberFormat="1" applyFont="1" applyFill="1" applyBorder="1"/>
    <xf numFmtId="170" fontId="2" fillId="0" borderId="1" xfId="0" applyNumberFormat="1" applyFont="1" applyBorder="1" applyAlignment="1">
      <alignment horizontal="center"/>
    </xf>
    <xf numFmtId="170" fontId="2" fillId="0" borderId="23" xfId="0" applyNumberFormat="1" applyFont="1" applyBorder="1" applyAlignment="1">
      <alignment horizontal="center"/>
    </xf>
    <xf numFmtId="173" fontId="2" fillId="0" borderId="25" xfId="0" applyNumberFormat="1" applyFont="1" applyBorder="1"/>
    <xf numFmtId="173" fontId="3" fillId="0" borderId="0" xfId="0" applyNumberFormat="1" applyFont="1"/>
    <xf numFmtId="173" fontId="2" fillId="13" borderId="25" xfId="0" applyNumberFormat="1" applyFont="1" applyFill="1" applyBorder="1"/>
    <xf numFmtId="173" fontId="2" fillId="17" borderId="25" xfId="0" applyNumberFormat="1" applyFont="1" applyFill="1" applyBorder="1"/>
    <xf numFmtId="173" fontId="2" fillId="0" borderId="28" xfId="0" applyNumberFormat="1" applyFont="1" applyBorder="1"/>
    <xf numFmtId="174" fontId="2" fillId="0" borderId="25" xfId="0" applyNumberFormat="1" applyFont="1" applyBorder="1"/>
    <xf numFmtId="170" fontId="2" fillId="0" borderId="25" xfId="0" applyNumberFormat="1" applyFont="1" applyBorder="1" applyAlignment="1">
      <alignment horizontal="center"/>
    </xf>
    <xf numFmtId="0" fontId="20" fillId="0" borderId="25" xfId="0" applyFont="1" applyBorder="1"/>
    <xf numFmtId="168" fontId="20" fillId="0" borderId="25" xfId="0" applyNumberFormat="1" applyFont="1" applyBorder="1"/>
    <xf numFmtId="168" fontId="20" fillId="9" borderId="25" xfId="0" applyNumberFormat="1" applyFont="1" applyFill="1" applyBorder="1"/>
    <xf numFmtId="172" fontId="20" fillId="13" borderId="25" xfId="0" applyNumberFormat="1" applyFont="1" applyFill="1" applyBorder="1"/>
    <xf numFmtId="168" fontId="20" fillId="17" borderId="25" xfId="0" applyNumberFormat="1" applyFont="1" applyFill="1" applyBorder="1"/>
    <xf numFmtId="168" fontId="20" fillId="0" borderId="28" xfId="0" applyNumberFormat="1" applyFont="1" applyBorder="1"/>
    <xf numFmtId="168" fontId="2" fillId="0" borderId="25" xfId="0" applyNumberFormat="1" applyFont="1" applyBorder="1"/>
    <xf numFmtId="172" fontId="2" fillId="9" borderId="25" xfId="0" applyNumberFormat="1" applyFont="1" applyFill="1" applyBorder="1"/>
    <xf numFmtId="172" fontId="2" fillId="13" borderId="25" xfId="0" applyNumberFormat="1" applyFont="1" applyFill="1" applyBorder="1"/>
    <xf numFmtId="168" fontId="2" fillId="17" borderId="25" xfId="0" applyNumberFormat="1" applyFont="1" applyFill="1" applyBorder="1"/>
    <xf numFmtId="168" fontId="2" fillId="0" borderId="28" xfId="0" applyNumberFormat="1" applyFont="1" applyBorder="1"/>
    <xf numFmtId="0" fontId="38" fillId="0" borderId="0" xfId="0" applyFont="1"/>
    <xf numFmtId="0" fontId="2" fillId="8" borderId="4" xfId="0" applyFont="1" applyFill="1" applyBorder="1"/>
    <xf numFmtId="9" fontId="2" fillId="8" borderId="4" xfId="0" applyNumberFormat="1" applyFont="1" applyFill="1" applyBorder="1"/>
    <xf numFmtId="0" fontId="4" fillId="0" borderId="0" xfId="0" applyFont="1"/>
    <xf numFmtId="175" fontId="2" fillId="0" borderId="0" xfId="0" applyNumberFormat="1" applyFont="1"/>
    <xf numFmtId="0" fontId="39" fillId="0" borderId="0" xfId="0" applyFont="1"/>
    <xf numFmtId="0" fontId="40" fillId="19" borderId="48" xfId="0" applyFont="1" applyFill="1" applyBorder="1" applyAlignment="1">
      <alignment horizontal="center" vertical="center" wrapText="1"/>
    </xf>
    <xf numFmtId="0" fontId="41" fillId="20" borderId="48" xfId="0" applyFont="1" applyFill="1" applyBorder="1" applyAlignment="1">
      <alignment horizontal="center" vertical="center" wrapText="1"/>
    </xf>
    <xf numFmtId="2" fontId="10" fillId="6" borderId="48" xfId="0" applyNumberFormat="1" applyFont="1" applyFill="1" applyBorder="1" applyAlignment="1">
      <alignment horizontal="right" vertical="center" wrapText="1"/>
    </xf>
    <xf numFmtId="0" fontId="42" fillId="0" borderId="0" xfId="0" applyFont="1"/>
    <xf numFmtId="17" fontId="41" fillId="20" borderId="48" xfId="0" applyNumberFormat="1" applyFont="1" applyFill="1" applyBorder="1" applyAlignment="1">
      <alignment horizontal="center" vertical="center" wrapText="1"/>
    </xf>
    <xf numFmtId="3" fontId="10" fillId="6" borderId="48" xfId="0" applyNumberFormat="1" applyFont="1" applyFill="1" applyBorder="1" applyAlignment="1">
      <alignment horizontal="right" vertical="center" wrapText="1"/>
    </xf>
    <xf numFmtId="0" fontId="43" fillId="6" borderId="48" xfId="0" applyFont="1" applyFill="1" applyBorder="1" applyAlignment="1">
      <alignment horizontal="right" vertical="center" wrapText="1"/>
    </xf>
    <xf numFmtId="0" fontId="44" fillId="0" borderId="0" xfId="0" applyFont="1"/>
    <xf numFmtId="0" fontId="45" fillId="0" borderId="0" xfId="0" applyFont="1"/>
    <xf numFmtId="0" fontId="45" fillId="0" borderId="0" xfId="0" applyFont="1" applyAlignment="1">
      <alignment horizontal="left" vertical="center" wrapText="1"/>
    </xf>
    <xf numFmtId="17" fontId="46" fillId="21" borderId="51" xfId="0" applyNumberFormat="1" applyFont="1" applyFill="1" applyBorder="1" applyAlignment="1">
      <alignment horizontal="center" vertical="center" wrapText="1"/>
    </xf>
    <xf numFmtId="0" fontId="47" fillId="0" borderId="52" xfId="0" applyFont="1" applyBorder="1" applyAlignment="1">
      <alignment horizontal="right" vertical="center" wrapText="1"/>
    </xf>
    <xf numFmtId="3" fontId="47" fillId="0" borderId="52" xfId="0" applyNumberFormat="1" applyFont="1" applyBorder="1" applyAlignment="1">
      <alignment horizontal="right" vertical="center" wrapText="1"/>
    </xf>
    <xf numFmtId="17" fontId="46" fillId="21" borderId="53" xfId="0" applyNumberFormat="1" applyFont="1" applyFill="1" applyBorder="1" applyAlignment="1">
      <alignment horizontal="center" vertical="center" wrapText="1"/>
    </xf>
    <xf numFmtId="0" fontId="47" fillId="0" borderId="54" xfId="0" applyFont="1" applyBorder="1" applyAlignment="1">
      <alignment horizontal="right" vertical="center" wrapText="1"/>
    </xf>
    <xf numFmtId="3" fontId="47" fillId="0" borderId="54" xfId="0" applyNumberFormat="1" applyFont="1" applyBorder="1" applyAlignment="1">
      <alignment horizontal="right" vertical="center" wrapText="1"/>
    </xf>
    <xf numFmtId="0" fontId="48" fillId="6" borderId="4" xfId="0" applyFont="1" applyFill="1" applyBorder="1"/>
    <xf numFmtId="0" fontId="2" fillId="6" borderId="4" xfId="0" applyFont="1" applyFill="1" applyBorder="1" applyAlignment="1">
      <alignment horizontal="right"/>
    </xf>
    <xf numFmtId="0" fontId="48" fillId="6" borderId="4" xfId="0" applyFont="1" applyFill="1" applyBorder="1" applyAlignment="1">
      <alignment horizontal="left"/>
    </xf>
    <xf numFmtId="0" fontId="2" fillId="6" borderId="66" xfId="0" applyFont="1" applyFill="1" applyBorder="1"/>
    <xf numFmtId="0" fontId="40" fillId="23" borderId="68" xfId="0" applyFont="1" applyFill="1" applyBorder="1" applyAlignment="1">
      <alignment horizontal="center" vertical="center"/>
    </xf>
    <xf numFmtId="0" fontId="40" fillId="23" borderId="69" xfId="0" applyFont="1" applyFill="1" applyBorder="1" applyAlignment="1">
      <alignment horizontal="center" vertical="center"/>
    </xf>
    <xf numFmtId="0" fontId="40" fillId="23" borderId="70" xfId="0" applyFont="1" applyFill="1" applyBorder="1" applyAlignment="1">
      <alignment horizontal="center" vertical="center"/>
    </xf>
    <xf numFmtId="0" fontId="40" fillId="23" borderId="4" xfId="0" applyFont="1" applyFill="1" applyBorder="1" applyAlignment="1">
      <alignment horizontal="center" vertical="center"/>
    </xf>
    <xf numFmtId="0" fontId="40" fillId="23" borderId="71" xfId="0" applyFont="1" applyFill="1" applyBorder="1" applyAlignment="1">
      <alignment horizontal="center" vertical="center"/>
    </xf>
    <xf numFmtId="17" fontId="49" fillId="6" borderId="73" xfId="0" applyNumberFormat="1" applyFont="1" applyFill="1" applyBorder="1" applyAlignment="1">
      <alignment horizontal="left" vertical="top"/>
    </xf>
    <xf numFmtId="0" fontId="50" fillId="6" borderId="74" xfId="0" applyFont="1" applyFill="1" applyBorder="1" applyAlignment="1">
      <alignment horizontal="center" vertical="top"/>
    </xf>
    <xf numFmtId="4" fontId="50" fillId="6" borderId="74" xfId="0" applyNumberFormat="1" applyFont="1" applyFill="1" applyBorder="1" applyAlignment="1">
      <alignment horizontal="center" vertical="top"/>
    </xf>
    <xf numFmtId="0" fontId="50" fillId="6" borderId="75" xfId="0" applyFont="1" applyFill="1" applyBorder="1" applyAlignment="1">
      <alignment horizontal="center" vertical="top"/>
    </xf>
    <xf numFmtId="17" fontId="49" fillId="6" borderId="76" xfId="0" applyNumberFormat="1" applyFont="1" applyFill="1" applyBorder="1" applyAlignment="1">
      <alignment horizontal="left" vertical="top"/>
    </xf>
    <xf numFmtId="0" fontId="40" fillId="23" borderId="77" xfId="0" applyFont="1" applyFill="1" applyBorder="1" applyAlignment="1">
      <alignment horizontal="left" vertical="top" wrapText="1"/>
    </xf>
    <xf numFmtId="0" fontId="51" fillId="6" borderId="74" xfId="0" applyFont="1" applyFill="1" applyBorder="1"/>
    <xf numFmtId="0" fontId="52" fillId="6" borderId="74" xfId="0" applyFont="1" applyFill="1" applyBorder="1" applyAlignment="1">
      <alignment horizontal="center" vertical="center"/>
    </xf>
    <xf numFmtId="0" fontId="52" fillId="6" borderId="74" xfId="0" applyFont="1" applyFill="1" applyBorder="1" applyAlignment="1">
      <alignment horizontal="center" vertical="top"/>
    </xf>
    <xf numFmtId="0" fontId="52" fillId="6" borderId="75" xfId="0" applyFont="1" applyFill="1" applyBorder="1" applyAlignment="1">
      <alignment horizontal="center" vertical="center"/>
    </xf>
    <xf numFmtId="0" fontId="40" fillId="23" borderId="78" xfId="0" applyFont="1" applyFill="1" applyBorder="1" applyAlignment="1">
      <alignment horizontal="left" vertical="top" wrapText="1"/>
    </xf>
    <xf numFmtId="0" fontId="51" fillId="6" borderId="79" xfId="0" applyFont="1" applyFill="1" applyBorder="1"/>
    <xf numFmtId="0" fontId="52" fillId="6" borderId="79" xfId="0" applyFont="1" applyFill="1" applyBorder="1" applyAlignment="1">
      <alignment horizontal="center" vertical="center"/>
    </xf>
    <xf numFmtId="0" fontId="52" fillId="6" borderId="79" xfId="0" applyFont="1" applyFill="1" applyBorder="1" applyAlignment="1">
      <alignment horizontal="center" vertical="top"/>
    </xf>
    <xf numFmtId="0" fontId="52" fillId="8" borderId="79" xfId="0" applyFont="1" applyFill="1" applyBorder="1" applyAlignment="1">
      <alignment horizontal="center" vertical="center"/>
    </xf>
    <xf numFmtId="0" fontId="52" fillId="6" borderId="73" xfId="0" applyFont="1" applyFill="1" applyBorder="1" applyAlignment="1">
      <alignment horizontal="center" vertical="center"/>
    </xf>
    <xf numFmtId="0" fontId="50" fillId="6" borderId="4" xfId="0" applyFont="1" applyFill="1" applyBorder="1" applyAlignment="1">
      <alignment horizontal="center" vertical="top"/>
    </xf>
    <xf numFmtId="0" fontId="53" fillId="6" borderId="41" xfId="0" applyFont="1" applyFill="1" applyBorder="1"/>
    <xf numFmtId="0" fontId="54" fillId="6" borderId="4" xfId="0" applyFont="1" applyFill="1" applyBorder="1"/>
    <xf numFmtId="0" fontId="15" fillId="6" borderId="4" xfId="0" applyFont="1" applyFill="1" applyBorder="1"/>
    <xf numFmtId="0" fontId="53" fillId="6" borderId="4" xfId="0" applyFont="1" applyFill="1" applyBorder="1"/>
    <xf numFmtId="0" fontId="55" fillId="24" borderId="4" xfId="0" applyFont="1" applyFill="1" applyBorder="1" applyAlignment="1">
      <alignment vertical="center" wrapText="1"/>
    </xf>
    <xf numFmtId="0" fontId="2" fillId="0" borderId="23" xfId="0" applyFont="1" applyBorder="1"/>
    <xf numFmtId="0" fontId="2" fillId="0" borderId="24" xfId="0" applyFont="1" applyBorder="1"/>
    <xf numFmtId="171" fontId="19" fillId="25" borderId="25" xfId="0" applyNumberFormat="1" applyFont="1" applyFill="1" applyBorder="1"/>
    <xf numFmtId="171" fontId="15" fillId="7" borderId="25" xfId="0" applyNumberFormat="1" applyFont="1" applyFill="1" applyBorder="1"/>
    <xf numFmtId="171" fontId="23" fillId="15" borderId="25" xfId="0" applyNumberFormat="1" applyFont="1" applyFill="1" applyBorder="1"/>
    <xf numFmtId="171" fontId="23" fillId="18" borderId="25" xfId="0" applyNumberFormat="1" applyFont="1" applyFill="1" applyBorder="1"/>
    <xf numFmtId="171" fontId="35" fillId="3" borderId="25" xfId="0" applyNumberFormat="1" applyFont="1" applyFill="1" applyBorder="1"/>
    <xf numFmtId="170" fontId="15" fillId="0" borderId="7" xfId="0" applyNumberFormat="1" applyFont="1" applyBorder="1"/>
    <xf numFmtId="0" fontId="29" fillId="18" borderId="45" xfId="0" applyFont="1" applyFill="1" applyBorder="1" applyAlignment="1">
      <alignment vertical="center"/>
    </xf>
    <xf numFmtId="171" fontId="56" fillId="11" borderId="25" xfId="0" applyNumberFormat="1" applyFont="1" applyFill="1" applyBorder="1"/>
    <xf numFmtId="171" fontId="56" fillId="26" borderId="25" xfId="0" applyNumberFormat="1" applyFont="1" applyFill="1" applyBorder="1"/>
    <xf numFmtId="170" fontId="57" fillId="0" borderId="0" xfId="0" applyNumberFormat="1" applyFont="1" applyAlignment="1">
      <alignment vertical="center"/>
    </xf>
    <xf numFmtId="170" fontId="3" fillId="0" borderId="0" xfId="0" applyNumberFormat="1" applyFont="1"/>
    <xf numFmtId="172" fontId="2" fillId="0" borderId="25" xfId="0" applyNumberFormat="1" applyFont="1" applyBorder="1"/>
    <xf numFmtId="1" fontId="2" fillId="0" borderId="25" xfId="0" applyNumberFormat="1" applyFont="1" applyBorder="1"/>
    <xf numFmtId="0" fontId="2" fillId="0" borderId="24" xfId="0" applyFont="1" applyBorder="1" applyAlignment="1">
      <alignment horizontal="center"/>
    </xf>
    <xf numFmtId="176" fontId="2" fillId="0" borderId="25" xfId="0" applyNumberFormat="1" applyFont="1" applyBorder="1"/>
    <xf numFmtId="0" fontId="58" fillId="0" borderId="0" xfId="0" applyFont="1"/>
    <xf numFmtId="0" fontId="27" fillId="0" borderId="0" xfId="0" applyFont="1" applyAlignment="1">
      <alignment vertical="center" wrapText="1"/>
    </xf>
    <xf numFmtId="0" fontId="5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2" fillId="8" borderId="86" xfId="0" applyFont="1" applyFill="1" applyBorder="1" applyAlignment="1">
      <alignment vertical="center" wrapText="1"/>
    </xf>
    <xf numFmtId="8" fontId="61" fillId="8" borderId="86" xfId="0" applyNumberFormat="1" applyFont="1" applyFill="1" applyBorder="1" applyAlignment="1">
      <alignment vertical="center" wrapText="1"/>
    </xf>
    <xf numFmtId="0" fontId="2" fillId="0" borderId="87" xfId="0" applyFont="1" applyBorder="1" applyAlignment="1">
      <alignment vertical="center" wrapText="1"/>
    </xf>
    <xf numFmtId="0" fontId="3" fillId="0" borderId="87" xfId="0" applyFont="1" applyBorder="1" applyAlignment="1">
      <alignment vertical="center" wrapText="1"/>
    </xf>
    <xf numFmtId="0" fontId="28" fillId="8" borderId="86" xfId="0" applyFont="1" applyFill="1" applyBorder="1" applyAlignment="1">
      <alignment vertical="center" wrapText="1"/>
    </xf>
    <xf numFmtId="8" fontId="62" fillId="8" borderId="86" xfId="0" applyNumberFormat="1" applyFont="1" applyFill="1" applyBorder="1" applyAlignment="1">
      <alignment vertical="center" wrapText="1"/>
    </xf>
    <xf numFmtId="9" fontId="3" fillId="0" borderId="87" xfId="0" applyNumberFormat="1" applyFont="1" applyBorder="1" applyAlignment="1">
      <alignment vertical="center" wrapText="1"/>
    </xf>
    <xf numFmtId="0" fontId="9" fillId="8" borderId="86" xfId="0" applyFont="1" applyFill="1" applyBorder="1" applyAlignment="1">
      <alignment vertical="center" wrapText="1"/>
    </xf>
    <xf numFmtId="8" fontId="63" fillId="8" borderId="86" xfId="0" applyNumberFormat="1" applyFont="1" applyFill="1" applyBorder="1" applyAlignment="1">
      <alignment vertical="center" wrapText="1"/>
    </xf>
    <xf numFmtId="8" fontId="9" fillId="8" borderId="86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0" fillId="0" borderId="0" xfId="0" applyFont="1" applyAlignment="1">
      <alignment vertical="center"/>
    </xf>
    <xf numFmtId="0" fontId="64" fillId="0" borderId="87" xfId="0" applyFont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8" fontId="3" fillId="0" borderId="87" xfId="0" applyNumberFormat="1" applyFont="1" applyBorder="1" applyAlignment="1">
      <alignment horizontal="center" vertical="center" wrapText="1"/>
    </xf>
    <xf numFmtId="38" fontId="2" fillId="0" borderId="0" xfId="0" applyNumberFormat="1" applyFont="1"/>
    <xf numFmtId="38" fontId="16" fillId="0" borderId="0" xfId="0" applyNumberFormat="1" applyFont="1"/>
    <xf numFmtId="38" fontId="18" fillId="11" borderId="4" xfId="0" applyNumberFormat="1" applyFont="1" applyFill="1" applyBorder="1" applyAlignment="1">
      <alignment horizontal="center" vertical="center"/>
    </xf>
    <xf numFmtId="38" fontId="2" fillId="27" borderId="4" xfId="0" applyNumberFormat="1" applyFont="1" applyFill="1" applyBorder="1" applyAlignment="1">
      <alignment wrapText="1"/>
    </xf>
    <xf numFmtId="38" fontId="2" fillId="27" borderId="4" xfId="0" applyNumberFormat="1" applyFont="1" applyFill="1" applyBorder="1" applyAlignment="1">
      <alignment vertical="top"/>
    </xf>
    <xf numFmtId="38" fontId="2" fillId="0" borderId="25" xfId="0" applyNumberFormat="1" applyFont="1" applyBorder="1"/>
    <xf numFmtId="38" fontId="2" fillId="27" borderId="4" xfId="0" applyNumberFormat="1" applyFont="1" applyFill="1" applyBorder="1"/>
    <xf numFmtId="38" fontId="2" fillId="0" borderId="23" xfId="0" applyNumberFormat="1" applyFont="1" applyBorder="1" applyAlignment="1">
      <alignment horizontal="center"/>
    </xf>
    <xf numFmtId="38" fontId="2" fillId="6" borderId="4" xfId="0" applyNumberFormat="1" applyFont="1" applyFill="1" applyBorder="1"/>
    <xf numFmtId="9" fontId="2" fillId="0" borderId="23" xfId="0" applyNumberFormat="1" applyFont="1" applyBorder="1"/>
    <xf numFmtId="38" fontId="2" fillId="0" borderId="11" xfId="0" applyNumberFormat="1" applyFont="1" applyBorder="1"/>
    <xf numFmtId="38" fontId="2" fillId="27" borderId="12" xfId="0" applyNumberFormat="1" applyFont="1" applyFill="1" applyBorder="1"/>
    <xf numFmtId="38" fontId="2" fillId="6" borderId="12" xfId="0" applyNumberFormat="1" applyFont="1" applyFill="1" applyBorder="1"/>
    <xf numFmtId="38" fontId="2" fillId="0" borderId="47" xfId="0" applyNumberFormat="1" applyFont="1" applyBorder="1"/>
    <xf numFmtId="38" fontId="2" fillId="0" borderId="0" xfId="0" applyNumberFormat="1" applyFont="1" applyAlignment="1">
      <alignment horizontal="center"/>
    </xf>
    <xf numFmtId="38" fontId="2" fillId="7" borderId="4" xfId="0" applyNumberFormat="1" applyFont="1" applyFill="1" applyBorder="1"/>
    <xf numFmtId="171" fontId="2" fillId="7" borderId="4" xfId="0" applyNumberFormat="1" applyFont="1" applyFill="1" applyBorder="1"/>
    <xf numFmtId="171" fontId="2" fillId="8" borderId="4" xfId="0" applyNumberFormat="1" applyFont="1" applyFill="1" applyBorder="1"/>
    <xf numFmtId="10" fontId="2" fillId="0" borderId="0" xfId="0" applyNumberFormat="1" applyFont="1"/>
    <xf numFmtId="177" fontId="2" fillId="0" borderId="0" xfId="0" applyNumberFormat="1" applyFont="1"/>
    <xf numFmtId="0" fontId="2" fillId="0" borderId="0" xfId="0" applyFont="1" applyAlignment="1">
      <alignment wrapText="1"/>
    </xf>
    <xf numFmtId="178" fontId="2" fillId="0" borderId="0" xfId="0" applyNumberFormat="1" applyFont="1"/>
    <xf numFmtId="9" fontId="2" fillId="8" borderId="12" xfId="0" applyNumberFormat="1" applyFont="1" applyFill="1" applyBorder="1"/>
    <xf numFmtId="171" fontId="2" fillId="0" borderId="11" xfId="0" applyNumberFormat="1" applyFont="1" applyBorder="1" applyAlignment="1">
      <alignment horizontal="center"/>
    </xf>
    <xf numFmtId="178" fontId="2" fillId="0" borderId="11" xfId="0" applyNumberFormat="1" applyFont="1" applyBorder="1"/>
    <xf numFmtId="38" fontId="15" fillId="7" borderId="45" xfId="0" applyNumberFormat="1" applyFont="1" applyFill="1" applyBorder="1" applyAlignment="1">
      <alignment horizontal="center" vertical="center"/>
    </xf>
    <xf numFmtId="38" fontId="15" fillId="7" borderId="32" xfId="0" applyNumberFormat="1" applyFont="1" applyFill="1" applyBorder="1" applyAlignment="1">
      <alignment horizontal="center" vertical="center"/>
    </xf>
    <xf numFmtId="38" fontId="15" fillId="7" borderId="30" xfId="0" applyNumberFormat="1" applyFont="1" applyFill="1" applyBorder="1" applyAlignment="1">
      <alignment horizontal="center" vertical="center"/>
    </xf>
    <xf numFmtId="38" fontId="15" fillId="0" borderId="0" xfId="0" applyNumberFormat="1" applyFont="1" applyAlignment="1">
      <alignment horizontal="center" vertical="center"/>
    </xf>
    <xf numFmtId="38" fontId="2" fillId="7" borderId="25" xfId="0" applyNumberFormat="1" applyFont="1" applyFill="1" applyBorder="1"/>
    <xf numFmtId="10" fontId="2" fillId="0" borderId="25" xfId="0" applyNumberFormat="1" applyFont="1" applyBorder="1"/>
    <xf numFmtId="38" fontId="18" fillId="11" borderId="4" xfId="0" applyNumberFormat="1" applyFont="1" applyFill="1" applyBorder="1"/>
    <xf numFmtId="171" fontId="18" fillId="11" borderId="4" xfId="0" applyNumberFormat="1" applyFont="1" applyFill="1" applyBorder="1"/>
    <xf numFmtId="15" fontId="3" fillId="0" borderId="0" xfId="0" applyNumberFormat="1" applyFont="1"/>
    <xf numFmtId="0" fontId="65" fillId="0" borderId="0" xfId="0" applyFont="1"/>
    <xf numFmtId="0" fontId="66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68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70" fillId="8" borderId="4" xfId="0" applyFont="1" applyFill="1" applyBorder="1" applyAlignment="1">
      <alignment vertical="center"/>
    </xf>
    <xf numFmtId="0" fontId="71" fillId="0" borderId="0" xfId="0" applyFont="1"/>
    <xf numFmtId="0" fontId="72" fillId="0" borderId="0" xfId="0" applyFont="1" applyAlignment="1">
      <alignment horizontal="left" vertical="center"/>
    </xf>
    <xf numFmtId="0" fontId="7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0" fontId="76" fillId="8" borderId="86" xfId="0" applyFont="1" applyFill="1" applyBorder="1" applyAlignment="1">
      <alignment vertical="center" wrapText="1"/>
    </xf>
    <xf numFmtId="0" fontId="73" fillId="0" borderId="87" xfId="0" applyFont="1" applyBorder="1" applyAlignment="1">
      <alignment vertical="center" wrapText="1"/>
    </xf>
    <xf numFmtId="9" fontId="2" fillId="0" borderId="87" xfId="0" applyNumberFormat="1" applyFont="1" applyBorder="1" applyAlignment="1">
      <alignment vertical="center" wrapText="1"/>
    </xf>
    <xf numFmtId="0" fontId="73" fillId="0" borderId="0" xfId="0" applyFont="1" applyAlignment="1">
      <alignment vertical="center" wrapText="1"/>
    </xf>
    <xf numFmtId="0" fontId="74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3" fillId="0" borderId="87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9" fontId="82" fillId="0" borderId="0" xfId="1" applyNumberFormat="1" applyFont="1"/>
    <xf numFmtId="0" fontId="81" fillId="2" borderId="4" xfId="0" applyFont="1" applyFill="1" applyBorder="1"/>
    <xf numFmtId="167" fontId="2" fillId="0" borderId="11" xfId="0" applyNumberFormat="1" applyFont="1" applyBorder="1"/>
    <xf numFmtId="171" fontId="15" fillId="12" borderId="25" xfId="1" applyNumberFormat="1" applyFont="1" applyFill="1" applyBorder="1"/>
    <xf numFmtId="171" fontId="2" fillId="0" borderId="60" xfId="0" applyNumberFormat="1" applyFont="1" applyBorder="1"/>
    <xf numFmtId="170" fontId="2" fillId="0" borderId="12" xfId="0" applyNumberFormat="1" applyFont="1" applyBorder="1"/>
    <xf numFmtId="170" fontId="2" fillId="0" borderId="60" xfId="0" applyNumberFormat="1" applyFont="1" applyBorder="1"/>
    <xf numFmtId="170" fontId="2" fillId="0" borderId="85" xfId="0" applyNumberFormat="1" applyFont="1" applyBorder="1"/>
    <xf numFmtId="170" fontId="15" fillId="0" borderId="81" xfId="0" applyNumberFormat="1" applyFont="1" applyBorder="1"/>
    <xf numFmtId="170" fontId="15" fillId="0" borderId="82" xfId="0" applyNumberFormat="1" applyFont="1" applyBorder="1"/>
    <xf numFmtId="171" fontId="2" fillId="0" borderId="85" xfId="0" applyNumberFormat="1" applyFont="1" applyBorder="1"/>
    <xf numFmtId="170" fontId="2" fillId="0" borderId="81" xfId="0" applyNumberFormat="1" applyFont="1" applyBorder="1"/>
    <xf numFmtId="170" fontId="2" fillId="0" borderId="13" xfId="0" applyNumberFormat="1" applyFont="1" applyBorder="1"/>
    <xf numFmtId="0" fontId="81" fillId="0" borderId="25" xfId="0" applyFont="1" applyBorder="1"/>
    <xf numFmtId="3" fontId="15" fillId="28" borderId="25" xfId="0" applyNumberFormat="1" applyFont="1" applyFill="1" applyBorder="1" applyAlignment="1">
      <alignment horizontal="center"/>
    </xf>
    <xf numFmtId="3" fontId="4" fillId="28" borderId="0" xfId="0" applyNumberFormat="1" applyFont="1" applyFill="1" applyAlignment="1">
      <alignment wrapText="1"/>
    </xf>
    <xf numFmtId="3" fontId="18" fillId="28" borderId="0" xfId="0" applyNumberFormat="1" applyFont="1" applyFill="1"/>
    <xf numFmtId="3" fontId="2" fillId="28" borderId="0" xfId="0" applyNumberFormat="1" applyFont="1" applyFill="1"/>
    <xf numFmtId="3" fontId="2" fillId="28" borderId="25" xfId="0" applyNumberFormat="1" applyFont="1" applyFill="1" applyBorder="1"/>
    <xf numFmtId="4" fontId="2" fillId="8" borderId="25" xfId="0" applyNumberFormat="1" applyFont="1" applyFill="1" applyBorder="1"/>
    <xf numFmtId="3" fontId="2" fillId="29" borderId="0" xfId="0" applyNumberFormat="1" applyFont="1" applyFill="1"/>
    <xf numFmtId="3" fontId="2" fillId="28" borderId="4" xfId="0" applyNumberFormat="1" applyFont="1" applyFill="1" applyBorder="1"/>
    <xf numFmtId="3" fontId="15" fillId="30" borderId="24" xfId="0" applyNumberFormat="1" applyFont="1" applyFill="1" applyBorder="1" applyAlignment="1">
      <alignment horizontal="center"/>
    </xf>
    <xf numFmtId="3" fontId="4" fillId="30" borderId="0" xfId="0" applyNumberFormat="1" applyFont="1" applyFill="1" applyAlignment="1">
      <alignment wrapText="1"/>
    </xf>
    <xf numFmtId="3" fontId="2" fillId="30" borderId="25" xfId="0" applyNumberFormat="1" applyFont="1" applyFill="1" applyBorder="1"/>
    <xf numFmtId="3" fontId="18" fillId="30" borderId="0" xfId="0" applyNumberFormat="1" applyFont="1" applyFill="1"/>
    <xf numFmtId="3" fontId="2" fillId="31" borderId="4" xfId="0" applyNumberFormat="1" applyFont="1" applyFill="1" applyBorder="1"/>
    <xf numFmtId="3" fontId="2" fillId="30" borderId="0" xfId="0" applyNumberFormat="1" applyFont="1" applyFill="1"/>
    <xf numFmtId="169" fontId="2" fillId="30" borderId="25" xfId="0" applyNumberFormat="1" applyFont="1" applyFill="1" applyBorder="1"/>
    <xf numFmtId="170" fontId="81" fillId="9" borderId="32" xfId="0" applyNumberFormat="1" applyFont="1" applyFill="1" applyBorder="1" applyAlignment="1">
      <alignment horizontal="center"/>
    </xf>
    <xf numFmtId="0" fontId="15" fillId="0" borderId="12" xfId="0" applyFont="1" applyBorder="1"/>
    <xf numFmtId="0" fontId="3" fillId="0" borderId="12" xfId="0" applyFont="1" applyBorder="1"/>
    <xf numFmtId="0" fontId="15" fillId="0" borderId="84" xfId="0" applyFont="1" applyBorder="1"/>
    <xf numFmtId="0" fontId="2" fillId="0" borderId="81" xfId="0" applyFont="1" applyBorder="1" applyAlignment="1">
      <alignment horizontal="center"/>
    </xf>
    <xf numFmtId="165" fontId="2" fillId="0" borderId="60" xfId="0" applyNumberFormat="1" applyFont="1" applyBorder="1"/>
    <xf numFmtId="170" fontId="20" fillId="0" borderId="60" xfId="0" applyNumberFormat="1" applyFont="1" applyBorder="1"/>
    <xf numFmtId="0" fontId="5" fillId="0" borderId="60" xfId="0" applyFont="1" applyBorder="1"/>
    <xf numFmtId="171" fontId="15" fillId="0" borderId="60" xfId="0" applyNumberFormat="1" applyFont="1" applyBorder="1"/>
    <xf numFmtId="171" fontId="32" fillId="0" borderId="60" xfId="0" applyNumberFormat="1" applyFont="1" applyBorder="1"/>
    <xf numFmtId="171" fontId="35" fillId="0" borderId="60" xfId="0" applyNumberFormat="1" applyFont="1" applyBorder="1"/>
    <xf numFmtId="0" fontId="2" fillId="0" borderId="60" xfId="0" applyFont="1" applyBorder="1"/>
    <xf numFmtId="0" fontId="15" fillId="0" borderId="28" xfId="0" applyFont="1" applyBorder="1" applyAlignment="1">
      <alignment horizontal="center"/>
    </xf>
    <xf numFmtId="171" fontId="15" fillId="0" borderId="28" xfId="0" applyNumberFormat="1" applyFont="1" applyBorder="1"/>
    <xf numFmtId="171" fontId="32" fillId="0" borderId="28" xfId="0" applyNumberFormat="1" applyFont="1" applyBorder="1"/>
    <xf numFmtId="171" fontId="35" fillId="0" borderId="28" xfId="0" applyNumberFormat="1" applyFont="1" applyBorder="1"/>
    <xf numFmtId="0" fontId="15" fillId="12" borderId="26" xfId="0" applyFont="1" applyFill="1" applyBorder="1" applyAlignment="1">
      <alignment horizontal="center"/>
    </xf>
    <xf numFmtId="0" fontId="15" fillId="32" borderId="25" xfId="0" applyFont="1" applyFill="1" applyBorder="1" applyAlignment="1">
      <alignment horizontal="center"/>
    </xf>
    <xf numFmtId="171" fontId="2" fillId="32" borderId="25" xfId="0" applyNumberFormat="1" applyFont="1" applyFill="1" applyBorder="1"/>
    <xf numFmtId="0" fontId="81" fillId="0" borderId="0" xfId="0" applyFont="1"/>
    <xf numFmtId="171" fontId="32" fillId="15" borderId="25" xfId="0" applyNumberFormat="1" applyFont="1" applyFill="1" applyBorder="1" applyAlignment="1">
      <alignment horizontal="center"/>
    </xf>
    <xf numFmtId="171" fontId="15" fillId="0" borderId="0" xfId="0" applyNumberFormat="1" applyFont="1" applyAlignment="1">
      <alignment horizontal="center"/>
    </xf>
    <xf numFmtId="171" fontId="35" fillId="18" borderId="25" xfId="0" applyNumberFormat="1" applyFont="1" applyFill="1" applyBorder="1" applyAlignment="1">
      <alignment horizontal="center"/>
    </xf>
    <xf numFmtId="171" fontId="35" fillId="0" borderId="0" xfId="0" applyNumberFormat="1" applyFont="1" applyAlignment="1">
      <alignment horizontal="center"/>
    </xf>
    <xf numFmtId="0" fontId="86" fillId="0" borderId="0" xfId="0" applyFont="1" applyAlignment="1">
      <alignment vertical="center" wrapText="1"/>
    </xf>
    <xf numFmtId="0" fontId="0" fillId="0" borderId="0" xfId="0" applyAlignment="1">
      <alignment horizontal="left" vertical="center" wrapText="1" indent="7"/>
    </xf>
    <xf numFmtId="0" fontId="87" fillId="0" borderId="0" xfId="0" applyFont="1" applyAlignment="1">
      <alignment vertical="center" wrapText="1"/>
    </xf>
    <xf numFmtId="0" fontId="87" fillId="0" borderId="0" xfId="0" applyFont="1" applyAlignment="1">
      <alignment horizontal="left" vertical="center" wrapText="1" indent="7"/>
    </xf>
    <xf numFmtId="0" fontId="0" fillId="0" borderId="93" xfId="0" applyBorder="1" applyAlignment="1">
      <alignment horizontal="left" vertical="center" indent="7"/>
    </xf>
    <xf numFmtId="0" fontId="88" fillId="0" borderId="0" xfId="0" applyFont="1" applyAlignment="1">
      <alignment horizontal="left" vertical="center" indent="7"/>
    </xf>
    <xf numFmtId="0" fontId="89" fillId="0" borderId="0" xfId="0" applyFont="1" applyAlignment="1">
      <alignment horizontal="left" vertical="center" indent="4"/>
    </xf>
    <xf numFmtId="0" fontId="90" fillId="0" borderId="0" xfId="0" applyFont="1" applyAlignment="1">
      <alignment horizontal="left" vertical="center" indent="7"/>
    </xf>
    <xf numFmtId="0" fontId="91" fillId="0" borderId="0" xfId="0" applyFont="1" applyAlignment="1">
      <alignment horizontal="left" vertical="center" indent="7"/>
    </xf>
    <xf numFmtId="0" fontId="92" fillId="0" borderId="0" xfId="0" applyFont="1" applyAlignment="1">
      <alignment horizontal="left" vertical="center" indent="4"/>
    </xf>
    <xf numFmtId="0" fontId="93" fillId="0" borderId="0" xfId="0" applyFont="1" applyAlignment="1">
      <alignment horizontal="left" vertical="center" indent="4"/>
    </xf>
    <xf numFmtId="0" fontId="0" fillId="0" borderId="0" xfId="0" applyAlignment="1">
      <alignment horizontal="left" vertical="center" indent="1"/>
    </xf>
    <xf numFmtId="0" fontId="94" fillId="0" borderId="0" xfId="0" applyFont="1" applyAlignment="1">
      <alignment horizontal="left" vertical="center" indent="1"/>
    </xf>
    <xf numFmtId="0" fontId="0" fillId="0" borderId="90" xfId="0" applyBorder="1" applyAlignment="1">
      <alignment vertical="center" wrapText="1"/>
    </xf>
    <xf numFmtId="0" fontId="93" fillId="0" borderId="90" xfId="0" applyFont="1" applyBorder="1" applyAlignment="1">
      <alignment vertical="center" wrapText="1"/>
    </xf>
    <xf numFmtId="8" fontId="85" fillId="0" borderId="90" xfId="0" applyNumberFormat="1" applyFont="1" applyBorder="1" applyAlignment="1">
      <alignment vertical="center" wrapText="1"/>
    </xf>
    <xf numFmtId="0" fontId="85" fillId="0" borderId="90" xfId="0" applyFont="1" applyBorder="1" applyAlignment="1">
      <alignment vertical="center" wrapText="1"/>
    </xf>
    <xf numFmtId="9" fontId="85" fillId="0" borderId="90" xfId="0" applyNumberFormat="1" applyFont="1" applyBorder="1" applyAlignment="1">
      <alignment vertical="center" wrapText="1"/>
    </xf>
    <xf numFmtId="0" fontId="93" fillId="0" borderId="0" xfId="0" applyFont="1" applyAlignment="1">
      <alignment vertical="center" wrapText="1"/>
    </xf>
    <xf numFmtId="0" fontId="85" fillId="0" borderId="0" xfId="0" applyFont="1" applyAlignment="1">
      <alignment vertical="center" wrapText="1"/>
    </xf>
    <xf numFmtId="0" fontId="95" fillId="0" borderId="0" xfId="0" applyFont="1" applyAlignment="1">
      <alignment vertical="center" wrapText="1"/>
    </xf>
    <xf numFmtId="0" fontId="85" fillId="0" borderId="0" xfId="0" applyFont="1" applyAlignment="1">
      <alignment horizontal="left" vertical="center" indent="1"/>
    </xf>
    <xf numFmtId="0" fontId="85" fillId="0" borderId="90" xfId="0" applyFont="1" applyBorder="1" applyAlignment="1">
      <alignment horizontal="center" vertical="center" wrapText="1"/>
    </xf>
    <xf numFmtId="8" fontId="85" fillId="0" borderId="60" xfId="0" applyNumberFormat="1" applyFont="1" applyBorder="1" applyAlignment="1">
      <alignment horizontal="center" vertical="center" wrapText="1"/>
    </xf>
    <xf numFmtId="0" fontId="95" fillId="0" borderId="90" xfId="0" applyFont="1" applyBorder="1" applyAlignment="1">
      <alignment horizontal="center" vertical="center" wrapText="1"/>
    </xf>
    <xf numFmtId="8" fontId="85" fillId="0" borderId="90" xfId="0" applyNumberFormat="1" applyFont="1" applyBorder="1" applyAlignment="1">
      <alignment horizontal="center" vertical="center" wrapText="1"/>
    </xf>
    <xf numFmtId="8" fontId="85" fillId="33" borderId="90" xfId="0" applyNumberFormat="1" applyFont="1" applyFill="1" applyBorder="1" applyAlignment="1">
      <alignment vertical="center" wrapText="1"/>
    </xf>
    <xf numFmtId="0" fontId="85" fillId="33" borderId="0" xfId="0" applyFont="1" applyFill="1"/>
    <xf numFmtId="0" fontId="0" fillId="33" borderId="0" xfId="0" applyFill="1"/>
    <xf numFmtId="0" fontId="5" fillId="0" borderId="24" xfId="0" applyFont="1" applyBorder="1"/>
    <xf numFmtId="38" fontId="2" fillId="0" borderId="92" xfId="0" applyNumberFormat="1" applyFont="1" applyBorder="1"/>
    <xf numFmtId="38" fontId="97" fillId="11" borderId="4" xfId="0" applyNumberFormat="1" applyFont="1" applyFill="1" applyBorder="1" applyAlignment="1">
      <alignment horizontal="center" vertical="center"/>
    </xf>
    <xf numFmtId="38" fontId="2" fillId="35" borderId="21" xfId="0" applyNumberFormat="1" applyFont="1" applyFill="1" applyBorder="1"/>
    <xf numFmtId="38" fontId="2" fillId="35" borderId="25" xfId="0" applyNumberFormat="1" applyFont="1" applyFill="1" applyBorder="1"/>
    <xf numFmtId="38" fontId="2" fillId="35" borderId="0" xfId="0" applyNumberFormat="1" applyFont="1" applyFill="1"/>
    <xf numFmtId="38" fontId="2" fillId="36" borderId="4" xfId="0" applyNumberFormat="1" applyFont="1" applyFill="1" applyBorder="1"/>
    <xf numFmtId="38" fontId="81" fillId="35" borderId="21" xfId="0" applyNumberFormat="1" applyFont="1" applyFill="1" applyBorder="1"/>
    <xf numFmtId="38" fontId="81" fillId="0" borderId="25" xfId="0" applyNumberFormat="1" applyFont="1" applyBorder="1"/>
    <xf numFmtId="171" fontId="99" fillId="37" borderId="4" xfId="0" applyNumberFormat="1" applyFont="1" applyFill="1" applyBorder="1"/>
    <xf numFmtId="38" fontId="81" fillId="0" borderId="0" xfId="0" applyNumberFormat="1" applyFont="1"/>
    <xf numFmtId="0" fontId="3" fillId="29" borderId="0" xfId="0" applyFont="1" applyFill="1"/>
    <xf numFmtId="0" fontId="0" fillId="29" borderId="0" xfId="0" applyFill="1"/>
    <xf numFmtId="3" fontId="2" fillId="6" borderId="28" xfId="0" applyNumberFormat="1" applyFont="1" applyFill="1" applyBorder="1"/>
    <xf numFmtId="180" fontId="2" fillId="8" borderId="25" xfId="0" applyNumberFormat="1" applyFont="1" applyFill="1" applyBorder="1"/>
    <xf numFmtId="3" fontId="2" fillId="38" borderId="25" xfId="0" applyNumberFormat="1" applyFont="1" applyFill="1" applyBorder="1"/>
    <xf numFmtId="0" fontId="2" fillId="29" borderId="4" xfId="0" applyFont="1" applyFill="1" applyBorder="1"/>
    <xf numFmtId="170" fontId="2" fillId="29" borderId="4" xfId="0" applyNumberFormat="1" applyFont="1" applyFill="1" applyBorder="1"/>
    <xf numFmtId="170" fontId="9" fillId="29" borderId="41" xfId="0" applyNumberFormat="1" applyFont="1" applyFill="1" applyBorder="1"/>
    <xf numFmtId="0" fontId="3" fillId="29" borderId="4" xfId="0" applyFont="1" applyFill="1" applyBorder="1"/>
    <xf numFmtId="3" fontId="17" fillId="29" borderId="4" xfId="0" applyNumberFormat="1" applyFont="1" applyFill="1" applyBorder="1" applyAlignment="1">
      <alignment horizontal="left" wrapText="1"/>
    </xf>
    <xf numFmtId="0" fontId="2" fillId="39" borderId="25" xfId="0" applyFont="1" applyFill="1" applyBorder="1"/>
    <xf numFmtId="170" fontId="2" fillId="40" borderId="25" xfId="0" applyNumberFormat="1" applyFont="1" applyFill="1" applyBorder="1"/>
    <xf numFmtId="170" fontId="15" fillId="40" borderId="25" xfId="0" applyNumberFormat="1" applyFont="1" applyFill="1" applyBorder="1"/>
    <xf numFmtId="170" fontId="2" fillId="40" borderId="4" xfId="0" applyNumberFormat="1" applyFont="1" applyFill="1" applyBorder="1" applyAlignment="1">
      <alignment horizontal="center"/>
    </xf>
    <xf numFmtId="0" fontId="2" fillId="39" borderId="26" xfId="0" applyFont="1" applyFill="1" applyBorder="1"/>
    <xf numFmtId="165" fontId="2" fillId="40" borderId="25" xfId="0" applyNumberFormat="1" applyFont="1" applyFill="1" applyBorder="1"/>
    <xf numFmtId="170" fontId="15" fillId="28" borderId="25" xfId="0" applyNumberFormat="1" applyFont="1" applyFill="1" applyBorder="1"/>
    <xf numFmtId="0" fontId="2" fillId="41" borderId="25" xfId="0" applyFont="1" applyFill="1" applyBorder="1"/>
    <xf numFmtId="170" fontId="2" fillId="41" borderId="25" xfId="0" applyNumberFormat="1" applyFont="1" applyFill="1" applyBorder="1"/>
    <xf numFmtId="170" fontId="2" fillId="41" borderId="41" xfId="0" applyNumberFormat="1" applyFont="1" applyFill="1" applyBorder="1"/>
    <xf numFmtId="170" fontId="2" fillId="41" borderId="12" xfId="0" applyNumberFormat="1" applyFont="1" applyFill="1" applyBorder="1"/>
    <xf numFmtId="170" fontId="2" fillId="41" borderId="4" xfId="0" applyNumberFormat="1" applyFont="1" applyFill="1" applyBorder="1"/>
    <xf numFmtId="170" fontId="20" fillId="42" borderId="4" xfId="0" applyNumberFormat="1" applyFont="1" applyFill="1" applyBorder="1"/>
    <xf numFmtId="0" fontId="2" fillId="41" borderId="4" xfId="0" applyFont="1" applyFill="1" applyBorder="1"/>
    <xf numFmtId="170" fontId="23" fillId="43" borderId="25" xfId="0" applyNumberFormat="1" applyFont="1" applyFill="1" applyBorder="1"/>
    <xf numFmtId="170" fontId="2" fillId="44" borderId="25" xfId="0" applyNumberFormat="1" applyFont="1" applyFill="1" applyBorder="1"/>
    <xf numFmtId="170" fontId="2" fillId="41" borderId="45" xfId="0" applyNumberFormat="1" applyFont="1" applyFill="1" applyBorder="1"/>
    <xf numFmtId="171" fontId="2" fillId="41" borderId="25" xfId="0" applyNumberFormat="1" applyFont="1" applyFill="1" applyBorder="1"/>
    <xf numFmtId="0" fontId="2" fillId="41" borderId="26" xfId="0" applyFont="1" applyFill="1" applyBorder="1"/>
    <xf numFmtId="170" fontId="2" fillId="41" borderId="30" xfId="0" applyNumberFormat="1" applyFont="1" applyFill="1" applyBorder="1"/>
    <xf numFmtId="0" fontId="2" fillId="28" borderId="25" xfId="0" applyFont="1" applyFill="1" applyBorder="1"/>
    <xf numFmtId="171" fontId="2" fillId="28" borderId="25" xfId="0" applyNumberFormat="1" applyFont="1" applyFill="1" applyBorder="1"/>
    <xf numFmtId="171" fontId="2" fillId="28" borderId="22" xfId="0" applyNumberFormat="1" applyFont="1" applyFill="1" applyBorder="1"/>
    <xf numFmtId="9" fontId="20" fillId="42" borderId="25" xfId="0" applyNumberFormat="1" applyFont="1" applyFill="1" applyBorder="1"/>
    <xf numFmtId="9" fontId="20" fillId="28" borderId="0" xfId="0" applyNumberFormat="1" applyFont="1" applyFill="1"/>
    <xf numFmtId="0" fontId="2" fillId="28" borderId="0" xfId="0" applyFont="1" applyFill="1"/>
    <xf numFmtId="170" fontId="2" fillId="28" borderId="25" xfId="0" applyNumberFormat="1" applyFont="1" applyFill="1" applyBorder="1"/>
    <xf numFmtId="171" fontId="2" fillId="28" borderId="7" xfId="0" applyNumberFormat="1" applyFont="1" applyFill="1" applyBorder="1"/>
    <xf numFmtId="171" fontId="2" fillId="28" borderId="11" xfId="0" applyNumberFormat="1" applyFont="1" applyFill="1" applyBorder="1"/>
    <xf numFmtId="0" fontId="3" fillId="28" borderId="0" xfId="0" applyFont="1" applyFill="1"/>
    <xf numFmtId="170" fontId="2" fillId="28" borderId="85" xfId="0" applyNumberFormat="1" applyFont="1" applyFill="1" applyBorder="1"/>
    <xf numFmtId="170" fontId="2" fillId="28" borderId="12" xfId="0" applyNumberFormat="1" applyFont="1" applyFill="1" applyBorder="1"/>
    <xf numFmtId="170" fontId="2" fillId="28" borderId="4" xfId="0" applyNumberFormat="1" applyFont="1" applyFill="1" applyBorder="1"/>
    <xf numFmtId="170" fontId="2" fillId="39" borderId="25" xfId="0" applyNumberFormat="1" applyFont="1" applyFill="1" applyBorder="1"/>
    <xf numFmtId="170" fontId="32" fillId="45" borderId="25" xfId="0" applyNumberFormat="1" applyFont="1" applyFill="1" applyBorder="1"/>
    <xf numFmtId="170" fontId="15" fillId="28" borderId="4" xfId="0" applyNumberFormat="1" applyFont="1" applyFill="1" applyBorder="1"/>
    <xf numFmtId="170" fontId="32" fillId="28" borderId="0" xfId="0" applyNumberFormat="1" applyFont="1" applyFill="1"/>
    <xf numFmtId="170" fontId="15" fillId="28" borderId="0" xfId="0" applyNumberFormat="1" applyFont="1" applyFill="1"/>
    <xf numFmtId="170" fontId="35" fillId="46" borderId="25" xfId="0" applyNumberFormat="1" applyFont="1" applyFill="1" applyBorder="1"/>
    <xf numFmtId="170" fontId="35" fillId="28" borderId="0" xfId="0" applyNumberFormat="1" applyFont="1" applyFill="1"/>
    <xf numFmtId="38" fontId="23" fillId="46" borderId="25" xfId="0" applyNumberFormat="1" applyFont="1" applyFill="1" applyBorder="1"/>
    <xf numFmtId="171" fontId="37" fillId="43" borderId="25" xfId="0" applyNumberFormat="1" applyFont="1" applyFill="1" applyBorder="1"/>
    <xf numFmtId="0" fontId="2" fillId="28" borderId="4" xfId="0" applyFont="1" applyFill="1" applyBorder="1"/>
    <xf numFmtId="170" fontId="20" fillId="44" borderId="25" xfId="0" applyNumberFormat="1" applyFont="1" applyFill="1" applyBorder="1"/>
    <xf numFmtId="173" fontId="2" fillId="28" borderId="25" xfId="0" applyNumberFormat="1" applyFont="1" applyFill="1" applyBorder="1"/>
    <xf numFmtId="168" fontId="20" fillId="28" borderId="25" xfId="0" applyNumberFormat="1" applyFont="1" applyFill="1" applyBorder="1"/>
    <xf numFmtId="168" fontId="2" fillId="28" borderId="25" xfId="0" applyNumberFormat="1" applyFont="1" applyFill="1" applyBorder="1"/>
    <xf numFmtId="170" fontId="2" fillId="28" borderId="7" xfId="0" applyNumberFormat="1" applyFont="1" applyFill="1" applyBorder="1"/>
    <xf numFmtId="170" fontId="2" fillId="28" borderId="60" xfId="0" applyNumberFormat="1" applyFont="1" applyFill="1" applyBorder="1"/>
    <xf numFmtId="170" fontId="2" fillId="28" borderId="0" xfId="0" applyNumberFormat="1" applyFont="1" applyFill="1"/>
    <xf numFmtId="3" fontId="2" fillId="47" borderId="25" xfId="0" applyNumberFormat="1" applyFont="1" applyFill="1" applyBorder="1"/>
    <xf numFmtId="3" fontId="84" fillId="29" borderId="60" xfId="0" applyNumberFormat="1" applyFont="1" applyFill="1" applyBorder="1" applyAlignment="1">
      <alignment vertical="top" wrapText="1"/>
    </xf>
    <xf numFmtId="181" fontId="2" fillId="0" borderId="0" xfId="0" applyNumberFormat="1" applyFont="1"/>
    <xf numFmtId="182" fontId="2" fillId="0" borderId="0" xfId="0" applyNumberFormat="1" applyFont="1"/>
    <xf numFmtId="171" fontId="2" fillId="0" borderId="82" xfId="0" applyNumberFormat="1" applyFont="1" applyBorder="1"/>
    <xf numFmtId="0" fontId="2" fillId="0" borderId="6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00" fillId="0" borderId="0" xfId="0" applyFont="1"/>
    <xf numFmtId="0" fontId="83" fillId="2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5" xfId="0" applyFont="1" applyBorder="1"/>
    <xf numFmtId="3" fontId="84" fillId="28" borderId="85" xfId="0" applyNumberFormat="1" applyFont="1" applyFill="1" applyBorder="1" applyAlignment="1">
      <alignment horizontal="center" wrapText="1"/>
    </xf>
    <xf numFmtId="3" fontId="84" fillId="28" borderId="60" xfId="0" applyNumberFormat="1" applyFont="1" applyFill="1" applyBorder="1" applyAlignment="1">
      <alignment horizontal="center" wrapText="1"/>
    </xf>
    <xf numFmtId="3" fontId="84" fillId="28" borderId="85" xfId="0" applyNumberFormat="1" applyFont="1" applyFill="1" applyBorder="1" applyAlignment="1">
      <alignment horizontal="center" vertical="top" wrapText="1"/>
    </xf>
    <xf numFmtId="3" fontId="84" fillId="28" borderId="60" xfId="0" applyNumberFormat="1" applyFont="1" applyFill="1" applyBorder="1" applyAlignment="1">
      <alignment horizontal="center" vertical="top" wrapText="1"/>
    </xf>
    <xf numFmtId="3" fontId="16" fillId="8" borderId="15" xfId="0" applyNumberFormat="1" applyFont="1" applyFill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15" fillId="0" borderId="21" xfId="0" applyFont="1" applyBorder="1"/>
    <xf numFmtId="0" fontId="5" fillId="0" borderId="24" xfId="0" applyFont="1" applyBorder="1"/>
    <xf numFmtId="3" fontId="15" fillId="0" borderId="1" xfId="0" applyNumberFormat="1" applyFont="1" applyBorder="1" applyAlignment="1">
      <alignment horizontal="center"/>
    </xf>
    <xf numFmtId="0" fontId="5" fillId="0" borderId="22" xfId="0" applyFont="1" applyBorder="1"/>
    <xf numFmtId="0" fontId="5" fillId="0" borderId="23" xfId="0" applyFont="1" applyBorder="1"/>
    <xf numFmtId="0" fontId="23" fillId="11" borderId="29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5" fillId="0" borderId="10" xfId="0" applyFont="1" applyBorder="1"/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4" xfId="0" applyFont="1" applyBorder="1"/>
    <xf numFmtId="0" fontId="2" fillId="10" borderId="21" xfId="0" applyFont="1" applyFill="1" applyBorder="1" applyAlignment="1">
      <alignment horizontal="center"/>
    </xf>
    <xf numFmtId="0" fontId="2" fillId="10" borderId="33" xfId="0" applyFont="1" applyFill="1" applyBorder="1" applyAlignment="1">
      <alignment horizontal="center"/>
    </xf>
    <xf numFmtId="0" fontId="5" fillId="0" borderId="36" xfId="0" applyFont="1" applyBorder="1"/>
    <xf numFmtId="0" fontId="2" fillId="10" borderId="34" xfId="0" applyFont="1" applyFill="1" applyBorder="1" applyAlignment="1">
      <alignment horizontal="center"/>
    </xf>
    <xf numFmtId="0" fontId="15" fillId="10" borderId="29" xfId="0" applyFont="1" applyFill="1" applyBorder="1" applyAlignment="1">
      <alignment horizontal="center"/>
    </xf>
    <xf numFmtId="0" fontId="5" fillId="0" borderId="35" xfId="0" applyFont="1" applyBorder="1"/>
    <xf numFmtId="0" fontId="2" fillId="9" borderId="1" xfId="0" applyFont="1" applyFill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3" fillId="11" borderId="1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9" fillId="18" borderId="21" xfId="0" applyFont="1" applyFill="1" applyBorder="1" applyAlignment="1">
      <alignment horizontal="left" vertical="center" wrapText="1"/>
    </xf>
    <xf numFmtId="0" fontId="23" fillId="18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5" fillId="0" borderId="7" xfId="0" applyFont="1" applyBorder="1"/>
    <xf numFmtId="0" fontId="5" fillId="0" borderId="9" xfId="0" applyFont="1" applyBorder="1"/>
    <xf numFmtId="0" fontId="5" fillId="0" borderId="11" xfId="0" applyFont="1" applyBorder="1"/>
    <xf numFmtId="0" fontId="2" fillId="12" borderId="92" xfId="0" applyFont="1" applyFill="1" applyBorder="1" applyAlignment="1">
      <alignment horizontal="center"/>
    </xf>
    <xf numFmtId="0" fontId="5" fillId="0" borderId="92" xfId="0" applyFont="1" applyBorder="1"/>
    <xf numFmtId="170" fontId="2" fillId="0" borderId="1" xfId="0" applyNumberFormat="1" applyFont="1" applyBorder="1" applyAlignment="1">
      <alignment horizontal="center"/>
    </xf>
    <xf numFmtId="0" fontId="32" fillId="15" borderId="1" xfId="0" applyFont="1" applyFill="1" applyBorder="1" applyAlignment="1">
      <alignment horizontal="center"/>
    </xf>
    <xf numFmtId="0" fontId="35" fillId="18" borderId="1" xfId="0" applyFont="1" applyFill="1" applyBorder="1" applyAlignment="1">
      <alignment horizontal="center"/>
    </xf>
    <xf numFmtId="170" fontId="2" fillId="12" borderId="1" xfId="0" applyNumberFormat="1" applyFont="1" applyFill="1" applyBorder="1" applyAlignment="1">
      <alignment horizontal="center"/>
    </xf>
    <xf numFmtId="0" fontId="85" fillId="0" borderId="88" xfId="0" applyFont="1" applyBorder="1" applyAlignment="1">
      <alignment horizontal="center" vertical="center" wrapText="1"/>
    </xf>
    <xf numFmtId="0" fontId="85" fillId="0" borderId="91" xfId="0" applyFont="1" applyBorder="1" applyAlignment="1">
      <alignment vertical="center" wrapText="1"/>
    </xf>
    <xf numFmtId="0" fontId="85" fillId="0" borderId="90" xfId="0" applyFont="1" applyBorder="1" applyAlignment="1">
      <alignment vertical="center" wrapText="1"/>
    </xf>
    <xf numFmtId="0" fontId="95" fillId="0" borderId="91" xfId="0" applyFont="1" applyBorder="1" applyAlignment="1">
      <alignment horizontal="center" vertical="center" wrapText="1"/>
    </xf>
    <xf numFmtId="0" fontId="95" fillId="0" borderId="90" xfId="0" applyFont="1" applyBorder="1" applyAlignment="1">
      <alignment horizontal="center" vertical="center" wrapText="1"/>
    </xf>
    <xf numFmtId="0" fontId="40" fillId="19" borderId="49" xfId="0" applyFont="1" applyFill="1" applyBorder="1" applyAlignment="1">
      <alignment horizontal="center" vertical="center" wrapText="1"/>
    </xf>
    <xf numFmtId="0" fontId="5" fillId="0" borderId="50" xfId="0" applyFont="1" applyBorder="1"/>
    <xf numFmtId="0" fontId="41" fillId="20" borderId="49" xfId="0" applyFont="1" applyFill="1" applyBorder="1" applyAlignment="1">
      <alignment horizontal="center" vertical="center" wrapText="1"/>
    </xf>
    <xf numFmtId="0" fontId="53" fillId="6" borderId="80" xfId="0" applyFont="1" applyFill="1" applyBorder="1"/>
    <xf numFmtId="0" fontId="5" fillId="0" borderId="81" xfId="0" applyFont="1" applyBorder="1"/>
    <xf numFmtId="0" fontId="53" fillId="6" borderId="82" xfId="0" applyFont="1" applyFill="1" applyBorder="1"/>
    <xf numFmtId="0" fontId="5" fillId="0" borderId="56" xfId="0" applyFont="1" applyBorder="1"/>
    <xf numFmtId="0" fontId="5" fillId="0" borderId="83" xfId="0" applyFont="1" applyBorder="1"/>
    <xf numFmtId="0" fontId="53" fillId="6" borderId="84" xfId="0" applyFont="1" applyFill="1" applyBorder="1"/>
    <xf numFmtId="0" fontId="5" fillId="0" borderId="85" xfId="0" applyFont="1" applyBorder="1"/>
    <xf numFmtId="0" fontId="53" fillId="6" borderId="55" xfId="0" applyFont="1" applyFill="1" applyBorder="1"/>
    <xf numFmtId="0" fontId="5" fillId="0" borderId="57" xfId="0" applyFont="1" applyBorder="1"/>
    <xf numFmtId="0" fontId="2" fillId="22" borderId="15" xfId="0" applyFont="1" applyFill="1" applyBorder="1" applyAlignment="1">
      <alignment horizontal="left"/>
    </xf>
    <xf numFmtId="0" fontId="5" fillId="0" borderId="58" xfId="0" applyFont="1" applyBorder="1"/>
    <xf numFmtId="0" fontId="5" fillId="0" borderId="59" xfId="0" applyFont="1" applyBorder="1"/>
    <xf numFmtId="0" fontId="2" fillId="6" borderId="55" xfId="0" applyFont="1" applyFill="1" applyBorder="1"/>
    <xf numFmtId="0" fontId="2" fillId="6" borderId="60" xfId="0" applyFont="1" applyFill="1" applyBorder="1"/>
    <xf numFmtId="0" fontId="40" fillId="23" borderId="61" xfId="0" applyFont="1" applyFill="1" applyBorder="1" applyAlignment="1">
      <alignment horizontal="center" vertical="center"/>
    </xf>
    <xf numFmtId="0" fontId="5" fillId="0" borderId="67" xfId="0" applyFont="1" applyBorder="1"/>
    <xf numFmtId="0" fontId="40" fillId="23" borderId="62" xfId="0" applyFont="1" applyFill="1" applyBorder="1" applyAlignment="1">
      <alignment horizontal="center" vertical="center" wrapText="1"/>
    </xf>
    <xf numFmtId="0" fontId="5" fillId="0" borderId="63" xfId="0" applyFont="1" applyBorder="1"/>
    <xf numFmtId="0" fontId="40" fillId="23" borderId="64" xfId="0" applyFont="1" applyFill="1" applyBorder="1" applyAlignment="1">
      <alignment horizontal="center" vertical="center"/>
    </xf>
    <xf numFmtId="0" fontId="5" fillId="0" borderId="65" xfId="0" applyFont="1" applyBorder="1"/>
    <xf numFmtId="0" fontId="4" fillId="6" borderId="72" xfId="0" applyFont="1" applyFill="1" applyBorder="1"/>
    <xf numFmtId="0" fontId="2" fillId="6" borderId="72" xfId="0" applyFont="1" applyFill="1" applyBorder="1" applyAlignment="1">
      <alignment horizontal="center" vertical="top"/>
    </xf>
    <xf numFmtId="0" fontId="15" fillId="6" borderId="72" xfId="0" applyFont="1" applyFill="1" applyBorder="1"/>
    <xf numFmtId="0" fontId="40" fillId="23" borderId="62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30" fillId="0" borderId="6" xfId="0" applyFont="1" applyBorder="1" applyAlignment="1">
      <alignment horizontal="center" vertical="center" wrapText="1"/>
    </xf>
    <xf numFmtId="0" fontId="5" fillId="0" borderId="47" xfId="0" applyFont="1" applyBorder="1"/>
    <xf numFmtId="0" fontId="0" fillId="0" borderId="0" xfId="0"/>
    <xf numFmtId="0" fontId="5" fillId="0" borderId="46" xfId="0" applyFont="1" applyBorder="1"/>
    <xf numFmtId="0" fontId="2" fillId="8" borderId="89" xfId="0" applyFont="1" applyFill="1" applyBorder="1" applyAlignment="1">
      <alignment vertical="center" wrapText="1"/>
    </xf>
    <xf numFmtId="0" fontId="5" fillId="0" borderId="90" xfId="0" applyFont="1" applyBorder="1"/>
    <xf numFmtId="0" fontId="64" fillId="0" borderId="91" xfId="0" applyFont="1" applyBorder="1" applyAlignment="1">
      <alignment horizontal="center" vertical="center" wrapText="1"/>
    </xf>
    <xf numFmtId="0" fontId="5" fillId="0" borderId="87" xfId="0" applyFont="1" applyBorder="1"/>
    <xf numFmtId="0" fontId="3" fillId="0" borderId="88" xfId="0" applyFont="1" applyBorder="1" applyAlignment="1">
      <alignment horizontal="center" vertical="center" wrapText="1"/>
    </xf>
    <xf numFmtId="0" fontId="5" fillId="0" borderId="88" xfId="0" applyFont="1" applyBorder="1"/>
    <xf numFmtId="38" fontId="2" fillId="35" borderId="92" xfId="0" applyNumberFormat="1" applyFont="1" applyFill="1" applyBorder="1" applyAlignment="1">
      <alignment horizontal="center" wrapText="1"/>
    </xf>
    <xf numFmtId="38" fontId="98" fillId="34" borderId="0" xfId="0" applyNumberFormat="1" applyFont="1" applyFill="1" applyAlignment="1">
      <alignment horizontal="center"/>
    </xf>
    <xf numFmtId="0" fontId="2" fillId="0" borderId="91" xfId="0" applyFont="1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3" fillId="0" borderId="91" xfId="0" applyFont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41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FFFF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FFFF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FFFF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FFFF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FFFF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1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FF0000"/>
      </font>
      <fill>
        <patternFill patternType="solid">
          <fgColor rgb="FF000000"/>
          <bgColor rgb="FF000000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</dxf>
    <dxf>
      <font>
        <color rgb="FFE36C09"/>
      </font>
      <fill>
        <patternFill patternType="solid">
          <fgColor rgb="FF000000"/>
          <bgColor rgb="FF000000"/>
        </patternFill>
      </fill>
    </dxf>
    <dxf>
      <font>
        <color rgb="FFFF0000"/>
      </font>
      <fill>
        <patternFill patternType="solid">
          <fgColor rgb="FF000000"/>
          <bgColor rgb="FF000000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</dxf>
    <dxf>
      <font>
        <color rgb="FFE36C09"/>
      </font>
      <fill>
        <patternFill patternType="solid">
          <fgColor rgb="FF000000"/>
          <bgColor rgb="FF000000"/>
        </patternFill>
      </fill>
    </dxf>
    <dxf>
      <font>
        <color rgb="FFFF0000"/>
      </font>
      <fill>
        <patternFill patternType="solid">
          <fgColor rgb="FF000000"/>
          <bgColor rgb="FF000000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</dxf>
    <dxf>
      <font>
        <color rgb="FFE36C09"/>
      </font>
      <fill>
        <patternFill patternType="solid">
          <fgColor rgb="FF000000"/>
          <bgColor rgb="FF000000"/>
        </patternFill>
      </fill>
    </dxf>
    <dxf>
      <font>
        <color rgb="FFFF0000"/>
      </font>
      <fill>
        <patternFill patternType="solid">
          <fgColor rgb="FF000000"/>
          <bgColor rgb="FF000000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</dxf>
    <dxf>
      <font>
        <color rgb="FFE36C09"/>
      </font>
      <fill>
        <patternFill patternType="solid">
          <fgColor rgb="FF000000"/>
          <bgColor rgb="FF000000"/>
        </patternFill>
      </fill>
    </dxf>
    <dxf>
      <font>
        <color rgb="FFFF0000"/>
      </font>
      <fill>
        <patternFill patternType="solid">
          <fgColor rgb="FF000000"/>
          <bgColor rgb="FF000000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</dxf>
    <dxf>
      <font>
        <color rgb="FFE36C09"/>
      </font>
      <fill>
        <patternFill patternType="solid">
          <fgColor rgb="FF000000"/>
          <bgColor rgb="FF00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A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>
        <c:manualLayout>
          <c:xMode val="edge"/>
          <c:yMode val="edge"/>
          <c:x val="0.13206491688538932"/>
          <c:y val="3.6484245439469321E-2"/>
          <c:w val="0.82287401574803132"/>
          <c:h val="0.82687141719225399"/>
        </c:manualLayout>
      </c:layout>
      <c:scatterChart>
        <c:scatterStyle val="lineMarker"/>
        <c:varyColors val="0"/>
        <c:ser>
          <c:idx val="0"/>
          <c:order val="0"/>
          <c:tx>
            <c:v>Com elevadores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('custo UrbanizR$'!$D$10:$E$10,'custo UrbanizR$'!$G$10:$P$10)</c:f>
              <c:numCache>
                <c:formatCode>_(* #,##0_);_(* \(#,##0\);_(* "-"??_);_(@_)</c:formatCode>
                <c:ptCount val="12"/>
                <c:pt idx="0">
                  <c:v>480</c:v>
                </c:pt>
                <c:pt idx="1">
                  <c:v>504.4</c:v>
                </c:pt>
                <c:pt idx="2">
                  <c:v>2704</c:v>
                </c:pt>
                <c:pt idx="3">
                  <c:v>3200</c:v>
                </c:pt>
                <c:pt idx="4">
                  <c:v>0</c:v>
                </c:pt>
                <c:pt idx="5">
                  <c:v>1520</c:v>
                </c:pt>
                <c:pt idx="6">
                  <c:v>560</c:v>
                </c:pt>
                <c:pt idx="7">
                  <c:v>800</c:v>
                </c:pt>
                <c:pt idx="8">
                  <c:v>480</c:v>
                </c:pt>
                <c:pt idx="9">
                  <c:v>840</c:v>
                </c:pt>
                <c:pt idx="10">
                  <c:v>608</c:v>
                </c:pt>
                <c:pt idx="11">
                  <c:v>320</c:v>
                </c:pt>
              </c:numCache>
            </c:numRef>
          </c:xVal>
          <c:yVal>
            <c:numRef>
              <c:f>('custo UrbanizR$'!$D$11:$E$11,'custo UrbanizR$'!$G$11:$P$11)</c:f>
              <c:numCache>
                <c:formatCode>_(* #,##0_);_(* \(#,##0\);_(* "-"??_);_(@_)</c:formatCode>
                <c:ptCount val="12"/>
                <c:pt idx="0">
                  <c:v>2429.0996177678753</c:v>
                </c:pt>
                <c:pt idx="1">
                  <c:v>1221.3163552886599</c:v>
                </c:pt>
                <c:pt idx="2">
                  <c:v>367.33133247346154</c:v>
                </c:pt>
                <c:pt idx="3">
                  <c:v>143.45099292273753</c:v>
                </c:pt>
                <c:pt idx="4">
                  <c:v>0</c:v>
                </c:pt>
                <c:pt idx="5">
                  <c:v>580.94008749662567</c:v>
                </c:pt>
                <c:pt idx="6">
                  <c:v>943.04869124991114</c:v>
                </c:pt>
                <c:pt idx="7">
                  <c:v>579.60939805176531</c:v>
                </c:pt>
                <c:pt idx="8">
                  <c:v>2859.0883851837934</c:v>
                </c:pt>
                <c:pt idx="9">
                  <c:v>889.28602626384861</c:v>
                </c:pt>
                <c:pt idx="10">
                  <c:v>868.54667484869208</c:v>
                </c:pt>
                <c:pt idx="11">
                  <c:v>4744.1409210098418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EA-413F-9188-4B09CB2B8AA3}"/>
            </c:ext>
          </c:extLst>
        </c:ser>
        <c:ser>
          <c:idx val="1"/>
          <c:order val="1"/>
          <c:tx>
            <c:strRef>
              <c:f>'custo UrbanizR$'!$AF$3:$AY$3</c:f>
              <c:strCache>
                <c:ptCount val="20"/>
                <c:pt idx="0">
                  <c:v>Sem elevadores</c:v>
                </c:pt>
              </c:strCache>
            </c:strRef>
          </c:tx>
          <c:spPr>
            <a:ln w="19050">
              <a:noFill/>
            </a:ln>
          </c:spPr>
          <c:xVal>
            <c:numRef>
              <c:f>('custo UrbanizR$'!$AF$10,'custo UrbanizR$'!$AH$10:$AJ$10,'custo UrbanizR$'!$AL$10:$AS$10)</c:f>
              <c:numCache>
                <c:formatCode>_(* #,##0_);_(* \(#,##0\);_(* "-"??_);_(@_)</c:formatCode>
                <c:ptCount val="12"/>
                <c:pt idx="0">
                  <c:v>360</c:v>
                </c:pt>
                <c:pt idx="1">
                  <c:v>352</c:v>
                </c:pt>
                <c:pt idx="2">
                  <c:v>200</c:v>
                </c:pt>
                <c:pt idx="3">
                  <c:v>380</c:v>
                </c:pt>
                <c:pt idx="4">
                  <c:v>360</c:v>
                </c:pt>
                <c:pt idx="5">
                  <c:v>440</c:v>
                </c:pt>
                <c:pt idx="6">
                  <c:v>156</c:v>
                </c:pt>
                <c:pt idx="7">
                  <c:v>600</c:v>
                </c:pt>
                <c:pt idx="8">
                  <c:v>336</c:v>
                </c:pt>
                <c:pt idx="9">
                  <c:v>352</c:v>
                </c:pt>
                <c:pt idx="10">
                  <c:v>220</c:v>
                </c:pt>
                <c:pt idx="11">
                  <c:v>640</c:v>
                </c:pt>
              </c:numCache>
            </c:numRef>
          </c:xVal>
          <c:yVal>
            <c:numRef>
              <c:f>('custo UrbanizR$'!$AF$11,'custo UrbanizR$'!$AH$11:$AJ$11,'custo UrbanizR$'!$AL$11:$AS$11)</c:f>
              <c:numCache>
                <c:formatCode>_(* #,##0_);_(* \(#,##0\);_(* "-"??_);_(@_)</c:formatCode>
                <c:ptCount val="12"/>
                <c:pt idx="0">
                  <c:v>2241.8827115524668</c:v>
                </c:pt>
                <c:pt idx="1">
                  <c:v>2246.7508963109658</c:v>
                </c:pt>
                <c:pt idx="2">
                  <c:v>1976.1051853062004</c:v>
                </c:pt>
                <c:pt idx="3">
                  <c:v>4893.148152025421</c:v>
                </c:pt>
                <c:pt idx="4">
                  <c:v>4531.0829251436671</c:v>
                </c:pt>
                <c:pt idx="5">
                  <c:v>4015.7449383763637</c:v>
                </c:pt>
                <c:pt idx="6">
                  <c:v>3192.7804695282002</c:v>
                </c:pt>
                <c:pt idx="7">
                  <c:v>1283.2213011228002</c:v>
                </c:pt>
                <c:pt idx="8">
                  <c:v>2388.6729766969643</c:v>
                </c:pt>
                <c:pt idx="9">
                  <c:v>2433.1990185727841</c:v>
                </c:pt>
                <c:pt idx="10">
                  <c:v>5745.5121257642741</c:v>
                </c:pt>
                <c:pt idx="11">
                  <c:v>1489.7345693599686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EA-413F-9188-4B09CB2B8AA3}"/>
            </c:ext>
          </c:extLst>
        </c:ser>
        <c:ser>
          <c:idx val="2"/>
          <c:order val="2"/>
          <c:tx>
            <c:strRef>
              <c:f>'custo UrbanizR$'!$AC$3:$AD$3</c:f>
              <c:strCache>
                <c:ptCount val="2"/>
                <c:pt idx="0">
                  <c:v>Casas</c:v>
                </c:pt>
              </c:strCache>
            </c:strRef>
          </c:tx>
          <c:spPr>
            <a:ln w="19050">
              <a:noFill/>
            </a:ln>
          </c:spPr>
          <c:xVal>
            <c:numRef>
              <c:f>'custo UrbanizR$'!$AC$10:$AD$10</c:f>
              <c:numCache>
                <c:formatCode>_(* #,##0_);_(* \(#,##0\);_(* "-"??_);_(@_)</c:formatCode>
                <c:ptCount val="2"/>
                <c:pt idx="0">
                  <c:v>68</c:v>
                </c:pt>
                <c:pt idx="1">
                  <c:v>216</c:v>
                </c:pt>
              </c:numCache>
            </c:numRef>
          </c:xVal>
          <c:yVal>
            <c:numRef>
              <c:f>'custo UrbanizR$'!$AC$11:$AD$11</c:f>
              <c:numCache>
                <c:formatCode>_(* #,##0_);_(* \(#,##0\);_(* "-"??_);_(@_)</c:formatCode>
                <c:ptCount val="2"/>
                <c:pt idx="0">
                  <c:v>20446.203004305004</c:v>
                </c:pt>
                <c:pt idx="1">
                  <c:v>4625.4405881269449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EA-413F-9188-4B09CB2B8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7189851"/>
        <c:axId val="606379366"/>
      </c:scatterChart>
      <c:valAx>
        <c:axId val="1667189851"/>
        <c:scaling>
          <c:orientation val="minMax"/>
          <c:max val="200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pt-BR" sz="1200" b="1" i="0">
                    <a:solidFill>
                      <a:srgbClr val="000000"/>
                    </a:solidFill>
                    <a:latin typeface="Calibri"/>
                  </a:rPr>
                  <a:t>Nº unidades</a:t>
                </a:r>
              </a:p>
            </c:rich>
          </c:tx>
          <c:layout>
            <c:manualLayout>
              <c:xMode val="edge"/>
              <c:yMode val="edge"/>
              <c:x val="0.50885739282589681"/>
              <c:y val="0.92371475953565507"/>
            </c:manualLayout>
          </c:layout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606379366"/>
        <c:crosses val="autoZero"/>
        <c:crossBetween val="midCat"/>
      </c:valAx>
      <c:valAx>
        <c:axId val="606379366"/>
        <c:scaling>
          <c:orientation val="minMax"/>
          <c:max val="2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pt-BR" sz="1200" b="1" i="0">
                    <a:solidFill>
                      <a:srgbClr val="000000"/>
                    </a:solidFill>
                    <a:latin typeface="Calibri"/>
                  </a:rPr>
                  <a:t>Custo de urbanização / unidade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1667189851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9406281714785647"/>
          <c:y val="0.16397122001540851"/>
        </c:manualLayout>
      </c:layout>
      <c:overlay val="0"/>
      <c:txPr>
        <a:bodyPr/>
        <a:lstStyle/>
        <a:p>
          <a:pPr lvl="0">
            <a:defRPr sz="1050" b="1" i="0">
              <a:solidFill>
                <a:srgbClr val="1A1A1A"/>
              </a:solidFill>
              <a:latin typeface="Calibri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8.7810659753157772E-2"/>
          <c:y val="5.6583523833714337E-2"/>
          <c:w val="0.88164565056279276"/>
          <c:h val="0.77380272627211921"/>
        </c:manualLayout>
      </c:layout>
      <c:scatterChart>
        <c:scatterStyle val="lineMarker"/>
        <c:varyColors val="0"/>
        <c:ser>
          <c:idx val="0"/>
          <c:order val="0"/>
          <c:tx>
            <c:v>Com elevadores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Pt>
            <c:idx val="1"/>
            <c:marker>
              <c:symbol val="circle"/>
              <c:size val="9"/>
              <c:spPr>
                <a:solidFill>
                  <a:srgbClr val="7030A0"/>
                </a:solidFill>
                <a:ln cmpd="sng">
                  <a:solidFill>
                    <a:schemeClr val="accent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967-409F-9E12-F66DBACD6CDF}"/>
              </c:ext>
            </c:extLst>
          </c:dPt>
          <c:xVal>
            <c:numRef>
              <c:f>'CustoXReceita Empreend$'!$D$36:$R$36</c:f>
              <c:numCache>
                <c:formatCode>_(* #,##0_);_(* \(#,##0\);_(* "-"??_);_(@_)</c:formatCode>
                <c:ptCount val="15"/>
                <c:pt idx="0">
                  <c:v>284856.37356638751</c:v>
                </c:pt>
                <c:pt idx="1">
                  <c:v>279167.69281147659</c:v>
                </c:pt>
                <c:pt idx="2">
                  <c:v>292840.94458422711</c:v>
                </c:pt>
                <c:pt idx="3">
                  <c:v>207641.53041875086</c:v>
                </c:pt>
                <c:pt idx="4">
                  <c:v>203743.40423708266</c:v>
                </c:pt>
                <c:pt idx="5">
                  <c:v>0</c:v>
                </c:pt>
                <c:pt idx="6">
                  <c:v>222146.11361087734</c:v>
                </c:pt>
                <c:pt idx="7">
                  <c:v>270376.80654183199</c:v>
                </c:pt>
                <c:pt idx="8">
                  <c:v>244583.51163354525</c:v>
                </c:pt>
                <c:pt idx="9">
                  <c:v>286223.94199333159</c:v>
                </c:pt>
                <c:pt idx="10">
                  <c:v>245094.77986966385</c:v>
                </c:pt>
                <c:pt idx="11">
                  <c:v>265136.91206988832</c:v>
                </c:pt>
                <c:pt idx="12">
                  <c:v>331898.32560847246</c:v>
                </c:pt>
                <c:pt idx="13">
                  <c:v>227911.25945833474</c:v>
                </c:pt>
                <c:pt idx="14">
                  <c:v>291139.93539336312</c:v>
                </c:pt>
              </c:numCache>
            </c:numRef>
          </c:xVal>
          <c:yVal>
            <c:numRef>
              <c:f>'CustoXReceita Empreend$'!$D$35:$R$35</c:f>
              <c:numCache>
                <c:formatCode>_(* #,##0_);_(* \(#,##0\);_(* "-"??_);_(@_)</c:formatCode>
                <c:ptCount val="15"/>
                <c:pt idx="0">
                  <c:v>480</c:v>
                </c:pt>
                <c:pt idx="1">
                  <c:v>504.4</c:v>
                </c:pt>
                <c:pt idx="2">
                  <c:v>432</c:v>
                </c:pt>
                <c:pt idx="3">
                  <c:v>2704</c:v>
                </c:pt>
                <c:pt idx="4">
                  <c:v>3200</c:v>
                </c:pt>
                <c:pt idx="5">
                  <c:v>0</c:v>
                </c:pt>
                <c:pt idx="6">
                  <c:v>1520</c:v>
                </c:pt>
                <c:pt idx="7">
                  <c:v>560</c:v>
                </c:pt>
                <c:pt idx="8">
                  <c:v>800</c:v>
                </c:pt>
                <c:pt idx="9">
                  <c:v>480</c:v>
                </c:pt>
                <c:pt idx="10">
                  <c:v>840</c:v>
                </c:pt>
                <c:pt idx="11">
                  <c:v>608</c:v>
                </c:pt>
                <c:pt idx="12">
                  <c:v>320</c:v>
                </c:pt>
                <c:pt idx="13">
                  <c:v>1200</c:v>
                </c:pt>
                <c:pt idx="14">
                  <c:v>448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22-46F8-8653-66637408047A}"/>
            </c:ext>
          </c:extLst>
        </c:ser>
        <c:ser>
          <c:idx val="1"/>
          <c:order val="1"/>
          <c:tx>
            <c:strRef>
              <c:f>'CustoXReceita Empreend$'!$AD$3:$AE$3</c:f>
              <c:strCache>
                <c:ptCount val="2"/>
                <c:pt idx="0">
                  <c:v>Casas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'CustoXReceita Empreend$'!$AD$36:$AE$36</c:f>
              <c:numCache>
                <c:formatCode>_(* #,##0_);_(* \(#,##0\);_(* "-"??_);_(@_)</c:formatCode>
                <c:ptCount val="2"/>
                <c:pt idx="0">
                  <c:v>814360.63225601253</c:v>
                </c:pt>
                <c:pt idx="1">
                  <c:v>367596.40625215106</c:v>
                </c:pt>
              </c:numCache>
            </c:numRef>
          </c:xVal>
          <c:yVal>
            <c:numRef>
              <c:f>'CustoXReceita Empreend$'!$AD$35:$AE$35</c:f>
              <c:numCache>
                <c:formatCode>_(* #,##0_);_(* \(#,##0\);_(* "-"??_);_(@_)</c:formatCode>
                <c:ptCount val="2"/>
                <c:pt idx="0">
                  <c:v>68</c:v>
                </c:pt>
                <c:pt idx="1">
                  <c:v>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67-409F-9E12-F66DBACD6CDF}"/>
            </c:ext>
          </c:extLst>
        </c:ser>
        <c:ser>
          <c:idx val="2"/>
          <c:order val="2"/>
          <c:tx>
            <c:strRef>
              <c:f>'CustoXReceita Empreend$'!$AG$3:$AZ$3</c:f>
              <c:strCache>
                <c:ptCount val="20"/>
                <c:pt idx="0">
                  <c:v>Sem elevadores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('CustoXReceita Empreend$'!$AG$36,'CustoXReceita Empreend$'!$AI$36:$AK$36,'CustoXReceita Empreend$'!$AM$36:$AT$36)</c:f>
              <c:numCache>
                <c:formatCode>_(* #,##0_);_(* \(#,##0\);_(* "-"??_);_(@_)</c:formatCode>
                <c:ptCount val="12"/>
                <c:pt idx="0">
                  <c:v>299352.21888322278</c:v>
                </c:pt>
                <c:pt idx="1">
                  <c:v>302032.5952202609</c:v>
                </c:pt>
                <c:pt idx="2">
                  <c:v>393150.67253348581</c:v>
                </c:pt>
                <c:pt idx="3">
                  <c:v>296499.83088207833</c:v>
                </c:pt>
                <c:pt idx="4">
                  <c:v>302236.6111523477</c:v>
                </c:pt>
                <c:pt idx="5">
                  <c:v>280193.34589508147</c:v>
                </c:pt>
                <c:pt idx="6">
                  <c:v>454422.14493006706</c:v>
                </c:pt>
                <c:pt idx="7">
                  <c:v>251077.63883941472</c:v>
                </c:pt>
                <c:pt idx="8">
                  <c:v>307941.93652206677</c:v>
                </c:pt>
                <c:pt idx="9">
                  <c:v>302267.51985431084</c:v>
                </c:pt>
                <c:pt idx="10">
                  <c:v>378645.57982391753</c:v>
                </c:pt>
                <c:pt idx="11">
                  <c:v>246925.34555739356</c:v>
                </c:pt>
              </c:numCache>
            </c:numRef>
          </c:xVal>
          <c:yVal>
            <c:numRef>
              <c:f>('CustoXReceita Empreend$'!$AG$35,'CustoXReceita Empreend$'!$AI$35:$AK$35,'CustoXReceita Empreend$'!$AM$35:$AT$35)</c:f>
              <c:numCache>
                <c:formatCode>_(* #,##0_);_(* \(#,##0\);_(* "-"??_);_(@_)</c:formatCode>
                <c:ptCount val="12"/>
                <c:pt idx="0">
                  <c:v>360</c:v>
                </c:pt>
                <c:pt idx="1">
                  <c:v>352</c:v>
                </c:pt>
                <c:pt idx="2">
                  <c:v>200</c:v>
                </c:pt>
                <c:pt idx="3">
                  <c:v>380</c:v>
                </c:pt>
                <c:pt idx="4">
                  <c:v>360</c:v>
                </c:pt>
                <c:pt idx="5">
                  <c:v>440</c:v>
                </c:pt>
                <c:pt idx="6">
                  <c:v>156</c:v>
                </c:pt>
                <c:pt idx="7">
                  <c:v>600</c:v>
                </c:pt>
                <c:pt idx="8">
                  <c:v>336</c:v>
                </c:pt>
                <c:pt idx="9">
                  <c:v>352</c:v>
                </c:pt>
                <c:pt idx="10">
                  <c:v>220</c:v>
                </c:pt>
                <c:pt idx="11">
                  <c:v>640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67-409F-9E12-F66DBACD6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3574947"/>
        <c:axId val="392569277"/>
      </c:scatterChart>
      <c:valAx>
        <c:axId val="2093574947"/>
        <c:scaling>
          <c:orientation val="minMax"/>
          <c:max val="500000"/>
        </c:scaling>
        <c:delete val="0"/>
        <c:axPos val="b"/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pt-BR" sz="1200" b="1" i="0">
                    <a:solidFill>
                      <a:srgbClr val="000000"/>
                    </a:solidFill>
                    <a:latin typeface="Calibri"/>
                  </a:rPr>
                  <a:t>Custo da unidade R$</a:t>
                </a:r>
              </a:p>
            </c:rich>
          </c:tx>
          <c:layout>
            <c:manualLayout>
              <c:xMode val="edge"/>
              <c:yMode val="edge"/>
              <c:x val="0.46772445493243009"/>
              <c:y val="0.9087955295910591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392569277"/>
        <c:crosses val="autoZero"/>
        <c:crossBetween val="midCat"/>
        <c:majorUnit val="100000"/>
        <c:minorUnit val="50000"/>
      </c:valAx>
      <c:valAx>
        <c:axId val="39256927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pt-BR" sz="1200" b="1" i="0">
                    <a:solidFill>
                      <a:srgbClr val="000000"/>
                    </a:solidFill>
                    <a:latin typeface="Calibri"/>
                  </a:rPr>
                  <a:t>Unidades Habitacionais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2093574947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544363911697575"/>
          <c:y val="7.7959529252391829E-2"/>
        </c:manualLayout>
      </c:layout>
      <c:overlay val="0"/>
      <c:txPr>
        <a:bodyPr/>
        <a:lstStyle/>
        <a:p>
          <a:pPr lvl="0">
            <a:defRPr sz="1100"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mpd="sng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ViabFinanceira5!$E$12:$BA$12</c:f>
              <c:numCache>
                <c:formatCode>#,##0_);[Red]\(#,##0\)</c:formatCode>
                <c:ptCount val="49"/>
                <c:pt idx="0">
                  <c:v>-42360000</c:v>
                </c:pt>
                <c:pt idx="1">
                  <c:v>-42360000</c:v>
                </c:pt>
                <c:pt idx="2">
                  <c:v>-42360000</c:v>
                </c:pt>
                <c:pt idx="3">
                  <c:v>-42360000</c:v>
                </c:pt>
                <c:pt idx="4">
                  <c:v>-42360000</c:v>
                </c:pt>
                <c:pt idx="5">
                  <c:v>-42360000</c:v>
                </c:pt>
                <c:pt idx="6">
                  <c:v>-44476666.166797101</c:v>
                </c:pt>
                <c:pt idx="7">
                  <c:v>-44476666.166797101</c:v>
                </c:pt>
                <c:pt idx="8">
                  <c:v>-44476666.166797101</c:v>
                </c:pt>
                <c:pt idx="9">
                  <c:v>-44476666.166797101</c:v>
                </c:pt>
                <c:pt idx="10">
                  <c:v>-44476666.166797101</c:v>
                </c:pt>
                <c:pt idx="11">
                  <c:v>-44476666.166797101</c:v>
                </c:pt>
                <c:pt idx="12">
                  <c:v>-44144602.833463766</c:v>
                </c:pt>
                <c:pt idx="13">
                  <c:v>-43812539.50013043</c:v>
                </c:pt>
                <c:pt idx="14">
                  <c:v>-43480476.166797094</c:v>
                </c:pt>
                <c:pt idx="15">
                  <c:v>-43148412.833463758</c:v>
                </c:pt>
                <c:pt idx="16">
                  <c:v>-42816349.500130422</c:v>
                </c:pt>
                <c:pt idx="17">
                  <c:v>-42484286.166797087</c:v>
                </c:pt>
                <c:pt idx="18">
                  <c:v>-42152222.833463751</c:v>
                </c:pt>
                <c:pt idx="19">
                  <c:v>-41820159.500130415</c:v>
                </c:pt>
                <c:pt idx="20">
                  <c:v>-41488096.166797079</c:v>
                </c:pt>
                <c:pt idx="21">
                  <c:v>-41156032.833463743</c:v>
                </c:pt>
                <c:pt idx="22">
                  <c:v>-40823969.500130408</c:v>
                </c:pt>
                <c:pt idx="23">
                  <c:v>-40491906.166797072</c:v>
                </c:pt>
                <c:pt idx="24">
                  <c:v>-41370311.297600836</c:v>
                </c:pt>
                <c:pt idx="25">
                  <c:v>-42248716.428404599</c:v>
                </c:pt>
                <c:pt idx="26">
                  <c:v>-43127121.559208363</c:v>
                </c:pt>
                <c:pt idx="27">
                  <c:v>-44005526.690012127</c:v>
                </c:pt>
                <c:pt idx="28">
                  <c:v>-44883931.820815891</c:v>
                </c:pt>
                <c:pt idx="29">
                  <c:v>-45762336.951619655</c:v>
                </c:pt>
                <c:pt idx="30">
                  <c:v>-46142647.082423419</c:v>
                </c:pt>
                <c:pt idx="31">
                  <c:v>-46522957.213227183</c:v>
                </c:pt>
                <c:pt idx="32">
                  <c:v>-48113735.808168039</c:v>
                </c:pt>
                <c:pt idx="33">
                  <c:v>-49704514.403108895</c:v>
                </c:pt>
                <c:pt idx="34">
                  <c:v>-51295292.998049751</c:v>
                </c:pt>
                <c:pt idx="35">
                  <c:v>-52886071.592990607</c:v>
                </c:pt>
                <c:pt idx="36">
                  <c:v>-54476850.187931463</c:v>
                </c:pt>
                <c:pt idx="37">
                  <c:v>-56067628.782872319</c:v>
                </c:pt>
                <c:pt idx="38">
                  <c:v>-57658407.377813175</c:v>
                </c:pt>
                <c:pt idx="39">
                  <c:v>-59249185.972754031</c:v>
                </c:pt>
                <c:pt idx="40">
                  <c:v>-62857412.00792338</c:v>
                </c:pt>
                <c:pt idx="41">
                  <c:v>-66465638.043092728</c:v>
                </c:pt>
                <c:pt idx="42">
                  <c:v>-70073864.078262076</c:v>
                </c:pt>
                <c:pt idx="43">
                  <c:v>-73682090.113431424</c:v>
                </c:pt>
                <c:pt idx="44">
                  <c:v>-77290316.148600772</c:v>
                </c:pt>
                <c:pt idx="45">
                  <c:v>-80898542.18377012</c:v>
                </c:pt>
                <c:pt idx="46">
                  <c:v>-84506768.218939468</c:v>
                </c:pt>
                <c:pt idx="47">
                  <c:v>-88114994.254108816</c:v>
                </c:pt>
                <c:pt idx="48">
                  <c:v>10507815.745891184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EE-4D4B-BBCF-124644D67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703002"/>
        <c:axId val="1254088662"/>
      </c:lineChart>
      <c:catAx>
        <c:axId val="3497030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1254088662"/>
        <c:crosses val="autoZero"/>
        <c:auto val="1"/>
        <c:lblAlgn val="ctr"/>
        <c:lblOffset val="100"/>
        <c:noMultiLvlLbl val="1"/>
      </c:catAx>
      <c:valAx>
        <c:axId val="12540886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#,##0_);[Red]\(#,##0\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34970300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mpd="sng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ViabFinanceira19!$E$11:$BA$11</c:f>
              <c:numCache>
                <c:formatCode>#,##0_);[Red]\(#,##0\)</c:formatCode>
                <c:ptCount val="49"/>
                <c:pt idx="0">
                  <c:v>-42360000</c:v>
                </c:pt>
                <c:pt idx="1">
                  <c:v>-42360000</c:v>
                </c:pt>
                <c:pt idx="2">
                  <c:v>-42360000</c:v>
                </c:pt>
                <c:pt idx="3">
                  <c:v>-42360000</c:v>
                </c:pt>
                <c:pt idx="4">
                  <c:v>-42360000</c:v>
                </c:pt>
                <c:pt idx="5">
                  <c:v>-42360000</c:v>
                </c:pt>
                <c:pt idx="6">
                  <c:v>-44395906.644821145</c:v>
                </c:pt>
                <c:pt idx="7">
                  <c:v>-44395906.644821145</c:v>
                </c:pt>
                <c:pt idx="8">
                  <c:v>-44395906.644821145</c:v>
                </c:pt>
                <c:pt idx="9">
                  <c:v>-44395906.644821145</c:v>
                </c:pt>
                <c:pt idx="10">
                  <c:v>-44395906.644821145</c:v>
                </c:pt>
                <c:pt idx="11">
                  <c:v>-44395906.644821145</c:v>
                </c:pt>
                <c:pt idx="12">
                  <c:v>-44079906.644821145</c:v>
                </c:pt>
                <c:pt idx="13">
                  <c:v>-43763906.644821145</c:v>
                </c:pt>
                <c:pt idx="14">
                  <c:v>-43447906.644821145</c:v>
                </c:pt>
                <c:pt idx="15">
                  <c:v>-43131906.644821145</c:v>
                </c:pt>
                <c:pt idx="16">
                  <c:v>-42815906.644821145</c:v>
                </c:pt>
                <c:pt idx="17">
                  <c:v>-42499906.644821145</c:v>
                </c:pt>
                <c:pt idx="18">
                  <c:v>-42183906.644821145</c:v>
                </c:pt>
                <c:pt idx="19">
                  <c:v>-41867906.644821145</c:v>
                </c:pt>
                <c:pt idx="20">
                  <c:v>-41551906.644821145</c:v>
                </c:pt>
                <c:pt idx="21">
                  <c:v>-41235906.644821145</c:v>
                </c:pt>
                <c:pt idx="22">
                  <c:v>-40919906.644821145</c:v>
                </c:pt>
                <c:pt idx="23">
                  <c:v>-40603906.644821145</c:v>
                </c:pt>
                <c:pt idx="24">
                  <c:v>-41452190.757328235</c:v>
                </c:pt>
                <c:pt idx="25">
                  <c:v>-42300474.869835325</c:v>
                </c:pt>
                <c:pt idx="26">
                  <c:v>-43148758.982342415</c:v>
                </c:pt>
                <c:pt idx="27">
                  <c:v>-43997043.094849505</c:v>
                </c:pt>
                <c:pt idx="28">
                  <c:v>-44845327.207356595</c:v>
                </c:pt>
                <c:pt idx="29">
                  <c:v>-45693611.319863684</c:v>
                </c:pt>
                <c:pt idx="30">
                  <c:v>-46067895.432370774</c:v>
                </c:pt>
                <c:pt idx="31">
                  <c:v>-46442179.544877864</c:v>
                </c:pt>
                <c:pt idx="32">
                  <c:v>-47980747.769892044</c:v>
                </c:pt>
                <c:pt idx="33">
                  <c:v>-49519315.994906224</c:v>
                </c:pt>
                <c:pt idx="34">
                  <c:v>-51057884.219920404</c:v>
                </c:pt>
                <c:pt idx="35">
                  <c:v>-52596452.444934584</c:v>
                </c:pt>
                <c:pt idx="36">
                  <c:v>-54135020.669948764</c:v>
                </c:pt>
                <c:pt idx="37">
                  <c:v>-55673588.894962944</c:v>
                </c:pt>
                <c:pt idx="38">
                  <c:v>-57212157.119977124</c:v>
                </c:pt>
                <c:pt idx="39">
                  <c:v>-58750725.344991304</c:v>
                </c:pt>
                <c:pt idx="40">
                  <c:v>-62229767.090850636</c:v>
                </c:pt>
                <c:pt idx="41">
                  <c:v>-65708808.836709969</c:v>
                </c:pt>
                <c:pt idx="42">
                  <c:v>-69187850.582569301</c:v>
                </c:pt>
                <c:pt idx="43">
                  <c:v>-72666892.328428641</c:v>
                </c:pt>
                <c:pt idx="44">
                  <c:v>-76145934.074287981</c:v>
                </c:pt>
                <c:pt idx="45">
                  <c:v>-79624975.820147321</c:v>
                </c:pt>
                <c:pt idx="46">
                  <c:v>-83104017.56600666</c:v>
                </c:pt>
                <c:pt idx="47">
                  <c:v>-86583059.311866</c:v>
                </c:pt>
                <c:pt idx="48">
                  <c:v>7268940.6881339997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8-4443-866D-B7EA53452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486600"/>
        <c:axId val="739495691"/>
      </c:lineChart>
      <c:catAx>
        <c:axId val="1277486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739495691"/>
        <c:crosses val="autoZero"/>
        <c:auto val="1"/>
        <c:lblAlgn val="ctr"/>
        <c:lblOffset val="100"/>
        <c:noMultiLvlLbl val="1"/>
      </c:catAx>
      <c:valAx>
        <c:axId val="7394956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,##0_);[Red]\(#,##0\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1277486600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171450</xdr:colOff>
      <xdr:row>12</xdr:row>
      <xdr:rowOff>28575</xdr:rowOff>
    </xdr:from>
    <xdr:ext cx="9210675" cy="4314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342900</xdr:colOff>
      <xdr:row>45</xdr:row>
      <xdr:rowOff>9525</xdr:rowOff>
    </xdr:from>
    <xdr:ext cx="9344025" cy="2952750"/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133350</xdr:colOff>
      <xdr:row>40</xdr:row>
      <xdr:rowOff>133350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272224C9-6885-3944-F91A-7698CE126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72625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133350</xdr:colOff>
      <xdr:row>41</xdr:row>
      <xdr:rowOff>133350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1BBDC4A0-6ED6-FE02-F614-02D85C02C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4075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133350</xdr:colOff>
      <xdr:row>42</xdr:row>
      <xdr:rowOff>133350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1898B793-FCEF-FE3A-029C-37E7812A3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7745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133350</xdr:colOff>
      <xdr:row>43</xdr:row>
      <xdr:rowOff>133350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35C20B0E-EE43-FAC8-A955-E1FEB82A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10825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133350</xdr:colOff>
      <xdr:row>44</xdr:row>
      <xdr:rowOff>133350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0C319A19-30CF-A0C7-0F80-D7D55C4E9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2275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133350</xdr:colOff>
      <xdr:row>46</xdr:row>
      <xdr:rowOff>133350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FA0B6F31-105D-6FDD-D9F3-D129B8683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25175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133350</xdr:colOff>
      <xdr:row>47</xdr:row>
      <xdr:rowOff>133350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6C79B932-CD53-D4BC-BC9E-5C1D8A7A5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96625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47</xdr:row>
      <xdr:rowOff>0</xdr:rowOff>
    </xdr:from>
    <xdr:to>
      <xdr:col>0</xdr:col>
      <xdr:colOff>276225</xdr:colOff>
      <xdr:row>47</xdr:row>
      <xdr:rowOff>133350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DAC72C69-247E-F06E-F33B-95398C35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096625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133350</xdr:colOff>
      <xdr:row>47</xdr:row>
      <xdr:rowOff>133350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08849092-A0FC-C74F-F04B-40111A05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11096625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552450</xdr:colOff>
      <xdr:row>54</xdr:row>
      <xdr:rowOff>323850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1905E58C-9B7C-65C3-A08A-4DFA2E052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12611100"/>
          <a:ext cx="14287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4</xdr:col>
      <xdr:colOff>209550</xdr:colOff>
      <xdr:row>54</xdr:row>
      <xdr:rowOff>323850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932CAD56-EBC6-340F-D762-14DBD274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12611100"/>
          <a:ext cx="14287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7</xdr:col>
      <xdr:colOff>38100</xdr:colOff>
      <xdr:row>55</xdr:row>
      <xdr:rowOff>66675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62221F66-E33D-9CB2-33DC-ADCC58837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2611100"/>
          <a:ext cx="24765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8</xdr:col>
      <xdr:colOff>38100</xdr:colOff>
      <xdr:row>55</xdr:row>
      <xdr:rowOff>66675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AF64EB3E-D404-A037-6B23-5EC0ED79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12611100"/>
          <a:ext cx="24765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457200</xdr:colOff>
      <xdr:row>1</xdr:row>
      <xdr:rowOff>47625</xdr:rowOff>
    </xdr:from>
    <xdr:ext cx="857250" cy="581025"/>
    <xdr:pic>
      <xdr:nvPicPr>
        <xdr:cNvPr id="2" name="image1.gif" descr="https://webp.caixa.gov.br/casa/sinapi/images/title/logo_caixa_fundo.gif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123825</xdr:rowOff>
    </xdr:from>
    <xdr:ext cx="4543425" cy="561975"/>
    <xdr:pic>
      <xdr:nvPicPr>
        <xdr:cNvPr id="2" name="image6.jpg" descr="Caixa Econômica Federal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43</xdr:row>
      <xdr:rowOff>0</xdr:rowOff>
    </xdr:from>
    <xdr:ext cx="2476500" cy="552450"/>
    <xdr:pic>
      <xdr:nvPicPr>
        <xdr:cNvPr id="3" name="image2.png" descr="http://www8.caixa.gov.br/siopiinternet-web/_novo/_imagens/propostaInternet/logoSeguradora1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2476500" cy="552450"/>
    <xdr:pic>
      <xdr:nvPicPr>
        <xdr:cNvPr id="4" name="image4.png" descr="http://www8.caixa.gov.br/siopiinternet-web/_novo/_imagens/propostaInternet/logoSeguradora5.pn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43</xdr:row>
      <xdr:rowOff>0</xdr:rowOff>
    </xdr:from>
    <xdr:ext cx="2476500" cy="552450"/>
    <xdr:pic>
      <xdr:nvPicPr>
        <xdr:cNvPr id="5" name="image3.png" descr="http://www8.caixa.gov.br/siopiinternet-web/_novo/_imagens/propostaInternet/logoSeguradora7.png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43</xdr:row>
      <xdr:rowOff>0</xdr:rowOff>
    </xdr:from>
    <xdr:ext cx="2400300" cy="552450"/>
    <xdr:pic>
      <xdr:nvPicPr>
        <xdr:cNvPr id="6" name="image2.png" descr="http://www8.caixa.gov.br/siopiinternet-web/_novo/_imagens/propostaInternet/logoSeguradora1.png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43</xdr:row>
      <xdr:rowOff>0</xdr:rowOff>
    </xdr:from>
    <xdr:ext cx="2409825" cy="552450"/>
    <xdr:pic>
      <xdr:nvPicPr>
        <xdr:cNvPr id="7" name="image5.png" descr="http://www8.caixa.gov.br/siopiinternet-web/_novo/_imagens/propostaInternet/logoSeguradora4.png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43</xdr:row>
      <xdr:rowOff>0</xdr:rowOff>
    </xdr:from>
    <xdr:ext cx="2400300" cy="552450"/>
    <xdr:pic>
      <xdr:nvPicPr>
        <xdr:cNvPr id="8" name="image4.png" descr="http://www8.caixa.gov.br/siopiinternet-web/_novo/_imagens/propostaInternet/logoSeguradora5.png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43</xdr:row>
      <xdr:rowOff>0</xdr:rowOff>
    </xdr:from>
    <xdr:ext cx="2409825" cy="552450"/>
    <xdr:pic>
      <xdr:nvPicPr>
        <xdr:cNvPr id="9" name="image8.png" descr="http://www8.caixa.gov.br/siopiinternet-web/_novo/_imagens/propostaInternet/logoSeguradora12.png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12</xdr:row>
      <xdr:rowOff>66675</xdr:rowOff>
    </xdr:from>
    <xdr:ext cx="6734175" cy="3371850"/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</xdr:colOff>
      <xdr:row>11</xdr:row>
      <xdr:rowOff>133350</xdr:rowOff>
    </xdr:from>
    <xdr:ext cx="6172200" cy="3143250"/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2905125</xdr:colOff>
      <xdr:row>33</xdr:row>
      <xdr:rowOff>114300</xdr:rowOff>
    </xdr:from>
    <xdr:ext cx="2486025" cy="561975"/>
    <xdr:pic>
      <xdr:nvPicPr>
        <xdr:cNvPr id="2" name="image7.gif" descr="http://www8.caixa.gov.br/siopiinternet/_novo/_imagens/simulador/logoSemSeguradora.gif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2524125</xdr:colOff>
      <xdr:row>34</xdr:row>
      <xdr:rowOff>0</xdr:rowOff>
    </xdr:from>
    <xdr:ext cx="2486025" cy="552450"/>
    <xdr:pic>
      <xdr:nvPicPr>
        <xdr:cNvPr id="3" name="image7.gif" descr="http://www8.caixa.gov.br/siopiinternet/_novo/_imagens/simulador/logoSemSeguradora.gif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ndusconpr.com.br/incc-di-fgv-310-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workbookViewId="0"/>
  </sheetViews>
  <sheetFormatPr defaultColWidth="12.5703125" defaultRowHeight="15" customHeight="1"/>
  <cols>
    <col min="1" max="6" width="8.7109375" customWidth="1"/>
    <col min="7" max="26" width="14.42578125" customWidth="1"/>
  </cols>
  <sheetData>
    <row r="1" spans="1:1" ht="12.75" customHeight="1"/>
    <row r="2" spans="1:1" ht="23.25">
      <c r="A2" s="1" t="s">
        <v>0</v>
      </c>
    </row>
    <row r="3" spans="1:1" ht="12.75" customHeight="1"/>
    <row r="4" spans="1:1" ht="12.75" customHeight="1"/>
    <row r="5" spans="1:1" ht="12.75" customHeight="1"/>
    <row r="6" spans="1:1" ht="12.75" customHeight="1"/>
    <row r="7" spans="1:1" ht="12.75" customHeight="1"/>
    <row r="8" spans="1:1" ht="12.75" customHeight="1"/>
    <row r="9" spans="1:1" ht="12.75" customHeight="1"/>
    <row r="10" spans="1:1" ht="12.75" customHeight="1"/>
    <row r="11" spans="1:1" ht="12.75" customHeight="1"/>
    <row r="12" spans="1:1" ht="12.75" customHeight="1"/>
    <row r="13" spans="1:1" ht="12.75" customHeight="1"/>
    <row r="14" spans="1:1" ht="12.75" customHeight="1"/>
    <row r="15" spans="1:1" ht="12.75" customHeight="1"/>
    <row r="16" spans="1:1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B1000"/>
  <sheetViews>
    <sheetView tabSelected="1" workbookViewId="0">
      <selection activeCell="D1" sqref="D1:N1048576"/>
    </sheetView>
  </sheetViews>
  <sheetFormatPr defaultColWidth="12.5703125" defaultRowHeight="15" customHeight="1"/>
  <cols>
    <col min="1" max="1" width="30" customWidth="1"/>
    <col min="2" max="2" width="8.7109375" customWidth="1"/>
    <col min="3" max="3" width="12.42578125" bestFit="1" customWidth="1"/>
    <col min="4" max="4" width="7.42578125" hidden="1" customWidth="1"/>
    <col min="5" max="5" width="6.140625" hidden="1" customWidth="1"/>
    <col min="6" max="6" width="30" hidden="1" customWidth="1"/>
    <col min="7" max="7" width="20.42578125" hidden="1" customWidth="1"/>
    <col min="8" max="8" width="12.5703125" hidden="1" customWidth="1"/>
    <col min="9" max="9" width="8" hidden="1" customWidth="1"/>
    <col min="10" max="10" width="38" hidden="1" customWidth="1"/>
    <col min="11" max="11" width="7.140625" hidden="1" customWidth="1"/>
    <col min="12" max="13" width="12" hidden="1" customWidth="1"/>
    <col min="14" max="14" width="8.7109375" hidden="1" customWidth="1"/>
    <col min="15" max="15" width="8.85546875" customWidth="1"/>
    <col min="16" max="21" width="8.7109375" customWidth="1"/>
    <col min="22" max="28" width="14.42578125" customWidth="1"/>
  </cols>
  <sheetData>
    <row r="1" spans="1:28" ht="12.75" customHeight="1">
      <c r="A1" s="2"/>
      <c r="B1" s="3"/>
      <c r="C1" s="2"/>
      <c r="D1" s="2"/>
      <c r="E1" s="2"/>
      <c r="F1" s="4" t="s">
        <v>1</v>
      </c>
      <c r="G1" s="683" t="s">
        <v>400</v>
      </c>
      <c r="H1" s="3">
        <v>1.92919978251971</v>
      </c>
      <c r="I1" s="2"/>
      <c r="J1" s="570" t="s">
        <v>2</v>
      </c>
      <c r="K1" s="2"/>
      <c r="L1" s="2"/>
      <c r="M1" s="2"/>
      <c r="N1" s="2">
        <v>2.0312383547000001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3"/>
    </row>
    <row r="2" spans="1:28" ht="12.75" customHeight="1">
      <c r="A2" s="2"/>
      <c r="B2" s="3"/>
      <c r="C2" s="2"/>
      <c r="D2" s="2"/>
      <c r="E2" s="2"/>
      <c r="F2" s="2" t="s">
        <v>3</v>
      </c>
      <c r="G2" s="684"/>
      <c r="H2" s="522">
        <v>2.1383129179950622</v>
      </c>
      <c r="I2" s="2"/>
      <c r="J2" s="5" t="s">
        <v>4</v>
      </c>
      <c r="K2" s="2"/>
      <c r="L2" s="570" t="s">
        <v>456</v>
      </c>
      <c r="M2" s="2"/>
      <c r="N2" s="2">
        <v>2.3134998376506632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  <c r="AB2" s="3"/>
    </row>
    <row r="3" spans="1:28" ht="12.75" customHeight="1">
      <c r="A3" s="2" t="s">
        <v>5</v>
      </c>
      <c r="B3" s="3"/>
      <c r="C3" s="2"/>
      <c r="D3" s="2"/>
      <c r="E3" s="6"/>
      <c r="F3" s="7" t="s">
        <v>6</v>
      </c>
      <c r="G3" s="685"/>
      <c r="H3" s="7">
        <v>1.9976916033679999</v>
      </c>
      <c r="I3" s="7"/>
      <c r="J3" s="523" t="s">
        <v>7</v>
      </c>
      <c r="K3" s="2"/>
      <c r="L3" s="2"/>
      <c r="M3" s="2"/>
      <c r="N3" s="682">
        <v>2.1846100000000002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"/>
      <c r="AB3" s="3"/>
    </row>
    <row r="4" spans="1:28" ht="12.75" customHeight="1">
      <c r="A4" s="2" t="s">
        <v>8</v>
      </c>
      <c r="B4" s="2" t="s">
        <v>9</v>
      </c>
      <c r="C4" s="2" t="s">
        <v>10</v>
      </c>
      <c r="D4" s="2" t="s">
        <v>11</v>
      </c>
      <c r="E4" s="2"/>
      <c r="F4" s="2"/>
      <c r="G4" s="8" t="s">
        <v>12</v>
      </c>
      <c r="H4" s="9" t="s">
        <v>10</v>
      </c>
      <c r="I4" s="9" t="s">
        <v>10</v>
      </c>
      <c r="J4" s="9"/>
      <c r="K4" s="9"/>
      <c r="L4" s="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3"/>
      <c r="AB4" s="3"/>
    </row>
    <row r="5" spans="1:28" ht="12.75" customHeight="1">
      <c r="A5" s="2"/>
      <c r="B5" s="3"/>
      <c r="C5" s="10"/>
      <c r="D5" s="2"/>
      <c r="E5" s="2"/>
      <c r="F5" s="2"/>
      <c r="G5" s="9" t="s">
        <v>13</v>
      </c>
      <c r="H5" s="9">
        <v>2015</v>
      </c>
      <c r="I5" s="9">
        <v>2011</v>
      </c>
      <c r="J5" s="9" t="s">
        <v>14</v>
      </c>
      <c r="K5" s="9"/>
      <c r="L5" s="9" t="s">
        <v>15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3"/>
      <c r="AB5" s="3"/>
    </row>
    <row r="6" spans="1:28" ht="12.75" customHeight="1">
      <c r="A6" s="2"/>
      <c r="B6" s="2"/>
      <c r="C6" s="11"/>
      <c r="D6" s="11"/>
      <c r="E6" s="11"/>
      <c r="F6" s="11"/>
      <c r="G6" s="12">
        <v>1.223123</v>
      </c>
      <c r="H6" s="13"/>
      <c r="I6" s="13"/>
      <c r="J6" s="14">
        <f>Sinapi!D98</f>
        <v>1.1854549184531746</v>
      </c>
      <c r="K6" s="9"/>
      <c r="L6" s="9">
        <v>1.0248382247205698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3"/>
      <c r="AB6" s="3"/>
    </row>
    <row r="7" spans="1:28" ht="12.75" customHeight="1">
      <c r="A7" s="15" t="s">
        <v>16</v>
      </c>
      <c r="B7" s="16" t="s">
        <v>17</v>
      </c>
      <c r="C7" s="16"/>
      <c r="D7" s="17"/>
      <c r="E7" s="17" t="s">
        <v>18</v>
      </c>
      <c r="F7" s="18" t="s">
        <v>19</v>
      </c>
      <c r="G7" s="19" t="s">
        <v>20</v>
      </c>
      <c r="H7" s="11"/>
      <c r="I7" s="11"/>
      <c r="J7" s="9">
        <v>1.48752953531111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3"/>
      <c r="AB7" s="3"/>
    </row>
    <row r="8" spans="1:28" ht="12.75" customHeight="1">
      <c r="A8" s="20">
        <v>1</v>
      </c>
      <c r="B8" s="21" t="s">
        <v>21</v>
      </c>
      <c r="C8" s="22">
        <f>G8*N3</f>
        <v>46.444808600000009</v>
      </c>
      <c r="D8" s="524">
        <f>A8*C8</f>
        <v>46.444808600000009</v>
      </c>
      <c r="E8" s="23"/>
      <c r="F8" s="24">
        <v>1.0792835999999999</v>
      </c>
      <c r="G8" s="25">
        <v>21.26</v>
      </c>
      <c r="H8" s="11"/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/>
      <c r="AB8" s="3"/>
    </row>
    <row r="9" spans="1:28" ht="12.75" customHeight="1">
      <c r="A9" s="3"/>
      <c r="B9" s="3"/>
      <c r="C9" s="3"/>
      <c r="D9" s="11"/>
      <c r="E9" s="11"/>
      <c r="F9" s="11"/>
      <c r="G9" s="11"/>
      <c r="H9" s="11"/>
      <c r="I9" s="11"/>
      <c r="J9" s="2"/>
      <c r="K9" s="26"/>
      <c r="L9" s="26" t="s">
        <v>22</v>
      </c>
      <c r="M9" s="2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  <c r="AB9" s="3"/>
    </row>
    <row r="10" spans="1:28" ht="12.75" customHeight="1">
      <c r="A10" s="3"/>
      <c r="B10" s="3"/>
      <c r="C10" s="3" t="s">
        <v>23</v>
      </c>
      <c r="D10" s="11"/>
      <c r="E10" s="11"/>
      <c r="F10" s="11"/>
      <c r="G10" s="11"/>
      <c r="H10" s="11"/>
      <c r="I10" s="11"/>
      <c r="J10" s="2"/>
      <c r="K10" s="26"/>
      <c r="L10" s="26">
        <v>2011</v>
      </c>
      <c r="M10" s="26">
        <v>2022</v>
      </c>
      <c r="N10" s="2">
        <v>2023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  <c r="AB10" s="3"/>
    </row>
    <row r="11" spans="1:28" ht="12.75" customHeight="1">
      <c r="A11" s="2"/>
      <c r="B11" s="2"/>
      <c r="C11" s="11"/>
      <c r="D11" s="11"/>
      <c r="E11" s="11"/>
      <c r="F11" s="11"/>
      <c r="G11" s="11"/>
      <c r="H11" s="11"/>
      <c r="I11" s="11"/>
      <c r="J11" s="2"/>
      <c r="K11" s="26" t="s">
        <v>24</v>
      </c>
      <c r="L11" s="26">
        <v>1000</v>
      </c>
      <c r="M11" s="26">
        <f>L11*$H$1</f>
        <v>1929.19978251971</v>
      </c>
      <c r="N11" s="26">
        <f>L11*$N$1</f>
        <v>2031.2383547000002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3"/>
      <c r="AB11" s="3"/>
    </row>
    <row r="12" spans="1:28" ht="12.75" customHeight="1">
      <c r="A12" s="2" t="s">
        <v>25</v>
      </c>
      <c r="B12" s="2" t="s">
        <v>21</v>
      </c>
      <c r="C12" s="27">
        <f>I12*$N$3</f>
        <v>199.87870734000001</v>
      </c>
      <c r="D12" s="11"/>
      <c r="E12" s="11"/>
      <c r="F12" s="11"/>
      <c r="G12" s="11"/>
      <c r="H12" s="13">
        <v>108.462012308955</v>
      </c>
      <c r="I12" s="11">
        <v>91.494</v>
      </c>
      <c r="J12" s="2"/>
      <c r="K12" s="26" t="s">
        <v>26</v>
      </c>
      <c r="L12" s="26">
        <v>4000</v>
      </c>
      <c r="M12" s="26">
        <f>L12*$H$1</f>
        <v>7716.7991300788399</v>
      </c>
      <c r="N12" s="26">
        <f>L12*$N$1</f>
        <v>8124.9534188000007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3"/>
      <c r="AB12" s="3"/>
    </row>
    <row r="13" spans="1:28" ht="12.75" customHeight="1">
      <c r="A13" s="2" t="s">
        <v>27</v>
      </c>
      <c r="B13" s="2" t="s">
        <v>21</v>
      </c>
      <c r="C13" s="27">
        <f>I13*$N$3</f>
        <v>225.94984308000005</v>
      </c>
      <c r="D13" s="11"/>
      <c r="E13" s="11"/>
      <c r="F13" s="11"/>
      <c r="G13" s="11"/>
      <c r="H13" s="13">
        <v>122.60923130577495</v>
      </c>
      <c r="I13" s="11">
        <v>103.42800000000001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3"/>
      <c r="AB13" s="3"/>
    </row>
    <row r="14" spans="1:28" ht="12.75" customHeight="1">
      <c r="A14" s="2" t="s">
        <v>28</v>
      </c>
      <c r="B14" s="2" t="s">
        <v>21</v>
      </c>
      <c r="C14" s="27">
        <f>I14*$N$3</f>
        <v>28.967928600000004</v>
      </c>
      <c r="D14" s="11"/>
      <c r="E14" s="11"/>
      <c r="F14" s="11"/>
      <c r="G14" s="11"/>
      <c r="H14" s="13">
        <v>15.719132218689097</v>
      </c>
      <c r="I14" s="11">
        <v>13.260000000000002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3"/>
      <c r="AB14" s="3"/>
    </row>
    <row r="15" spans="1:28" ht="12.75" customHeight="1">
      <c r="A15" s="2"/>
      <c r="B15" s="2"/>
      <c r="C15" s="11"/>
      <c r="D15" s="11"/>
      <c r="E15" s="11"/>
      <c r="F15" s="11"/>
      <c r="G15" s="11"/>
      <c r="H15" s="11"/>
      <c r="I15" s="1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3"/>
      <c r="AB15" s="3"/>
    </row>
    <row r="16" spans="1:28" ht="12.75" customHeight="1">
      <c r="A16" s="2" t="s">
        <v>29</v>
      </c>
      <c r="B16" s="3"/>
      <c r="C16" s="11"/>
      <c r="D16" s="11"/>
      <c r="E16" s="11"/>
      <c r="F16" s="11"/>
      <c r="G16" s="11"/>
      <c r="H16" s="11"/>
      <c r="I16" s="1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3"/>
      <c r="AB16" s="3"/>
    </row>
    <row r="17" spans="1:28" ht="12.75" customHeight="1">
      <c r="A17" s="2"/>
      <c r="B17" s="3"/>
      <c r="C17" s="11"/>
      <c r="D17" s="11"/>
      <c r="E17" s="11"/>
      <c r="F17" s="11"/>
      <c r="G17" s="11"/>
      <c r="H17" s="11"/>
      <c r="I17" s="11"/>
      <c r="J17" s="2"/>
      <c r="K17" s="2"/>
      <c r="L17" s="2"/>
      <c r="M17" s="2"/>
      <c r="N17" s="2"/>
      <c r="O17" s="28"/>
      <c r="P17" s="28"/>
      <c r="Q17" s="2"/>
      <c r="R17" s="2"/>
      <c r="S17" s="2"/>
      <c r="T17" s="2"/>
      <c r="U17" s="2"/>
      <c r="V17" s="2"/>
      <c r="W17" s="2"/>
      <c r="X17" s="2"/>
      <c r="Y17" s="2"/>
      <c r="Z17" s="2"/>
      <c r="AA17" s="3"/>
      <c r="AB17" s="3"/>
    </row>
    <row r="18" spans="1:28" ht="21.75" customHeight="1">
      <c r="A18" s="2" t="s">
        <v>30</v>
      </c>
      <c r="B18" s="3"/>
      <c r="C18" s="1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9"/>
      <c r="Q18" s="2"/>
      <c r="R18" s="2"/>
      <c r="S18" s="2"/>
      <c r="T18" s="2"/>
      <c r="U18" s="2"/>
      <c r="V18" s="2"/>
      <c r="W18" s="2"/>
      <c r="X18" s="2"/>
      <c r="Y18" s="2"/>
      <c r="Z18" s="2"/>
      <c r="AA18" s="3"/>
      <c r="AB18" s="3"/>
    </row>
    <row r="19" spans="1:28" ht="21.75" customHeight="1">
      <c r="A19" s="30" t="s">
        <v>31</v>
      </c>
      <c r="B19" s="3"/>
      <c r="C19" s="31">
        <v>1357.9</v>
      </c>
      <c r="D19" s="32"/>
      <c r="E19" s="32"/>
      <c r="F19" s="32"/>
      <c r="G19" s="32"/>
      <c r="H19" s="32"/>
      <c r="I19" s="2"/>
      <c r="J19" s="2"/>
      <c r="K19" s="2"/>
      <c r="L19" s="2"/>
      <c r="M19" s="2"/>
      <c r="N19" s="2"/>
      <c r="O19" s="2"/>
      <c r="P19" s="29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3"/>
    </row>
    <row r="20" spans="1:28" ht="12.75" customHeight="1">
      <c r="A20" s="30" t="s">
        <v>32</v>
      </c>
      <c r="B20" s="3"/>
      <c r="C20" s="31">
        <v>1532.55</v>
      </c>
      <c r="D20" s="32"/>
      <c r="E20" s="32"/>
      <c r="F20" s="32">
        <v>1532.55</v>
      </c>
      <c r="G20" s="677"/>
      <c r="H20" s="3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3"/>
      <c r="AB20" s="3"/>
    </row>
    <row r="21" spans="1:28" ht="12.75" customHeight="1">
      <c r="A21" s="30" t="s">
        <v>33</v>
      </c>
      <c r="B21" s="3"/>
      <c r="C21" s="31">
        <f>C20*1.0626</f>
        <v>1628.4876299999999</v>
      </c>
      <c r="D21" s="32"/>
      <c r="E21" s="32"/>
      <c r="F21" s="32"/>
      <c r="G21" s="32"/>
      <c r="H21" s="32"/>
      <c r="I21" s="11">
        <v>2011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3"/>
      <c r="AB21" s="3"/>
    </row>
    <row r="22" spans="1:28" ht="12.75" customHeight="1">
      <c r="A22" s="34" t="s">
        <v>34</v>
      </c>
      <c r="B22" s="3"/>
      <c r="C22" s="11"/>
      <c r="D22" s="33"/>
      <c r="E22" s="33"/>
      <c r="F22" s="33"/>
      <c r="G22" s="33"/>
      <c r="H22" s="33"/>
      <c r="I22" s="33" t="s">
        <v>34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3"/>
      <c r="AB22" s="3"/>
    </row>
    <row r="23" spans="1:28" ht="12.75" customHeight="1">
      <c r="A23" s="30" t="s">
        <v>35</v>
      </c>
      <c r="B23" s="2" t="s">
        <v>36</v>
      </c>
      <c r="C23" s="31">
        <f>I23*$N$3</f>
        <v>131076.6</v>
      </c>
      <c r="D23" s="35"/>
      <c r="E23" s="35"/>
      <c r="F23" s="35"/>
      <c r="G23" s="35"/>
      <c r="H23" s="36">
        <v>71127.295107190483</v>
      </c>
      <c r="I23" s="37">
        <v>60000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3"/>
      <c r="AB23" s="3"/>
    </row>
    <row r="24" spans="1:28" ht="27" customHeight="1">
      <c r="A24" s="38" t="s">
        <v>37</v>
      </c>
      <c r="B24" s="2" t="s">
        <v>36</v>
      </c>
      <c r="C24" s="31">
        <f>I24*$N$3</f>
        <v>13107.660000000002</v>
      </c>
      <c r="D24" s="35"/>
      <c r="E24" s="35"/>
      <c r="F24" s="35"/>
      <c r="G24" s="35"/>
      <c r="H24" s="36">
        <v>7112.7295107190475</v>
      </c>
      <c r="I24" s="37">
        <v>6000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3"/>
      <c r="AB24" s="3"/>
    </row>
    <row r="25" spans="1:28" ht="12.75" customHeight="1">
      <c r="A25" s="34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3"/>
      <c r="AB25" s="3"/>
    </row>
    <row r="26" spans="1:28" ht="12.75" customHeight="1">
      <c r="A26" s="2"/>
      <c r="B26" s="3"/>
      <c r="C26" s="39"/>
      <c r="D26" s="39"/>
      <c r="E26" s="39"/>
      <c r="F26" s="39"/>
      <c r="G26" s="39"/>
      <c r="H26" s="39"/>
      <c r="I26" s="37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3"/>
      <c r="AB26" s="3"/>
    </row>
    <row r="27" spans="1:28" ht="12.75" customHeight="1">
      <c r="A27" s="40"/>
      <c r="B27" s="40"/>
      <c r="C27" s="41"/>
      <c r="D27" s="41"/>
      <c r="E27" s="41"/>
      <c r="F27" s="41"/>
      <c r="G27" s="41"/>
      <c r="H27" s="41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2"/>
      <c r="W27" s="2"/>
      <c r="X27" s="2"/>
      <c r="Y27" s="2"/>
      <c r="Z27" s="2"/>
      <c r="AA27" s="3"/>
      <c r="AB27" s="3"/>
    </row>
    <row r="28" spans="1:28" ht="12.75" customHeight="1">
      <c r="A28" s="2" t="s">
        <v>38</v>
      </c>
      <c r="B28" s="3"/>
      <c r="C28" s="39"/>
      <c r="D28" s="39"/>
      <c r="E28" s="39"/>
      <c r="F28" s="39"/>
      <c r="G28" s="39"/>
      <c r="H28" s="39"/>
      <c r="I28" s="37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3"/>
      <c r="AB28" s="3"/>
    </row>
    <row r="29" spans="1:28" ht="12.75" customHeight="1">
      <c r="A29" s="2"/>
      <c r="B29" s="3"/>
      <c r="C29" s="39"/>
      <c r="D29" s="39"/>
      <c r="E29" s="39"/>
      <c r="F29" s="39"/>
      <c r="G29" s="39"/>
      <c r="H29" s="39"/>
      <c r="I29" s="3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3"/>
      <c r="AB29" s="3"/>
    </row>
    <row r="30" spans="1:28" ht="12.75" customHeight="1">
      <c r="A30" s="2" t="s">
        <v>24</v>
      </c>
      <c r="B30" s="2" t="s">
        <v>21</v>
      </c>
      <c r="C30" s="42">
        <v>14120</v>
      </c>
      <c r="D30" s="37"/>
      <c r="E30" s="37"/>
      <c r="F30" s="3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3"/>
      <c r="AB30" s="3"/>
    </row>
    <row r="31" spans="1:28" ht="12.75" customHeight="1">
      <c r="A31" s="2"/>
      <c r="B31" s="3"/>
      <c r="C31" s="37"/>
      <c r="D31" s="43"/>
      <c r="E31" s="43"/>
      <c r="F31" s="4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3"/>
      <c r="AB31" s="3"/>
    </row>
    <row r="32" spans="1:28" ht="12.75" customHeight="1">
      <c r="A32" s="2" t="s">
        <v>39</v>
      </c>
      <c r="B32" s="2" t="s">
        <v>21</v>
      </c>
      <c r="C32" s="44">
        <v>50</v>
      </c>
      <c r="D32" s="37"/>
      <c r="E32" s="37"/>
      <c r="F32" s="3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3"/>
      <c r="AB32" s="3"/>
    </row>
    <row r="33" spans="1:28" ht="12.75" customHeight="1">
      <c r="A33" s="2"/>
      <c r="B33" s="2"/>
      <c r="C33" s="37"/>
      <c r="D33" s="37"/>
      <c r="E33" s="37"/>
      <c r="F33" s="37"/>
      <c r="G33" s="37"/>
      <c r="H33" s="37"/>
      <c r="I33" s="37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3"/>
      <c r="AB33" s="3"/>
    </row>
    <row r="34" spans="1:28" ht="12.75" customHeight="1">
      <c r="A34" s="2"/>
      <c r="B34" s="2"/>
      <c r="C34" s="37"/>
      <c r="D34" s="37"/>
      <c r="E34" s="37"/>
      <c r="F34" s="37"/>
      <c r="G34" s="37"/>
      <c r="H34" s="37"/>
      <c r="I34" s="37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3"/>
      <c r="AB34" s="3"/>
    </row>
    <row r="35" spans="1:28" ht="12.75" customHeight="1">
      <c r="A35" s="2" t="s">
        <v>40</v>
      </c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3"/>
      <c r="AB35" s="3"/>
    </row>
    <row r="36" spans="1:28" ht="12.75" customHeight="1">
      <c r="A36" s="2" t="s">
        <v>41</v>
      </c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3"/>
      <c r="AB36" s="3"/>
    </row>
    <row r="37" spans="1:28" ht="12.75" customHeight="1">
      <c r="A37" s="2" t="s">
        <v>42</v>
      </c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3"/>
      <c r="AB37" s="3"/>
    </row>
    <row r="38" spans="1:28" ht="12.75" customHeight="1">
      <c r="A38" s="2" t="s">
        <v>43</v>
      </c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3"/>
      <c r="AB38" s="3"/>
    </row>
    <row r="39" spans="1:28" ht="12.75" customHeight="1">
      <c r="A39" s="570" t="s">
        <v>455</v>
      </c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3"/>
      <c r="AB39" s="3"/>
    </row>
    <row r="40" spans="1:28" ht="12.75" customHeight="1">
      <c r="A40" s="2" t="s">
        <v>44</v>
      </c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3"/>
      <c r="AB40" s="3"/>
    </row>
    <row r="41" spans="1:28" ht="12.75" customHeight="1">
      <c r="A41" s="570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3"/>
      <c r="AB41" s="3"/>
    </row>
    <row r="42" spans="1:28" ht="15.75" customHeight="1">
      <c r="A42" s="2"/>
      <c r="B42" s="3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3"/>
      <c r="AB42" s="3"/>
    </row>
    <row r="43" spans="1:28" ht="15.75" customHeight="1">
      <c r="A43" s="10"/>
      <c r="B43" s="10"/>
      <c r="C43" s="10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10"/>
      <c r="AB43" s="10"/>
    </row>
    <row r="44" spans="1:28" ht="15.75" customHeight="1">
      <c r="A44" s="10"/>
      <c r="B44" s="10"/>
      <c r="C44" s="10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0"/>
      <c r="AB44" s="10"/>
    </row>
    <row r="45" spans="1:28" ht="15.75" customHeight="1">
      <c r="A45" s="10"/>
      <c r="B45" s="10"/>
      <c r="C45" s="10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10"/>
      <c r="AB45" s="10"/>
    </row>
    <row r="46" spans="1:28" ht="15.75" customHeight="1">
      <c r="A46" s="10"/>
      <c r="B46" s="10"/>
      <c r="C46" s="10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10"/>
      <c r="AB46" s="10"/>
    </row>
    <row r="47" spans="1:28" ht="15.75" customHeight="1">
      <c r="A47" s="10"/>
      <c r="B47" s="10"/>
      <c r="C47" s="10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10"/>
      <c r="AB47" s="10"/>
    </row>
    <row r="48" spans="1:28" ht="15.75" customHeight="1">
      <c r="A48" s="10"/>
      <c r="B48" s="10"/>
      <c r="C48" s="10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10"/>
      <c r="AB48" s="10"/>
    </row>
    <row r="49" spans="1:28" ht="15.75" customHeight="1">
      <c r="A49" s="10"/>
      <c r="B49" s="10"/>
      <c r="C49" s="1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10"/>
      <c r="AB49" s="10"/>
    </row>
    <row r="50" spans="1:28" ht="15.75" customHeight="1">
      <c r="A50" s="10"/>
      <c r="B50" s="10"/>
      <c r="C50" s="1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10"/>
      <c r="AB50" s="10"/>
    </row>
    <row r="51" spans="1:28" ht="15.75" customHeight="1">
      <c r="A51" s="10"/>
      <c r="B51" s="10"/>
      <c r="C51" s="10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10"/>
      <c r="AB51" s="10"/>
    </row>
    <row r="52" spans="1:28" ht="15.75" customHeight="1">
      <c r="A52" s="10"/>
      <c r="B52" s="10"/>
      <c r="C52" s="10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10"/>
      <c r="AB52" s="10"/>
    </row>
    <row r="53" spans="1:28" ht="15.75" customHeight="1">
      <c r="A53" s="10"/>
      <c r="B53" s="10"/>
      <c r="C53" s="10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10"/>
      <c r="AB53" s="10"/>
    </row>
    <row r="54" spans="1:28" ht="15.75" customHeight="1">
      <c r="A54" s="10"/>
      <c r="B54" s="10"/>
      <c r="C54" s="10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10"/>
      <c r="AB54" s="10"/>
    </row>
    <row r="55" spans="1:28" ht="15.75" customHeight="1">
      <c r="A55" s="10"/>
      <c r="B55" s="10"/>
      <c r="C55" s="10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10"/>
      <c r="AB55" s="10"/>
    </row>
    <row r="56" spans="1:28" ht="15.75" customHeight="1">
      <c r="A56" s="10"/>
      <c r="B56" s="10"/>
      <c r="C56" s="10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10"/>
      <c r="AB56" s="10"/>
    </row>
    <row r="57" spans="1:28" ht="15.75" customHeight="1">
      <c r="A57" s="3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3"/>
      <c r="AB57" s="3"/>
    </row>
    <row r="58" spans="1:28" ht="15.75" customHeight="1">
      <c r="A58" s="3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3"/>
      <c r="AB58" s="3"/>
    </row>
    <row r="59" spans="1:28" ht="15.75" customHeight="1">
      <c r="A59" s="3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3"/>
      <c r="AB59" s="3"/>
    </row>
    <row r="60" spans="1:28" ht="15.75" customHeight="1">
      <c r="A60" s="3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3"/>
      <c r="AB60" s="3"/>
    </row>
    <row r="61" spans="1:28" ht="15.75" customHeight="1">
      <c r="A61" s="3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3"/>
      <c r="AB61" s="3"/>
    </row>
    <row r="62" spans="1:28" ht="15.75" customHeight="1">
      <c r="A62" s="3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3"/>
      <c r="AB62" s="3"/>
    </row>
    <row r="63" spans="1:28" ht="15.75" customHeight="1">
      <c r="A63" s="3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3"/>
      <c r="AB63" s="3"/>
    </row>
    <row r="64" spans="1:28" ht="15.75" customHeight="1">
      <c r="A64" s="3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3"/>
      <c r="AB64" s="3"/>
    </row>
    <row r="65" spans="1:28" ht="15.75" customHeight="1">
      <c r="A65" s="3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3"/>
      <c r="AB65" s="3"/>
    </row>
    <row r="66" spans="1:28" ht="15.75" customHeight="1">
      <c r="A66" s="3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3"/>
      <c r="AB66" s="3"/>
    </row>
    <row r="67" spans="1:28" ht="15.75" customHeight="1">
      <c r="A67" s="3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3"/>
      <c r="AB67" s="3"/>
    </row>
    <row r="68" spans="1:28" ht="15.75" customHeight="1">
      <c r="A68" s="3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3"/>
      <c r="AB68" s="3"/>
    </row>
    <row r="69" spans="1:28" ht="15.75" customHeight="1">
      <c r="A69" s="3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3"/>
      <c r="AB69" s="3"/>
    </row>
    <row r="70" spans="1:28" ht="15.75" customHeight="1">
      <c r="A70" s="3"/>
      <c r="B70" s="3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3"/>
      <c r="AB70" s="3"/>
    </row>
    <row r="71" spans="1:28" ht="15.75" customHeight="1">
      <c r="A71" s="3"/>
      <c r="B71" s="3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3"/>
      <c r="AB71" s="3"/>
    </row>
    <row r="72" spans="1:28" ht="15.75" customHeight="1">
      <c r="A72" s="3"/>
      <c r="B72" s="3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3"/>
      <c r="AB72" s="3"/>
    </row>
    <row r="73" spans="1:28" ht="15.75" customHeight="1">
      <c r="A73" s="3"/>
      <c r="B73" s="3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3"/>
      <c r="AB73" s="3"/>
    </row>
    <row r="74" spans="1:28" ht="15.75" customHeight="1">
      <c r="A74" s="3"/>
      <c r="B74" s="3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3"/>
      <c r="AB74" s="3"/>
    </row>
    <row r="75" spans="1:28" ht="15.75" customHeight="1">
      <c r="A75" s="3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3"/>
      <c r="AB75" s="3"/>
    </row>
    <row r="76" spans="1:28" ht="15.75" customHeight="1">
      <c r="A76" s="3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3"/>
      <c r="AB76" s="3"/>
    </row>
    <row r="77" spans="1:28" ht="15.75" customHeight="1">
      <c r="A77" s="3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3"/>
      <c r="AB77" s="3"/>
    </row>
    <row r="78" spans="1:28" ht="15.75" customHeight="1">
      <c r="A78" s="3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3"/>
      <c r="AB78" s="3"/>
    </row>
    <row r="79" spans="1:28" ht="15.75" customHeight="1">
      <c r="A79" s="3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3"/>
      <c r="AB79" s="3"/>
    </row>
    <row r="80" spans="1:28" ht="15.75" customHeight="1">
      <c r="A80" s="3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3"/>
      <c r="AB80" s="3"/>
    </row>
    <row r="81" spans="1:28" ht="15.75" customHeight="1">
      <c r="A81" s="3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3"/>
      <c r="AB81" s="3"/>
    </row>
    <row r="82" spans="1:28" ht="15.75" customHeight="1">
      <c r="A82" s="3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3"/>
      <c r="AB82" s="3"/>
    </row>
    <row r="83" spans="1:28" ht="15.75" customHeight="1">
      <c r="A83" s="3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3"/>
      <c r="AB83" s="3"/>
    </row>
    <row r="84" spans="1:28" ht="15.75" customHeight="1">
      <c r="A84" s="3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3"/>
      <c r="AB84" s="3"/>
    </row>
    <row r="85" spans="1:28" ht="15.75" customHeight="1">
      <c r="A85" s="3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3"/>
      <c r="AB85" s="3"/>
    </row>
    <row r="86" spans="1:28" ht="15.75" customHeight="1">
      <c r="A86" s="3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3"/>
      <c r="AB86" s="3"/>
    </row>
    <row r="87" spans="1:28" ht="15.75" customHeight="1">
      <c r="A87" s="3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3"/>
      <c r="AB87" s="3"/>
    </row>
    <row r="88" spans="1:28" ht="15.75" customHeight="1">
      <c r="A88" s="3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3"/>
      <c r="AB88" s="3"/>
    </row>
    <row r="89" spans="1:28" ht="15.75" customHeight="1">
      <c r="A89" s="3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"/>
      <c r="AB89" s="3"/>
    </row>
    <row r="90" spans="1:28" ht="15.75" customHeight="1">
      <c r="A90" s="3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"/>
      <c r="AB90" s="3"/>
    </row>
    <row r="91" spans="1:28" ht="15.75" customHeight="1">
      <c r="A91" s="3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3"/>
      <c r="AB91" s="3"/>
    </row>
    <row r="92" spans="1:28" ht="15.75" customHeight="1">
      <c r="A92" s="3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3"/>
      <c r="AB92" s="3"/>
    </row>
    <row r="93" spans="1:28" ht="15.75" customHeight="1">
      <c r="A93" s="3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3"/>
      <c r="AB93" s="3"/>
    </row>
    <row r="94" spans="1:28" ht="15.75" customHeight="1">
      <c r="A94" s="3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3"/>
      <c r="AB94" s="3"/>
    </row>
    <row r="95" spans="1:28" ht="15.75" customHeight="1">
      <c r="A95" s="3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3"/>
      <c r="AB95" s="3"/>
    </row>
    <row r="96" spans="1:28" ht="15.75" customHeight="1">
      <c r="A96" s="3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3"/>
      <c r="AB96" s="3"/>
    </row>
    <row r="97" spans="1:28" ht="15.75" customHeight="1">
      <c r="A97" s="3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3"/>
      <c r="AB97" s="3"/>
    </row>
    <row r="98" spans="1:28" ht="15.75" customHeight="1">
      <c r="A98" s="3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3"/>
      <c r="AB98" s="3"/>
    </row>
    <row r="99" spans="1:28" ht="15.75" customHeight="1">
      <c r="A99" s="3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3"/>
      <c r="AB99" s="3"/>
    </row>
    <row r="100" spans="1:28" ht="15.75" customHeight="1">
      <c r="A100" s="3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3"/>
      <c r="AB100" s="3"/>
    </row>
    <row r="101" spans="1:28" ht="15.75" customHeight="1">
      <c r="A101" s="3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3"/>
      <c r="AB101" s="3"/>
    </row>
    <row r="102" spans="1:28" ht="15.75" customHeight="1">
      <c r="A102" s="3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3"/>
      <c r="AB102" s="3"/>
    </row>
    <row r="103" spans="1:28" ht="15.75" customHeight="1">
      <c r="A103" s="3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3"/>
      <c r="AB103" s="3"/>
    </row>
    <row r="104" spans="1:28" ht="15.75" customHeight="1">
      <c r="A104" s="3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3"/>
      <c r="AB104" s="3"/>
    </row>
    <row r="105" spans="1:28" ht="15.75" customHeight="1">
      <c r="A105" s="3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3"/>
      <c r="AB105" s="3"/>
    </row>
    <row r="106" spans="1:28" ht="15.75" customHeight="1">
      <c r="A106" s="3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3"/>
      <c r="AB106" s="3"/>
    </row>
    <row r="107" spans="1:28" ht="15.75" customHeight="1">
      <c r="A107" s="3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3"/>
      <c r="AB107" s="3"/>
    </row>
    <row r="108" spans="1:28" ht="15.75" customHeight="1">
      <c r="A108" s="3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3"/>
      <c r="AB108" s="3"/>
    </row>
    <row r="109" spans="1:28" ht="15.75" customHeight="1">
      <c r="A109" s="3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3"/>
      <c r="AB109" s="3"/>
    </row>
    <row r="110" spans="1:28" ht="15.75" customHeight="1">
      <c r="A110" s="3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3"/>
      <c r="AB110" s="3"/>
    </row>
    <row r="111" spans="1:28" ht="15.75" customHeight="1">
      <c r="A111" s="3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3"/>
      <c r="AB111" s="3"/>
    </row>
    <row r="112" spans="1:28" ht="15.75" customHeight="1">
      <c r="A112" s="3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3"/>
      <c r="AB112" s="3"/>
    </row>
    <row r="113" spans="1:28" ht="15.75" customHeight="1">
      <c r="A113" s="3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3"/>
      <c r="AB113" s="3"/>
    </row>
    <row r="114" spans="1:28" ht="15.75" customHeight="1">
      <c r="A114" s="3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3"/>
      <c r="AB114" s="3"/>
    </row>
    <row r="115" spans="1:28" ht="15.75" customHeight="1">
      <c r="A115" s="3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3"/>
      <c r="AB115" s="3"/>
    </row>
    <row r="116" spans="1:28" ht="15.75" customHeight="1">
      <c r="A116" s="3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3"/>
      <c r="AB116" s="3"/>
    </row>
    <row r="117" spans="1:28" ht="15.75" customHeight="1">
      <c r="A117" s="3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3"/>
      <c r="AB117" s="3"/>
    </row>
    <row r="118" spans="1:28" ht="15.75" customHeight="1">
      <c r="A118" s="3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3"/>
      <c r="AB118" s="3"/>
    </row>
    <row r="119" spans="1:28" ht="15.75" customHeight="1">
      <c r="A119" s="3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3"/>
      <c r="AB119" s="3"/>
    </row>
    <row r="120" spans="1:28" ht="15.75" customHeight="1">
      <c r="A120" s="3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3"/>
      <c r="AB120" s="3"/>
    </row>
    <row r="121" spans="1:28" ht="15.75" customHeight="1">
      <c r="A121" s="3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3"/>
      <c r="AB121" s="3"/>
    </row>
    <row r="122" spans="1:28" ht="15.75" customHeight="1">
      <c r="A122" s="3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3"/>
      <c r="AB122" s="3"/>
    </row>
    <row r="123" spans="1:28" ht="15.75" customHeight="1">
      <c r="A123" s="3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3"/>
      <c r="AB123" s="3"/>
    </row>
    <row r="124" spans="1:28" ht="15.75" customHeight="1">
      <c r="A124" s="3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3"/>
      <c r="AB124" s="3"/>
    </row>
    <row r="125" spans="1:28" ht="15.75" customHeight="1">
      <c r="A125" s="3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3"/>
      <c r="AB125" s="3"/>
    </row>
    <row r="126" spans="1:28" ht="15.75" customHeight="1">
      <c r="A126" s="3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3"/>
      <c r="AB126" s="3"/>
    </row>
    <row r="127" spans="1:28" ht="15.75" customHeight="1">
      <c r="A127" s="3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3"/>
      <c r="AB127" s="3"/>
    </row>
    <row r="128" spans="1:28" ht="15.75" customHeight="1">
      <c r="A128" s="3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3"/>
      <c r="AB128" s="3"/>
    </row>
    <row r="129" spans="1:28" ht="15.75" customHeight="1">
      <c r="A129" s="3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3"/>
      <c r="AB129" s="3"/>
    </row>
    <row r="130" spans="1:28" ht="15.75" customHeight="1">
      <c r="A130" s="3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3"/>
      <c r="AB130" s="3"/>
    </row>
    <row r="131" spans="1:28" ht="15.75" customHeight="1">
      <c r="A131" s="3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3"/>
      <c r="AB131" s="3"/>
    </row>
    <row r="132" spans="1:28" ht="15.75" customHeight="1">
      <c r="A132" s="3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3"/>
      <c r="AB132" s="3"/>
    </row>
    <row r="133" spans="1:28" ht="15.75" customHeight="1">
      <c r="A133" s="3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3"/>
      <c r="AB133" s="3"/>
    </row>
    <row r="134" spans="1:28" ht="15.75" customHeight="1">
      <c r="A134" s="3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3"/>
      <c r="AB134" s="3"/>
    </row>
    <row r="135" spans="1:28" ht="15.75" customHeight="1">
      <c r="A135" s="3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3"/>
      <c r="AB135" s="3"/>
    </row>
    <row r="136" spans="1:28" ht="15.75" customHeight="1">
      <c r="A136" s="3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3"/>
      <c r="AB136" s="3"/>
    </row>
    <row r="137" spans="1:28" ht="15.75" customHeight="1">
      <c r="A137" s="3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3"/>
      <c r="AB137" s="3"/>
    </row>
    <row r="138" spans="1:28" ht="15.75" customHeight="1">
      <c r="A138" s="3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3"/>
      <c r="AB138" s="3"/>
    </row>
    <row r="139" spans="1:28" ht="15.75" customHeight="1">
      <c r="A139" s="3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3"/>
      <c r="AB139" s="3"/>
    </row>
    <row r="140" spans="1:28" ht="15.75" customHeight="1">
      <c r="A140" s="3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3"/>
      <c r="AB140" s="3"/>
    </row>
    <row r="141" spans="1:28" ht="15.75" customHeight="1">
      <c r="A141" s="3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3"/>
      <c r="AB141" s="3"/>
    </row>
    <row r="142" spans="1:28" ht="15.75" customHeight="1">
      <c r="A142" s="3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3"/>
      <c r="AB142" s="3"/>
    </row>
    <row r="143" spans="1:28" ht="15.75" customHeight="1">
      <c r="A143" s="3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3"/>
      <c r="AB143" s="3"/>
    </row>
    <row r="144" spans="1:28" ht="15.75" customHeight="1">
      <c r="A144" s="3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3"/>
      <c r="AB144" s="3"/>
    </row>
    <row r="145" spans="1:28" ht="15.75" customHeight="1">
      <c r="A145" s="3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3"/>
      <c r="AB145" s="3"/>
    </row>
    <row r="146" spans="1:28" ht="15.75" customHeight="1">
      <c r="A146" s="3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3"/>
      <c r="AB146" s="3"/>
    </row>
    <row r="147" spans="1:28" ht="15.75" customHeight="1">
      <c r="A147" s="3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3"/>
      <c r="AB147" s="3"/>
    </row>
    <row r="148" spans="1:28" ht="15.75" customHeight="1">
      <c r="A148" s="3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3"/>
      <c r="AB148" s="3"/>
    </row>
    <row r="149" spans="1:28" ht="15.75" customHeight="1">
      <c r="A149" s="3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3"/>
      <c r="AB149" s="3"/>
    </row>
    <row r="150" spans="1:28" ht="15.75" customHeight="1">
      <c r="A150" s="3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3"/>
      <c r="AB150" s="3"/>
    </row>
    <row r="151" spans="1:28" ht="15.75" customHeight="1">
      <c r="A151" s="3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3"/>
      <c r="AB151" s="3"/>
    </row>
    <row r="152" spans="1:28" ht="15.75" customHeight="1">
      <c r="A152" s="3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3"/>
      <c r="AB152" s="3"/>
    </row>
    <row r="153" spans="1:28" ht="15.75" customHeight="1">
      <c r="A153" s="3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3"/>
      <c r="AB153" s="3"/>
    </row>
    <row r="154" spans="1:28" ht="15.75" customHeight="1">
      <c r="A154" s="3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3"/>
      <c r="AB154" s="3"/>
    </row>
    <row r="155" spans="1:28" ht="15.75" customHeight="1">
      <c r="A155" s="3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3"/>
      <c r="AB155" s="3"/>
    </row>
    <row r="156" spans="1:28" ht="15.75" customHeight="1">
      <c r="A156" s="3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3"/>
      <c r="AB156" s="3"/>
    </row>
    <row r="157" spans="1:28" ht="15.75" customHeight="1">
      <c r="A157" s="3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3"/>
      <c r="AB157" s="3"/>
    </row>
    <row r="158" spans="1:28" ht="15.75" customHeight="1">
      <c r="A158" s="3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3"/>
      <c r="AB158" s="3"/>
    </row>
    <row r="159" spans="1:28" ht="15.75" customHeight="1">
      <c r="A159" s="3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3"/>
      <c r="AB159" s="3"/>
    </row>
    <row r="160" spans="1:28" ht="15.75" customHeight="1">
      <c r="A160" s="3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3"/>
      <c r="AB160" s="3"/>
    </row>
    <row r="161" spans="1:28" ht="15.75" customHeight="1">
      <c r="A161" s="3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3"/>
      <c r="AB161" s="3"/>
    </row>
    <row r="162" spans="1:28" ht="15.75" customHeight="1">
      <c r="A162" s="3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3"/>
      <c r="AB162" s="3"/>
    </row>
    <row r="163" spans="1:28" ht="15.75" customHeight="1">
      <c r="A163" s="3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3"/>
      <c r="AB163" s="3"/>
    </row>
    <row r="164" spans="1:28" ht="15.75" customHeight="1">
      <c r="A164" s="3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3"/>
      <c r="AB164" s="3"/>
    </row>
    <row r="165" spans="1:28" ht="15.75" customHeight="1">
      <c r="A165" s="3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3"/>
      <c r="AB165" s="3"/>
    </row>
    <row r="166" spans="1:28" ht="15.75" customHeight="1">
      <c r="A166" s="3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3"/>
      <c r="AB166" s="3"/>
    </row>
    <row r="167" spans="1:28" ht="15.75" customHeight="1">
      <c r="A167" s="3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3"/>
      <c r="AB167" s="3"/>
    </row>
    <row r="168" spans="1:28" ht="15.75" customHeight="1">
      <c r="A168" s="3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3"/>
      <c r="AB168" s="3"/>
    </row>
    <row r="169" spans="1:28" ht="15.75" customHeight="1">
      <c r="A169" s="3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3"/>
      <c r="AB169" s="3"/>
    </row>
    <row r="170" spans="1:28" ht="15.75" customHeight="1">
      <c r="A170" s="3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3"/>
      <c r="AB170" s="3"/>
    </row>
    <row r="171" spans="1:28" ht="15.75" customHeight="1">
      <c r="A171" s="3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3"/>
      <c r="AB171" s="3"/>
    </row>
    <row r="172" spans="1:28" ht="15.75" customHeight="1">
      <c r="A172" s="3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3"/>
      <c r="AB172" s="3"/>
    </row>
    <row r="173" spans="1:28" ht="15.75" customHeight="1">
      <c r="A173" s="3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3"/>
      <c r="AB173" s="3"/>
    </row>
    <row r="174" spans="1:28" ht="15.75" customHeight="1">
      <c r="A174" s="3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3"/>
      <c r="AB174" s="3"/>
    </row>
    <row r="175" spans="1:28" ht="15.75" customHeight="1">
      <c r="A175" s="3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3"/>
      <c r="AB175" s="3"/>
    </row>
    <row r="176" spans="1:28" ht="15.75" customHeight="1">
      <c r="A176" s="3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3"/>
      <c r="AB176" s="3"/>
    </row>
    <row r="177" spans="1:28" ht="15.75" customHeight="1">
      <c r="A177" s="3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3"/>
      <c r="AB177" s="3"/>
    </row>
    <row r="178" spans="1:28" ht="15.75" customHeight="1">
      <c r="A178" s="3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3"/>
      <c r="AB178" s="3"/>
    </row>
    <row r="179" spans="1:28" ht="15.75" customHeight="1">
      <c r="A179" s="3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3"/>
      <c r="AB179" s="3"/>
    </row>
    <row r="180" spans="1:28" ht="15.75" customHeight="1">
      <c r="A180" s="3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3"/>
      <c r="AB180" s="3"/>
    </row>
    <row r="181" spans="1:28" ht="15.75" customHeight="1">
      <c r="A181" s="3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3"/>
      <c r="AB181" s="3"/>
    </row>
    <row r="182" spans="1:28" ht="15.75" customHeight="1">
      <c r="A182" s="3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3"/>
      <c r="AB182" s="3"/>
    </row>
    <row r="183" spans="1:28" ht="15.75" customHeight="1">
      <c r="A183" s="3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3"/>
      <c r="AB183" s="3"/>
    </row>
    <row r="184" spans="1:28" ht="15.75" customHeight="1">
      <c r="A184" s="3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3"/>
      <c r="AB184" s="3"/>
    </row>
    <row r="185" spans="1:28" ht="15.75" customHeight="1">
      <c r="A185" s="3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3"/>
      <c r="AB185" s="3"/>
    </row>
    <row r="186" spans="1:28" ht="15.75" customHeight="1">
      <c r="A186" s="3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3"/>
      <c r="AB186" s="3"/>
    </row>
    <row r="187" spans="1:28" ht="15.75" customHeight="1">
      <c r="A187" s="3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3"/>
      <c r="AB187" s="3"/>
    </row>
    <row r="188" spans="1:28" ht="15.75" customHeight="1">
      <c r="A188" s="3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3"/>
      <c r="AB188" s="3"/>
    </row>
    <row r="189" spans="1:28" ht="15.75" customHeight="1">
      <c r="A189" s="3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3"/>
      <c r="AB189" s="3"/>
    </row>
    <row r="190" spans="1:28" ht="15.75" customHeight="1">
      <c r="A190" s="3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3"/>
      <c r="AB190" s="3"/>
    </row>
    <row r="191" spans="1:28" ht="15.75" customHeight="1">
      <c r="A191" s="3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3"/>
      <c r="AB191" s="3"/>
    </row>
    <row r="192" spans="1:28" ht="15.75" customHeight="1">
      <c r="A192" s="3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3"/>
      <c r="AB192" s="3"/>
    </row>
    <row r="193" spans="1:28" ht="15.75" customHeight="1">
      <c r="A193" s="3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3"/>
      <c r="AB193" s="3"/>
    </row>
    <row r="194" spans="1:28" ht="15.75" customHeight="1">
      <c r="A194" s="3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3"/>
      <c r="AB194" s="3"/>
    </row>
    <row r="195" spans="1:28" ht="15.75" customHeight="1">
      <c r="A195" s="3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3"/>
      <c r="AB195" s="3"/>
    </row>
    <row r="196" spans="1:28" ht="15.75" customHeight="1">
      <c r="A196" s="3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3"/>
      <c r="AB196" s="3"/>
    </row>
    <row r="197" spans="1:28" ht="15.75" customHeight="1">
      <c r="A197" s="3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3"/>
      <c r="AB197" s="3"/>
    </row>
    <row r="198" spans="1:28" ht="15.75" customHeight="1">
      <c r="A198" s="3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3"/>
      <c r="AB198" s="3"/>
    </row>
    <row r="199" spans="1:28" ht="15.75" customHeight="1">
      <c r="A199" s="3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3"/>
      <c r="AB199" s="3"/>
    </row>
    <row r="200" spans="1:28" ht="15.75" customHeight="1">
      <c r="A200" s="3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3"/>
      <c r="AB200" s="3"/>
    </row>
    <row r="201" spans="1:28" ht="15.75" customHeight="1">
      <c r="A201" s="3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3"/>
      <c r="AB201" s="3"/>
    </row>
    <row r="202" spans="1:28" ht="15.75" customHeight="1">
      <c r="A202" s="3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3"/>
      <c r="AB202" s="3"/>
    </row>
    <row r="203" spans="1:28" ht="15.75" customHeight="1">
      <c r="A203" s="3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3"/>
      <c r="AB203" s="3"/>
    </row>
    <row r="204" spans="1:28" ht="15.75" customHeight="1">
      <c r="A204" s="3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3"/>
      <c r="AB204" s="3"/>
    </row>
    <row r="205" spans="1:28" ht="15.75" customHeight="1">
      <c r="A205" s="3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3"/>
      <c r="AB205" s="3"/>
    </row>
    <row r="206" spans="1:28" ht="15.75" customHeight="1">
      <c r="A206" s="3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3"/>
      <c r="AB206" s="3"/>
    </row>
    <row r="207" spans="1:28" ht="15.75" customHeight="1">
      <c r="A207" s="3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3"/>
      <c r="AB207" s="3"/>
    </row>
    <row r="208" spans="1:28" ht="15.75" customHeight="1">
      <c r="A208" s="3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3"/>
      <c r="AB208" s="3"/>
    </row>
    <row r="209" spans="1:28" ht="15.75" customHeight="1">
      <c r="A209" s="3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3"/>
      <c r="AB209" s="3"/>
    </row>
    <row r="210" spans="1:28" ht="15.75" customHeight="1">
      <c r="A210" s="3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3"/>
      <c r="AB210" s="3"/>
    </row>
    <row r="211" spans="1:28" ht="15.75" customHeight="1">
      <c r="A211" s="3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3"/>
      <c r="AB211" s="3"/>
    </row>
    <row r="212" spans="1:28" ht="15.75" customHeight="1">
      <c r="A212" s="3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3"/>
      <c r="AB212" s="3"/>
    </row>
    <row r="213" spans="1:28" ht="15.75" customHeight="1">
      <c r="A213" s="3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3"/>
      <c r="AB213" s="3"/>
    </row>
    <row r="214" spans="1:28" ht="15.75" customHeight="1">
      <c r="A214" s="3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3"/>
      <c r="AB214" s="3"/>
    </row>
    <row r="215" spans="1:28" ht="15.75" customHeight="1">
      <c r="A215" s="3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3"/>
      <c r="AB215" s="3"/>
    </row>
    <row r="216" spans="1:28" ht="15.75" customHeight="1">
      <c r="A216" s="3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3"/>
      <c r="AB216" s="3"/>
    </row>
    <row r="217" spans="1:28" ht="15.75" customHeight="1">
      <c r="A217" s="3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3"/>
      <c r="AB217" s="3"/>
    </row>
    <row r="218" spans="1:28" ht="15.75" customHeight="1">
      <c r="A218" s="3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3"/>
      <c r="AB218" s="3"/>
    </row>
    <row r="219" spans="1:28" ht="15.75" customHeight="1">
      <c r="A219" s="3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3"/>
      <c r="AB219" s="3"/>
    </row>
    <row r="220" spans="1:28" ht="15.75" customHeight="1">
      <c r="A220" s="3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3"/>
      <c r="AB220" s="3"/>
    </row>
    <row r="221" spans="1:28" ht="15.75" customHeight="1">
      <c r="A221" s="3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3"/>
      <c r="AB221" s="3"/>
    </row>
    <row r="222" spans="1:28" ht="15.75" customHeight="1">
      <c r="A222" s="3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3"/>
      <c r="AB222" s="3"/>
    </row>
    <row r="223" spans="1:28" ht="15.75" customHeight="1">
      <c r="A223" s="3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3"/>
      <c r="AB223" s="3"/>
    </row>
    <row r="224" spans="1:28" ht="15.75" customHeight="1">
      <c r="A224" s="3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3"/>
      <c r="AB224" s="3"/>
    </row>
    <row r="225" spans="1:28" ht="15.75" customHeight="1">
      <c r="A225" s="3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3"/>
      <c r="AB225" s="3"/>
    </row>
    <row r="226" spans="1:28" ht="15.75" customHeight="1">
      <c r="A226" s="3"/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3"/>
      <c r="AB226" s="3"/>
    </row>
    <row r="227" spans="1:28" ht="15.75" customHeight="1">
      <c r="A227" s="3"/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3"/>
      <c r="AB227" s="3"/>
    </row>
    <row r="228" spans="1:28" ht="15.75" customHeight="1">
      <c r="A228" s="3"/>
      <c r="B228" s="3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3"/>
      <c r="AB228" s="3"/>
    </row>
    <row r="229" spans="1:28" ht="15.75" customHeight="1">
      <c r="A229" s="3"/>
      <c r="B229" s="3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3"/>
      <c r="AB229" s="3"/>
    </row>
    <row r="230" spans="1:28" ht="15.75" customHeight="1">
      <c r="A230" s="3"/>
      <c r="B230" s="3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3"/>
      <c r="AB230" s="3"/>
    </row>
    <row r="231" spans="1:28" ht="15.75" customHeight="1">
      <c r="A231" s="3"/>
      <c r="B231" s="3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3"/>
      <c r="AB231" s="3"/>
    </row>
    <row r="232" spans="1:28" ht="15.75" customHeight="1">
      <c r="A232" s="3"/>
      <c r="B232" s="3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3"/>
      <c r="AB232" s="3"/>
    </row>
    <row r="233" spans="1:28" ht="15.75" customHeight="1">
      <c r="A233" s="3"/>
      <c r="B233" s="3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3"/>
      <c r="AB233" s="3"/>
    </row>
    <row r="234" spans="1:28" ht="15.75" customHeight="1">
      <c r="A234" s="3"/>
      <c r="B234" s="3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3"/>
      <c r="AB234" s="3"/>
    </row>
    <row r="235" spans="1:28" ht="15.75" customHeight="1">
      <c r="A235" s="3"/>
      <c r="B235" s="3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3"/>
      <c r="AB235" s="3"/>
    </row>
    <row r="236" spans="1:28" ht="15.75" customHeight="1">
      <c r="A236" s="3"/>
      <c r="B236" s="3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3"/>
      <c r="AB236" s="3"/>
    </row>
    <row r="237" spans="1:28" ht="15.75" customHeight="1">
      <c r="A237" s="3"/>
      <c r="B237" s="3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3"/>
      <c r="AB237" s="3"/>
    </row>
    <row r="238" spans="1:28" ht="15.75" customHeight="1">
      <c r="A238" s="3"/>
      <c r="B238" s="3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3"/>
      <c r="AB238" s="3"/>
    </row>
    <row r="239" spans="1:28" ht="15.75" customHeight="1">
      <c r="A239" s="3"/>
      <c r="B239" s="3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3"/>
      <c r="AB239" s="3"/>
    </row>
    <row r="240" spans="1:28" ht="15.75" customHeight="1">
      <c r="A240" s="3"/>
      <c r="B240" s="3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3"/>
      <c r="AB240" s="3"/>
    </row>
    <row r="241" spans="4:26" ht="15.75" customHeight="1"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4:26" ht="15.75" customHeight="1"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4:26" ht="15.75" customHeight="1"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4:26" ht="15.75" customHeight="1"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4:26" ht="15.75" customHeight="1"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4:26" ht="15.75" customHeight="1"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4:26" ht="15.75" customHeight="1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4:26" ht="15.75" customHeight="1"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4:26" ht="15.75" customHeight="1"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4:26" ht="15.75" customHeight="1"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4:26" ht="15.75" customHeight="1"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4:26" ht="15.75" customHeight="1"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4:26" ht="15.75" customHeight="1"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4:26" ht="15.75" customHeight="1"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4:26" ht="15.75" customHeight="1"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4:26" ht="15.75" customHeight="1"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4:26" ht="15.75" customHeight="1"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4:26" ht="15.75" customHeight="1"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4:26" ht="15.75" customHeight="1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4:26" ht="15.75" customHeight="1"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4:26" ht="15.75" customHeight="1"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4:26" ht="15.75" customHeight="1"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4:26" ht="15.75" customHeight="1"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4:26" ht="15.75" customHeight="1"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4:26" ht="15.75" customHeight="1"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4:26" ht="15.75" customHeight="1"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4:26" ht="15.75" customHeight="1"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4:26" ht="15.75" customHeight="1"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4:26" ht="15.75" customHeight="1"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4:26" ht="15.75" customHeight="1"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4:26" ht="15.75" customHeight="1"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4:26" ht="15.75" customHeight="1"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4:26" ht="15.75" customHeight="1"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4:26" ht="15.75" customHeight="1"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4:26" ht="15.75" customHeight="1"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4:26" ht="15.75" customHeight="1"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4:26" ht="15.75" customHeight="1"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4:26" ht="15.75" customHeight="1"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4:26" ht="15.75" customHeight="1"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4:26" ht="15.75" customHeight="1"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4:26" ht="15.75" customHeight="1"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4:26" ht="15.75" customHeight="1"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4:26" ht="15.75" customHeight="1"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4:26" ht="15.75" customHeight="1"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4:26" ht="15.75" customHeight="1"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4:26" ht="15.75" customHeight="1"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4:26" ht="15.75" customHeight="1"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4:26" ht="15.75" customHeight="1"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4:26" ht="15.75" customHeight="1"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4:26" ht="15.75" customHeight="1"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4:26" ht="15.75" customHeight="1"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4:26" ht="15.75" customHeight="1"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4:26" ht="15.75" customHeight="1"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4:26" ht="15.75" customHeight="1"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4:26" ht="15.75" customHeight="1"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4:26" ht="15.75" customHeight="1"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4:26" ht="15.75" customHeight="1"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4:26" ht="15.75" customHeight="1"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4:26" ht="15.75" customHeight="1"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4:26" ht="15.75" customHeight="1"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4:26" ht="15.75" customHeight="1"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4:26" ht="15.75" customHeight="1"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4:26" ht="15.75" customHeight="1"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4:26" ht="15.75" customHeight="1"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4:26" ht="15.75" customHeight="1"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4:26" ht="15.75" customHeight="1"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4:26" ht="15.75" customHeight="1"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4:26" ht="15.75" customHeight="1"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4:26" ht="15.75" customHeight="1"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4:26" ht="15.75" customHeight="1"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4:26" ht="15.75" customHeight="1"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4:26" ht="15.75" customHeight="1"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4:26" ht="15.75" customHeight="1"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4:26" ht="15.75" customHeight="1"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4:26" ht="15.75" customHeight="1"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4:26" ht="15.75" customHeight="1"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4:26" ht="15.75" customHeight="1"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4:26" ht="15.75" customHeight="1"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4:26" ht="15.75" customHeight="1"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4:26" ht="15.75" customHeight="1"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4:26" ht="15.75" customHeight="1"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4:26" ht="15.75" customHeight="1"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4:26" ht="15.75" customHeight="1"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4:26" ht="15.75" customHeight="1"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4:26" ht="15.75" customHeight="1"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4:26" ht="15.75" customHeight="1"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4:26" ht="15.75" customHeight="1"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4:26" ht="15.75" customHeight="1"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4:26" ht="15.75" customHeight="1"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4:26" ht="15.75" customHeight="1"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4:26" ht="15.75" customHeight="1"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4:26" ht="15.75" customHeight="1"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4:26" ht="15.75" customHeight="1"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4:26" ht="15.75" customHeight="1"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4:26" ht="15.75" customHeight="1"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4:26" ht="15.75" customHeight="1"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4:26" ht="15.75" customHeight="1"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4:26" ht="15.75" customHeight="1"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4:26" ht="15.75" customHeight="1"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4:26" ht="15.75" customHeight="1"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4:26" ht="15.75" customHeight="1"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4:26" ht="15.75" customHeight="1"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4:26" ht="15.75" customHeight="1"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4:26" ht="15.75" customHeight="1"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4:26" ht="15.75" customHeight="1"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4:26" ht="15.75" customHeight="1"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4:26" ht="15.75" customHeight="1"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4:26" ht="15.75" customHeight="1"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4:26" ht="15.75" customHeight="1"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4:26" ht="15.75" customHeight="1"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4:26" ht="15.75" customHeight="1"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4:26" ht="15.75" customHeight="1"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4:26" ht="15.75" customHeight="1"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4:26" ht="15.75" customHeight="1"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4:26" ht="15.75" customHeight="1"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4:26" ht="15.75" customHeight="1"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4:26" ht="15.75" customHeight="1"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4:26" ht="15.75" customHeight="1"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4:26" ht="15.75" customHeight="1"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4:26" ht="15.75" customHeight="1"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4:26" ht="15.75" customHeight="1"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4:26" ht="15.75" customHeight="1"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4:26" ht="15.75" customHeight="1"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4:26" ht="15.75" customHeight="1"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4:26" ht="15.75" customHeight="1"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4:26" ht="15.75" customHeight="1"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4:26" ht="15.75" customHeight="1"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4:26" ht="15.75" customHeight="1"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4:26" ht="15.75" customHeight="1"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4:26" ht="15.75" customHeight="1"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4:26" ht="15.75" customHeight="1"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4:26" ht="15.75" customHeight="1"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4:26" ht="15.75" customHeight="1"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4:26" ht="15.75" customHeight="1"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4:26" ht="15.75" customHeight="1"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4:26" ht="15.75" customHeight="1"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4:26" ht="15.75" customHeight="1"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4:26" ht="15.75" customHeight="1"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4:26" ht="15.75" customHeight="1"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4:26" ht="15.75" customHeight="1"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4:26" ht="15.75" customHeight="1"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4:26" ht="15.75" customHeight="1"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4:26" ht="15.75" customHeight="1"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4:26" ht="15.75" customHeight="1"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4:26" ht="15.75" customHeight="1"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4:26" ht="15.75" customHeight="1"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4:26" ht="15.75" customHeight="1"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4:26" ht="15.75" customHeight="1"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4:26" ht="15.75" customHeight="1"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4:26" ht="15.75" customHeight="1"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4:26" ht="15.75" customHeight="1"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4:26" ht="15.75" customHeight="1"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4:26" ht="15.75" customHeight="1"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4:26" ht="15.75" customHeight="1"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4:26" ht="15.75" customHeight="1"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4:26" ht="15.75" customHeight="1"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4:26" ht="15.75" customHeight="1"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4:26" ht="15.75" customHeight="1"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4:26" ht="15.75" customHeight="1"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4:26" ht="15.75" customHeight="1"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4:26" ht="15.75" customHeight="1"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4:26" ht="15.75" customHeight="1"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4:26" ht="15.75" customHeight="1"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4:26" ht="15.75" customHeight="1"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4:26" ht="15.75" customHeight="1"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4:26" ht="15.75" customHeight="1"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4:26" ht="15.75" customHeight="1"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4:26" ht="15.75" customHeight="1"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4:26" ht="15.75" customHeight="1"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4:26" ht="15.75" customHeight="1"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4:26" ht="15.75" customHeight="1"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4:26" ht="15.75" customHeight="1"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4:26" ht="15.75" customHeight="1"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4:26" ht="15.75" customHeight="1"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4:26" ht="15.75" customHeight="1"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4:26" ht="15.75" customHeight="1"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4:26" ht="15.75" customHeight="1"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4:26" ht="15.75" customHeight="1"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4:26" ht="15.75" customHeight="1"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4:26" ht="15.75" customHeight="1"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4:26" ht="15.75" customHeight="1"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4:26" ht="15.75" customHeight="1"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4:26" ht="15.75" customHeight="1"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4:26" ht="15.75" customHeight="1"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4:26" ht="15.75" customHeight="1"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4:26" ht="15.75" customHeight="1"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4:26" ht="15.75" customHeight="1"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4:26" ht="15.75" customHeight="1"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4:26" ht="15.75" customHeight="1"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4:26" ht="15.75" customHeight="1"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4:26" ht="15.75" customHeight="1"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4:26" ht="15.75" customHeight="1"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4:26" ht="15.75" customHeight="1"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4:26" ht="15.75" customHeight="1"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4:26" ht="15.75" customHeight="1"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4:26" ht="15.75" customHeight="1"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4:26" ht="15.75" customHeight="1"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4:26" ht="15.75" customHeight="1"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4:26" ht="15.75" customHeight="1"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4:26" ht="15.75" customHeight="1"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4:26" ht="15.75" customHeight="1"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4:26" ht="15.75" customHeight="1"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4:26" ht="15.75" customHeight="1"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4:26" ht="15.75" customHeight="1"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4:26" ht="15.75" customHeight="1"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4:26" ht="15.75" customHeight="1"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4:26" ht="15.75" customHeight="1"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4:26" ht="15.75" customHeight="1"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4:26" ht="15.75" customHeight="1"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4:26" ht="15.75" customHeight="1"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4:26" ht="15.75" customHeight="1"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4:26" ht="15.75" customHeight="1"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4:26" ht="15.75" customHeight="1"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4:26" ht="15.75" customHeight="1"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4:26" ht="15.75" customHeight="1"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4:26" ht="15.75" customHeight="1"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4:26" ht="15.75" customHeight="1"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4:26" ht="15.75" customHeight="1"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4:26" ht="15.75" customHeight="1"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4:26" ht="15.75" customHeight="1"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4:26" ht="15.75" customHeight="1"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4:26" ht="15.75" customHeight="1"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4:26" ht="15.75" customHeight="1"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4:26" ht="15.75" customHeight="1"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4:26" ht="15.75" customHeight="1"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4:26" ht="15.75" customHeight="1"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4:26" ht="15.75" customHeight="1"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4:26" ht="15.75" customHeight="1"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4:26" ht="15.75" customHeight="1"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4:26" ht="15.75" customHeight="1"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4:26" ht="15.75" customHeight="1"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4:26" ht="15.75" customHeight="1"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4:26" ht="15.75" customHeight="1"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4:26" ht="15.75" customHeight="1"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4:26" ht="15.75" customHeight="1"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4:26" ht="15.75" customHeight="1"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4:26" ht="15.75" customHeight="1"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4:26" ht="15.75" customHeight="1"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4:26" ht="15.75" customHeight="1"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4:26" ht="15.75" customHeight="1"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4:26" ht="15.75" customHeight="1"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4:26" ht="15.75" customHeight="1"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4:26" ht="15.75" customHeight="1"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4:26" ht="15.75" customHeight="1"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4:26" ht="15.75" customHeight="1"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4:26" ht="15.75" customHeight="1"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4:26" ht="15.75" customHeight="1"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4:26" ht="15.75" customHeight="1"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4:26" ht="15.75" customHeight="1"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4:26" ht="15.75" customHeight="1"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4:26" ht="15.75" customHeight="1"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4:26" ht="15.75" customHeight="1"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4:26" ht="15.75" customHeight="1"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4:26" ht="15.75" customHeight="1"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4:26" ht="15.75" customHeight="1"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4:26" ht="15.75" customHeight="1"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4:26" ht="15.75" customHeight="1"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4:26" ht="15.75" customHeight="1"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4:26" ht="15.75" customHeight="1"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4:26" ht="15.75" customHeight="1"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4:26" ht="15.75" customHeight="1"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4:26" ht="15.75" customHeight="1"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4:26" ht="15.75" customHeight="1"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4:26" ht="15.75" customHeight="1"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4:26" ht="15.75" customHeight="1"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4:26" ht="15.75" customHeight="1"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4:26" ht="15.75" customHeight="1"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4:26" ht="15.75" customHeight="1"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4:26" ht="15.75" customHeight="1"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4:26" ht="15.75" customHeight="1"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4:26" ht="15.75" customHeight="1"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4:26" ht="15.75" customHeight="1"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4:26" ht="15.75" customHeight="1"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4:26" ht="15.75" customHeight="1"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4:26" ht="15.75" customHeight="1"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4:26" ht="15.75" customHeight="1"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4:26" ht="15.75" customHeight="1"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4:26" ht="15.75" customHeight="1"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4:26" ht="15.75" customHeight="1"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4:26" ht="15.75" customHeight="1"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4:26" ht="15.75" customHeight="1"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4:26" ht="15.75" customHeight="1"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4:26" ht="15.75" customHeight="1"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4:26" ht="15.75" customHeight="1"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4:26" ht="15.75" customHeight="1"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4:26" ht="15.75" customHeight="1"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4:26" ht="15.75" customHeight="1"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4:26" ht="15.75" customHeight="1"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4:26" ht="15.75" customHeight="1"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4:26" ht="15.75" customHeight="1"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4:26" ht="15.75" customHeight="1"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4:26" ht="15.75" customHeight="1"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4:26" ht="15.75" customHeight="1"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4:26" ht="15.75" customHeight="1"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4:26" ht="15.75" customHeight="1"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4:26" ht="15.75" customHeight="1"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4:26" ht="15.75" customHeight="1"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4:26" ht="15.75" customHeight="1"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4:26" ht="15.75" customHeight="1"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4:26" ht="15.75" customHeight="1"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4:26" ht="15.75" customHeight="1"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4:26" ht="15.75" customHeight="1"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4:26" ht="15.75" customHeight="1"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4:26" ht="15.75" customHeight="1"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4:26" ht="15.75" customHeight="1"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4:26" ht="15.75" customHeight="1"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4:26" ht="15.75" customHeight="1"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4:26" ht="15.75" customHeight="1"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4:26" ht="15.75" customHeight="1"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4:26" ht="15.75" customHeight="1"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4:26" ht="15.75" customHeight="1"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4:26" ht="15.75" customHeight="1"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4:26" ht="15.75" customHeight="1"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4:26" ht="15.75" customHeight="1"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4:26" ht="15.75" customHeight="1"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4:26" ht="15.75" customHeight="1"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4:26" ht="15.75" customHeight="1"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4:26" ht="15.75" customHeight="1"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4:26" ht="15.75" customHeight="1"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4:26" ht="15.75" customHeight="1"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4:26" ht="15.75" customHeight="1"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4:26" ht="15.75" customHeight="1"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4:26" ht="15.75" customHeight="1"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4:26" ht="15.75" customHeight="1"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4:26" ht="15.75" customHeight="1"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4:26" ht="15.75" customHeight="1"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4:26" ht="15.75" customHeight="1"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4:26" ht="15.75" customHeight="1"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4:26" ht="15.75" customHeight="1"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4:26" ht="15.75" customHeight="1"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4:26" ht="15.75" customHeight="1"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4:26" ht="15.75" customHeight="1"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4:26" ht="15.75" customHeight="1"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4:26" ht="15.75" customHeight="1"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4:26" ht="15.75" customHeight="1"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4:26" ht="15.75" customHeight="1"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4:26" ht="15.75" customHeight="1"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4:26" ht="15.75" customHeight="1"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4:26" ht="15.75" customHeight="1"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4:26" ht="15.75" customHeight="1"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4:26" ht="15.75" customHeight="1"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4:26" ht="15.75" customHeight="1"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4:26" ht="15.75" customHeight="1"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4:26" ht="15.75" customHeight="1"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4:26" ht="15.75" customHeight="1"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4:26" ht="15.75" customHeight="1"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4:26" ht="15.75" customHeight="1"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4:26" ht="15.75" customHeight="1"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4:26" ht="15.75" customHeight="1"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4:26" ht="15.75" customHeight="1"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4:26" ht="15.75" customHeight="1"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4:26" ht="15.75" customHeight="1"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4:26" ht="15.75" customHeight="1"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4:26" ht="15.75" customHeight="1"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4:26" ht="15.75" customHeight="1"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4:26" ht="15.75" customHeight="1"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4:26" ht="15.75" customHeight="1"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4:26" ht="15.75" customHeight="1"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4:26" ht="15.75" customHeight="1"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4:26" ht="15.75" customHeight="1"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4:26" ht="15.75" customHeight="1"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4:26" ht="15.75" customHeight="1"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4:26" ht="15.75" customHeight="1"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4:26" ht="15.75" customHeight="1"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4:26" ht="15.75" customHeight="1"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4:26" ht="15.75" customHeight="1"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4:26" ht="15.75" customHeight="1"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4:26" ht="15.75" customHeight="1"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4:26" ht="15.75" customHeight="1"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4:26" ht="15.75" customHeight="1"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4:26" ht="15.75" customHeight="1"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4:26" ht="15.75" customHeight="1"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4:26" ht="15.75" customHeight="1"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4:26" ht="15.75" customHeight="1"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4:26" ht="15.75" customHeight="1"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4:26" ht="15.75" customHeight="1"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4:26" ht="15.75" customHeight="1"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4:26" ht="15.75" customHeight="1"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4:26" ht="15.75" customHeight="1"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4:26" ht="15.75" customHeight="1"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4:26" ht="15.75" customHeight="1"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4:26" ht="15.75" customHeight="1"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4:26" ht="15.75" customHeight="1"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4:26" ht="15.75" customHeight="1"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4:26" ht="15.75" customHeight="1"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4:26" ht="15.75" customHeight="1"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4:26" ht="15.75" customHeight="1"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4:26" ht="15.75" customHeight="1"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4:26" ht="15.75" customHeight="1"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4:26" ht="15.75" customHeight="1"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4:26" ht="15.75" customHeight="1"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4:26" ht="15.75" customHeight="1"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4:26" ht="15.75" customHeight="1"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4:26" ht="15.75" customHeight="1"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4:26" ht="15.75" customHeight="1"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4:26" ht="15.75" customHeight="1"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4:26" ht="15.75" customHeight="1"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4:26" ht="15.75" customHeight="1"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4:26" ht="15.75" customHeight="1"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4:26" ht="15.75" customHeight="1"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4:26" ht="15.75" customHeight="1"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4:26" ht="15.75" customHeight="1"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4:26" ht="15.75" customHeight="1"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4:26" ht="15.75" customHeight="1"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4:26" ht="15.75" customHeight="1"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4:26" ht="15.75" customHeight="1"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4:26" ht="15.75" customHeight="1"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4:26" ht="15.75" customHeight="1"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4:26" ht="15.75" customHeight="1"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4:26" ht="15.75" customHeight="1"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4:26" ht="15.75" customHeight="1"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4:26" ht="15.75" customHeight="1"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4:26" ht="15.75" customHeight="1"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4:26" ht="15.75" customHeight="1"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4:26" ht="15.75" customHeight="1"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4:26" ht="15.75" customHeight="1"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4:26" ht="15.75" customHeight="1"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4:26" ht="15.75" customHeight="1"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4:26" ht="15.75" customHeight="1"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4:26" ht="15.75" customHeight="1"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4:26" ht="15.75" customHeight="1"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4:26" ht="15.75" customHeight="1"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4:26" ht="15.75" customHeight="1"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4:26" ht="15.75" customHeight="1"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4:26" ht="15.75" customHeight="1"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4:26" ht="15.75" customHeight="1"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4:26" ht="15.75" customHeight="1"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4:26" ht="15.75" customHeight="1"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4:26" ht="15.75" customHeight="1"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4:26" ht="15.75" customHeight="1"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4:26" ht="15.75" customHeight="1"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4:26" ht="15.75" customHeight="1"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4:26" ht="15.75" customHeight="1"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4:26" ht="15.75" customHeight="1"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4:26" ht="15.75" customHeight="1"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4:26" ht="15.75" customHeight="1"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4:26" ht="15.75" customHeight="1"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4:26" ht="15.75" customHeight="1"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4:26" ht="15.75" customHeight="1"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4:26" ht="15.75" customHeight="1"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4:26" ht="15.75" customHeight="1"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4:26" ht="15.75" customHeight="1"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4:26" ht="15.75" customHeight="1"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4:26" ht="15.75" customHeight="1"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4:26" ht="15.75" customHeight="1"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4:26" ht="15.75" customHeight="1"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4:26" ht="15.75" customHeight="1"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4:26" ht="15.75" customHeight="1"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4:26" ht="15.75" customHeight="1"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4:26" ht="15.75" customHeight="1"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4:26" ht="15.75" customHeight="1"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4:26" ht="15.75" customHeight="1"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4:26" ht="15.75" customHeight="1"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4:26" ht="15.75" customHeight="1"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4:26" ht="15.75" customHeight="1"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4:26" ht="15.75" customHeight="1"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4:26" ht="15.75" customHeight="1"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4:26" ht="15.75" customHeight="1"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4:26" ht="15.75" customHeight="1"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4:26" ht="15.75" customHeight="1"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4:26" ht="15.75" customHeight="1"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4:26" ht="15.75" customHeight="1"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4:26" ht="15.75" customHeight="1"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4:26" ht="15.75" customHeight="1"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4:26" ht="15.75" customHeight="1"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4:26" ht="15.75" customHeight="1"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4:26" ht="15.75" customHeight="1"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4:26" ht="15.75" customHeight="1"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4:26" ht="15.75" customHeight="1"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4:26" ht="15.75" customHeight="1"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4:26" ht="15.75" customHeight="1"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4:26" ht="15.75" customHeight="1"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4:26" ht="15.75" customHeight="1"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4:26" ht="15.75" customHeight="1"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4:26" ht="15.75" customHeight="1"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4:26" ht="15.75" customHeight="1"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4:26" ht="15.75" customHeight="1"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4:26" ht="15.75" customHeight="1"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4:26" ht="15.75" customHeight="1"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4:26" ht="15.75" customHeight="1"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4:26" ht="15.75" customHeight="1"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4:26" ht="15.75" customHeight="1"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4:26" ht="15.75" customHeight="1"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4:26" ht="15.75" customHeight="1"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4:26" ht="15.75" customHeight="1"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4:26" ht="15.75" customHeight="1"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4:26" ht="15.75" customHeight="1"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4:26" ht="15.75" customHeight="1"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4:26" ht="15.75" customHeight="1"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4:26" ht="15.75" customHeight="1"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4:26" ht="15.75" customHeight="1"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4:26" ht="15.75" customHeight="1"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4:26" ht="15.75" customHeight="1"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4:26" ht="15.75" customHeight="1"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4:26" ht="15.75" customHeight="1"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4:26" ht="15.75" customHeight="1"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4:26" ht="15.75" customHeight="1"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4:26" ht="15.75" customHeight="1"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4:26" ht="15.75" customHeight="1"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4:26" ht="15.75" customHeight="1"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4:26" ht="15.75" customHeight="1"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4:26" ht="15.75" customHeight="1"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4:26" ht="15.75" customHeight="1"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4:26" ht="15.75" customHeight="1"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4:26" ht="15.75" customHeight="1"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4:26" ht="15.75" customHeight="1"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4:26" ht="15.75" customHeight="1"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4:26" ht="15.75" customHeight="1"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4:26" ht="15.75" customHeight="1"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4:26" ht="15.75" customHeight="1"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4:26" ht="15.75" customHeight="1"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4:26" ht="15.75" customHeight="1"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4:26" ht="15.75" customHeight="1"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4:26" ht="15.75" customHeight="1"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4:26" ht="15.75" customHeight="1"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4:26" ht="15.75" customHeight="1"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4:26" ht="15.75" customHeight="1"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4:26" ht="15.75" customHeight="1"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4:26" ht="15.75" customHeight="1"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4:26" ht="15.75" customHeight="1"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4:26" ht="15.75" customHeight="1"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4:26" ht="15.75" customHeight="1"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4:26" ht="15.75" customHeight="1"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4:26" ht="15.75" customHeight="1"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4:26" ht="15.75" customHeight="1"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4:26" ht="15.75" customHeight="1"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4:26" ht="15.75" customHeight="1"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4:26" ht="15.75" customHeight="1"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4:26" ht="15.75" customHeight="1"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4:26" ht="15.75" customHeight="1"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4:26" ht="15.75" customHeight="1"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4:26" ht="15.75" customHeight="1"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4:26" ht="15.75" customHeight="1"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4:26" ht="15.75" customHeight="1"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4:26" ht="15.75" customHeight="1"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4:26" ht="15.75" customHeight="1"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4:26" ht="15.75" customHeight="1"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4:26" ht="15.75" customHeight="1"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4:26" ht="15.75" customHeight="1"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4:26" ht="15.75" customHeight="1"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4:26" ht="15.75" customHeight="1"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4:26" ht="15.75" customHeight="1"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4:26" ht="15.75" customHeight="1"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4:26" ht="15.75" customHeight="1"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4:26" ht="15.75" customHeight="1"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4:26" ht="15.75" customHeight="1"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4:26" ht="15.75" customHeight="1"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4:26" ht="15.75" customHeight="1"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4:26" ht="15.75" customHeight="1"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4:26" ht="15.75" customHeight="1"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4:26" ht="15.75" customHeight="1"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4:26" ht="15.75" customHeight="1"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4:26" ht="15.75" customHeight="1"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4:26" ht="15.75" customHeight="1"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4:26" ht="15.75" customHeight="1"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4:26" ht="15.75" customHeight="1"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4:26" ht="15.75" customHeight="1"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4:26" ht="15.75" customHeight="1"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4:26" ht="15.75" customHeight="1"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4:26" ht="15.75" customHeight="1"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4:26" ht="15.75" customHeight="1"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4:26" ht="15.75" customHeight="1"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4:26" ht="15.75" customHeight="1"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4:26" ht="15.75" customHeight="1"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4:26" ht="15.75" customHeight="1"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4:26" ht="15.75" customHeight="1"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4:26" ht="15.75" customHeight="1"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4:26" ht="15.75" customHeight="1"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4:26" ht="15.75" customHeight="1"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4:26" ht="15.75" customHeight="1"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4:26" ht="15.75" customHeight="1"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4:26" ht="15.75" customHeight="1"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4:26" ht="15.75" customHeight="1"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4:26" ht="15.75" customHeight="1"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4:26" ht="15.75" customHeight="1"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4:26" ht="15.75" customHeight="1"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4:26" ht="15.75" customHeight="1"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4:26" ht="15.75" customHeight="1"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4:26" ht="15.75" customHeight="1"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4:26" ht="15.75" customHeight="1"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4:26" ht="15.75" customHeight="1"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4:26" ht="15.75" customHeight="1"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4:26" ht="15.75" customHeight="1"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4:26" ht="15.75" customHeight="1"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4:26" ht="15.75" customHeight="1"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4:26" ht="15.75" customHeight="1"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4:26" ht="15.75" customHeight="1"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4:26" ht="15.75" customHeight="1"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4:26" ht="15.75" customHeight="1"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4:26" ht="15.75" customHeight="1"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4:26" ht="15.75" customHeight="1"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4:26" ht="15.75" customHeight="1"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4:26" ht="15.75" customHeight="1"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4:26" ht="15.75" customHeight="1"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4:26" ht="15.75" customHeight="1"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4:26" ht="15.75" customHeight="1"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4:26" ht="15.75" customHeight="1"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4:26" ht="15.75" customHeight="1"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4:26" ht="15.75" customHeight="1"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4:26" ht="15.75" customHeight="1"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4:26" ht="15.75" customHeight="1"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4:26" ht="15.75" customHeight="1"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4:26" ht="15.75" customHeight="1"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4:26" ht="15.75" customHeight="1"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4:26" ht="15.75" customHeight="1"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4:26" ht="15.75" customHeight="1"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4:26" ht="15.75" customHeight="1"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4:26" ht="15.75" customHeight="1"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4:26" ht="15.75" customHeight="1"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4:26" ht="15.75" customHeight="1"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4:26" ht="15.75" customHeight="1"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4:26" ht="15.75" customHeight="1"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4:26" ht="15.75" customHeight="1"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4:26" ht="15.75" customHeight="1"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4:26" ht="15.75" customHeight="1"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4:26" ht="15.75" customHeight="1"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4:26" ht="15.75" customHeight="1"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4:26" ht="15.75" customHeight="1"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4:26" ht="15.75" customHeight="1"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4:26" ht="15.75" customHeight="1"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4:26" ht="15.75" customHeight="1"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4:26" ht="15.75" customHeight="1"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4:26" ht="15.75" customHeight="1"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4:26" ht="15.75" customHeight="1"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4:26" ht="15.75" customHeight="1"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4:26" ht="15.75" customHeight="1"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4:26" ht="15.75" customHeight="1"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4:26" ht="15.75" customHeight="1"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4:26" ht="15.75" customHeight="1"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4:26" ht="15.75" customHeight="1"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4:26" ht="15.75" customHeight="1"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4:26" ht="15.75" customHeight="1"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4:26" ht="15.75" customHeight="1"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4:26" ht="15.75" customHeight="1"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4:26" ht="15.75" customHeight="1"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4:26" ht="15.75" customHeight="1"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4:26" ht="15.75" customHeight="1"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4:26" ht="15.75" customHeight="1"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4:26" ht="15.75" customHeight="1"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4:26" ht="15.75" customHeight="1"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4:26" ht="15.75" customHeight="1"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4:26" ht="15.75" customHeight="1"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4:26" ht="15.75" customHeight="1"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4:26" ht="15.75" customHeight="1"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4:26" ht="15.75" customHeight="1"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4:26" ht="15.75" customHeight="1"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4:26" ht="15.75" customHeight="1"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4:26" ht="15.75" customHeight="1"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4:26" ht="15.75" customHeight="1"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4:26" ht="15.75" customHeight="1"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4:26" ht="15.75" customHeight="1"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4:26" ht="15.75" customHeight="1"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4:26" ht="15.75" customHeight="1"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4:26" ht="15.75" customHeight="1"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4:26" ht="15.75" customHeight="1"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4:26" ht="15.75" customHeight="1"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4:26" ht="15.75" customHeight="1"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4:26" ht="15.75" customHeight="1"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4:26" ht="15.75" customHeight="1"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4:26" ht="15.75" customHeight="1"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4:26" ht="15.75" customHeight="1"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4:26" ht="15.75" customHeight="1"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4:26" ht="15.75" customHeight="1"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4:26" ht="15.75" customHeight="1"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4:26" ht="15.75" customHeight="1"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4:26" ht="15.75" customHeight="1"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4:26" ht="15.75" customHeight="1"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4:26" ht="15.75" customHeight="1"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4:26" ht="15.75" customHeight="1"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4:26" ht="15.75" customHeight="1"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4:26" ht="15.75" customHeight="1"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4:26" ht="15.75" customHeight="1"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4:26" ht="15.75" customHeight="1"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4:26" ht="15.75" customHeight="1"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4:26" ht="15.75" customHeight="1"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4:26" ht="15.75" customHeight="1"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4:26" ht="15.75" customHeight="1"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4:26" ht="15.75" customHeight="1"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4:26" ht="15.75" customHeight="1"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4:26" ht="15.75" customHeight="1"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4:26" ht="15.75" customHeight="1"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4:26" ht="15.75" customHeight="1"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4:26" ht="15.75" customHeight="1"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4:26" ht="15.75" customHeight="1"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4:26" ht="15.75" customHeight="1"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4:26" ht="15.75" customHeight="1"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4:26" ht="15.75" customHeight="1"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4:26" ht="15.75" customHeight="1"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4:26" ht="15.75" customHeight="1"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4:26" ht="15.75" customHeight="1"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4:26" ht="15.75" customHeight="1"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4:26" ht="15.75" customHeight="1"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4:26" ht="15.75" customHeight="1"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4:26" ht="15.75" customHeight="1"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4:26" ht="15.75" customHeight="1"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4:26" ht="15.75" customHeight="1"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4:26" ht="15.75" customHeight="1"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4:26" ht="15.75" customHeight="1"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4:26" ht="15.75" customHeight="1"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4:26" ht="15.75" customHeight="1"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4:26" ht="15.75" customHeight="1"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4:26" ht="15.75" customHeight="1"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4:26" ht="15.75" customHeight="1"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4:26" ht="15.75" customHeight="1"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4:26" ht="15.75" customHeight="1"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4:26" ht="15.75" customHeight="1"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4:26" ht="15.75" customHeight="1"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4:26" ht="15.75" customHeight="1"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4:26" ht="15.75" customHeight="1"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4:26" ht="15.75" customHeight="1"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4:26" ht="15.75" customHeight="1"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4:26" ht="15.75" customHeight="1"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4:26" ht="15.75" customHeight="1"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4:26" ht="15.75" customHeight="1"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4:26" ht="15.75" customHeight="1"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4:26" ht="15.75" customHeight="1"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4:26" ht="15.75" customHeight="1"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4:26" ht="15.75" customHeight="1"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4:26" ht="15.75" customHeight="1"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4:26" ht="15.75" customHeight="1"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4:26" ht="15.75" customHeight="1"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4:26" ht="15.75" customHeight="1"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4:26" ht="15.75" customHeight="1"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4:26" ht="15.75" customHeight="1"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4:26" ht="15.75" customHeight="1"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4:26" ht="15.75" customHeight="1"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4:26" ht="15.75" customHeight="1"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4:26" ht="15.75" customHeight="1"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4:26" ht="15.75" customHeight="1"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4:26" ht="15.75" customHeight="1"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4:26" ht="15.75" customHeight="1"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4:26" ht="15.75" customHeight="1"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4:26" ht="15.75" customHeight="1"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4:26" ht="15.75" customHeight="1"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4:26" ht="15.75" customHeight="1"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4:26" ht="15.75" customHeight="1"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4:26" ht="15.75" customHeight="1"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4:26" ht="15.75" customHeight="1"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4:26" ht="15.75" customHeight="1"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4:26" ht="15.75" customHeight="1"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4:26" ht="15.75" customHeight="1"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4:26" ht="15.75" customHeight="1"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4:26" ht="15.75" customHeight="1"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4:26" ht="15.75" customHeight="1"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4:26" ht="15.75" customHeight="1"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4:26" ht="15.75" customHeight="1"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4:26" ht="15.75" customHeight="1"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4:26" ht="15.75" customHeight="1"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4:26" ht="15.75" customHeight="1"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4:26" ht="15.75" customHeight="1"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4:26" ht="15.75" customHeight="1"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4:26" ht="15.75" customHeight="1"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4:26" ht="15.75" customHeight="1"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4:26" ht="15.75" customHeight="1"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4:26" ht="15.75" customHeight="1"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4:26" ht="15.75" customHeight="1"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4:26" ht="15.75" customHeight="1"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4:26" ht="15.75" customHeight="1"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4:26" ht="15.75" customHeight="1"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4:26" ht="15.75" customHeight="1"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G1:G3"/>
  </mergeCells>
  <conditionalFormatting sqref="H2">
    <cfRule type="cellIs" dxfId="40" priority="1" operator="notEqual">
      <formula>E2</formula>
    </cfRule>
  </conditionalFormatting>
  <hyperlinks>
    <hyperlink ref="J2" r:id="rId1" xr:uid="{00000000-0004-0000-0100-000000000000}"/>
  </hyperlinks>
  <pageMargins left="0.511811024" right="0.511811024" top="0.78740157499999996" bottom="0.78740157499999996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C0C0C"/>
  </sheetPr>
  <dimension ref="A1:AT1000"/>
  <sheetViews>
    <sheetView topLeftCell="Y1" workbookViewId="0">
      <selection activeCell="AD3" sqref="A3:AD11"/>
    </sheetView>
  </sheetViews>
  <sheetFormatPr defaultColWidth="12.5703125" defaultRowHeight="15" customHeight="1"/>
  <cols>
    <col min="1" max="1" width="24.5703125" customWidth="1"/>
    <col min="2" max="2" width="23.42578125" customWidth="1"/>
    <col min="3" max="3" width="31.140625" customWidth="1"/>
    <col min="4" max="4" width="29.42578125" customWidth="1"/>
    <col min="5" max="5" width="34.28515625" customWidth="1"/>
    <col min="6" max="6" width="34" customWidth="1"/>
    <col min="7" max="7" width="28.85546875" customWidth="1"/>
    <col min="8" max="8" width="31.85546875" customWidth="1"/>
    <col min="9" max="9" width="38.140625" customWidth="1"/>
    <col min="10" max="10" width="27.85546875" customWidth="1"/>
    <col min="11" max="11" width="23.5703125" customWidth="1"/>
    <col min="12" max="12" width="39" customWidth="1"/>
    <col min="13" max="13" width="25" customWidth="1"/>
    <col min="14" max="14" width="36.28515625" customWidth="1"/>
    <col min="15" max="15" width="31" customWidth="1"/>
    <col min="16" max="16" width="23.28515625" customWidth="1"/>
    <col min="17" max="17" width="25.85546875" customWidth="1"/>
    <col min="18" max="18" width="26.5703125" customWidth="1"/>
    <col min="19" max="19" width="31.140625" customWidth="1"/>
    <col min="20" max="20" width="25.5703125" customWidth="1"/>
    <col min="21" max="21" width="27.7109375" customWidth="1"/>
    <col min="22" max="22" width="28" customWidth="1"/>
    <col min="23" max="23" width="26.7109375" customWidth="1"/>
    <col min="24" max="24" width="23.28515625" customWidth="1"/>
    <col min="25" max="25" width="21" customWidth="1"/>
    <col min="26" max="26" width="26.42578125" customWidth="1"/>
    <col min="27" max="27" width="22" customWidth="1"/>
    <col min="28" max="46" width="16.140625" customWidth="1"/>
  </cols>
  <sheetData>
    <row r="1" spans="1:46" ht="12.75" customHeight="1">
      <c r="A1" s="3" t="s">
        <v>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2.75" customHeight="1">
      <c r="A2" s="45">
        <v>1</v>
      </c>
      <c r="B2" s="45">
        <v>2</v>
      </c>
      <c r="C2" s="45">
        <v>3</v>
      </c>
      <c r="D2" s="45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45">
        <v>10</v>
      </c>
      <c r="K2" s="45">
        <v>11</v>
      </c>
      <c r="L2" s="45">
        <v>12</v>
      </c>
      <c r="M2" s="45">
        <v>13</v>
      </c>
      <c r="N2" s="45">
        <v>14</v>
      </c>
      <c r="O2" s="45">
        <v>15</v>
      </c>
      <c r="P2" s="45">
        <v>16</v>
      </c>
      <c r="Q2" s="45">
        <v>17</v>
      </c>
      <c r="R2" s="45">
        <v>18</v>
      </c>
      <c r="S2" s="45">
        <v>19</v>
      </c>
      <c r="T2" s="45">
        <v>20</v>
      </c>
      <c r="U2" s="45">
        <v>21</v>
      </c>
      <c r="V2" s="45">
        <v>22</v>
      </c>
      <c r="W2" s="45">
        <v>23</v>
      </c>
      <c r="X2" s="45">
        <v>24</v>
      </c>
      <c r="Y2" s="45">
        <v>25</v>
      </c>
      <c r="Z2" s="45">
        <v>26</v>
      </c>
      <c r="AA2" s="45">
        <v>27</v>
      </c>
      <c r="AB2" s="45">
        <v>28</v>
      </c>
      <c r="AC2" s="45">
        <v>29</v>
      </c>
      <c r="AD2" s="45">
        <v>30</v>
      </c>
      <c r="AE2" s="45">
        <v>31</v>
      </c>
      <c r="AF2" s="45">
        <v>32</v>
      </c>
      <c r="AG2" s="45">
        <v>33</v>
      </c>
      <c r="AH2" s="45">
        <v>34</v>
      </c>
      <c r="AI2" s="45">
        <v>35</v>
      </c>
      <c r="AJ2" s="45">
        <v>36</v>
      </c>
      <c r="AK2" s="45">
        <v>37</v>
      </c>
      <c r="AL2" s="45">
        <v>38</v>
      </c>
      <c r="AM2" s="45">
        <v>39</v>
      </c>
      <c r="AN2" s="45">
        <v>40</v>
      </c>
      <c r="AO2" s="45">
        <v>41</v>
      </c>
      <c r="AP2" s="45">
        <v>42</v>
      </c>
      <c r="AQ2" s="45">
        <v>43</v>
      </c>
      <c r="AR2" s="45">
        <v>44</v>
      </c>
      <c r="AS2" s="45">
        <v>45</v>
      </c>
      <c r="AT2" s="45">
        <v>46</v>
      </c>
    </row>
    <row r="3" spans="1:46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  <c r="AB3" s="48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2.7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8"/>
      <c r="Z4" s="46"/>
      <c r="AA4" s="47"/>
      <c r="AB4" s="48"/>
      <c r="AC4" s="3"/>
      <c r="AD4" s="49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.7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3"/>
      <c r="O5" s="46"/>
      <c r="P5" s="46"/>
      <c r="Q5" s="46"/>
      <c r="R5" s="46"/>
      <c r="S5" s="46"/>
      <c r="T5" s="46"/>
      <c r="U5" s="46"/>
      <c r="V5" s="46"/>
      <c r="W5" s="46"/>
      <c r="X5" s="46"/>
      <c r="Y5" s="48"/>
      <c r="Z5" s="46"/>
      <c r="AA5" s="47"/>
      <c r="AB5" s="48"/>
      <c r="AC5" s="3"/>
      <c r="AD5" s="49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12.75" customHeight="1">
      <c r="A6" s="46"/>
      <c r="B6" s="46"/>
      <c r="C6" s="3"/>
      <c r="D6" s="46"/>
      <c r="E6" s="46"/>
      <c r="F6" s="3"/>
      <c r="G6" s="46"/>
      <c r="H6" s="3"/>
      <c r="I6" s="3"/>
      <c r="J6" s="46"/>
      <c r="K6" s="3"/>
      <c r="L6" s="46"/>
      <c r="M6" s="46"/>
      <c r="N6" s="3"/>
      <c r="O6" s="46"/>
      <c r="P6" s="46"/>
      <c r="Q6" s="46"/>
      <c r="R6" s="46"/>
      <c r="S6" s="46"/>
      <c r="T6" s="46"/>
      <c r="U6" s="46"/>
      <c r="V6" s="46"/>
      <c r="W6" s="3"/>
      <c r="X6" s="46"/>
      <c r="Y6" s="3"/>
      <c r="Z6" s="46"/>
      <c r="AA6" s="47"/>
      <c r="AB6" s="48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2.7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2.7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2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12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ht="12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ht="12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ht="12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1:46" ht="12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46" ht="12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ht="12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ht="12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46" ht="12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1:46" ht="12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46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4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1:4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4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spans="1:4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1:4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1:4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1:4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1:4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1:4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1:4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1:4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1:4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1:4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1:4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1:4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1:4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1:4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1:4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1:4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4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1:4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1:4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1:4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1:4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1:4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1:4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1:4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 spans="1:4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1:4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 spans="1:4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1:4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spans="1:4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spans="1:4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spans="1:4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spans="1:4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spans="1:4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1:4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 spans="1:4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spans="1:4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 spans="1:4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1:4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1:4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 spans="1:4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spans="1:4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spans="1:4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4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spans="1:4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spans="1:4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spans="1:4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spans="1:4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spans="1:4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spans="1:4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spans="1:4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</row>
    <row r="123" spans="1:4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</row>
    <row r="124" spans="1:4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</row>
    <row r="125" spans="1:4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 spans="1:4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</row>
    <row r="127" spans="1:4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</row>
    <row r="128" spans="1:4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spans="1:4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spans="1:4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spans="1:4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spans="1:4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spans="1:4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spans="1:4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spans="1:4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spans="1:4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spans="1:4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1:4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spans="1:4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spans="1:4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spans="1:4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1:4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 spans="1:4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 spans="1:4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</row>
    <row r="145" spans="1:4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 spans="1: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</row>
    <row r="147" spans="1:4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</row>
    <row r="148" spans="1:4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</row>
    <row r="149" spans="1:4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</row>
    <row r="150" spans="1:4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</row>
    <row r="151" spans="1:4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</row>
    <row r="152" spans="1:4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</row>
    <row r="153" spans="1:4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</row>
    <row r="154" spans="1:4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</row>
    <row r="155" spans="1:4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</row>
    <row r="156" spans="1:4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</row>
    <row r="157" spans="1:4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</row>
    <row r="158" spans="1:4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</row>
    <row r="159" spans="1:4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</row>
    <row r="160" spans="1:4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</row>
    <row r="161" spans="1:4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</row>
    <row r="162" spans="1:4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</row>
    <row r="163" spans="1:4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</row>
    <row r="164" spans="1:4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</row>
    <row r="165" spans="1:4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</row>
    <row r="166" spans="1:4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</row>
    <row r="167" spans="1:4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</row>
    <row r="168" spans="1:4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</row>
    <row r="169" spans="1:4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</row>
    <row r="170" spans="1:4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</row>
    <row r="171" spans="1:4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</row>
    <row r="172" spans="1:4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</row>
    <row r="173" spans="1:4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</row>
    <row r="174" spans="1:4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</row>
    <row r="175" spans="1:4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</row>
    <row r="176" spans="1:4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</row>
    <row r="177" spans="1:4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</row>
    <row r="178" spans="1:4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</row>
    <row r="179" spans="1:4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</row>
    <row r="180" spans="1:4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</row>
    <row r="181" spans="1:4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</row>
    <row r="182" spans="1:4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</row>
    <row r="183" spans="1:4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</row>
    <row r="184" spans="1:4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</row>
    <row r="185" spans="1:4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</row>
    <row r="186" spans="1:4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</row>
    <row r="187" spans="1:4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</row>
    <row r="188" spans="1:4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</row>
    <row r="189" spans="1:4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</row>
    <row r="190" spans="1:4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 spans="1:4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</row>
    <row r="192" spans="1:4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</row>
    <row r="193" spans="1:4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</row>
    <row r="194" spans="1:4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</row>
    <row r="195" spans="1:4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</row>
    <row r="196" spans="1:4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</row>
    <row r="197" spans="1:4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</row>
    <row r="198" spans="1:4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</row>
    <row r="199" spans="1:4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</row>
    <row r="200" spans="1:4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</row>
    <row r="201" spans="1:4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</row>
    <row r="202" spans="1:4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</row>
    <row r="203" spans="1:4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</row>
    <row r="204" spans="1:4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</row>
    <row r="205" spans="1:4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</row>
    <row r="206" spans="1:4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</row>
    <row r="207" spans="1:4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</row>
    <row r="208" spans="1:4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</row>
    <row r="209" spans="1:4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</row>
    <row r="210" spans="1:4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</row>
    <row r="211" spans="1:4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</row>
    <row r="212" spans="1:4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</row>
    <row r="213" spans="1:4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</row>
    <row r="214" spans="1:4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</row>
    <row r="215" spans="1:4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</row>
    <row r="216" spans="1:4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</row>
    <row r="217" spans="1:4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</row>
    <row r="218" spans="1:4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</row>
    <row r="219" spans="1:4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</row>
    <row r="220" spans="1:4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</row>
    <row r="221" spans="1:4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</row>
    <row r="222" spans="1:4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</row>
    <row r="223" spans="1:4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</row>
    <row r="224" spans="1:4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</row>
    <row r="225" spans="1:4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</row>
    <row r="226" spans="1:4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</row>
    <row r="227" spans="1:4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</row>
    <row r="228" spans="1:4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</row>
    <row r="229" spans="1:4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</row>
    <row r="230" spans="1:4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</row>
    <row r="231" spans="1:4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</row>
    <row r="232" spans="1:4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</row>
    <row r="233" spans="1:4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</row>
    <row r="234" spans="1:4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</row>
    <row r="235" spans="1:4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</row>
    <row r="236" spans="1:4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</row>
    <row r="237" spans="1:4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</row>
    <row r="238" spans="1:4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</row>
    <row r="239" spans="1:4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</row>
    <row r="240" spans="1:4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</row>
    <row r="241" spans="1:4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</row>
    <row r="242" spans="1:4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</row>
    <row r="243" spans="1:4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</row>
    <row r="244" spans="1:4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</row>
    <row r="245" spans="1:4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</row>
    <row r="246" spans="1: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</row>
    <row r="247" spans="1:4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</row>
    <row r="248" spans="1:4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</row>
    <row r="249" spans="1:4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</row>
    <row r="250" spans="1:4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</row>
    <row r="251" spans="1:4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</row>
    <row r="252" spans="1:4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</row>
    <row r="253" spans="1:4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</row>
    <row r="254" spans="1:4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</row>
    <row r="255" spans="1:4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</row>
    <row r="256" spans="1:4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</row>
    <row r="257" spans="1:4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</row>
    <row r="258" spans="1:4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</row>
    <row r="259" spans="1:4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</row>
    <row r="260" spans="1:4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</row>
    <row r="261" spans="1:4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</row>
    <row r="262" spans="1:4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</row>
    <row r="263" spans="1:4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</row>
    <row r="264" spans="1:4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</row>
    <row r="265" spans="1:4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</row>
    <row r="266" spans="1:4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</row>
    <row r="267" spans="1:4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</row>
    <row r="268" spans="1:4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</row>
    <row r="269" spans="1:4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</row>
    <row r="270" spans="1:4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</row>
    <row r="271" spans="1:4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</row>
    <row r="272" spans="1:4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</row>
    <row r="273" spans="1:4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</row>
    <row r="274" spans="1:4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</row>
    <row r="275" spans="1:4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</row>
    <row r="276" spans="1:4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</row>
    <row r="277" spans="1:4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</row>
    <row r="278" spans="1:4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</row>
    <row r="279" spans="1:4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</row>
    <row r="280" spans="1:4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</row>
    <row r="281" spans="1:4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</row>
    <row r="282" spans="1:4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</row>
    <row r="283" spans="1:4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</row>
    <row r="284" spans="1:4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</row>
    <row r="285" spans="1:4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</row>
    <row r="286" spans="1:4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</row>
    <row r="287" spans="1:4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</row>
    <row r="288" spans="1:4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</row>
    <row r="289" spans="1:4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</row>
    <row r="290" spans="1:4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</row>
    <row r="291" spans="1:4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</row>
    <row r="292" spans="1:4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</row>
    <row r="293" spans="1:4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</row>
    <row r="294" spans="1:4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</row>
    <row r="295" spans="1:4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</row>
    <row r="296" spans="1:4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</row>
    <row r="297" spans="1:4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</row>
    <row r="298" spans="1:4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</row>
    <row r="299" spans="1:4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</row>
    <row r="300" spans="1:4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</row>
    <row r="301" spans="1:4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</row>
    <row r="302" spans="1:4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</row>
    <row r="303" spans="1:4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</row>
    <row r="304" spans="1:4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</row>
    <row r="305" spans="1:4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</row>
    <row r="306" spans="1:4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</row>
    <row r="307" spans="1:4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</row>
    <row r="308" spans="1:4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</row>
    <row r="309" spans="1:4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</row>
    <row r="310" spans="1:4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</row>
    <row r="311" spans="1:4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</row>
    <row r="312" spans="1:4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</row>
    <row r="313" spans="1:4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</row>
    <row r="314" spans="1:4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</row>
    <row r="315" spans="1:4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</row>
    <row r="316" spans="1:4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</row>
    <row r="317" spans="1:4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</row>
    <row r="318" spans="1:4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</row>
    <row r="319" spans="1:4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</row>
    <row r="320" spans="1:4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</row>
    <row r="321" spans="1:4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</row>
    <row r="322" spans="1:4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</row>
    <row r="323" spans="1:4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</row>
    <row r="324" spans="1:4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</row>
    <row r="325" spans="1:4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</row>
    <row r="326" spans="1:4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</row>
    <row r="327" spans="1:4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</row>
    <row r="328" spans="1:4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</row>
    <row r="329" spans="1:4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</row>
    <row r="330" spans="1:4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</row>
    <row r="331" spans="1:4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</row>
    <row r="332" spans="1:4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</row>
    <row r="333" spans="1:4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</row>
    <row r="334" spans="1:4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</row>
    <row r="335" spans="1:4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</row>
    <row r="336" spans="1:4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</row>
    <row r="337" spans="1:4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</row>
    <row r="338" spans="1:4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</row>
    <row r="339" spans="1:4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</row>
    <row r="340" spans="1:4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</row>
    <row r="341" spans="1:4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</row>
    <row r="342" spans="1:4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</row>
    <row r="343" spans="1:4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</row>
    <row r="344" spans="1:4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</row>
    <row r="345" spans="1:4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</row>
    <row r="346" spans="1: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</row>
    <row r="347" spans="1:4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</row>
    <row r="348" spans="1:4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</row>
    <row r="349" spans="1:4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</row>
    <row r="350" spans="1:4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</row>
    <row r="351" spans="1:4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</row>
    <row r="352" spans="1:4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</row>
    <row r="353" spans="1:4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</row>
    <row r="354" spans="1:4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</row>
    <row r="355" spans="1:4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</row>
    <row r="356" spans="1:4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</row>
    <row r="357" spans="1:4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</row>
    <row r="358" spans="1:4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</row>
    <row r="359" spans="1:4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</row>
    <row r="360" spans="1:4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</row>
    <row r="361" spans="1:4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</row>
    <row r="362" spans="1:4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</row>
    <row r="363" spans="1:4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</row>
    <row r="364" spans="1:4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</row>
    <row r="365" spans="1:4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</row>
    <row r="366" spans="1:4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</row>
    <row r="367" spans="1:4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</row>
    <row r="368" spans="1:4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</row>
    <row r="369" spans="1:4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</row>
    <row r="370" spans="1:4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</row>
    <row r="371" spans="1:4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</row>
    <row r="372" spans="1:4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</row>
    <row r="373" spans="1:4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</row>
    <row r="374" spans="1:4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</row>
    <row r="375" spans="1:4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</row>
    <row r="376" spans="1:4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</row>
    <row r="377" spans="1:4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</row>
    <row r="378" spans="1:4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</row>
    <row r="379" spans="1:4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</row>
    <row r="380" spans="1:4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</row>
    <row r="381" spans="1:4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</row>
    <row r="382" spans="1:4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</row>
    <row r="383" spans="1:4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</row>
    <row r="384" spans="1:4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</row>
    <row r="385" spans="1:4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</row>
    <row r="386" spans="1:4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</row>
    <row r="387" spans="1:4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</row>
    <row r="388" spans="1:4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</row>
    <row r="389" spans="1:4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</row>
    <row r="390" spans="1:4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</row>
    <row r="391" spans="1:4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</row>
    <row r="392" spans="1:4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</row>
    <row r="393" spans="1:4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</row>
    <row r="394" spans="1:4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</row>
    <row r="395" spans="1:4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</row>
    <row r="396" spans="1:4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</row>
    <row r="397" spans="1:4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</row>
    <row r="398" spans="1:4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</row>
    <row r="399" spans="1:4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</row>
    <row r="400" spans="1:4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</row>
    <row r="401" spans="1:4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</row>
    <row r="402" spans="1:4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</row>
    <row r="403" spans="1:4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</row>
    <row r="404" spans="1:4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</row>
    <row r="405" spans="1:4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</row>
    <row r="406" spans="1:4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</row>
    <row r="407" spans="1:4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</row>
    <row r="408" spans="1:4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</row>
    <row r="409" spans="1:4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</row>
    <row r="410" spans="1:4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</row>
    <row r="411" spans="1:4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</row>
    <row r="412" spans="1:4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</row>
    <row r="413" spans="1:4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</row>
    <row r="414" spans="1:4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</row>
    <row r="415" spans="1:4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</row>
    <row r="416" spans="1:4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</row>
    <row r="417" spans="1:4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</row>
    <row r="418" spans="1:4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</row>
    <row r="419" spans="1:4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</row>
    <row r="420" spans="1:4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</row>
    <row r="421" spans="1:4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</row>
    <row r="422" spans="1:4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</row>
    <row r="423" spans="1:4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</row>
    <row r="424" spans="1:4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</row>
    <row r="425" spans="1:4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</row>
    <row r="426" spans="1:4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</row>
    <row r="427" spans="1:4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</row>
    <row r="428" spans="1:4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</row>
    <row r="429" spans="1:4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</row>
    <row r="430" spans="1:4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</row>
    <row r="431" spans="1:4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</row>
    <row r="432" spans="1:4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</row>
    <row r="433" spans="1:4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</row>
    <row r="434" spans="1:4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</row>
    <row r="435" spans="1:4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</row>
    <row r="436" spans="1:4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</row>
    <row r="437" spans="1:4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</row>
    <row r="438" spans="1:4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</row>
    <row r="439" spans="1:4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</row>
    <row r="440" spans="1:4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</row>
    <row r="441" spans="1:4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</row>
    <row r="442" spans="1:4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</row>
    <row r="443" spans="1:4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</row>
    <row r="444" spans="1:4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</row>
    <row r="445" spans="1:4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</row>
    <row r="446" spans="1: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</row>
    <row r="447" spans="1:4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</row>
    <row r="448" spans="1:4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</row>
    <row r="449" spans="1:4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</row>
    <row r="450" spans="1:4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</row>
    <row r="451" spans="1:4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</row>
    <row r="452" spans="1:4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</row>
    <row r="453" spans="1:4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</row>
    <row r="454" spans="1:4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</row>
    <row r="455" spans="1:4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</row>
    <row r="456" spans="1:4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</row>
    <row r="457" spans="1:4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</row>
    <row r="458" spans="1:4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</row>
    <row r="459" spans="1:4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</row>
    <row r="460" spans="1:4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</row>
    <row r="461" spans="1:4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</row>
    <row r="462" spans="1:4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</row>
    <row r="463" spans="1:4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</row>
    <row r="464" spans="1:4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</row>
    <row r="465" spans="1:4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</row>
    <row r="466" spans="1:4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</row>
    <row r="467" spans="1:4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</row>
    <row r="468" spans="1:4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</row>
    <row r="469" spans="1:4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</row>
    <row r="470" spans="1:4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</row>
    <row r="471" spans="1:4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</row>
    <row r="472" spans="1:4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</row>
    <row r="473" spans="1:4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</row>
    <row r="474" spans="1:4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</row>
    <row r="475" spans="1:4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</row>
    <row r="476" spans="1:4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</row>
    <row r="477" spans="1:4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</row>
    <row r="478" spans="1:4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</row>
    <row r="479" spans="1:4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</row>
    <row r="480" spans="1:4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</row>
    <row r="481" spans="1:4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</row>
    <row r="482" spans="1:4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</row>
    <row r="483" spans="1:4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</row>
    <row r="484" spans="1:4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</row>
    <row r="485" spans="1:4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</row>
    <row r="486" spans="1:4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</row>
    <row r="487" spans="1:4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</row>
    <row r="488" spans="1:4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</row>
    <row r="489" spans="1:4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</row>
    <row r="490" spans="1:4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</row>
    <row r="491" spans="1:4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</row>
    <row r="492" spans="1:4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</row>
    <row r="493" spans="1:4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</row>
    <row r="494" spans="1:4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</row>
    <row r="495" spans="1:4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</row>
    <row r="496" spans="1:4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</row>
    <row r="497" spans="1:4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</row>
    <row r="498" spans="1:4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</row>
    <row r="499" spans="1:4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</row>
    <row r="500" spans="1:4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</row>
    <row r="501" spans="1:4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</row>
    <row r="502" spans="1:4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</row>
    <row r="503" spans="1:4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</row>
    <row r="504" spans="1:4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</row>
    <row r="505" spans="1:4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</row>
    <row r="506" spans="1:4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</row>
    <row r="507" spans="1:4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</row>
    <row r="508" spans="1:4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</row>
    <row r="509" spans="1:4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</row>
    <row r="510" spans="1:4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</row>
    <row r="511" spans="1:4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</row>
    <row r="512" spans="1:4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</row>
    <row r="513" spans="1:4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</row>
    <row r="514" spans="1:4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</row>
    <row r="515" spans="1:4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</row>
    <row r="516" spans="1:4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</row>
    <row r="517" spans="1:4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</row>
    <row r="518" spans="1:4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</row>
    <row r="519" spans="1:4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</row>
    <row r="520" spans="1:4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</row>
    <row r="521" spans="1:4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</row>
    <row r="522" spans="1:4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</row>
    <row r="523" spans="1:4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</row>
    <row r="524" spans="1:4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</row>
    <row r="525" spans="1:4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</row>
    <row r="526" spans="1:4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</row>
    <row r="527" spans="1:4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</row>
    <row r="528" spans="1:4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</row>
    <row r="529" spans="1:4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</row>
    <row r="530" spans="1:4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</row>
    <row r="531" spans="1:4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</row>
    <row r="532" spans="1:4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</row>
    <row r="533" spans="1:4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</row>
    <row r="534" spans="1:4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</row>
    <row r="535" spans="1:4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</row>
    <row r="536" spans="1:4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</row>
    <row r="537" spans="1:4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</row>
    <row r="538" spans="1:4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</row>
    <row r="539" spans="1:4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</row>
    <row r="540" spans="1:4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</row>
    <row r="541" spans="1:4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</row>
    <row r="542" spans="1:4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</row>
    <row r="543" spans="1:4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</row>
    <row r="544" spans="1:4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</row>
    <row r="545" spans="1:4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</row>
    <row r="546" spans="1: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</row>
    <row r="547" spans="1:4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</row>
    <row r="548" spans="1:4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</row>
    <row r="549" spans="1:4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</row>
    <row r="550" spans="1:4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</row>
    <row r="551" spans="1:4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</row>
    <row r="552" spans="1:4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</row>
    <row r="553" spans="1:4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</row>
    <row r="554" spans="1:4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</row>
    <row r="555" spans="1:4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</row>
    <row r="556" spans="1:4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</row>
    <row r="557" spans="1:4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</row>
    <row r="558" spans="1:4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</row>
    <row r="559" spans="1:4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</row>
    <row r="560" spans="1:4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</row>
    <row r="561" spans="1:4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</row>
    <row r="562" spans="1:4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</row>
    <row r="563" spans="1:4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</row>
    <row r="564" spans="1:4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</row>
    <row r="565" spans="1:4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</row>
    <row r="566" spans="1:4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</row>
    <row r="567" spans="1:4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</row>
    <row r="568" spans="1:4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</row>
    <row r="569" spans="1:4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</row>
    <row r="570" spans="1:4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</row>
    <row r="571" spans="1:4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</row>
    <row r="572" spans="1:4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</row>
    <row r="573" spans="1:4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</row>
    <row r="574" spans="1:4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</row>
    <row r="575" spans="1:4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</row>
    <row r="576" spans="1:4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</row>
    <row r="577" spans="1:4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</row>
    <row r="578" spans="1:4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</row>
    <row r="579" spans="1:4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</row>
    <row r="580" spans="1:4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</row>
    <row r="581" spans="1:4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</row>
    <row r="582" spans="1:4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</row>
    <row r="583" spans="1:4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</row>
    <row r="584" spans="1:4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</row>
    <row r="585" spans="1:4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</row>
    <row r="586" spans="1:4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</row>
    <row r="587" spans="1:4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</row>
    <row r="588" spans="1:4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</row>
    <row r="589" spans="1:4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</row>
    <row r="590" spans="1:4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</row>
    <row r="591" spans="1:4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</row>
    <row r="592" spans="1:4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</row>
    <row r="593" spans="1:4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</row>
    <row r="594" spans="1:4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</row>
    <row r="595" spans="1:4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</row>
    <row r="596" spans="1:4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</row>
    <row r="597" spans="1:4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</row>
    <row r="598" spans="1:4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</row>
    <row r="599" spans="1:4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</row>
    <row r="600" spans="1:4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</row>
    <row r="601" spans="1:4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</row>
    <row r="602" spans="1:4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</row>
    <row r="603" spans="1:4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</row>
    <row r="604" spans="1:4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</row>
    <row r="605" spans="1:4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</row>
    <row r="606" spans="1:4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</row>
    <row r="607" spans="1:4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</row>
    <row r="608" spans="1:4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</row>
    <row r="609" spans="1:4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</row>
    <row r="610" spans="1:4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</row>
    <row r="611" spans="1:4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</row>
    <row r="612" spans="1:4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</row>
    <row r="613" spans="1:4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</row>
    <row r="614" spans="1:4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</row>
    <row r="615" spans="1:4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</row>
    <row r="616" spans="1:4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</row>
    <row r="617" spans="1:4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</row>
    <row r="618" spans="1:4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</row>
    <row r="619" spans="1:4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</row>
    <row r="620" spans="1:4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</row>
    <row r="621" spans="1:4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</row>
    <row r="622" spans="1:4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</row>
    <row r="623" spans="1:4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</row>
    <row r="624" spans="1:4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</row>
    <row r="625" spans="1:4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</row>
    <row r="626" spans="1:4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</row>
    <row r="627" spans="1:4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</row>
    <row r="628" spans="1:4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</row>
    <row r="629" spans="1:4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</row>
    <row r="630" spans="1:4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</row>
    <row r="631" spans="1:4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</row>
    <row r="632" spans="1:4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</row>
    <row r="633" spans="1:4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</row>
    <row r="634" spans="1:4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</row>
    <row r="635" spans="1:4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</row>
    <row r="636" spans="1:4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</row>
    <row r="637" spans="1:4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</row>
    <row r="638" spans="1:4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</row>
    <row r="639" spans="1:4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</row>
    <row r="640" spans="1:4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</row>
    <row r="641" spans="1:4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</row>
    <row r="642" spans="1:4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</row>
    <row r="643" spans="1:4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</row>
    <row r="644" spans="1:4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</row>
    <row r="645" spans="1:4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</row>
    <row r="646" spans="1: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</row>
    <row r="647" spans="1:4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</row>
    <row r="648" spans="1:4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</row>
    <row r="649" spans="1:4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</row>
    <row r="650" spans="1:4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</row>
    <row r="651" spans="1:4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</row>
    <row r="652" spans="1:4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</row>
    <row r="653" spans="1:4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</row>
    <row r="654" spans="1:4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</row>
    <row r="655" spans="1:4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</row>
    <row r="656" spans="1:4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</row>
    <row r="657" spans="1:4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</row>
    <row r="658" spans="1:4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</row>
    <row r="659" spans="1:4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</row>
    <row r="660" spans="1:4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</row>
    <row r="661" spans="1:4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</row>
    <row r="662" spans="1:4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</row>
    <row r="663" spans="1:4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</row>
    <row r="664" spans="1:4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</row>
    <row r="665" spans="1:4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</row>
    <row r="666" spans="1:4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</row>
    <row r="667" spans="1:4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</row>
    <row r="668" spans="1:4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</row>
    <row r="669" spans="1:4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</row>
    <row r="670" spans="1:4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</row>
    <row r="671" spans="1:4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</row>
    <row r="672" spans="1:4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</row>
    <row r="673" spans="1:4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</row>
    <row r="674" spans="1:4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</row>
    <row r="675" spans="1:4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</row>
    <row r="676" spans="1:4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</row>
    <row r="677" spans="1:4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</row>
    <row r="678" spans="1:4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</row>
    <row r="679" spans="1:4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</row>
    <row r="680" spans="1:4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</row>
    <row r="681" spans="1:4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</row>
    <row r="682" spans="1:4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</row>
    <row r="683" spans="1:4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</row>
    <row r="684" spans="1:4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</row>
    <row r="685" spans="1:4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</row>
    <row r="686" spans="1:4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</row>
    <row r="687" spans="1:4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</row>
    <row r="688" spans="1:4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</row>
    <row r="689" spans="1:4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</row>
    <row r="690" spans="1:4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</row>
    <row r="691" spans="1:4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</row>
    <row r="692" spans="1:4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</row>
    <row r="693" spans="1:4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</row>
    <row r="694" spans="1:4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</row>
    <row r="695" spans="1:4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</row>
    <row r="696" spans="1:4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</row>
    <row r="697" spans="1:4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</row>
    <row r="698" spans="1:4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</row>
    <row r="699" spans="1:4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</row>
    <row r="700" spans="1:4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</row>
    <row r="701" spans="1:4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</row>
    <row r="702" spans="1:4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</row>
    <row r="703" spans="1:4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</row>
    <row r="704" spans="1:4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</row>
    <row r="705" spans="1:4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</row>
    <row r="706" spans="1:4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</row>
    <row r="707" spans="1:4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</row>
    <row r="708" spans="1:4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</row>
    <row r="709" spans="1:4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</row>
    <row r="710" spans="1:4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</row>
    <row r="711" spans="1:4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</row>
    <row r="712" spans="1:4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</row>
    <row r="713" spans="1:4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</row>
    <row r="714" spans="1:4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</row>
    <row r="715" spans="1:4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</row>
    <row r="716" spans="1:4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</row>
    <row r="717" spans="1:4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</row>
    <row r="718" spans="1:4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</row>
    <row r="719" spans="1:4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</row>
    <row r="720" spans="1:4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</row>
    <row r="721" spans="1:4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</row>
    <row r="722" spans="1:4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</row>
    <row r="723" spans="1:4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</row>
    <row r="724" spans="1:4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</row>
    <row r="725" spans="1:4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</row>
    <row r="726" spans="1:4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</row>
    <row r="727" spans="1:4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</row>
    <row r="728" spans="1:4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</row>
    <row r="729" spans="1:4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</row>
    <row r="730" spans="1:4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</row>
    <row r="731" spans="1:4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</row>
    <row r="732" spans="1:4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</row>
    <row r="733" spans="1:4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</row>
    <row r="734" spans="1:4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</row>
    <row r="735" spans="1:4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</row>
    <row r="736" spans="1:4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</row>
    <row r="737" spans="1:4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</row>
    <row r="738" spans="1:4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</row>
    <row r="739" spans="1:4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</row>
    <row r="740" spans="1:4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</row>
    <row r="741" spans="1:4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</row>
    <row r="742" spans="1:4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</row>
    <row r="743" spans="1:4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</row>
    <row r="744" spans="1:4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</row>
    <row r="745" spans="1:4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</row>
    <row r="746" spans="1: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</row>
    <row r="747" spans="1:4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</row>
    <row r="748" spans="1:4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</row>
    <row r="749" spans="1:4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</row>
    <row r="750" spans="1:4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</row>
    <row r="751" spans="1:4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</row>
    <row r="752" spans="1:4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</row>
    <row r="753" spans="1:4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</row>
    <row r="754" spans="1:4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</row>
    <row r="755" spans="1:4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</row>
    <row r="756" spans="1:4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</row>
    <row r="757" spans="1:4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</row>
    <row r="758" spans="1:4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</row>
    <row r="759" spans="1:4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</row>
    <row r="760" spans="1:4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</row>
    <row r="761" spans="1:4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</row>
    <row r="762" spans="1:4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</row>
    <row r="763" spans="1:4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</row>
    <row r="764" spans="1:4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</row>
    <row r="765" spans="1:4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</row>
    <row r="766" spans="1:4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</row>
    <row r="767" spans="1:4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</row>
    <row r="768" spans="1:4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</row>
    <row r="769" spans="1:4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</row>
    <row r="770" spans="1:4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</row>
    <row r="771" spans="1:4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</row>
    <row r="772" spans="1:4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</row>
    <row r="773" spans="1:4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</row>
    <row r="774" spans="1:4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</row>
    <row r="775" spans="1:4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</row>
    <row r="776" spans="1:4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</row>
    <row r="777" spans="1:4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</row>
    <row r="778" spans="1:4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</row>
    <row r="779" spans="1:4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</row>
    <row r="780" spans="1:4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</row>
    <row r="781" spans="1:4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</row>
    <row r="782" spans="1:4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</row>
    <row r="783" spans="1:4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</row>
    <row r="784" spans="1:4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</row>
    <row r="785" spans="1:4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</row>
    <row r="786" spans="1:4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</row>
    <row r="787" spans="1:4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</row>
    <row r="788" spans="1:4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</row>
    <row r="789" spans="1:4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</row>
    <row r="790" spans="1:4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</row>
    <row r="791" spans="1:4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</row>
    <row r="792" spans="1:4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</row>
    <row r="793" spans="1:4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</row>
    <row r="794" spans="1:4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</row>
    <row r="795" spans="1:4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</row>
    <row r="796" spans="1:4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</row>
    <row r="797" spans="1:4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</row>
    <row r="798" spans="1:4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</row>
    <row r="799" spans="1:4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</row>
    <row r="800" spans="1:4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</row>
    <row r="801" spans="1:4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</row>
    <row r="802" spans="1:4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</row>
    <row r="803" spans="1:4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</row>
    <row r="804" spans="1:4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</row>
    <row r="805" spans="1:4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</row>
    <row r="806" spans="1:4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</row>
    <row r="807" spans="1:4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</row>
    <row r="808" spans="1:4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</row>
    <row r="809" spans="1:4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</row>
    <row r="810" spans="1:4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</row>
    <row r="811" spans="1:4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</row>
    <row r="812" spans="1:4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</row>
    <row r="813" spans="1:4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</row>
    <row r="814" spans="1:4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</row>
    <row r="815" spans="1:4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</row>
    <row r="816" spans="1:4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</row>
    <row r="817" spans="1:4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</row>
    <row r="818" spans="1:4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</row>
    <row r="819" spans="1:4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</row>
    <row r="820" spans="1:4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</row>
    <row r="821" spans="1:4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</row>
    <row r="822" spans="1:4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</row>
    <row r="823" spans="1:4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</row>
    <row r="824" spans="1:4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</row>
    <row r="825" spans="1:4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</row>
    <row r="826" spans="1:4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</row>
    <row r="827" spans="1:4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</row>
    <row r="828" spans="1:4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</row>
    <row r="829" spans="1:4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</row>
    <row r="830" spans="1:4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</row>
    <row r="831" spans="1:4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</row>
    <row r="832" spans="1:4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</row>
    <row r="833" spans="1:4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</row>
    <row r="834" spans="1:4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</row>
    <row r="835" spans="1:4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</row>
    <row r="836" spans="1:4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</row>
    <row r="837" spans="1:4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</row>
    <row r="838" spans="1:4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</row>
    <row r="839" spans="1:4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</row>
    <row r="840" spans="1:4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</row>
    <row r="841" spans="1:4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</row>
    <row r="842" spans="1:4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</row>
    <row r="843" spans="1:4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</row>
    <row r="844" spans="1:4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</row>
    <row r="845" spans="1:4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</row>
    <row r="846" spans="1: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</row>
    <row r="847" spans="1:4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</row>
    <row r="848" spans="1:4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</row>
    <row r="849" spans="1:4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</row>
    <row r="850" spans="1:4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</row>
    <row r="851" spans="1:4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</row>
    <row r="852" spans="1:4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</row>
    <row r="853" spans="1:4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</row>
    <row r="854" spans="1:4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</row>
    <row r="855" spans="1:4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</row>
    <row r="856" spans="1:4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</row>
    <row r="857" spans="1:4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</row>
    <row r="858" spans="1:4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</row>
    <row r="859" spans="1:4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</row>
    <row r="860" spans="1:4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</row>
    <row r="861" spans="1:4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</row>
    <row r="862" spans="1:4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</row>
    <row r="863" spans="1:4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</row>
    <row r="864" spans="1:4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</row>
    <row r="865" spans="1:4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</row>
    <row r="866" spans="1:4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</row>
    <row r="867" spans="1:4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</row>
    <row r="868" spans="1:4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</row>
    <row r="869" spans="1:4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</row>
    <row r="870" spans="1:4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</row>
    <row r="871" spans="1:4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</row>
    <row r="872" spans="1:4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</row>
    <row r="873" spans="1:4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</row>
    <row r="874" spans="1:4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</row>
    <row r="875" spans="1:4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</row>
    <row r="876" spans="1:4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</row>
    <row r="877" spans="1:4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</row>
    <row r="878" spans="1:4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</row>
    <row r="879" spans="1:4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</row>
    <row r="880" spans="1:4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</row>
    <row r="881" spans="1:4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</row>
    <row r="882" spans="1:4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</row>
    <row r="883" spans="1:4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</row>
    <row r="884" spans="1:4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</row>
    <row r="885" spans="1:4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</row>
    <row r="886" spans="1:4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</row>
    <row r="887" spans="1:4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</row>
    <row r="888" spans="1:4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</row>
    <row r="889" spans="1:4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</row>
    <row r="890" spans="1:4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</row>
    <row r="891" spans="1:4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</row>
    <row r="892" spans="1:4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</row>
    <row r="893" spans="1:4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</row>
    <row r="894" spans="1:4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</row>
    <row r="895" spans="1:4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</row>
    <row r="896" spans="1:4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</row>
    <row r="897" spans="1:4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</row>
    <row r="898" spans="1:4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</row>
    <row r="899" spans="1:4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</row>
    <row r="900" spans="1:4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</row>
    <row r="901" spans="1:4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</row>
    <row r="902" spans="1:4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</row>
    <row r="903" spans="1:4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</row>
    <row r="904" spans="1:4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</row>
    <row r="905" spans="1:4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</row>
    <row r="906" spans="1:4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</row>
    <row r="907" spans="1:4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</row>
    <row r="908" spans="1:4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</row>
    <row r="909" spans="1:4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</row>
    <row r="910" spans="1:4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</row>
    <row r="911" spans="1:4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</row>
    <row r="912" spans="1:4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</row>
    <row r="913" spans="1:4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</row>
    <row r="914" spans="1:4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</row>
    <row r="915" spans="1:4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</row>
    <row r="916" spans="1:4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</row>
    <row r="917" spans="1:4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</row>
    <row r="918" spans="1:4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</row>
    <row r="919" spans="1:4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</row>
    <row r="920" spans="1:4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</row>
    <row r="921" spans="1:4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</row>
    <row r="922" spans="1:4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</row>
    <row r="923" spans="1:4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</row>
    <row r="924" spans="1:4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</row>
    <row r="925" spans="1:4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</row>
    <row r="926" spans="1:4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</row>
    <row r="927" spans="1:4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</row>
    <row r="928" spans="1:4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</row>
    <row r="929" spans="1:4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</row>
    <row r="930" spans="1:4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</row>
    <row r="931" spans="1:4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</row>
    <row r="932" spans="1:4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</row>
    <row r="933" spans="1:4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</row>
    <row r="934" spans="1:4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</row>
    <row r="935" spans="1:4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</row>
    <row r="936" spans="1:4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</row>
    <row r="937" spans="1:4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</row>
    <row r="938" spans="1:4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</row>
    <row r="939" spans="1:4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</row>
    <row r="940" spans="1:4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</row>
    <row r="941" spans="1:4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</row>
    <row r="942" spans="1:4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</row>
    <row r="943" spans="1:4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</row>
    <row r="944" spans="1:4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</row>
    <row r="945" spans="1:4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</row>
    <row r="946" spans="1: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</row>
    <row r="947" spans="1:4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</row>
    <row r="948" spans="1:4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</row>
    <row r="949" spans="1:4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</row>
    <row r="950" spans="1:4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</row>
    <row r="951" spans="1:4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</row>
    <row r="952" spans="1:4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</row>
    <row r="953" spans="1:4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</row>
    <row r="954" spans="1:4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</row>
    <row r="955" spans="1:4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</row>
    <row r="956" spans="1:4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</row>
    <row r="957" spans="1:4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</row>
    <row r="958" spans="1:4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</row>
    <row r="959" spans="1:4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</row>
    <row r="960" spans="1:4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</row>
    <row r="961" spans="1:4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</row>
    <row r="962" spans="1:4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</row>
    <row r="963" spans="1:4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</row>
    <row r="964" spans="1:4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</row>
    <row r="965" spans="1:4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</row>
    <row r="966" spans="1:4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</row>
    <row r="967" spans="1:4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</row>
    <row r="968" spans="1:4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</row>
    <row r="969" spans="1:4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</row>
    <row r="970" spans="1:4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</row>
    <row r="971" spans="1:4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</row>
    <row r="972" spans="1:4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</row>
    <row r="973" spans="1:4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</row>
    <row r="974" spans="1:4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</row>
    <row r="975" spans="1:4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</row>
    <row r="976" spans="1:4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</row>
    <row r="977" spans="1:4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</row>
    <row r="978" spans="1:4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</row>
    <row r="979" spans="1:4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</row>
    <row r="980" spans="1:4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</row>
    <row r="981" spans="1:4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</row>
    <row r="982" spans="1:4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</row>
    <row r="983" spans="1:4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</row>
    <row r="984" spans="1:4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</row>
    <row r="985" spans="1:4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</row>
    <row r="986" spans="1:4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</row>
    <row r="987" spans="1:4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</row>
    <row r="988" spans="1:4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</row>
    <row r="989" spans="1:4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</row>
    <row r="990" spans="1:4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</row>
    <row r="991" spans="1:4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</row>
    <row r="992" spans="1:4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</row>
    <row r="993" spans="1:4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</row>
    <row r="994" spans="1:4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</row>
    <row r="995" spans="1:4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</row>
    <row r="996" spans="1:4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</row>
    <row r="997" spans="1:4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</row>
    <row r="998" spans="1:4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</row>
    <row r="999" spans="1:4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</row>
    <row r="1000" spans="1:4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</row>
  </sheetData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V1000"/>
  <sheetViews>
    <sheetView showGridLines="0" topLeftCell="A3" workbookViewId="0">
      <pane xSplit="2" topLeftCell="C1" activePane="topRight" state="frozen"/>
      <selection pane="topRight" activeCell="E29" sqref="E29"/>
    </sheetView>
  </sheetViews>
  <sheetFormatPr defaultColWidth="12.5703125" defaultRowHeight="15" customHeight="1"/>
  <cols>
    <col min="1" max="1" width="30.85546875" customWidth="1"/>
    <col min="2" max="2" width="8.85546875" customWidth="1"/>
    <col min="3" max="4" width="10.140625" customWidth="1"/>
    <col min="5" max="5" width="7.5703125" style="616" bestFit="1" customWidth="1"/>
    <col min="6" max="7" width="9.140625" customWidth="1"/>
    <col min="8" max="8" width="3.140625" customWidth="1"/>
    <col min="9" max="11" width="8.7109375" customWidth="1"/>
    <col min="12" max="12" width="9" customWidth="1"/>
    <col min="13" max="13" width="9.140625" customWidth="1"/>
    <col min="14" max="14" width="9" customWidth="1"/>
    <col min="15" max="15" width="8.7109375" customWidth="1"/>
    <col min="16" max="16" width="9.140625" customWidth="1"/>
    <col min="17" max="17" width="8.7109375" customWidth="1"/>
    <col min="18" max="18" width="5.42578125" customWidth="1"/>
    <col min="19" max="21" width="8.7109375" hidden="1" customWidth="1"/>
    <col min="22" max="22" width="2.42578125" hidden="1" customWidth="1"/>
    <col min="23" max="24" width="1.85546875" hidden="1" customWidth="1"/>
    <col min="25" max="25" width="1" customWidth="1"/>
    <col min="26" max="26" width="8.7109375" customWidth="1"/>
    <col min="27" max="27" width="9" customWidth="1"/>
    <col min="28" max="28" width="1" customWidth="1"/>
    <col min="29" max="29" width="8.7109375" customWidth="1"/>
    <col min="30" max="30" width="8.7109375" style="616" customWidth="1"/>
    <col min="31" max="31" width="8.7109375" customWidth="1"/>
    <col min="32" max="32" width="9.140625" customWidth="1"/>
    <col min="33" max="33" width="9.42578125" customWidth="1"/>
    <col min="34" max="34" width="8.7109375" style="616" customWidth="1"/>
    <col min="35" max="36" width="8.7109375" customWidth="1"/>
    <col min="37" max="37" width="6.140625" customWidth="1"/>
    <col min="38" max="38" width="7.5703125" customWidth="1"/>
    <col min="39" max="39" width="8.7109375" customWidth="1"/>
    <col min="40" max="40" width="4.85546875" customWidth="1"/>
    <col min="41" max="41" width="8.140625" customWidth="1"/>
    <col min="42" max="43" width="8.7109375" customWidth="1"/>
    <col min="44" max="44" width="8.7109375" hidden="1" customWidth="1"/>
    <col min="45" max="45" width="9" hidden="1" customWidth="1"/>
    <col min="46" max="47" width="8.7109375" hidden="1" customWidth="1"/>
    <col min="48" max="50" width="9" hidden="1" customWidth="1"/>
    <col min="51" max="54" width="2.140625" hidden="1" customWidth="1"/>
    <col min="55" max="74" width="14.42578125" customWidth="1"/>
  </cols>
  <sheetData>
    <row r="1" spans="1:74" ht="13.5" customHeight="1">
      <c r="A1" s="50" t="s">
        <v>46</v>
      </c>
      <c r="B1" s="3"/>
      <c r="C1" s="690" t="s">
        <v>47</v>
      </c>
      <c r="D1" s="691"/>
      <c r="E1" s="691"/>
      <c r="F1" s="692"/>
      <c r="G1" s="690" t="s">
        <v>47</v>
      </c>
      <c r="H1" s="691"/>
      <c r="I1" s="691"/>
      <c r="J1" s="692"/>
      <c r="K1" s="690" t="s">
        <v>47</v>
      </c>
      <c r="L1" s="691"/>
      <c r="M1" s="691"/>
      <c r="N1" s="692"/>
      <c r="O1" s="690" t="s">
        <v>47</v>
      </c>
      <c r="P1" s="691"/>
      <c r="Q1" s="691"/>
      <c r="R1" s="692"/>
      <c r="S1" s="51"/>
      <c r="T1" s="51"/>
      <c r="U1" s="51"/>
      <c r="V1" s="51"/>
      <c r="W1" s="51"/>
      <c r="X1" s="51"/>
      <c r="Y1" s="52"/>
      <c r="Z1" s="690" t="s">
        <v>47</v>
      </c>
      <c r="AA1" s="691"/>
      <c r="AB1" s="691"/>
      <c r="AC1" s="692"/>
      <c r="AD1" s="690" t="s">
        <v>47</v>
      </c>
      <c r="AE1" s="691"/>
      <c r="AF1" s="691"/>
      <c r="AG1" s="692"/>
      <c r="AH1" s="690" t="s">
        <v>47</v>
      </c>
      <c r="AI1" s="691"/>
      <c r="AJ1" s="691"/>
      <c r="AK1" s="692"/>
      <c r="AL1" s="690" t="s">
        <v>47</v>
      </c>
      <c r="AM1" s="691"/>
      <c r="AN1" s="691"/>
      <c r="AO1" s="692"/>
      <c r="AP1" s="690" t="s">
        <v>47</v>
      </c>
      <c r="AQ1" s="691"/>
      <c r="AR1" s="691"/>
      <c r="AS1" s="692"/>
      <c r="AT1" s="51"/>
      <c r="AU1" s="51"/>
      <c r="AV1" s="51"/>
      <c r="AW1" s="51"/>
      <c r="AX1" s="51"/>
      <c r="AY1" s="2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10.5" customHeight="1">
      <c r="A2" s="50" t="s">
        <v>48</v>
      </c>
      <c r="B2" s="3"/>
      <c r="C2" s="693"/>
      <c r="D2" s="694"/>
      <c r="E2" s="694"/>
      <c r="F2" s="695"/>
      <c r="G2" s="693"/>
      <c r="H2" s="694"/>
      <c r="I2" s="694"/>
      <c r="J2" s="695"/>
      <c r="K2" s="693"/>
      <c r="L2" s="694"/>
      <c r="M2" s="694"/>
      <c r="N2" s="695"/>
      <c r="O2" s="693"/>
      <c r="P2" s="694"/>
      <c r="Q2" s="694"/>
      <c r="R2" s="695"/>
      <c r="S2" s="51"/>
      <c r="T2" s="51"/>
      <c r="U2" s="51"/>
      <c r="V2" s="51"/>
      <c r="W2" s="51"/>
      <c r="X2" s="51"/>
      <c r="Y2" s="52"/>
      <c r="Z2" s="693"/>
      <c r="AA2" s="694"/>
      <c r="AB2" s="694"/>
      <c r="AC2" s="695"/>
      <c r="AD2" s="693"/>
      <c r="AE2" s="694"/>
      <c r="AF2" s="694"/>
      <c r="AG2" s="695"/>
      <c r="AH2" s="693"/>
      <c r="AI2" s="694"/>
      <c r="AJ2" s="694"/>
      <c r="AK2" s="695"/>
      <c r="AL2" s="693"/>
      <c r="AM2" s="694"/>
      <c r="AN2" s="694"/>
      <c r="AO2" s="695"/>
      <c r="AP2" s="693"/>
      <c r="AQ2" s="694"/>
      <c r="AR2" s="694"/>
      <c r="AS2" s="695"/>
      <c r="AT2" s="51"/>
      <c r="AU2" s="51"/>
      <c r="AV2" s="51"/>
      <c r="AW2" s="51"/>
      <c r="AX2" s="51"/>
      <c r="AY2" s="2"/>
      <c r="AZ2" s="3"/>
      <c r="BA2" s="2" t="s">
        <v>49</v>
      </c>
      <c r="BB2" s="2" t="s">
        <v>50</v>
      </c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12" customHeight="1">
      <c r="A3" s="696"/>
      <c r="B3" s="53" t="s">
        <v>51</v>
      </c>
      <c r="C3" s="698" t="s">
        <v>52</v>
      </c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  <c r="S3" s="699"/>
      <c r="T3" s="699"/>
      <c r="U3" s="699"/>
      <c r="V3" s="699"/>
      <c r="W3" s="699"/>
      <c r="X3" s="700"/>
      <c r="Y3" s="54"/>
      <c r="Z3" s="698" t="s">
        <v>31</v>
      </c>
      <c r="AA3" s="700"/>
      <c r="AB3" s="54"/>
      <c r="AC3" s="698" t="s">
        <v>53</v>
      </c>
      <c r="AD3" s="699"/>
      <c r="AE3" s="699"/>
      <c r="AF3" s="699"/>
      <c r="AG3" s="699"/>
      <c r="AH3" s="699"/>
      <c r="AI3" s="699"/>
      <c r="AJ3" s="699"/>
      <c r="AK3" s="699"/>
      <c r="AL3" s="699"/>
      <c r="AM3" s="699"/>
      <c r="AN3" s="699"/>
      <c r="AO3" s="699"/>
      <c r="AP3" s="699"/>
      <c r="AQ3" s="699"/>
      <c r="AR3" s="699"/>
      <c r="AS3" s="699"/>
      <c r="AT3" s="699"/>
      <c r="AU3" s="699"/>
      <c r="AV3" s="699"/>
      <c r="AW3" s="699"/>
      <c r="AX3" s="700"/>
      <c r="AY3" s="2" t="s">
        <v>54</v>
      </c>
      <c r="AZ3" s="2">
        <f>COUNTA(C6:J6)</f>
        <v>7</v>
      </c>
      <c r="BA3" s="2" t="s">
        <v>55</v>
      </c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</row>
    <row r="4" spans="1:74" ht="11.25" customHeight="1">
      <c r="A4" s="697"/>
      <c r="B4" s="55" t="s">
        <v>56</v>
      </c>
      <c r="C4" s="544">
        <v>3</v>
      </c>
      <c r="D4" s="56">
        <v>5</v>
      </c>
      <c r="E4" s="56">
        <v>7</v>
      </c>
      <c r="F4" s="56">
        <v>9</v>
      </c>
      <c r="G4" s="56">
        <v>11</v>
      </c>
      <c r="H4" s="536">
        <v>13</v>
      </c>
      <c r="I4" s="56">
        <v>15</v>
      </c>
      <c r="J4" s="56">
        <v>17</v>
      </c>
      <c r="K4" s="56">
        <v>19</v>
      </c>
      <c r="L4" s="56">
        <v>21</v>
      </c>
      <c r="M4" s="56">
        <v>23</v>
      </c>
      <c r="N4" s="56">
        <v>25</v>
      </c>
      <c r="O4" s="56">
        <v>27</v>
      </c>
      <c r="P4" s="56">
        <v>29</v>
      </c>
      <c r="Q4" s="56">
        <v>31</v>
      </c>
      <c r="R4" s="536">
        <v>33</v>
      </c>
      <c r="S4" s="56">
        <v>35</v>
      </c>
      <c r="T4" s="56">
        <v>37</v>
      </c>
      <c r="U4" s="56">
        <v>39</v>
      </c>
      <c r="V4" s="56">
        <v>37</v>
      </c>
      <c r="W4" s="56">
        <v>39</v>
      </c>
      <c r="X4" s="56">
        <v>41</v>
      </c>
      <c r="Y4" s="57"/>
      <c r="Z4" s="56">
        <v>1</v>
      </c>
      <c r="AA4" s="56">
        <v>2</v>
      </c>
      <c r="AB4" s="57"/>
      <c r="AC4" s="58">
        <v>4</v>
      </c>
      <c r="AD4" s="58">
        <v>6</v>
      </c>
      <c r="AE4" s="58">
        <v>8</v>
      </c>
      <c r="AF4" s="58">
        <v>10</v>
      </c>
      <c r="AG4" s="58">
        <v>12</v>
      </c>
      <c r="AH4" s="58">
        <v>14</v>
      </c>
      <c r="AI4" s="58">
        <v>16</v>
      </c>
      <c r="AJ4" s="58">
        <v>18</v>
      </c>
      <c r="AK4" s="536">
        <v>20</v>
      </c>
      <c r="AL4" s="58">
        <v>22</v>
      </c>
      <c r="AM4" s="58">
        <v>24</v>
      </c>
      <c r="AN4" s="536">
        <v>26</v>
      </c>
      <c r="AO4" s="536">
        <v>28</v>
      </c>
      <c r="AP4" s="58">
        <v>30</v>
      </c>
      <c r="AQ4" s="58">
        <v>32</v>
      </c>
      <c r="AR4" s="58">
        <v>34</v>
      </c>
      <c r="AS4" s="58">
        <v>36</v>
      </c>
      <c r="AT4" s="58">
        <v>38</v>
      </c>
      <c r="AU4" s="58">
        <v>40</v>
      </c>
      <c r="AV4" s="58">
        <v>38</v>
      </c>
      <c r="AW4" s="58">
        <v>40</v>
      </c>
      <c r="AX4" s="58">
        <v>42</v>
      </c>
      <c r="AY4" s="2" t="s">
        <v>57</v>
      </c>
      <c r="AZ4" s="2">
        <f>COUNTA(AB6:AJ6)</f>
        <v>8</v>
      </c>
      <c r="BA4" s="59">
        <v>1</v>
      </c>
      <c r="BB4" s="51">
        <f>AZ4-BA4</f>
        <v>7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</row>
    <row r="5" spans="1:74" ht="12" customHeight="1">
      <c r="A5" s="60" t="s">
        <v>58</v>
      </c>
      <c r="B5" s="61" t="s">
        <v>9</v>
      </c>
      <c r="C5" s="545"/>
      <c r="D5" s="62"/>
      <c r="E5" s="62"/>
      <c r="F5" s="62"/>
      <c r="G5" s="62"/>
      <c r="H5" s="537"/>
      <c r="I5" s="62"/>
      <c r="J5" s="62"/>
      <c r="K5" s="62"/>
      <c r="L5" s="62"/>
      <c r="M5" s="62"/>
      <c r="N5" s="62"/>
      <c r="O5" s="62"/>
      <c r="P5" s="63"/>
      <c r="Q5" s="62"/>
      <c r="R5" s="537"/>
      <c r="S5" s="62"/>
      <c r="T5" s="62"/>
      <c r="U5" s="62"/>
      <c r="V5" s="62"/>
      <c r="W5" s="62"/>
      <c r="X5" s="62"/>
      <c r="Y5" s="64"/>
      <c r="Z5" s="62"/>
      <c r="AA5" s="62"/>
      <c r="AB5" s="64"/>
      <c r="AC5" s="62"/>
      <c r="AD5" s="62"/>
      <c r="AE5" s="62"/>
      <c r="AF5" s="62"/>
      <c r="AG5" s="62"/>
      <c r="AH5" s="62"/>
      <c r="AI5" s="62"/>
      <c r="AJ5" s="62"/>
      <c r="AK5" s="537"/>
      <c r="AL5" s="62"/>
      <c r="AM5" s="62"/>
      <c r="AN5" s="537"/>
      <c r="AO5" s="537"/>
      <c r="AP5" s="62"/>
      <c r="AQ5" s="62"/>
      <c r="AR5" s="62"/>
      <c r="AS5" s="62"/>
      <c r="AT5" s="62"/>
      <c r="AU5" s="62"/>
      <c r="AV5" s="62"/>
      <c r="AW5" s="62"/>
      <c r="AX5" s="62"/>
      <c r="AY5" s="65"/>
      <c r="AZ5" s="65"/>
      <c r="BA5" s="65"/>
      <c r="BB5" s="65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ht="12" customHeight="1">
      <c r="A6" s="66" t="s">
        <v>25</v>
      </c>
      <c r="B6" s="61" t="s">
        <v>21</v>
      </c>
      <c r="C6" s="67">
        <v>4917</v>
      </c>
      <c r="D6" s="67">
        <v>1740</v>
      </c>
      <c r="E6" s="67">
        <v>2137</v>
      </c>
      <c r="F6" s="67">
        <v>4476</v>
      </c>
      <c r="G6" s="67">
        <v>374</v>
      </c>
      <c r="H6" s="67"/>
      <c r="I6" s="67">
        <v>4319.1499999999996</v>
      </c>
      <c r="J6" s="67">
        <v>1266.23</v>
      </c>
      <c r="K6" s="67">
        <v>482.53</v>
      </c>
      <c r="L6" s="67">
        <v>6246.65</v>
      </c>
      <c r="M6" s="67">
        <v>2831.72</v>
      </c>
      <c r="N6" s="67">
        <v>1469.4391000000001</v>
      </c>
      <c r="O6" s="67">
        <v>6814.7624999999998</v>
      </c>
      <c r="P6" s="67">
        <v>2213</v>
      </c>
      <c r="Q6" s="67">
        <v>2784</v>
      </c>
      <c r="R6" s="67">
        <v>4558.3</v>
      </c>
      <c r="S6" s="67"/>
      <c r="T6" s="67"/>
      <c r="U6" s="67"/>
      <c r="V6" s="67"/>
      <c r="W6" s="67"/>
      <c r="X6" s="67"/>
      <c r="Y6" s="68"/>
      <c r="Z6" s="67">
        <v>2397</v>
      </c>
      <c r="AA6" s="67">
        <v>1923</v>
      </c>
      <c r="AB6" s="69"/>
      <c r="AC6" s="67">
        <v>3061.2</v>
      </c>
      <c r="AD6" s="67">
        <v>2066</v>
      </c>
      <c r="AE6" s="67">
        <v>3129</v>
      </c>
      <c r="AF6" s="67">
        <v>326</v>
      </c>
      <c r="AG6" s="67">
        <v>9259</v>
      </c>
      <c r="AH6" s="67">
        <v>1233</v>
      </c>
      <c r="AI6" s="67">
        <v>7078</v>
      </c>
      <c r="AJ6" s="67">
        <v>8840</v>
      </c>
      <c r="AK6" s="67">
        <v>765.08</v>
      </c>
      <c r="AL6" s="67">
        <v>3332</v>
      </c>
      <c r="AM6" s="67">
        <v>3157</v>
      </c>
      <c r="AN6" s="67">
        <v>3513</v>
      </c>
      <c r="AO6" s="67">
        <v>2375</v>
      </c>
      <c r="AP6" s="67">
        <v>4487</v>
      </c>
      <c r="AQ6" s="67">
        <v>2973.16</v>
      </c>
      <c r="AR6" s="70"/>
      <c r="AS6" s="70"/>
      <c r="AT6" s="70"/>
      <c r="AU6" s="70"/>
      <c r="AV6" s="70"/>
      <c r="AW6" s="70"/>
      <c r="AX6" s="70"/>
      <c r="AY6" s="51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ht="12" customHeight="1">
      <c r="A7" s="66" t="s">
        <v>27</v>
      </c>
      <c r="B7" s="61" t="s">
        <v>21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8"/>
      <c r="Z7" s="67">
        <v>3502</v>
      </c>
      <c r="AA7" s="67">
        <v>2280</v>
      </c>
      <c r="AB7" s="71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19">
        <v>2668</v>
      </c>
      <c r="AP7" s="67"/>
      <c r="AQ7" s="67"/>
      <c r="AR7" s="67"/>
      <c r="AS7" s="67"/>
      <c r="AT7" s="67"/>
      <c r="AU7" s="67"/>
      <c r="AV7" s="67"/>
      <c r="AW7" s="67"/>
      <c r="AX7" s="67"/>
      <c r="AY7" s="51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ht="12" customHeight="1">
      <c r="A8" s="66" t="s">
        <v>28</v>
      </c>
      <c r="B8" s="61" t="s">
        <v>21</v>
      </c>
      <c r="C8" s="546">
        <f t="shared" ref="C8:R8" si="0">C10-C9-C7-C6</f>
        <v>6323</v>
      </c>
      <c r="D8" s="72">
        <f t="shared" si="0"/>
        <v>9260</v>
      </c>
      <c r="E8" s="72">
        <f t="shared" si="0"/>
        <v>10063</v>
      </c>
      <c r="F8" s="72">
        <f t="shared" si="0"/>
        <v>3404</v>
      </c>
      <c r="G8" s="72">
        <f t="shared" si="0"/>
        <v>13266</v>
      </c>
      <c r="H8" s="540">
        <f t="shared" si="0"/>
        <v>14120</v>
      </c>
      <c r="I8" s="72">
        <f t="shared" si="0"/>
        <v>680.85000000000036</v>
      </c>
      <c r="J8" s="72">
        <f t="shared" si="0"/>
        <v>9493.77</v>
      </c>
      <c r="K8" s="72">
        <f t="shared" si="0"/>
        <v>12677.47</v>
      </c>
      <c r="L8" s="72">
        <f t="shared" si="0"/>
        <v>4273.3500000000004</v>
      </c>
      <c r="M8" s="72">
        <f t="shared" si="0"/>
        <v>6248.2800000000007</v>
      </c>
      <c r="N8" s="72">
        <f t="shared" si="0"/>
        <v>8090.5609000000004</v>
      </c>
      <c r="O8" s="72">
        <f t="shared" si="0"/>
        <v>5385.2375000000002</v>
      </c>
      <c r="P8" s="72">
        <f t="shared" si="0"/>
        <v>8307</v>
      </c>
      <c r="Q8" s="72">
        <f t="shared" si="0"/>
        <v>7976</v>
      </c>
      <c r="R8" s="675">
        <f t="shared" si="0"/>
        <v>-5978.76</v>
      </c>
      <c r="S8" s="72"/>
      <c r="T8" s="72"/>
      <c r="U8" s="72"/>
      <c r="V8" s="72"/>
      <c r="W8" s="72"/>
      <c r="X8" s="72"/>
      <c r="Y8" s="73"/>
      <c r="Z8" s="72">
        <f t="shared" ref="Z8:AA8" si="1">Z10-Z9-Z7-Z6</f>
        <v>4141</v>
      </c>
      <c r="AA8" s="72">
        <f t="shared" si="1"/>
        <v>3437</v>
      </c>
      <c r="AB8" s="73"/>
      <c r="AC8" s="72">
        <f t="shared" ref="AC8:AH8" si="2">AC10-AC9-AC7-AC6</f>
        <v>6738.8</v>
      </c>
      <c r="AD8" s="72">
        <f t="shared" si="2"/>
        <v>5334</v>
      </c>
      <c r="AE8" s="72">
        <f t="shared" si="2"/>
        <v>5711</v>
      </c>
      <c r="AF8" s="72">
        <f t="shared" si="2"/>
        <v>11394</v>
      </c>
      <c r="AG8" s="72">
        <f t="shared" si="2"/>
        <v>301</v>
      </c>
      <c r="AH8" s="72">
        <f t="shared" si="2"/>
        <v>5207</v>
      </c>
      <c r="AI8" s="72">
        <v>7472</v>
      </c>
      <c r="AJ8" s="72">
        <f t="shared" ref="AJ8:AQ8" si="3">AJ10-AJ9-AJ7-AJ6</f>
        <v>0</v>
      </c>
      <c r="AK8" s="540">
        <f t="shared" si="3"/>
        <v>11914.92</v>
      </c>
      <c r="AL8" s="72">
        <f t="shared" si="3"/>
        <v>3588</v>
      </c>
      <c r="AM8" s="72">
        <f t="shared" si="3"/>
        <v>5923</v>
      </c>
      <c r="AN8" s="540">
        <f t="shared" si="3"/>
        <v>5327</v>
      </c>
      <c r="AO8" s="540">
        <f t="shared" si="3"/>
        <v>6437</v>
      </c>
      <c r="AP8" s="72">
        <f t="shared" si="3"/>
        <v>1953</v>
      </c>
      <c r="AQ8" s="72">
        <f t="shared" si="3"/>
        <v>3706.84</v>
      </c>
      <c r="AR8" s="72"/>
      <c r="AS8" s="72"/>
      <c r="AT8" s="72"/>
      <c r="AU8" s="72"/>
      <c r="AV8" s="72"/>
      <c r="AW8" s="72"/>
      <c r="AX8" s="72"/>
      <c r="AY8" s="2"/>
      <c r="AZ8" s="3"/>
      <c r="BA8" s="3"/>
      <c r="BB8" s="3"/>
      <c r="BC8" s="3"/>
      <c r="BD8" s="74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1:74" ht="12" customHeight="1">
      <c r="A9" s="66" t="s">
        <v>59</v>
      </c>
      <c r="B9" s="61" t="s">
        <v>21</v>
      </c>
      <c r="C9" s="546">
        <f t="shared" ref="C9:X9" si="4">C13*C16</f>
        <v>2880</v>
      </c>
      <c r="D9" s="72">
        <f t="shared" si="4"/>
        <v>3120</v>
      </c>
      <c r="E9" s="72">
        <f t="shared" si="4"/>
        <v>1920</v>
      </c>
      <c r="F9" s="72">
        <f t="shared" si="4"/>
        <v>6240</v>
      </c>
      <c r="G9" s="72">
        <f t="shared" si="4"/>
        <v>480</v>
      </c>
      <c r="H9" s="540">
        <f t="shared" si="4"/>
        <v>0</v>
      </c>
      <c r="I9" s="72">
        <f t="shared" si="4"/>
        <v>9120</v>
      </c>
      <c r="J9" s="72">
        <f t="shared" si="4"/>
        <v>3360</v>
      </c>
      <c r="K9" s="72">
        <f t="shared" si="4"/>
        <v>960</v>
      </c>
      <c r="L9" s="72">
        <f t="shared" si="4"/>
        <v>3600</v>
      </c>
      <c r="M9" s="72">
        <f t="shared" si="4"/>
        <v>5040</v>
      </c>
      <c r="N9" s="72">
        <f t="shared" si="4"/>
        <v>4560</v>
      </c>
      <c r="O9" s="72">
        <f t="shared" si="4"/>
        <v>1920</v>
      </c>
      <c r="P9" s="72">
        <f t="shared" si="4"/>
        <v>3600</v>
      </c>
      <c r="Q9" s="72">
        <f t="shared" si="4"/>
        <v>3360</v>
      </c>
      <c r="R9" s="540">
        <f t="shared" si="4"/>
        <v>4800</v>
      </c>
      <c r="S9" s="72">
        <f t="shared" si="4"/>
        <v>0</v>
      </c>
      <c r="T9" s="72">
        <f t="shared" si="4"/>
        <v>0</v>
      </c>
      <c r="U9" s="72">
        <f t="shared" si="4"/>
        <v>0</v>
      </c>
      <c r="V9" s="72">
        <f t="shared" si="4"/>
        <v>0</v>
      </c>
      <c r="W9" s="72">
        <f t="shared" si="4"/>
        <v>4080</v>
      </c>
      <c r="X9" s="72">
        <f t="shared" si="4"/>
        <v>6480</v>
      </c>
      <c r="Y9" s="68"/>
      <c r="Z9" s="72">
        <f t="shared" ref="Z9:AA9" si="5">Z13*Z16</f>
        <v>4080</v>
      </c>
      <c r="AA9" s="72">
        <f t="shared" si="5"/>
        <v>6480</v>
      </c>
      <c r="AB9" s="68"/>
      <c r="AC9" s="72">
        <f t="shared" ref="AC9:AH9" si="6">AC13*AC16</f>
        <v>4320</v>
      </c>
      <c r="AD9" s="72">
        <f t="shared" si="6"/>
        <v>6720</v>
      </c>
      <c r="AE9" s="72">
        <f t="shared" si="6"/>
        <v>5280</v>
      </c>
      <c r="AF9" s="72">
        <f t="shared" si="6"/>
        <v>2400</v>
      </c>
      <c r="AG9" s="72">
        <f t="shared" si="6"/>
        <v>4560</v>
      </c>
      <c r="AH9" s="72">
        <f t="shared" si="6"/>
        <v>7680</v>
      </c>
      <c r="AI9" s="72">
        <v>4560</v>
      </c>
      <c r="AJ9" s="72">
        <f t="shared" ref="AJ9:AX9" si="7">AJ13*AJ16</f>
        <v>5280</v>
      </c>
      <c r="AK9" s="540">
        <f t="shared" si="7"/>
        <v>1440</v>
      </c>
      <c r="AL9" s="72">
        <f t="shared" si="7"/>
        <v>7200</v>
      </c>
      <c r="AM9" s="72">
        <f t="shared" si="7"/>
        <v>5040</v>
      </c>
      <c r="AN9" s="540">
        <f t="shared" si="7"/>
        <v>5280</v>
      </c>
      <c r="AO9" s="540">
        <f t="shared" si="7"/>
        <v>2640</v>
      </c>
      <c r="AP9" s="72">
        <f t="shared" si="7"/>
        <v>7680</v>
      </c>
      <c r="AQ9" s="72">
        <f t="shared" si="7"/>
        <v>7440</v>
      </c>
      <c r="AR9" s="72">
        <f t="shared" si="7"/>
        <v>0</v>
      </c>
      <c r="AS9" s="72">
        <f t="shared" si="7"/>
        <v>0</v>
      </c>
      <c r="AT9" s="72">
        <f t="shared" si="7"/>
        <v>0</v>
      </c>
      <c r="AU9" s="72">
        <f t="shared" si="7"/>
        <v>0</v>
      </c>
      <c r="AV9" s="72">
        <f t="shared" si="7"/>
        <v>0</v>
      </c>
      <c r="AW9" s="72">
        <f t="shared" si="7"/>
        <v>0</v>
      </c>
      <c r="AX9" s="72">
        <f t="shared" si="7"/>
        <v>0</v>
      </c>
      <c r="AY9" s="2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1:74" ht="12" customHeight="1">
      <c r="A10" s="75" t="s">
        <v>60</v>
      </c>
      <c r="B10" s="76" t="s">
        <v>21</v>
      </c>
      <c r="C10" s="77">
        <f>Parâmetros!$C$30</f>
        <v>14120</v>
      </c>
      <c r="D10" s="77">
        <f>Parâmetros!$C$30</f>
        <v>14120</v>
      </c>
      <c r="E10" s="77">
        <f>Parâmetros!$C$30</f>
        <v>14120</v>
      </c>
      <c r="F10" s="77">
        <f>Parâmetros!$C$30</f>
        <v>14120</v>
      </c>
      <c r="G10" s="77">
        <f>Parâmetros!$C$30</f>
        <v>14120</v>
      </c>
      <c r="H10" s="77">
        <f>Parâmetros!$C$30</f>
        <v>14120</v>
      </c>
      <c r="I10" s="77">
        <f>Parâmetros!$C$30</f>
        <v>14120</v>
      </c>
      <c r="J10" s="77">
        <f>Parâmetros!$C$30</f>
        <v>14120</v>
      </c>
      <c r="K10" s="77">
        <f>Parâmetros!$C$30</f>
        <v>14120</v>
      </c>
      <c r="L10" s="77">
        <f>Parâmetros!$C$30</f>
        <v>14120</v>
      </c>
      <c r="M10" s="77">
        <f>Parâmetros!$C$30</f>
        <v>14120</v>
      </c>
      <c r="N10" s="77">
        <f>Parâmetros!$C$30</f>
        <v>14120</v>
      </c>
      <c r="O10" s="77">
        <f>Parâmetros!$C$30</f>
        <v>14120</v>
      </c>
      <c r="P10" s="77">
        <f>Parâmetros!$C$30</f>
        <v>14120</v>
      </c>
      <c r="Q10" s="77">
        <f>Parâmetros!$C$30</f>
        <v>14120</v>
      </c>
      <c r="R10" s="77">
        <v>3379.54</v>
      </c>
      <c r="S10" s="72" t="e">
        <f t="shared" ref="S10:X10" si="8">ROUND(SUM(S6,S7,S8,S9,#REF!),2)</f>
        <v>#REF!</v>
      </c>
      <c r="T10" s="72" t="e">
        <f t="shared" si="8"/>
        <v>#REF!</v>
      </c>
      <c r="U10" s="72" t="e">
        <f t="shared" si="8"/>
        <v>#REF!</v>
      </c>
      <c r="V10" s="72" t="e">
        <f t="shared" si="8"/>
        <v>#REF!</v>
      </c>
      <c r="W10" s="72" t="e">
        <f t="shared" si="8"/>
        <v>#REF!</v>
      </c>
      <c r="X10" s="72" t="e">
        <f t="shared" si="8"/>
        <v>#REF!</v>
      </c>
      <c r="Y10" s="68"/>
      <c r="Z10" s="77">
        <f>Parâmetros!$C$30</f>
        <v>14120</v>
      </c>
      <c r="AA10" s="77">
        <f>Parâmetros!$C$30</f>
        <v>14120</v>
      </c>
      <c r="AB10" s="68"/>
      <c r="AC10" s="77">
        <f>Parâmetros!$C$30</f>
        <v>14120</v>
      </c>
      <c r="AD10" s="77">
        <f>Parâmetros!$C$30</f>
        <v>14120</v>
      </c>
      <c r="AE10" s="77">
        <f>Parâmetros!$C$30</f>
        <v>14120</v>
      </c>
      <c r="AF10" s="77">
        <f>Parâmetros!$C$30</f>
        <v>14120</v>
      </c>
      <c r="AG10" s="77">
        <f>Parâmetros!$C$30</f>
        <v>14120</v>
      </c>
      <c r="AH10" s="77">
        <f>Parâmetros!$C$30</f>
        <v>14120</v>
      </c>
      <c r="AI10" s="77">
        <f>Parâmetros!$C$30</f>
        <v>14120</v>
      </c>
      <c r="AJ10" s="77">
        <f>Parâmetros!$C$30</f>
        <v>14120</v>
      </c>
      <c r="AK10" s="77">
        <f>Parâmetros!$C$30</f>
        <v>14120</v>
      </c>
      <c r="AL10" s="77">
        <f>Parâmetros!$C$30</f>
        <v>14120</v>
      </c>
      <c r="AM10" s="77">
        <f>Parâmetros!$C$30</f>
        <v>14120</v>
      </c>
      <c r="AN10" s="77">
        <f>Parâmetros!$C$30</f>
        <v>14120</v>
      </c>
      <c r="AO10" s="77">
        <f>Parâmetros!$C$30</f>
        <v>14120</v>
      </c>
      <c r="AP10" s="77">
        <f>Parâmetros!$C$30</f>
        <v>14120</v>
      </c>
      <c r="AQ10" s="77">
        <f>Parâmetros!$C$30</f>
        <v>14120</v>
      </c>
      <c r="AR10" s="72" t="e">
        <f t="shared" ref="AR10:AX10" si="9">ROUND(SUM(AR6,AR7,AR8,AR9,#REF!),2)</f>
        <v>#REF!</v>
      </c>
      <c r="AS10" s="72" t="e">
        <f t="shared" si="9"/>
        <v>#REF!</v>
      </c>
      <c r="AT10" s="72" t="e">
        <f t="shared" si="9"/>
        <v>#REF!</v>
      </c>
      <c r="AU10" s="72" t="e">
        <f t="shared" si="9"/>
        <v>#REF!</v>
      </c>
      <c r="AV10" s="72" t="e">
        <f t="shared" si="9"/>
        <v>#REF!</v>
      </c>
      <c r="AW10" s="72" t="e">
        <f t="shared" si="9"/>
        <v>#REF!</v>
      </c>
      <c r="AX10" s="72" t="e">
        <f t="shared" si="9"/>
        <v>#REF!</v>
      </c>
      <c r="AY10" s="2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1:74" ht="4.5" customHeight="1">
      <c r="A11" s="554"/>
      <c r="B11" s="555"/>
      <c r="C11" s="547"/>
      <c r="D11" s="78"/>
      <c r="E11" s="78"/>
      <c r="F11" s="78"/>
      <c r="G11" s="78"/>
      <c r="H11" s="538"/>
      <c r="I11" s="78"/>
      <c r="J11" s="78"/>
      <c r="K11" s="78"/>
      <c r="L11" s="78"/>
      <c r="M11" s="78"/>
      <c r="N11" s="78"/>
      <c r="O11" s="78"/>
      <c r="P11" s="78"/>
      <c r="Q11" s="78"/>
      <c r="R11" s="538"/>
      <c r="S11" s="78" t="e">
        <f>S10-Parâmetros!$C$30</f>
        <v>#REF!</v>
      </c>
      <c r="T11" s="78" t="e">
        <f>T10-Parâmetros!$C$30</f>
        <v>#REF!</v>
      </c>
      <c r="U11" s="78" t="e">
        <f>U10-Parâmetros!$C$30</f>
        <v>#REF!</v>
      </c>
      <c r="V11" s="78" t="e">
        <f>V10-Parâmetros!$C$30</f>
        <v>#REF!</v>
      </c>
      <c r="W11" s="78" t="e">
        <f>W10-Parâmetros!$C$30</f>
        <v>#REF!</v>
      </c>
      <c r="X11" s="78" t="e">
        <f>X10-Parâmetros!$C$30</f>
        <v>#REF!</v>
      </c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538"/>
      <c r="AL11" s="78"/>
      <c r="AM11" s="78"/>
      <c r="AN11" s="538"/>
      <c r="AO11" s="538"/>
      <c r="AP11" s="78"/>
      <c r="AQ11" s="78"/>
      <c r="AR11" s="78" t="e">
        <f>AR10-Parâmetros!$C$30</f>
        <v>#REF!</v>
      </c>
      <c r="AS11" s="78" t="e">
        <f>AS10-Parâmetros!$C$30</f>
        <v>#REF!</v>
      </c>
      <c r="AT11" s="78" t="e">
        <f>AT10-Parâmetros!$C$30</f>
        <v>#REF!</v>
      </c>
      <c r="AU11" s="78" t="e">
        <f>AU10-Parâmetros!$C$30</f>
        <v>#REF!</v>
      </c>
      <c r="AV11" s="78" t="e">
        <f>AV10-Parâmetros!$C$30</f>
        <v>#REF!</v>
      </c>
      <c r="AW11" s="78" t="e">
        <f>AW10-Parâmetros!$C$30</f>
        <v>#REF!</v>
      </c>
      <c r="AX11" s="78" t="e">
        <f>AX10-Parâmetros!$C$30</f>
        <v>#REF!</v>
      </c>
      <c r="AY11" s="2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1:74" ht="11.25" customHeight="1">
      <c r="A12" s="552" t="s">
        <v>61</v>
      </c>
      <c r="B12" s="553"/>
      <c r="C12" s="548"/>
      <c r="D12" s="52"/>
      <c r="E12" s="52"/>
      <c r="F12" s="52"/>
      <c r="G12" s="52"/>
      <c r="H12" s="543"/>
      <c r="I12" s="52"/>
      <c r="J12" s="52"/>
      <c r="K12" s="52"/>
      <c r="L12" s="52"/>
      <c r="M12" s="52"/>
      <c r="N12" s="52"/>
      <c r="O12" s="52"/>
      <c r="P12" s="52"/>
      <c r="Q12" s="52"/>
      <c r="R12" s="543"/>
      <c r="S12" s="79"/>
      <c r="T12" s="79"/>
      <c r="U12" s="79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43"/>
      <c r="AL12" s="52"/>
      <c r="AM12" s="52"/>
      <c r="AN12" s="543"/>
      <c r="AO12" s="543"/>
      <c r="AP12" s="52"/>
      <c r="AQ12" s="52"/>
      <c r="AR12" s="52"/>
      <c r="AS12" s="52"/>
      <c r="AT12" s="52"/>
      <c r="AU12" s="52"/>
      <c r="AV12" s="52"/>
      <c r="AW12" s="52"/>
      <c r="AX12" s="52"/>
      <c r="AY12" s="2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</row>
    <row r="13" spans="1:74" ht="12.75" customHeight="1">
      <c r="A13" s="66" t="s">
        <v>62</v>
      </c>
      <c r="B13" s="61"/>
      <c r="C13" s="67">
        <v>12</v>
      </c>
      <c r="D13" s="67">
        <v>13</v>
      </c>
      <c r="E13" s="67">
        <v>8</v>
      </c>
      <c r="F13" s="67">
        <v>26</v>
      </c>
      <c r="G13" s="67">
        <v>2</v>
      </c>
      <c r="H13" s="67"/>
      <c r="I13" s="67">
        <v>38</v>
      </c>
      <c r="J13" s="67">
        <v>14</v>
      </c>
      <c r="K13" s="67">
        <v>4</v>
      </c>
      <c r="L13" s="67">
        <v>15</v>
      </c>
      <c r="M13" s="67">
        <v>21</v>
      </c>
      <c r="N13" s="67">
        <v>19</v>
      </c>
      <c r="O13" s="67">
        <v>8</v>
      </c>
      <c r="P13" s="67">
        <v>15</v>
      </c>
      <c r="Q13" s="67">
        <v>14</v>
      </c>
      <c r="R13" s="67">
        <v>20</v>
      </c>
      <c r="S13" s="67"/>
      <c r="T13" s="67"/>
      <c r="U13" s="67"/>
      <c r="V13" s="617"/>
      <c r="W13" s="67">
        <v>17</v>
      </c>
      <c r="X13" s="67">
        <v>27</v>
      </c>
      <c r="Y13" s="617"/>
      <c r="Z13" s="67">
        <v>17</v>
      </c>
      <c r="AA13" s="67">
        <v>27</v>
      </c>
      <c r="AB13" s="67">
        <v>22</v>
      </c>
      <c r="AC13" s="67">
        <v>18</v>
      </c>
      <c r="AD13" s="67">
        <v>28</v>
      </c>
      <c r="AE13" s="67">
        <v>22</v>
      </c>
      <c r="AF13" s="67">
        <v>10</v>
      </c>
      <c r="AG13" s="67">
        <v>19</v>
      </c>
      <c r="AH13" s="67">
        <v>32</v>
      </c>
      <c r="AI13" s="67">
        <v>18</v>
      </c>
      <c r="AJ13" s="67">
        <v>22</v>
      </c>
      <c r="AK13" s="67">
        <v>6</v>
      </c>
      <c r="AL13" s="67">
        <v>30</v>
      </c>
      <c r="AM13" s="67">
        <v>21</v>
      </c>
      <c r="AN13" s="67">
        <v>22</v>
      </c>
      <c r="AO13" s="67">
        <v>11</v>
      </c>
      <c r="AP13" s="67">
        <v>32</v>
      </c>
      <c r="AQ13" s="67">
        <v>31</v>
      </c>
      <c r="AR13" s="67"/>
      <c r="AS13" s="67"/>
      <c r="AT13" s="67"/>
      <c r="AU13" s="67"/>
      <c r="AV13" s="67"/>
      <c r="AW13" s="67"/>
      <c r="AX13" s="67"/>
      <c r="AY13" s="2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1:74" ht="12.75" customHeight="1">
      <c r="A14" s="80" t="s">
        <v>63</v>
      </c>
      <c r="B14" s="61" t="s">
        <v>64</v>
      </c>
      <c r="C14" s="67">
        <v>10</v>
      </c>
      <c r="D14" s="618">
        <v>9.6999999999999993</v>
      </c>
      <c r="E14" s="67">
        <v>13.5</v>
      </c>
      <c r="F14" s="67">
        <v>26</v>
      </c>
      <c r="G14" s="67">
        <v>400</v>
      </c>
      <c r="H14" s="67"/>
      <c r="I14" s="67">
        <v>10</v>
      </c>
      <c r="J14" s="67">
        <v>10</v>
      </c>
      <c r="K14" s="67">
        <v>50</v>
      </c>
      <c r="L14" s="81">
        <v>8</v>
      </c>
      <c r="M14" s="67">
        <v>10</v>
      </c>
      <c r="N14" s="67">
        <v>8</v>
      </c>
      <c r="O14" s="67">
        <v>10</v>
      </c>
      <c r="P14" s="67">
        <v>20</v>
      </c>
      <c r="Q14" s="67">
        <v>8</v>
      </c>
      <c r="R14" s="67">
        <v>30</v>
      </c>
      <c r="S14" s="67"/>
      <c r="T14" s="67"/>
      <c r="U14" s="67"/>
      <c r="V14" s="617"/>
      <c r="W14" s="67">
        <v>1</v>
      </c>
      <c r="X14" s="67">
        <v>2</v>
      </c>
      <c r="Y14" s="617"/>
      <c r="Z14" s="67">
        <v>1</v>
      </c>
      <c r="AA14" s="67">
        <v>2</v>
      </c>
      <c r="AB14" s="67">
        <v>4</v>
      </c>
      <c r="AC14" s="67">
        <v>5</v>
      </c>
      <c r="AD14" s="67">
        <v>5</v>
      </c>
      <c r="AE14" s="67">
        <v>4</v>
      </c>
      <c r="AF14" s="67">
        <v>5</v>
      </c>
      <c r="AG14" s="67">
        <v>5</v>
      </c>
      <c r="AH14" s="67">
        <v>5</v>
      </c>
      <c r="AI14" s="67">
        <v>5</v>
      </c>
      <c r="AJ14" s="67">
        <v>5</v>
      </c>
      <c r="AK14" s="619">
        <v>6.5</v>
      </c>
      <c r="AL14" s="541">
        <v>5</v>
      </c>
      <c r="AM14" s="67">
        <v>4</v>
      </c>
      <c r="AN14" s="67">
        <v>4</v>
      </c>
      <c r="AO14" s="67">
        <v>5</v>
      </c>
      <c r="AP14" s="81">
        <v>5</v>
      </c>
      <c r="AQ14" s="67">
        <v>5</v>
      </c>
      <c r="AR14" s="67"/>
      <c r="AS14" s="67"/>
      <c r="AT14" s="67"/>
      <c r="AU14" s="67"/>
      <c r="AV14" s="67"/>
      <c r="AW14" s="67"/>
      <c r="AX14" s="67"/>
      <c r="AY14" s="2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</row>
    <row r="15" spans="1:74" ht="12.75" customHeight="1">
      <c r="A15" s="80" t="s">
        <v>65</v>
      </c>
      <c r="B15" s="61"/>
      <c r="C15" s="82">
        <v>4</v>
      </c>
      <c r="D15" s="82">
        <v>4</v>
      </c>
      <c r="E15" s="82">
        <v>4</v>
      </c>
      <c r="F15" s="82">
        <v>4</v>
      </c>
      <c r="G15" s="82">
        <v>4</v>
      </c>
      <c r="H15" s="82">
        <v>4</v>
      </c>
      <c r="I15" s="82">
        <v>4</v>
      </c>
      <c r="J15" s="82">
        <v>4</v>
      </c>
      <c r="K15" s="82">
        <v>4</v>
      </c>
      <c r="L15" s="82">
        <v>4</v>
      </c>
      <c r="M15" s="82">
        <v>4</v>
      </c>
      <c r="N15" s="82">
        <v>4</v>
      </c>
      <c r="O15" s="82">
        <v>4</v>
      </c>
      <c r="P15" s="82">
        <v>4</v>
      </c>
      <c r="Q15" s="82">
        <v>4</v>
      </c>
      <c r="R15" s="82">
        <v>4</v>
      </c>
      <c r="S15" s="82">
        <v>4</v>
      </c>
      <c r="T15" s="82">
        <v>4</v>
      </c>
      <c r="U15" s="82">
        <v>4</v>
      </c>
      <c r="V15" s="82">
        <v>4</v>
      </c>
      <c r="W15" s="82">
        <v>4</v>
      </c>
      <c r="X15" s="82">
        <v>4</v>
      </c>
      <c r="Y15" s="68"/>
      <c r="Z15" s="82">
        <v>4</v>
      </c>
      <c r="AA15" s="82">
        <v>4</v>
      </c>
      <c r="AB15" s="68"/>
      <c r="AC15" s="82">
        <v>4</v>
      </c>
      <c r="AD15" s="82">
        <v>4</v>
      </c>
      <c r="AE15" s="82">
        <v>4</v>
      </c>
      <c r="AF15" s="82">
        <v>4</v>
      </c>
      <c r="AG15" s="82">
        <v>4</v>
      </c>
      <c r="AH15" s="82">
        <v>4</v>
      </c>
      <c r="AI15" s="82">
        <v>4</v>
      </c>
      <c r="AJ15" s="82">
        <v>4</v>
      </c>
      <c r="AK15" s="82">
        <v>4</v>
      </c>
      <c r="AL15" s="82">
        <v>4</v>
      </c>
      <c r="AM15" s="82">
        <v>4</v>
      </c>
      <c r="AN15" s="82">
        <v>4</v>
      </c>
      <c r="AO15" s="82">
        <v>4</v>
      </c>
      <c r="AP15" s="82">
        <v>4</v>
      </c>
      <c r="AQ15" s="82">
        <v>4</v>
      </c>
      <c r="AR15" s="82">
        <v>4</v>
      </c>
      <c r="AS15" s="82">
        <v>4</v>
      </c>
      <c r="AT15" s="82">
        <v>4</v>
      </c>
      <c r="AU15" s="82">
        <v>4</v>
      </c>
      <c r="AV15" s="82">
        <v>4</v>
      </c>
      <c r="AW15" s="82">
        <v>4</v>
      </c>
      <c r="AX15" s="82">
        <v>4</v>
      </c>
      <c r="AY15" s="2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1:74" ht="12.75" customHeight="1">
      <c r="A16" s="80" t="s">
        <v>66</v>
      </c>
      <c r="B16" s="61" t="s">
        <v>21</v>
      </c>
      <c r="C16" s="82">
        <v>240</v>
      </c>
      <c r="D16" s="82">
        <v>240</v>
      </c>
      <c r="E16" s="82">
        <v>240</v>
      </c>
      <c r="F16" s="82">
        <v>240</v>
      </c>
      <c r="G16" s="82">
        <v>240</v>
      </c>
      <c r="H16" s="82">
        <v>240</v>
      </c>
      <c r="I16" s="82">
        <v>240</v>
      </c>
      <c r="J16" s="82">
        <v>240</v>
      </c>
      <c r="K16" s="82">
        <v>240</v>
      </c>
      <c r="L16" s="82">
        <v>240</v>
      </c>
      <c r="M16" s="82">
        <v>240</v>
      </c>
      <c r="N16" s="82">
        <v>240</v>
      </c>
      <c r="O16" s="82">
        <v>240</v>
      </c>
      <c r="P16" s="82">
        <v>240</v>
      </c>
      <c r="Q16" s="82">
        <v>240</v>
      </c>
      <c r="R16" s="82">
        <v>240</v>
      </c>
      <c r="S16" s="82">
        <v>240</v>
      </c>
      <c r="T16" s="82">
        <v>240</v>
      </c>
      <c r="U16" s="82">
        <v>240</v>
      </c>
      <c r="V16" s="82">
        <v>240</v>
      </c>
      <c r="W16" s="82">
        <v>240</v>
      </c>
      <c r="X16" s="82">
        <v>240</v>
      </c>
      <c r="Y16" s="68"/>
      <c r="Z16" s="82">
        <v>240</v>
      </c>
      <c r="AA16" s="82">
        <v>240</v>
      </c>
      <c r="AB16" s="68"/>
      <c r="AC16" s="82">
        <v>240</v>
      </c>
      <c r="AD16" s="82">
        <v>240</v>
      </c>
      <c r="AE16" s="82">
        <v>240</v>
      </c>
      <c r="AF16" s="82">
        <v>240</v>
      </c>
      <c r="AG16" s="82">
        <v>240</v>
      </c>
      <c r="AH16" s="82">
        <v>240</v>
      </c>
      <c r="AI16" s="82">
        <v>240</v>
      </c>
      <c r="AJ16" s="82">
        <v>240</v>
      </c>
      <c r="AK16" s="82">
        <v>240</v>
      </c>
      <c r="AL16" s="82">
        <v>240</v>
      </c>
      <c r="AM16" s="82">
        <v>240</v>
      </c>
      <c r="AN16" s="82">
        <v>240</v>
      </c>
      <c r="AO16" s="82">
        <v>240</v>
      </c>
      <c r="AP16" s="82">
        <v>240</v>
      </c>
      <c r="AQ16" s="82">
        <v>240</v>
      </c>
      <c r="AR16" s="82">
        <v>240</v>
      </c>
      <c r="AS16" s="82">
        <v>240</v>
      </c>
      <c r="AT16" s="82">
        <v>240</v>
      </c>
      <c r="AU16" s="82">
        <v>240</v>
      </c>
      <c r="AV16" s="82">
        <v>240</v>
      </c>
      <c r="AW16" s="82">
        <v>240</v>
      </c>
      <c r="AX16" s="82">
        <v>240</v>
      </c>
      <c r="AY16" s="2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</row>
    <row r="17" spans="1:74" ht="12.75" customHeight="1">
      <c r="A17" s="66" t="s">
        <v>67</v>
      </c>
      <c r="B17" s="61" t="s">
        <v>68</v>
      </c>
      <c r="C17" s="546">
        <f t="shared" ref="C17:X17" si="10">C15*C14*C13</f>
        <v>480</v>
      </c>
      <c r="D17" s="72">
        <f t="shared" si="10"/>
        <v>504.4</v>
      </c>
      <c r="E17" s="72">
        <f t="shared" si="10"/>
        <v>432</v>
      </c>
      <c r="F17" s="72">
        <f t="shared" si="10"/>
        <v>2704</v>
      </c>
      <c r="G17" s="72">
        <f t="shared" si="10"/>
        <v>3200</v>
      </c>
      <c r="H17" s="540">
        <f t="shared" si="10"/>
        <v>0</v>
      </c>
      <c r="I17" s="72">
        <f t="shared" si="10"/>
        <v>1520</v>
      </c>
      <c r="J17" s="72">
        <f t="shared" si="10"/>
        <v>560</v>
      </c>
      <c r="K17" s="72">
        <f t="shared" si="10"/>
        <v>800</v>
      </c>
      <c r="L17" s="72">
        <f t="shared" si="10"/>
        <v>480</v>
      </c>
      <c r="M17" s="72">
        <f t="shared" si="10"/>
        <v>840</v>
      </c>
      <c r="N17" s="72">
        <f t="shared" si="10"/>
        <v>608</v>
      </c>
      <c r="O17" s="72">
        <f t="shared" si="10"/>
        <v>320</v>
      </c>
      <c r="P17" s="72">
        <f t="shared" si="10"/>
        <v>1200</v>
      </c>
      <c r="Q17" s="72">
        <f t="shared" si="10"/>
        <v>448</v>
      </c>
      <c r="R17" s="540">
        <f t="shared" si="10"/>
        <v>2400</v>
      </c>
      <c r="S17" s="72">
        <f t="shared" si="10"/>
        <v>0</v>
      </c>
      <c r="T17" s="72">
        <f t="shared" si="10"/>
        <v>0</v>
      </c>
      <c r="U17" s="72">
        <f t="shared" si="10"/>
        <v>0</v>
      </c>
      <c r="V17" s="72">
        <f t="shared" si="10"/>
        <v>0</v>
      </c>
      <c r="W17" s="72">
        <f t="shared" si="10"/>
        <v>68</v>
      </c>
      <c r="X17" s="72">
        <f t="shared" si="10"/>
        <v>216</v>
      </c>
      <c r="Y17" s="68"/>
      <c r="Z17" s="72">
        <f>Z15*Z14*Z13</f>
        <v>68</v>
      </c>
      <c r="AA17" s="72">
        <f t="shared" ref="AA17" si="11">AA15*AA14*AA13</f>
        <v>216</v>
      </c>
      <c r="AB17" s="68"/>
      <c r="AC17" s="72">
        <f t="shared" ref="AC17:AX17" si="12">AC15*AC14*AC13</f>
        <v>360</v>
      </c>
      <c r="AD17" s="72">
        <f t="shared" si="12"/>
        <v>560</v>
      </c>
      <c r="AE17" s="72">
        <f t="shared" si="12"/>
        <v>352</v>
      </c>
      <c r="AF17" s="72">
        <f t="shared" si="12"/>
        <v>200</v>
      </c>
      <c r="AG17" s="72">
        <f t="shared" si="12"/>
        <v>380</v>
      </c>
      <c r="AH17" s="72">
        <f t="shared" si="12"/>
        <v>640</v>
      </c>
      <c r="AI17" s="72">
        <f t="shared" si="12"/>
        <v>360</v>
      </c>
      <c r="AJ17" s="72">
        <f t="shared" si="12"/>
        <v>440</v>
      </c>
      <c r="AK17" s="540">
        <f t="shared" si="12"/>
        <v>156</v>
      </c>
      <c r="AL17" s="72">
        <f t="shared" si="12"/>
        <v>600</v>
      </c>
      <c r="AM17" s="72">
        <f t="shared" si="12"/>
        <v>336</v>
      </c>
      <c r="AN17" s="540">
        <f t="shared" si="12"/>
        <v>352</v>
      </c>
      <c r="AO17" s="540">
        <f t="shared" si="12"/>
        <v>220</v>
      </c>
      <c r="AP17" s="72">
        <f t="shared" si="12"/>
        <v>640</v>
      </c>
      <c r="AQ17" s="72">
        <f t="shared" si="12"/>
        <v>620</v>
      </c>
      <c r="AR17" s="72">
        <f t="shared" si="12"/>
        <v>0</v>
      </c>
      <c r="AS17" s="72">
        <f t="shared" si="12"/>
        <v>0</v>
      </c>
      <c r="AT17" s="72">
        <f t="shared" si="12"/>
        <v>0</v>
      </c>
      <c r="AU17" s="72">
        <f t="shared" si="12"/>
        <v>0</v>
      </c>
      <c r="AV17" s="72">
        <f t="shared" si="12"/>
        <v>0</v>
      </c>
      <c r="AW17" s="72">
        <f t="shared" si="12"/>
        <v>0</v>
      </c>
      <c r="AX17" s="72">
        <f t="shared" si="12"/>
        <v>0</v>
      </c>
      <c r="AY17" s="2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</row>
    <row r="18" spans="1:74" ht="8.25" customHeight="1">
      <c r="A18" s="50"/>
      <c r="B18" s="3"/>
      <c r="C18" s="549"/>
      <c r="D18" s="51"/>
      <c r="E18" s="51"/>
      <c r="F18" s="51"/>
      <c r="G18" s="51"/>
      <c r="H18" s="539"/>
      <c r="I18" s="51"/>
      <c r="J18" s="51"/>
      <c r="K18" s="51"/>
      <c r="L18" s="51"/>
      <c r="M18" s="51"/>
      <c r="N18" s="51"/>
      <c r="O18" s="51"/>
      <c r="P18" s="51"/>
      <c r="Q18" s="51"/>
      <c r="R18" s="539"/>
      <c r="S18" s="51"/>
      <c r="T18" s="51"/>
      <c r="U18" s="51"/>
      <c r="V18" s="51"/>
      <c r="W18" s="51"/>
      <c r="X18" s="51"/>
      <c r="Y18" s="52"/>
      <c r="Z18" s="51"/>
      <c r="AA18" s="51"/>
      <c r="AB18" s="52"/>
      <c r="AC18" s="51"/>
      <c r="AD18" s="51"/>
      <c r="AE18" s="51"/>
      <c r="AF18" s="51"/>
      <c r="AG18" s="51"/>
      <c r="AH18" s="51"/>
      <c r="AI18" s="51"/>
      <c r="AJ18" s="51"/>
      <c r="AK18" s="539"/>
      <c r="AL18" s="51"/>
      <c r="AM18" s="51"/>
      <c r="AN18" s="539"/>
      <c r="AO18" s="539"/>
      <c r="AP18" s="51"/>
      <c r="AQ18" s="51"/>
      <c r="AR18" s="51"/>
      <c r="AS18" s="51"/>
      <c r="AT18" s="51"/>
      <c r="AU18" s="51"/>
      <c r="AV18" s="51"/>
      <c r="AW18" s="51"/>
      <c r="AX18" s="51"/>
      <c r="AY18" s="2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</row>
    <row r="19" spans="1:74" ht="8.25" customHeight="1">
      <c r="A19" s="50"/>
      <c r="B19" s="3"/>
      <c r="C19" s="549"/>
      <c r="D19" s="51"/>
      <c r="E19" s="51"/>
      <c r="F19" s="51"/>
      <c r="G19" s="51"/>
      <c r="H19" s="539"/>
      <c r="I19" s="51"/>
      <c r="J19" s="51"/>
      <c r="K19" s="51"/>
      <c r="L19" s="51"/>
      <c r="M19" s="51"/>
      <c r="N19" s="51"/>
      <c r="O19" s="51"/>
      <c r="P19" s="51"/>
      <c r="Q19" s="51"/>
      <c r="R19" s="539"/>
      <c r="S19" s="51"/>
      <c r="T19" s="51"/>
      <c r="U19" s="51"/>
      <c r="V19" s="51"/>
      <c r="W19" s="51"/>
      <c r="X19" s="51"/>
      <c r="Y19" s="52"/>
      <c r="Z19" s="51"/>
      <c r="AA19" s="51"/>
      <c r="AB19" s="52"/>
      <c r="AC19" s="51"/>
      <c r="AD19" s="51"/>
      <c r="AE19" s="51"/>
      <c r="AF19" s="51"/>
      <c r="AG19" s="51"/>
      <c r="AH19" s="51"/>
      <c r="AI19" s="51"/>
      <c r="AJ19" s="51"/>
      <c r="AK19" s="539"/>
      <c r="AL19" s="51"/>
      <c r="AM19" s="51"/>
      <c r="AN19" s="539"/>
      <c r="AO19" s="539"/>
      <c r="AP19" s="51"/>
      <c r="AQ19" s="51"/>
      <c r="AR19" s="51"/>
      <c r="AS19" s="51"/>
      <c r="AT19" s="51"/>
      <c r="AU19" s="51"/>
      <c r="AV19" s="51"/>
      <c r="AW19" s="51"/>
      <c r="AX19" s="51"/>
      <c r="AY19" s="2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</row>
    <row r="20" spans="1:74" ht="3" customHeight="1">
      <c r="A20" s="80" t="s">
        <v>69</v>
      </c>
      <c r="B20" s="61" t="s">
        <v>21</v>
      </c>
      <c r="C20" s="546"/>
      <c r="D20" s="72"/>
      <c r="E20" s="72"/>
      <c r="F20" s="72"/>
      <c r="G20" s="72"/>
      <c r="H20" s="540"/>
      <c r="I20" s="72"/>
      <c r="J20" s="72"/>
      <c r="K20" s="72"/>
      <c r="L20" s="72"/>
      <c r="M20" s="72"/>
      <c r="N20" s="72"/>
      <c r="O20" s="72"/>
      <c r="P20" s="72"/>
      <c r="Q20" s="72"/>
      <c r="R20" s="540"/>
      <c r="S20" s="72"/>
      <c r="T20" s="72"/>
      <c r="U20" s="72"/>
      <c r="V20" s="72"/>
      <c r="W20" s="72"/>
      <c r="X20" s="72"/>
      <c r="Y20" s="68"/>
      <c r="Z20" s="72"/>
      <c r="AA20" s="72"/>
      <c r="AB20" s="68"/>
      <c r="AC20" s="72"/>
      <c r="AD20" s="72"/>
      <c r="AE20" s="72"/>
      <c r="AF20" s="72"/>
      <c r="AG20" s="72"/>
      <c r="AH20" s="72"/>
      <c r="AI20" s="72"/>
      <c r="AJ20" s="72"/>
      <c r="AK20" s="540"/>
      <c r="AL20" s="72"/>
      <c r="AM20" s="72"/>
      <c r="AN20" s="540"/>
      <c r="AO20" s="540"/>
      <c r="AP20" s="72"/>
      <c r="AQ20" s="72"/>
      <c r="AR20" s="72"/>
      <c r="AS20" s="72"/>
      <c r="AT20" s="72"/>
      <c r="AU20" s="72"/>
      <c r="AV20" s="72"/>
      <c r="AW20" s="72"/>
      <c r="AX20" s="72"/>
      <c r="AY20" s="2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</row>
    <row r="21" spans="1:74" ht="12.75" customHeight="1">
      <c r="A21" s="66" t="s">
        <v>70</v>
      </c>
      <c r="B21" s="61" t="s">
        <v>21</v>
      </c>
      <c r="C21" s="546">
        <f t="shared" ref="C21:X21" si="13">C16*C14*C13</f>
        <v>28800</v>
      </c>
      <c r="D21" s="72">
        <f t="shared" si="13"/>
        <v>30264</v>
      </c>
      <c r="E21" s="72">
        <f t="shared" si="13"/>
        <v>25920</v>
      </c>
      <c r="F21" s="72">
        <f t="shared" si="13"/>
        <v>162240</v>
      </c>
      <c r="G21" s="72">
        <f t="shared" si="13"/>
        <v>192000</v>
      </c>
      <c r="H21" s="540">
        <f t="shared" si="13"/>
        <v>0</v>
      </c>
      <c r="I21" s="72">
        <f t="shared" si="13"/>
        <v>91200</v>
      </c>
      <c r="J21" s="72">
        <f t="shared" si="13"/>
        <v>33600</v>
      </c>
      <c r="K21" s="72">
        <f t="shared" si="13"/>
        <v>48000</v>
      </c>
      <c r="L21" s="72">
        <f t="shared" si="13"/>
        <v>28800</v>
      </c>
      <c r="M21" s="72">
        <f t="shared" si="13"/>
        <v>50400</v>
      </c>
      <c r="N21" s="72">
        <f t="shared" si="13"/>
        <v>36480</v>
      </c>
      <c r="O21" s="72">
        <f t="shared" si="13"/>
        <v>19200</v>
      </c>
      <c r="P21" s="72">
        <f t="shared" si="13"/>
        <v>72000</v>
      </c>
      <c r="Q21" s="72">
        <f t="shared" si="13"/>
        <v>26880</v>
      </c>
      <c r="R21" s="540">
        <f t="shared" si="13"/>
        <v>144000</v>
      </c>
      <c r="S21" s="72">
        <f t="shared" si="13"/>
        <v>0</v>
      </c>
      <c r="T21" s="72">
        <f t="shared" si="13"/>
        <v>0</v>
      </c>
      <c r="U21" s="72">
        <f t="shared" si="13"/>
        <v>0</v>
      </c>
      <c r="V21" s="72">
        <f t="shared" si="13"/>
        <v>0</v>
      </c>
      <c r="W21" s="72">
        <f t="shared" si="13"/>
        <v>4080</v>
      </c>
      <c r="X21" s="72">
        <f t="shared" si="13"/>
        <v>12960</v>
      </c>
      <c r="Y21" s="68"/>
      <c r="Z21" s="72">
        <f t="shared" ref="Z21:AA21" si="14">Z16*Z14*Z13</f>
        <v>4080</v>
      </c>
      <c r="AA21" s="72">
        <f t="shared" si="14"/>
        <v>12960</v>
      </c>
      <c r="AB21" s="68"/>
      <c r="AC21" s="72">
        <f t="shared" ref="AC21:AQ21" si="15">AC16*AC14*AC13</f>
        <v>21600</v>
      </c>
      <c r="AD21" s="72">
        <f t="shared" si="15"/>
        <v>33600</v>
      </c>
      <c r="AE21" s="72">
        <f t="shared" si="15"/>
        <v>21120</v>
      </c>
      <c r="AF21" s="72">
        <f t="shared" si="15"/>
        <v>12000</v>
      </c>
      <c r="AG21" s="72">
        <f t="shared" si="15"/>
        <v>22800</v>
      </c>
      <c r="AH21" s="72">
        <f t="shared" si="15"/>
        <v>38400</v>
      </c>
      <c r="AI21" s="72">
        <f t="shared" si="15"/>
        <v>21600</v>
      </c>
      <c r="AJ21" s="72">
        <f t="shared" si="15"/>
        <v>26400</v>
      </c>
      <c r="AK21" s="540">
        <f t="shared" si="15"/>
        <v>9360</v>
      </c>
      <c r="AL21" s="72">
        <f t="shared" si="15"/>
        <v>36000</v>
      </c>
      <c r="AM21" s="72">
        <f t="shared" si="15"/>
        <v>20160</v>
      </c>
      <c r="AN21" s="540">
        <f t="shared" si="15"/>
        <v>21120</v>
      </c>
      <c r="AO21" s="540">
        <f t="shared" si="15"/>
        <v>13200</v>
      </c>
      <c r="AP21" s="72">
        <f t="shared" si="15"/>
        <v>38400</v>
      </c>
      <c r="AQ21" s="72">
        <f t="shared" si="15"/>
        <v>37200</v>
      </c>
      <c r="AR21" s="72">
        <f t="shared" ref="AR21:AX21" si="16">(AR13*AR14*AR16)+AR20</f>
        <v>0</v>
      </c>
      <c r="AS21" s="72">
        <f t="shared" si="16"/>
        <v>0</v>
      </c>
      <c r="AT21" s="72">
        <f t="shared" si="16"/>
        <v>0</v>
      </c>
      <c r="AU21" s="72">
        <f t="shared" si="16"/>
        <v>0</v>
      </c>
      <c r="AV21" s="72">
        <f t="shared" si="16"/>
        <v>0</v>
      </c>
      <c r="AW21" s="72">
        <f t="shared" si="16"/>
        <v>0</v>
      </c>
      <c r="AX21" s="72">
        <f t="shared" si="16"/>
        <v>0</v>
      </c>
      <c r="AY21" s="2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</row>
    <row r="22" spans="1:74" ht="12.75" customHeight="1">
      <c r="A22" s="66" t="s">
        <v>71</v>
      </c>
      <c r="B22" s="61"/>
      <c r="C22" s="550">
        <f>C21/C10</f>
        <v>2.0396600566572238</v>
      </c>
      <c r="D22" s="83">
        <f t="shared" ref="D22:AQ22" si="17">D21/D10</f>
        <v>2.1433427762039661</v>
      </c>
      <c r="E22" s="83">
        <f t="shared" si="17"/>
        <v>1.8356940509915014</v>
      </c>
      <c r="F22" s="83">
        <f t="shared" si="17"/>
        <v>11.490084985835693</v>
      </c>
      <c r="G22" s="83">
        <f t="shared" si="17"/>
        <v>13.597733711048159</v>
      </c>
      <c r="H22" s="83">
        <f t="shared" si="17"/>
        <v>0</v>
      </c>
      <c r="I22" s="83">
        <f t="shared" si="17"/>
        <v>6.4589235127478757</v>
      </c>
      <c r="J22" s="83">
        <f t="shared" si="17"/>
        <v>2.3796033994334276</v>
      </c>
      <c r="K22" s="83">
        <f t="shared" si="17"/>
        <v>3.3994334277620397</v>
      </c>
      <c r="L22" s="83">
        <f t="shared" si="17"/>
        <v>2.0396600566572238</v>
      </c>
      <c r="M22" s="83">
        <f t="shared" si="17"/>
        <v>3.5694050991501416</v>
      </c>
      <c r="N22" s="83">
        <f t="shared" si="17"/>
        <v>2.58356940509915</v>
      </c>
      <c r="O22" s="83">
        <f t="shared" si="17"/>
        <v>1.3597733711048159</v>
      </c>
      <c r="P22" s="83">
        <f t="shared" si="17"/>
        <v>5.0991501416430598</v>
      </c>
      <c r="Q22" s="83">
        <f t="shared" si="17"/>
        <v>1.9036827195467423</v>
      </c>
      <c r="R22" s="83">
        <f t="shared" si="17"/>
        <v>42.609349201370598</v>
      </c>
      <c r="S22" s="83" t="e">
        <f t="shared" si="17"/>
        <v>#REF!</v>
      </c>
      <c r="T22" s="83" t="e">
        <f t="shared" si="17"/>
        <v>#REF!</v>
      </c>
      <c r="U22" s="83" t="e">
        <f t="shared" si="17"/>
        <v>#REF!</v>
      </c>
      <c r="V22" s="83" t="e">
        <f t="shared" si="17"/>
        <v>#REF!</v>
      </c>
      <c r="W22" s="83" t="e">
        <f t="shared" si="17"/>
        <v>#REF!</v>
      </c>
      <c r="X22" s="83" t="e">
        <f t="shared" si="17"/>
        <v>#REF!</v>
      </c>
      <c r="Y22" s="83" t="e">
        <f t="shared" si="17"/>
        <v>#DIV/0!</v>
      </c>
      <c r="Z22" s="83">
        <f t="shared" si="17"/>
        <v>0.28895184135977336</v>
      </c>
      <c r="AA22" s="83">
        <f t="shared" si="17"/>
        <v>0.9178470254957507</v>
      </c>
      <c r="AB22" s="83" t="e">
        <f t="shared" si="17"/>
        <v>#DIV/0!</v>
      </c>
      <c r="AC22" s="83">
        <f t="shared" si="17"/>
        <v>1.5297450424929178</v>
      </c>
      <c r="AD22" s="83">
        <f t="shared" si="17"/>
        <v>2.3796033994334276</v>
      </c>
      <c r="AE22" s="83">
        <f t="shared" si="17"/>
        <v>1.4957507082152974</v>
      </c>
      <c r="AF22" s="83">
        <f t="shared" si="17"/>
        <v>0.84985835694050993</v>
      </c>
      <c r="AG22" s="83">
        <f t="shared" si="17"/>
        <v>1.6147308781869689</v>
      </c>
      <c r="AH22" s="83">
        <f t="shared" si="17"/>
        <v>2.7195467422096318</v>
      </c>
      <c r="AI22" s="83">
        <f t="shared" si="17"/>
        <v>1.5297450424929178</v>
      </c>
      <c r="AJ22" s="83">
        <f t="shared" si="17"/>
        <v>1.8696883852691217</v>
      </c>
      <c r="AK22" s="83">
        <f t="shared" si="17"/>
        <v>0.66288951841359778</v>
      </c>
      <c r="AL22" s="83">
        <f t="shared" si="17"/>
        <v>2.5495750708215299</v>
      </c>
      <c r="AM22" s="83">
        <f t="shared" si="17"/>
        <v>1.4277620396600565</v>
      </c>
      <c r="AN22" s="83">
        <f t="shared" si="17"/>
        <v>1.4957507082152974</v>
      </c>
      <c r="AO22" s="83">
        <f t="shared" si="17"/>
        <v>0.93484419263456087</v>
      </c>
      <c r="AP22" s="83">
        <f t="shared" si="17"/>
        <v>2.7195467422096318</v>
      </c>
      <c r="AQ22" s="83">
        <f t="shared" si="17"/>
        <v>2.6345609065155808</v>
      </c>
      <c r="AR22" s="83" t="e">
        <f>AR21/(AR10-#REF!-Parâmetros!#REF!-Entrada!AR7)</f>
        <v>#REF!</v>
      </c>
      <c r="AS22" s="83" t="e">
        <f>AS21/(AS10-#REF!-Parâmetros!#REF!-Entrada!AS7)</f>
        <v>#REF!</v>
      </c>
      <c r="AT22" s="83" t="e">
        <f>AT21/(AT10-#REF!-Parâmetros!#REF!-Entrada!AT7)</f>
        <v>#REF!</v>
      </c>
      <c r="AU22" s="83" t="e">
        <f>AU21/(AU10-#REF!-Parâmetros!#REF!-Entrada!AU7)</f>
        <v>#REF!</v>
      </c>
      <c r="AV22" s="83" t="e">
        <f>AV21/(AV10-#REF!-Parâmetros!#REF!-Entrada!AV7)</f>
        <v>#REF!</v>
      </c>
      <c r="AW22" s="83" t="e">
        <f>AW21/(AW10-#REF!-Parâmetros!#REF!-Entrada!AW7)</f>
        <v>#REF!</v>
      </c>
      <c r="AX22" s="83" t="e">
        <f>AX21/(AX10-#REF!-Parâmetros!#REF!-Entrada!AX7)</f>
        <v>#REF!</v>
      </c>
      <c r="AY22" s="2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</row>
    <row r="23" spans="1:74" ht="12.75" customHeight="1">
      <c r="A23" s="2"/>
      <c r="B23" s="3"/>
      <c r="C23" s="678"/>
      <c r="D23" s="51"/>
      <c r="E23" s="542"/>
      <c r="F23" s="51"/>
      <c r="G23" s="51"/>
      <c r="H23" s="688" t="s">
        <v>451</v>
      </c>
      <c r="I23" s="51"/>
      <c r="J23" s="51"/>
      <c r="K23" s="51"/>
      <c r="L23" s="51"/>
      <c r="M23" s="51"/>
      <c r="N23" s="51"/>
      <c r="O23" s="51"/>
      <c r="P23" s="51"/>
      <c r="Q23" s="51"/>
      <c r="R23" s="686" t="s">
        <v>452</v>
      </c>
      <c r="S23" s="51"/>
      <c r="T23" s="51"/>
      <c r="U23" s="51"/>
      <c r="V23" s="51"/>
      <c r="W23" s="51"/>
      <c r="X23" s="51"/>
      <c r="Y23" s="52"/>
      <c r="Z23" s="51"/>
      <c r="AA23" s="51"/>
      <c r="AB23" s="52"/>
      <c r="AC23" s="51"/>
      <c r="AD23" s="542"/>
      <c r="AE23" s="51"/>
      <c r="AF23" s="51"/>
      <c r="AG23" s="51"/>
      <c r="AH23" s="542"/>
      <c r="AI23" s="51"/>
      <c r="AJ23" s="51"/>
      <c r="AK23" s="686" t="s">
        <v>454</v>
      </c>
      <c r="AL23" s="51"/>
      <c r="AM23" s="51"/>
      <c r="AN23" s="686" t="s">
        <v>402</v>
      </c>
      <c r="AO23" s="686" t="s">
        <v>453</v>
      </c>
      <c r="AP23" s="51"/>
      <c r="AQ23" s="51"/>
      <c r="AR23" s="51"/>
      <c r="AS23" s="51"/>
      <c r="AT23" s="51"/>
      <c r="AU23" s="51"/>
      <c r="AV23" s="51"/>
      <c r="AW23" s="51"/>
      <c r="AX23" s="51"/>
      <c r="AY23" s="2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</row>
    <row r="24" spans="1:74" ht="12.75" customHeight="1">
      <c r="A24" s="2"/>
      <c r="B24" s="3"/>
      <c r="C24" s="51"/>
      <c r="D24" s="51"/>
      <c r="E24" s="542"/>
      <c r="F24" s="51"/>
      <c r="G24" s="51"/>
      <c r="H24" s="689"/>
      <c r="I24" s="51"/>
      <c r="J24" s="51"/>
      <c r="K24" s="51"/>
      <c r="L24" s="51"/>
      <c r="M24" s="51"/>
      <c r="N24" s="51"/>
      <c r="O24" s="51"/>
      <c r="P24" s="51"/>
      <c r="Q24" s="51"/>
      <c r="R24" s="687"/>
      <c r="S24" s="51"/>
      <c r="T24" s="51"/>
      <c r="U24" s="51"/>
      <c r="V24" s="51"/>
      <c r="W24" s="51"/>
      <c r="X24" s="51"/>
      <c r="Y24" s="51"/>
      <c r="Z24" s="51"/>
      <c r="AA24" s="51"/>
      <c r="AB24" s="52"/>
      <c r="AC24" s="51"/>
      <c r="AD24" s="542"/>
      <c r="AE24" s="51"/>
      <c r="AF24" s="51"/>
      <c r="AG24" s="51"/>
      <c r="AH24" s="542"/>
      <c r="AI24" s="51"/>
      <c r="AJ24" s="51"/>
      <c r="AK24" s="687"/>
      <c r="AL24" s="51"/>
      <c r="AM24" s="51"/>
      <c r="AN24" s="687"/>
      <c r="AO24" s="687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</row>
    <row r="25" spans="1:74" ht="15.75" customHeight="1">
      <c r="A25" s="84"/>
      <c r="B25" s="3"/>
      <c r="C25" s="51"/>
      <c r="D25" s="51"/>
      <c r="E25" s="542"/>
      <c r="F25" s="51"/>
      <c r="G25" s="51"/>
      <c r="H25" s="689"/>
      <c r="I25" s="51"/>
      <c r="J25" s="51"/>
      <c r="K25" s="51"/>
      <c r="L25" s="51"/>
      <c r="M25" s="51"/>
      <c r="N25" s="51"/>
      <c r="O25" s="51"/>
      <c r="P25" s="51"/>
      <c r="Q25" s="51"/>
      <c r="R25" s="687"/>
      <c r="S25" s="51"/>
      <c r="T25" s="51"/>
      <c r="U25" s="51"/>
      <c r="V25" s="51"/>
      <c r="W25" s="51"/>
      <c r="X25" s="51"/>
      <c r="Y25" s="51"/>
      <c r="Z25" s="51"/>
      <c r="AA25" s="51"/>
      <c r="AB25" s="52"/>
      <c r="AC25" s="51"/>
      <c r="AD25" s="542"/>
      <c r="AE25" s="51"/>
      <c r="AF25" s="51"/>
      <c r="AG25" s="51"/>
      <c r="AH25" s="542"/>
      <c r="AI25" s="51"/>
      <c r="AJ25" s="51"/>
      <c r="AK25" s="687"/>
      <c r="AL25" s="51"/>
      <c r="AM25" s="51"/>
      <c r="AN25" s="687"/>
      <c r="AO25" s="687"/>
      <c r="AP25" s="51"/>
      <c r="AQ25" s="51"/>
      <c r="AR25" s="51"/>
      <c r="AS25" s="51"/>
      <c r="AT25" s="51"/>
      <c r="AU25" s="51"/>
      <c r="AV25" s="51"/>
      <c r="AW25" s="51"/>
      <c r="AX25" s="51"/>
      <c r="AY25" s="2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</row>
    <row r="26" spans="1:74" ht="15.75" customHeight="1">
      <c r="A26" s="84"/>
      <c r="B26" s="3"/>
      <c r="C26" s="51"/>
      <c r="D26" s="51"/>
      <c r="E26" s="542"/>
      <c r="F26" s="51"/>
      <c r="G26" s="51"/>
      <c r="H26" s="689"/>
      <c r="I26" s="51"/>
      <c r="J26" s="51"/>
      <c r="K26" s="51"/>
      <c r="L26" s="51"/>
      <c r="M26" s="51"/>
      <c r="N26" s="51"/>
      <c r="O26" s="51"/>
      <c r="P26" s="51"/>
      <c r="Q26" s="51"/>
      <c r="R26" s="687"/>
      <c r="S26" s="51"/>
      <c r="T26" s="51"/>
      <c r="U26" s="51"/>
      <c r="V26" s="51"/>
      <c r="W26" s="51"/>
      <c r="X26" s="51"/>
      <c r="Y26" s="51"/>
      <c r="Z26" s="51"/>
      <c r="AA26" s="51"/>
      <c r="AB26" s="52"/>
      <c r="AC26" s="51"/>
      <c r="AD26" s="542"/>
      <c r="AE26" s="51"/>
      <c r="AF26" s="51"/>
      <c r="AG26" s="51"/>
      <c r="AH26" s="542"/>
      <c r="AI26" s="51"/>
      <c r="AJ26" s="51"/>
      <c r="AK26" s="687"/>
      <c r="AL26" s="51"/>
      <c r="AM26" s="51"/>
      <c r="AN26" s="687"/>
      <c r="AO26" s="687"/>
      <c r="AP26" s="51"/>
      <c r="AQ26" s="51"/>
      <c r="AR26" s="51"/>
      <c r="AS26" s="51"/>
      <c r="AT26" s="51"/>
      <c r="AU26" s="51"/>
      <c r="AV26" s="51"/>
      <c r="AW26" s="51"/>
      <c r="AX26" s="51"/>
      <c r="AY26" s="2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</row>
    <row r="27" spans="1:74" ht="12.75" customHeight="1">
      <c r="A27" s="85" t="s">
        <v>72</v>
      </c>
      <c r="B27" s="3"/>
      <c r="C27" s="51"/>
      <c r="D27" s="51"/>
      <c r="E27" s="542"/>
      <c r="F27" s="51"/>
      <c r="G27" s="51"/>
      <c r="H27" s="689"/>
      <c r="I27" s="51"/>
      <c r="J27" s="51"/>
      <c r="K27" s="51"/>
      <c r="L27" s="51"/>
      <c r="M27" s="51"/>
      <c r="N27" s="51"/>
      <c r="O27" s="51"/>
      <c r="P27" s="51"/>
      <c r="Q27" s="51"/>
      <c r="R27" s="687"/>
      <c r="S27" s="51"/>
      <c r="T27" s="51"/>
      <c r="U27" s="51"/>
      <c r="V27" s="51"/>
      <c r="W27" s="51"/>
      <c r="X27" s="51"/>
      <c r="Y27" s="51"/>
      <c r="Z27" s="51"/>
      <c r="AA27" s="51"/>
      <c r="AB27" s="52"/>
      <c r="AC27" s="51"/>
      <c r="AD27" s="542"/>
      <c r="AE27" s="51"/>
      <c r="AF27" s="51"/>
      <c r="AG27" s="51"/>
      <c r="AH27" s="542"/>
      <c r="AI27" s="51"/>
      <c r="AJ27" s="51"/>
      <c r="AK27" s="687"/>
      <c r="AL27" s="51"/>
      <c r="AM27" s="51"/>
      <c r="AN27" s="687"/>
      <c r="AO27" s="687"/>
      <c r="AP27" s="51"/>
      <c r="AQ27" s="51"/>
      <c r="AR27" s="51"/>
      <c r="AS27" s="51"/>
      <c r="AT27" s="51"/>
      <c r="AU27" s="51"/>
      <c r="AV27" s="51"/>
      <c r="AW27" s="51"/>
      <c r="AX27" s="51"/>
      <c r="AY27" s="2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</row>
    <row r="28" spans="1:74" ht="12.75" customHeight="1">
      <c r="A28" s="2"/>
      <c r="B28" s="3"/>
      <c r="C28" s="51"/>
      <c r="D28" s="51"/>
      <c r="E28" s="542"/>
      <c r="F28" s="51"/>
      <c r="G28" s="51"/>
      <c r="H28" s="689"/>
      <c r="I28" s="51"/>
      <c r="J28" s="51"/>
      <c r="K28" s="51"/>
      <c r="L28" s="51"/>
      <c r="M28" s="51"/>
      <c r="N28" s="51"/>
      <c r="O28" s="51"/>
      <c r="P28" s="51"/>
      <c r="Q28" s="51"/>
      <c r="R28" s="687"/>
      <c r="S28" s="51"/>
      <c r="T28" s="51"/>
      <c r="U28" s="51"/>
      <c r="V28" s="51"/>
      <c r="W28" s="51"/>
      <c r="X28" s="51"/>
      <c r="Y28" s="51"/>
      <c r="Z28" s="51"/>
      <c r="AA28" s="3"/>
      <c r="AB28" s="3"/>
      <c r="AC28" s="3"/>
      <c r="AD28" s="542"/>
      <c r="AE28" s="51"/>
      <c r="AF28" s="51"/>
      <c r="AG28" s="51"/>
      <c r="AH28" s="542"/>
      <c r="AI28" s="51"/>
      <c r="AJ28" s="51"/>
      <c r="AK28" s="687"/>
      <c r="AL28" s="51"/>
      <c r="AM28" s="51"/>
      <c r="AN28" s="687"/>
      <c r="AO28" s="687"/>
      <c r="AP28" s="51"/>
      <c r="AQ28" s="51"/>
      <c r="AR28" s="51"/>
      <c r="AS28" s="51"/>
      <c r="AT28" s="51"/>
      <c r="AU28" s="51"/>
      <c r="AV28" s="51"/>
      <c r="AW28" s="51"/>
      <c r="AX28" s="51"/>
      <c r="AY28" s="2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</row>
    <row r="29" spans="1:74" ht="15.75" customHeight="1">
      <c r="A29" s="3"/>
      <c r="B29" s="3"/>
      <c r="C29" s="3"/>
      <c r="D29" s="3"/>
      <c r="E29" s="615"/>
      <c r="F29" s="3"/>
      <c r="G29" s="3"/>
      <c r="H29" s="689"/>
      <c r="I29" s="3"/>
      <c r="J29" s="3"/>
      <c r="K29" s="3"/>
      <c r="L29" s="3"/>
      <c r="M29" s="3"/>
      <c r="N29" s="3"/>
      <c r="O29" s="3"/>
      <c r="P29" s="3"/>
      <c r="Q29" s="3"/>
      <c r="R29" s="687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615"/>
      <c r="AE29" s="3"/>
      <c r="AF29" s="3"/>
      <c r="AG29" s="3"/>
      <c r="AH29" s="615"/>
      <c r="AI29" s="3"/>
      <c r="AJ29" s="3"/>
      <c r="AK29" s="687"/>
      <c r="AL29" s="3"/>
      <c r="AM29" s="3"/>
      <c r="AN29" s="687"/>
      <c r="AO29" s="687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</row>
    <row r="30" spans="1:74" ht="15.75" customHeight="1">
      <c r="A30" s="3"/>
      <c r="B30" s="3"/>
      <c r="C30" s="3"/>
      <c r="D30" s="3"/>
      <c r="E30" s="615"/>
      <c r="F30" s="3"/>
      <c r="G30" s="3"/>
      <c r="H30" s="68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615"/>
      <c r="AE30" s="3"/>
      <c r="AF30" s="3"/>
      <c r="AG30" s="3"/>
      <c r="AH30" s="615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</row>
    <row r="31" spans="1:74" ht="15.75" customHeight="1">
      <c r="A31" s="3"/>
      <c r="B31" s="3"/>
      <c r="C31" s="3"/>
      <c r="D31" s="3"/>
      <c r="E31" s="615"/>
      <c r="F31" s="3"/>
      <c r="G31" s="3"/>
      <c r="H31" s="676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615"/>
      <c r="AE31" s="3"/>
      <c r="AF31" s="3"/>
      <c r="AG31" s="3"/>
      <c r="AH31" s="615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</row>
    <row r="32" spans="1:74" ht="15.75" customHeight="1">
      <c r="A32" s="3"/>
      <c r="B32" s="3"/>
      <c r="C32" s="3"/>
      <c r="D32" s="3"/>
      <c r="E32" s="615"/>
      <c r="F32" s="3"/>
      <c r="G32" s="3"/>
      <c r="H32" s="676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615"/>
      <c r="AE32" s="3"/>
      <c r="AF32" s="3"/>
      <c r="AG32" s="3"/>
      <c r="AH32" s="615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</row>
    <row r="33" spans="1:74" ht="15.75" customHeight="1">
      <c r="A33" s="3"/>
      <c r="B33" s="3"/>
      <c r="C33" s="3"/>
      <c r="D33" s="3"/>
      <c r="E33" s="615"/>
      <c r="F33" s="3"/>
      <c r="G33" s="3"/>
      <c r="H33" s="676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615"/>
      <c r="AE33" s="3"/>
      <c r="AF33" s="3"/>
      <c r="AG33" s="3"/>
      <c r="AH33" s="615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</row>
    <row r="34" spans="1:74" ht="15.75" customHeight="1">
      <c r="A34" s="3"/>
      <c r="B34" s="3"/>
      <c r="C34" s="3"/>
      <c r="D34" s="3"/>
      <c r="E34" s="615"/>
      <c r="F34" s="3"/>
      <c r="G34" s="3"/>
      <c r="H34" s="676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615"/>
      <c r="AE34" s="3"/>
      <c r="AF34" s="3"/>
      <c r="AG34" s="3"/>
      <c r="AH34" s="615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</row>
    <row r="35" spans="1:74" ht="15.75" customHeight="1">
      <c r="A35" s="3"/>
      <c r="B35" s="3"/>
      <c r="C35" s="3"/>
      <c r="D35" s="3"/>
      <c r="E35" s="615"/>
      <c r="F35" s="3"/>
      <c r="G35" s="3"/>
      <c r="H35" s="676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615"/>
      <c r="AE35" s="3"/>
      <c r="AF35" s="3"/>
      <c r="AG35" s="3"/>
      <c r="AH35" s="615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</row>
    <row r="36" spans="1:74" ht="15.75" customHeight="1">
      <c r="A36" s="3"/>
      <c r="B36" s="3"/>
      <c r="C36" s="3"/>
      <c r="D36" s="3"/>
      <c r="E36" s="615"/>
      <c r="F36" s="3"/>
      <c r="G36" s="3"/>
      <c r="H36" s="676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615"/>
      <c r="AE36" s="3"/>
      <c r="AF36" s="3"/>
      <c r="AG36" s="3"/>
      <c r="AH36" s="615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</row>
    <row r="37" spans="1:74" ht="15.75" customHeight="1">
      <c r="A37" s="3"/>
      <c r="B37" s="3"/>
      <c r="C37" s="3"/>
      <c r="D37" s="3"/>
      <c r="E37" s="615"/>
      <c r="F37" s="3"/>
      <c r="G37" s="3"/>
      <c r="H37" s="676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615"/>
      <c r="AE37" s="3"/>
      <c r="AF37" s="3"/>
      <c r="AG37" s="3"/>
      <c r="AH37" s="615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</row>
    <row r="38" spans="1:74" ht="15.75" customHeight="1">
      <c r="A38" s="3"/>
      <c r="B38" s="3"/>
      <c r="C38" s="3"/>
      <c r="D38" s="3"/>
      <c r="E38" s="615"/>
      <c r="F38" s="3"/>
      <c r="G38" s="3"/>
      <c r="H38" s="676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615"/>
      <c r="AE38" s="3"/>
      <c r="AF38" s="3"/>
      <c r="AG38" s="3"/>
      <c r="AH38" s="615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</row>
    <row r="39" spans="1:74" ht="15.75" customHeight="1">
      <c r="A39" s="3"/>
      <c r="B39" s="3"/>
      <c r="C39" s="3"/>
      <c r="D39" s="3"/>
      <c r="E39" s="615"/>
      <c r="F39" s="3"/>
      <c r="G39" s="3"/>
      <c r="H39" s="67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615"/>
      <c r="AE39" s="3"/>
      <c r="AF39" s="3"/>
      <c r="AG39" s="3"/>
      <c r="AH39" s="615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</row>
    <row r="40" spans="1:74" ht="15.75" customHeight="1">
      <c r="A40" s="3"/>
      <c r="B40" s="3"/>
      <c r="C40" s="3"/>
      <c r="D40" s="3"/>
      <c r="E40" s="61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615"/>
      <c r="AE40" s="3"/>
      <c r="AF40" s="3"/>
      <c r="AG40" s="3"/>
      <c r="AH40" s="615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</row>
    <row r="41" spans="1:74" ht="15.75" customHeight="1">
      <c r="A41" s="3"/>
      <c r="B41" s="3"/>
      <c r="C41" s="3"/>
      <c r="D41" s="3"/>
      <c r="E41" s="61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615"/>
      <c r="AE41" s="3"/>
      <c r="AF41" s="3"/>
      <c r="AG41" s="3"/>
      <c r="AH41" s="615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</row>
    <row r="42" spans="1:74" ht="15.75" customHeight="1">
      <c r="A42" s="3"/>
      <c r="B42" s="3"/>
      <c r="C42" s="3"/>
      <c r="D42" s="3"/>
      <c r="E42" s="61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615"/>
      <c r="AE42" s="3"/>
      <c r="AF42" s="3"/>
      <c r="AG42" s="3"/>
      <c r="AH42" s="615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</row>
    <row r="43" spans="1:74" ht="15.75" customHeight="1">
      <c r="A43" s="3"/>
      <c r="B43" s="3"/>
      <c r="C43" s="3"/>
      <c r="D43" s="3"/>
      <c r="E43" s="61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615"/>
      <c r="AE43" s="3"/>
      <c r="AF43" s="3"/>
      <c r="AG43" s="3"/>
      <c r="AH43" s="615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</row>
    <row r="44" spans="1:74" ht="15.75" customHeight="1">
      <c r="A44" s="3"/>
      <c r="B44" s="3"/>
      <c r="C44" s="3"/>
      <c r="D44" s="3"/>
      <c r="E44" s="61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615"/>
      <c r="AE44" s="3"/>
      <c r="AF44" s="3"/>
      <c r="AG44" s="3"/>
      <c r="AH44" s="615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</row>
    <row r="45" spans="1:74" ht="15.75" customHeight="1">
      <c r="A45" s="3"/>
      <c r="B45" s="3"/>
      <c r="C45" s="3"/>
      <c r="D45" s="3"/>
      <c r="E45" s="61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615"/>
      <c r="AE45" s="3"/>
      <c r="AF45" s="3"/>
      <c r="AG45" s="3"/>
      <c r="AH45" s="615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</row>
    <row r="46" spans="1:74" ht="15.75" customHeight="1">
      <c r="A46" s="3"/>
      <c r="B46" s="3"/>
      <c r="C46" s="3"/>
      <c r="D46" s="3"/>
      <c r="E46" s="61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615"/>
      <c r="AE46" s="3"/>
      <c r="AF46" s="3"/>
      <c r="AG46" s="3"/>
      <c r="AH46" s="615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</row>
    <row r="47" spans="1:74" ht="15.75" customHeight="1">
      <c r="A47" s="3"/>
      <c r="B47" s="3"/>
      <c r="C47" s="3"/>
      <c r="D47" s="3"/>
      <c r="E47" s="61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615"/>
      <c r="AE47" s="3"/>
      <c r="AF47" s="3"/>
      <c r="AG47" s="3"/>
      <c r="AH47" s="615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</row>
    <row r="48" spans="1:74" ht="15.75" customHeight="1">
      <c r="A48" s="3"/>
      <c r="B48" s="3"/>
      <c r="C48" s="3"/>
      <c r="D48" s="3"/>
      <c r="E48" s="61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615"/>
      <c r="AE48" s="3"/>
      <c r="AF48" s="3"/>
      <c r="AG48" s="3"/>
      <c r="AH48" s="615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</row>
    <row r="49" spans="1:74" ht="15.75" customHeight="1">
      <c r="A49" s="3"/>
      <c r="B49" s="3"/>
      <c r="C49" s="3"/>
      <c r="D49" s="3"/>
      <c r="E49" s="61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615"/>
      <c r="AE49" s="3"/>
      <c r="AF49" s="3"/>
      <c r="AG49" s="3"/>
      <c r="AH49" s="615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</row>
    <row r="50" spans="1:74" ht="15.75" customHeight="1">
      <c r="A50" s="3"/>
      <c r="B50" s="3"/>
      <c r="C50" s="3"/>
      <c r="D50" s="3"/>
      <c r="E50" s="61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615"/>
      <c r="AE50" s="3"/>
      <c r="AF50" s="3"/>
      <c r="AG50" s="3"/>
      <c r="AH50" s="615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</row>
    <row r="51" spans="1:74" ht="15.75" customHeight="1">
      <c r="A51" s="3"/>
      <c r="B51" s="3"/>
      <c r="C51" s="3"/>
      <c r="D51" s="3"/>
      <c r="E51" s="61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615"/>
      <c r="AE51" s="3"/>
      <c r="AF51" s="3"/>
      <c r="AG51" s="3"/>
      <c r="AH51" s="615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</row>
    <row r="52" spans="1:74" ht="15.75" customHeight="1">
      <c r="A52" s="3"/>
      <c r="B52" s="3"/>
      <c r="C52" s="3"/>
      <c r="D52" s="3"/>
      <c r="E52" s="61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615"/>
      <c r="AE52" s="3"/>
      <c r="AF52" s="3"/>
      <c r="AG52" s="3"/>
      <c r="AH52" s="615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</row>
    <row r="53" spans="1:74" ht="15.75" customHeight="1">
      <c r="A53" s="3"/>
      <c r="B53" s="3"/>
      <c r="C53" s="3"/>
      <c r="D53" s="3"/>
      <c r="E53" s="61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615"/>
      <c r="AE53" s="3"/>
      <c r="AF53" s="3"/>
      <c r="AG53" s="3"/>
      <c r="AH53" s="615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</row>
    <row r="54" spans="1:74" ht="15.75" customHeight="1">
      <c r="A54" s="3"/>
      <c r="B54" s="3"/>
      <c r="C54" s="3"/>
      <c r="D54" s="3"/>
      <c r="E54" s="61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615"/>
      <c r="AE54" s="3"/>
      <c r="AF54" s="3"/>
      <c r="AG54" s="3"/>
      <c r="AH54" s="615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</row>
    <row r="55" spans="1:74" ht="15.75" customHeight="1">
      <c r="A55" s="3"/>
      <c r="B55" s="3"/>
      <c r="C55" s="3"/>
      <c r="D55" s="3"/>
      <c r="E55" s="61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615"/>
      <c r="AE55" s="3"/>
      <c r="AF55" s="3"/>
      <c r="AG55" s="3"/>
      <c r="AH55" s="615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</row>
    <row r="56" spans="1:74" ht="15.75" customHeight="1">
      <c r="A56" s="3"/>
      <c r="B56" s="3"/>
      <c r="C56" s="3"/>
      <c r="D56" s="3"/>
      <c r="E56" s="61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615"/>
      <c r="AE56" s="3"/>
      <c r="AF56" s="3"/>
      <c r="AG56" s="3"/>
      <c r="AH56" s="615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</row>
    <row r="57" spans="1:74" ht="15.75" customHeight="1">
      <c r="A57" s="3"/>
      <c r="B57" s="3"/>
      <c r="C57" s="3"/>
      <c r="D57" s="3"/>
      <c r="E57" s="61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615"/>
      <c r="AE57" s="3"/>
      <c r="AF57" s="3"/>
      <c r="AG57" s="3"/>
      <c r="AH57" s="615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</row>
    <row r="58" spans="1:74" ht="15.75" customHeight="1">
      <c r="A58" s="3"/>
      <c r="B58" s="3"/>
      <c r="C58" s="3"/>
      <c r="D58" s="3"/>
      <c r="E58" s="61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615"/>
      <c r="AE58" s="3"/>
      <c r="AF58" s="3"/>
      <c r="AG58" s="3"/>
      <c r="AH58" s="615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</row>
    <row r="59" spans="1:74" ht="15.75" customHeight="1">
      <c r="A59" s="3"/>
      <c r="B59" s="3"/>
      <c r="C59" s="3"/>
      <c r="D59" s="3"/>
      <c r="E59" s="61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615"/>
      <c r="AE59" s="3"/>
      <c r="AF59" s="3"/>
      <c r="AG59" s="3"/>
      <c r="AH59" s="615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</row>
    <row r="60" spans="1:74" ht="15.75" customHeight="1">
      <c r="A60" s="3"/>
      <c r="B60" s="3"/>
      <c r="C60" s="3"/>
      <c r="D60" s="3"/>
      <c r="E60" s="61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615"/>
      <c r="AE60" s="3"/>
      <c r="AF60" s="3"/>
      <c r="AG60" s="3"/>
      <c r="AH60" s="615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</row>
    <row r="61" spans="1:74" ht="15.75" customHeight="1">
      <c r="A61" s="3"/>
      <c r="B61" s="3"/>
      <c r="C61" s="3"/>
      <c r="D61" s="3"/>
      <c r="E61" s="61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615"/>
      <c r="AE61" s="3"/>
      <c r="AF61" s="3"/>
      <c r="AG61" s="3"/>
      <c r="AH61" s="615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</row>
    <row r="62" spans="1:74" ht="15.75" customHeight="1">
      <c r="A62" s="3"/>
      <c r="B62" s="3"/>
      <c r="C62" s="3"/>
      <c r="D62" s="3"/>
      <c r="E62" s="61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615"/>
      <c r="AE62" s="3"/>
      <c r="AF62" s="3"/>
      <c r="AG62" s="3"/>
      <c r="AH62" s="615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</row>
    <row r="63" spans="1:74" ht="15.75" customHeight="1">
      <c r="A63" s="3"/>
      <c r="B63" s="3"/>
      <c r="C63" s="3"/>
      <c r="D63" s="3"/>
      <c r="E63" s="61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615"/>
      <c r="AE63" s="3"/>
      <c r="AF63" s="3"/>
      <c r="AG63" s="3"/>
      <c r="AH63" s="615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</row>
    <row r="64" spans="1:74" ht="15.75" customHeight="1">
      <c r="A64" s="3"/>
      <c r="B64" s="3"/>
      <c r="C64" s="3"/>
      <c r="D64" s="3"/>
      <c r="E64" s="61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615"/>
      <c r="AE64" s="3"/>
      <c r="AF64" s="3"/>
      <c r="AG64" s="3"/>
      <c r="AH64" s="615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</row>
    <row r="65" spans="1:74" ht="15.75" customHeight="1">
      <c r="A65" s="3"/>
      <c r="B65" s="3"/>
      <c r="C65" s="3"/>
      <c r="D65" s="3"/>
      <c r="E65" s="61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615"/>
      <c r="AE65" s="3"/>
      <c r="AF65" s="3"/>
      <c r="AG65" s="3"/>
      <c r="AH65" s="615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</row>
    <row r="66" spans="1:74" ht="15.75" customHeight="1">
      <c r="A66" s="3"/>
      <c r="B66" s="3"/>
      <c r="C66" s="3"/>
      <c r="D66" s="3"/>
      <c r="E66" s="61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615"/>
      <c r="AE66" s="3"/>
      <c r="AF66" s="3"/>
      <c r="AG66" s="3"/>
      <c r="AH66" s="615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</row>
    <row r="67" spans="1:74" ht="15.75" customHeight="1">
      <c r="A67" s="3"/>
      <c r="B67" s="3"/>
      <c r="C67" s="3"/>
      <c r="D67" s="3"/>
      <c r="E67" s="61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615"/>
      <c r="AE67" s="3"/>
      <c r="AF67" s="3"/>
      <c r="AG67" s="3"/>
      <c r="AH67" s="615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</row>
    <row r="68" spans="1:74" ht="15.75" customHeight="1">
      <c r="A68" s="3"/>
      <c r="B68" s="3"/>
      <c r="C68" s="3"/>
      <c r="D68" s="3"/>
      <c r="E68" s="61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615"/>
      <c r="AE68" s="3"/>
      <c r="AF68" s="3"/>
      <c r="AG68" s="3"/>
      <c r="AH68" s="615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</row>
    <row r="69" spans="1:74" ht="15.75" customHeight="1">
      <c r="A69" s="3"/>
      <c r="B69" s="3"/>
      <c r="C69" s="3"/>
      <c r="D69" s="3"/>
      <c r="E69" s="61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615"/>
      <c r="AE69" s="3"/>
      <c r="AF69" s="3"/>
      <c r="AG69" s="3"/>
      <c r="AH69" s="615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</row>
    <row r="70" spans="1:74" ht="15.75" customHeight="1">
      <c r="A70" s="3"/>
      <c r="B70" s="3"/>
      <c r="C70" s="3"/>
      <c r="D70" s="3"/>
      <c r="E70" s="61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615"/>
      <c r="AE70" s="3"/>
      <c r="AF70" s="3"/>
      <c r="AG70" s="3"/>
      <c r="AH70" s="615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</row>
    <row r="71" spans="1:74" ht="15.75" customHeight="1">
      <c r="A71" s="3"/>
      <c r="B71" s="3"/>
      <c r="C71" s="3"/>
      <c r="D71" s="3"/>
      <c r="E71" s="61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615"/>
      <c r="AE71" s="3"/>
      <c r="AF71" s="3"/>
      <c r="AG71" s="3"/>
      <c r="AH71" s="615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</row>
    <row r="72" spans="1:74" ht="15.75" customHeight="1">
      <c r="A72" s="3"/>
      <c r="B72" s="3"/>
      <c r="C72" s="3"/>
      <c r="D72" s="3"/>
      <c r="E72" s="61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615"/>
      <c r="AE72" s="3"/>
      <c r="AF72" s="3"/>
      <c r="AG72" s="3"/>
      <c r="AH72" s="615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</row>
    <row r="73" spans="1:74" ht="15.75" customHeight="1">
      <c r="A73" s="3"/>
      <c r="B73" s="3"/>
      <c r="C73" s="3"/>
      <c r="D73" s="3"/>
      <c r="E73" s="61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615"/>
      <c r="AE73" s="3"/>
      <c r="AF73" s="3"/>
      <c r="AG73" s="3"/>
      <c r="AH73" s="615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</row>
    <row r="74" spans="1:74" ht="15.75" customHeight="1">
      <c r="A74" s="3"/>
      <c r="B74" s="3"/>
      <c r="C74" s="3"/>
      <c r="D74" s="3"/>
      <c r="E74" s="61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615"/>
      <c r="AE74" s="3"/>
      <c r="AF74" s="3"/>
      <c r="AG74" s="3"/>
      <c r="AH74" s="615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</row>
    <row r="75" spans="1:74" ht="15.75" customHeight="1">
      <c r="A75" s="3"/>
      <c r="B75" s="3"/>
      <c r="C75" s="3"/>
      <c r="D75" s="3"/>
      <c r="E75" s="61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615"/>
      <c r="AE75" s="3"/>
      <c r="AF75" s="3"/>
      <c r="AG75" s="3"/>
      <c r="AH75" s="615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</row>
    <row r="76" spans="1:74" ht="15.75" customHeight="1">
      <c r="A76" s="3"/>
      <c r="B76" s="3"/>
      <c r="C76" s="3"/>
      <c r="D76" s="3"/>
      <c r="E76" s="61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615"/>
      <c r="AE76" s="3"/>
      <c r="AF76" s="3"/>
      <c r="AG76" s="3"/>
      <c r="AH76" s="615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</row>
    <row r="77" spans="1:74" ht="15.75" customHeight="1">
      <c r="A77" s="3"/>
      <c r="B77" s="3"/>
      <c r="C77" s="3"/>
      <c r="D77" s="3"/>
      <c r="E77" s="61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615"/>
      <c r="AE77" s="3"/>
      <c r="AF77" s="3"/>
      <c r="AG77" s="3"/>
      <c r="AH77" s="615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</row>
    <row r="78" spans="1:74" ht="15.75" customHeight="1">
      <c r="A78" s="3"/>
      <c r="B78" s="3"/>
      <c r="C78" s="3"/>
      <c r="D78" s="3"/>
      <c r="E78" s="61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615"/>
      <c r="AE78" s="3"/>
      <c r="AF78" s="3"/>
      <c r="AG78" s="3"/>
      <c r="AH78" s="615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</row>
    <row r="79" spans="1:74" ht="15.75" customHeight="1">
      <c r="A79" s="3"/>
      <c r="B79" s="3"/>
      <c r="C79" s="3"/>
      <c r="D79" s="3"/>
      <c r="E79" s="61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615"/>
      <c r="AE79" s="3"/>
      <c r="AF79" s="3"/>
      <c r="AG79" s="3"/>
      <c r="AH79" s="615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</row>
    <row r="80" spans="1:74" ht="15.75" customHeight="1">
      <c r="A80" s="3"/>
      <c r="B80" s="3"/>
      <c r="C80" s="3"/>
      <c r="D80" s="3"/>
      <c r="E80" s="61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615"/>
      <c r="AE80" s="3"/>
      <c r="AF80" s="3"/>
      <c r="AG80" s="3"/>
      <c r="AH80" s="615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</row>
    <row r="81" spans="1:74" ht="15.75" customHeight="1">
      <c r="A81" s="3"/>
      <c r="B81" s="3"/>
      <c r="C81" s="3"/>
      <c r="D81" s="3"/>
      <c r="E81" s="61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615"/>
      <c r="AE81" s="3"/>
      <c r="AF81" s="3"/>
      <c r="AG81" s="3"/>
      <c r="AH81" s="615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</row>
    <row r="82" spans="1:74" ht="15.75" customHeight="1">
      <c r="A82" s="3"/>
      <c r="B82" s="3"/>
      <c r="C82" s="3"/>
      <c r="D82" s="3"/>
      <c r="E82" s="61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615"/>
      <c r="AE82" s="3"/>
      <c r="AF82" s="3"/>
      <c r="AG82" s="3"/>
      <c r="AH82" s="615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</row>
    <row r="83" spans="1:74" ht="15.75" customHeight="1">
      <c r="A83" s="3"/>
      <c r="B83" s="3"/>
      <c r="C83" s="3"/>
      <c r="D83" s="3"/>
      <c r="E83" s="61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615"/>
      <c r="AE83" s="3"/>
      <c r="AF83" s="3"/>
      <c r="AG83" s="3"/>
      <c r="AH83" s="615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</row>
    <row r="84" spans="1:74" ht="15.75" customHeight="1">
      <c r="A84" s="3"/>
      <c r="B84" s="3"/>
      <c r="C84" s="3"/>
      <c r="D84" s="3"/>
      <c r="E84" s="615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615"/>
      <c r="AE84" s="3"/>
      <c r="AF84" s="3"/>
      <c r="AG84" s="3"/>
      <c r="AH84" s="615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</row>
    <row r="85" spans="1:74" ht="15.75" customHeight="1">
      <c r="A85" s="3"/>
      <c r="B85" s="3"/>
      <c r="C85" s="3"/>
      <c r="D85" s="3"/>
      <c r="E85" s="61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615"/>
      <c r="AE85" s="3"/>
      <c r="AF85" s="3"/>
      <c r="AG85" s="3"/>
      <c r="AH85" s="615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</row>
    <row r="86" spans="1:74" ht="15.75" customHeight="1">
      <c r="A86" s="3"/>
      <c r="B86" s="3"/>
      <c r="C86" s="3"/>
      <c r="D86" s="3"/>
      <c r="E86" s="61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615"/>
      <c r="AE86" s="3"/>
      <c r="AF86" s="3"/>
      <c r="AG86" s="3"/>
      <c r="AH86" s="615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</row>
    <row r="87" spans="1:74" ht="15.75" customHeight="1">
      <c r="A87" s="3"/>
      <c r="B87" s="3"/>
      <c r="C87" s="3"/>
      <c r="D87" s="3"/>
      <c r="E87" s="61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615"/>
      <c r="AE87" s="3"/>
      <c r="AF87" s="3"/>
      <c r="AG87" s="3"/>
      <c r="AH87" s="615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</row>
    <row r="88" spans="1:74" ht="15.75" customHeight="1">
      <c r="A88" s="3"/>
      <c r="B88" s="3"/>
      <c r="C88" s="3"/>
      <c r="D88" s="3"/>
      <c r="E88" s="61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615"/>
      <c r="AE88" s="3"/>
      <c r="AF88" s="3"/>
      <c r="AG88" s="3"/>
      <c r="AH88" s="615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</row>
    <row r="89" spans="1:74" ht="15.75" customHeight="1">
      <c r="A89" s="3"/>
      <c r="B89" s="3"/>
      <c r="C89" s="3"/>
      <c r="D89" s="3"/>
      <c r="E89" s="61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615"/>
      <c r="AE89" s="3"/>
      <c r="AF89" s="3"/>
      <c r="AG89" s="3"/>
      <c r="AH89" s="615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</row>
    <row r="90" spans="1:74" ht="15.75" customHeight="1">
      <c r="A90" s="3"/>
      <c r="B90" s="3"/>
      <c r="C90" s="3"/>
      <c r="D90" s="3"/>
      <c r="E90" s="615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615"/>
      <c r="AE90" s="3"/>
      <c r="AF90" s="3"/>
      <c r="AG90" s="3"/>
      <c r="AH90" s="615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</row>
    <row r="91" spans="1:74" ht="15.75" customHeight="1">
      <c r="A91" s="3"/>
      <c r="B91" s="3"/>
      <c r="C91" s="3"/>
      <c r="D91" s="3"/>
      <c r="E91" s="615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615"/>
      <c r="AE91" s="3"/>
      <c r="AF91" s="3"/>
      <c r="AG91" s="3"/>
      <c r="AH91" s="615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</row>
    <row r="92" spans="1:74" ht="15.75" customHeight="1">
      <c r="A92" s="3"/>
      <c r="B92" s="3"/>
      <c r="C92" s="3"/>
      <c r="D92" s="3"/>
      <c r="E92" s="615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615"/>
      <c r="AE92" s="3"/>
      <c r="AF92" s="3"/>
      <c r="AG92" s="3"/>
      <c r="AH92" s="615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</row>
    <row r="93" spans="1:74" ht="15.75" customHeight="1">
      <c r="A93" s="3"/>
      <c r="B93" s="3"/>
      <c r="C93" s="3"/>
      <c r="D93" s="3"/>
      <c r="E93" s="615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615"/>
      <c r="AE93" s="3"/>
      <c r="AF93" s="3"/>
      <c r="AG93" s="3"/>
      <c r="AH93" s="615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</row>
    <row r="94" spans="1:74" ht="15.75" customHeight="1">
      <c r="A94" s="3"/>
      <c r="B94" s="3"/>
      <c r="C94" s="3"/>
      <c r="D94" s="3"/>
      <c r="E94" s="615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615"/>
      <c r="AE94" s="3"/>
      <c r="AF94" s="3"/>
      <c r="AG94" s="3"/>
      <c r="AH94" s="615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</row>
    <row r="95" spans="1:74" ht="15.75" customHeight="1">
      <c r="A95" s="3"/>
      <c r="B95" s="3"/>
      <c r="C95" s="3"/>
      <c r="D95" s="3"/>
      <c r="E95" s="61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615"/>
      <c r="AE95" s="3"/>
      <c r="AF95" s="3"/>
      <c r="AG95" s="3"/>
      <c r="AH95" s="615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</row>
    <row r="96" spans="1:74" ht="15.75" customHeight="1">
      <c r="A96" s="3"/>
      <c r="B96" s="3"/>
      <c r="C96" s="3"/>
      <c r="D96" s="3"/>
      <c r="E96" s="61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615"/>
      <c r="AE96" s="3"/>
      <c r="AF96" s="3"/>
      <c r="AG96" s="3"/>
      <c r="AH96" s="615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</row>
    <row r="97" spans="1:74" ht="15.75" customHeight="1">
      <c r="A97" s="3"/>
      <c r="B97" s="3"/>
      <c r="C97" s="3"/>
      <c r="D97" s="3"/>
      <c r="E97" s="61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615"/>
      <c r="AE97" s="3"/>
      <c r="AF97" s="3"/>
      <c r="AG97" s="3"/>
      <c r="AH97" s="615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</row>
    <row r="98" spans="1:74" ht="15.75" customHeight="1">
      <c r="A98" s="3"/>
      <c r="B98" s="3"/>
      <c r="C98" s="3"/>
      <c r="D98" s="3"/>
      <c r="E98" s="615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615"/>
      <c r="AE98" s="3"/>
      <c r="AF98" s="3"/>
      <c r="AG98" s="3"/>
      <c r="AH98" s="615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</row>
    <row r="99" spans="1:74" ht="15.75" customHeight="1">
      <c r="A99" s="3"/>
      <c r="B99" s="3"/>
      <c r="C99" s="3"/>
      <c r="D99" s="3"/>
      <c r="E99" s="61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615"/>
      <c r="AE99" s="3"/>
      <c r="AF99" s="3"/>
      <c r="AG99" s="3"/>
      <c r="AH99" s="615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</row>
    <row r="100" spans="1:74" ht="15.75" customHeight="1">
      <c r="A100" s="3"/>
      <c r="B100" s="3"/>
      <c r="C100" s="3"/>
      <c r="D100" s="3"/>
      <c r="E100" s="61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615"/>
      <c r="AE100" s="3"/>
      <c r="AF100" s="3"/>
      <c r="AG100" s="3"/>
      <c r="AH100" s="615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</row>
    <row r="101" spans="1:74" ht="15.75" customHeight="1">
      <c r="A101" s="3"/>
      <c r="B101" s="3"/>
      <c r="C101" s="3"/>
      <c r="D101" s="3"/>
      <c r="E101" s="61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615"/>
      <c r="AE101" s="3"/>
      <c r="AF101" s="3"/>
      <c r="AG101" s="3"/>
      <c r="AH101" s="615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</row>
    <row r="102" spans="1:74" ht="15.75" customHeight="1">
      <c r="A102" s="3"/>
      <c r="B102" s="3"/>
      <c r="C102" s="3"/>
      <c r="D102" s="3"/>
      <c r="E102" s="61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615"/>
      <c r="AE102" s="3"/>
      <c r="AF102" s="3"/>
      <c r="AG102" s="3"/>
      <c r="AH102" s="615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</row>
    <row r="103" spans="1:74" ht="15.75" customHeight="1">
      <c r="A103" s="3"/>
      <c r="B103" s="3"/>
      <c r="C103" s="3"/>
      <c r="D103" s="3"/>
      <c r="E103" s="61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615"/>
      <c r="AE103" s="3"/>
      <c r="AF103" s="3"/>
      <c r="AG103" s="3"/>
      <c r="AH103" s="615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</row>
    <row r="104" spans="1:74" ht="15.75" customHeight="1">
      <c r="A104" s="3"/>
      <c r="B104" s="3"/>
      <c r="C104" s="3"/>
      <c r="D104" s="3"/>
      <c r="E104" s="615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615"/>
      <c r="AE104" s="3"/>
      <c r="AF104" s="3"/>
      <c r="AG104" s="3"/>
      <c r="AH104" s="615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</row>
    <row r="105" spans="1:74" ht="15.75" customHeight="1">
      <c r="A105" s="3"/>
      <c r="B105" s="3"/>
      <c r="C105" s="3"/>
      <c r="D105" s="3"/>
      <c r="E105" s="615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615"/>
      <c r="AE105" s="3"/>
      <c r="AF105" s="3"/>
      <c r="AG105" s="3"/>
      <c r="AH105" s="615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</row>
    <row r="106" spans="1:74" ht="15.75" customHeight="1">
      <c r="A106" s="3"/>
      <c r="B106" s="3"/>
      <c r="C106" s="3"/>
      <c r="D106" s="3"/>
      <c r="E106" s="615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615"/>
      <c r="AE106" s="3"/>
      <c r="AF106" s="3"/>
      <c r="AG106" s="3"/>
      <c r="AH106" s="615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</row>
    <row r="107" spans="1:74" ht="15.75" customHeight="1">
      <c r="A107" s="3"/>
      <c r="B107" s="3"/>
      <c r="C107" s="3"/>
      <c r="D107" s="3"/>
      <c r="E107" s="615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615"/>
      <c r="AE107" s="3"/>
      <c r="AF107" s="3"/>
      <c r="AG107" s="3"/>
      <c r="AH107" s="615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</row>
    <row r="108" spans="1:74" ht="15.75" customHeight="1">
      <c r="A108" s="3"/>
      <c r="B108" s="3"/>
      <c r="C108" s="3"/>
      <c r="D108" s="3"/>
      <c r="E108" s="615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615"/>
      <c r="AE108" s="3"/>
      <c r="AF108" s="3"/>
      <c r="AG108" s="3"/>
      <c r="AH108" s="615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</row>
    <row r="109" spans="1:74" ht="15.75" customHeight="1">
      <c r="A109" s="3"/>
      <c r="B109" s="3"/>
      <c r="C109" s="3"/>
      <c r="D109" s="3"/>
      <c r="E109" s="61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615"/>
      <c r="AE109" s="3"/>
      <c r="AF109" s="3"/>
      <c r="AG109" s="3"/>
      <c r="AH109" s="615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</row>
    <row r="110" spans="1:74" ht="15.75" customHeight="1">
      <c r="A110" s="3"/>
      <c r="B110" s="3"/>
      <c r="C110" s="3"/>
      <c r="D110" s="3"/>
      <c r="E110" s="61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615"/>
      <c r="AE110" s="3"/>
      <c r="AF110" s="3"/>
      <c r="AG110" s="3"/>
      <c r="AH110" s="615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</row>
    <row r="111" spans="1:74" ht="15.75" customHeight="1">
      <c r="A111" s="3"/>
      <c r="B111" s="3"/>
      <c r="C111" s="3"/>
      <c r="D111" s="3"/>
      <c r="E111" s="61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615"/>
      <c r="AE111" s="3"/>
      <c r="AF111" s="3"/>
      <c r="AG111" s="3"/>
      <c r="AH111" s="615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</row>
    <row r="112" spans="1:74" ht="15.75" customHeight="1">
      <c r="A112" s="3"/>
      <c r="B112" s="3"/>
      <c r="C112" s="3"/>
      <c r="D112" s="3"/>
      <c r="E112" s="615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615"/>
      <c r="AE112" s="3"/>
      <c r="AF112" s="3"/>
      <c r="AG112" s="3"/>
      <c r="AH112" s="615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</row>
    <row r="113" spans="1:74" ht="15.75" customHeight="1">
      <c r="A113" s="3"/>
      <c r="B113" s="3"/>
      <c r="C113" s="3"/>
      <c r="D113" s="3"/>
      <c r="E113" s="615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615"/>
      <c r="AE113" s="3"/>
      <c r="AF113" s="3"/>
      <c r="AG113" s="3"/>
      <c r="AH113" s="615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</row>
    <row r="114" spans="1:74" ht="15.75" customHeight="1">
      <c r="A114" s="3"/>
      <c r="B114" s="3"/>
      <c r="C114" s="3"/>
      <c r="D114" s="3"/>
      <c r="E114" s="61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615"/>
      <c r="AE114" s="3"/>
      <c r="AF114" s="3"/>
      <c r="AG114" s="3"/>
      <c r="AH114" s="615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</row>
    <row r="115" spans="1:74" ht="15.75" customHeight="1">
      <c r="A115" s="3"/>
      <c r="B115" s="3"/>
      <c r="C115" s="3"/>
      <c r="D115" s="3"/>
      <c r="E115" s="61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615"/>
      <c r="AE115" s="3"/>
      <c r="AF115" s="3"/>
      <c r="AG115" s="3"/>
      <c r="AH115" s="615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</row>
    <row r="116" spans="1:74" ht="15.75" customHeight="1">
      <c r="A116" s="3"/>
      <c r="B116" s="3"/>
      <c r="C116" s="3"/>
      <c r="D116" s="3"/>
      <c r="E116" s="61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615"/>
      <c r="AE116" s="3"/>
      <c r="AF116" s="3"/>
      <c r="AG116" s="3"/>
      <c r="AH116" s="615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</row>
    <row r="117" spans="1:74" ht="15.75" customHeight="1">
      <c r="A117" s="3"/>
      <c r="B117" s="3"/>
      <c r="C117" s="3"/>
      <c r="D117" s="3"/>
      <c r="E117" s="61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615"/>
      <c r="AE117" s="3"/>
      <c r="AF117" s="3"/>
      <c r="AG117" s="3"/>
      <c r="AH117" s="615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</row>
    <row r="118" spans="1:74" ht="15.75" customHeight="1">
      <c r="A118" s="3"/>
      <c r="B118" s="3"/>
      <c r="C118" s="3"/>
      <c r="D118" s="3"/>
      <c r="E118" s="615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615"/>
      <c r="AE118" s="3"/>
      <c r="AF118" s="3"/>
      <c r="AG118" s="3"/>
      <c r="AH118" s="615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</row>
    <row r="119" spans="1:74" ht="15.75" customHeight="1">
      <c r="A119" s="3"/>
      <c r="B119" s="3"/>
      <c r="C119" s="3"/>
      <c r="D119" s="3"/>
      <c r="E119" s="615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615"/>
      <c r="AE119" s="3"/>
      <c r="AF119" s="3"/>
      <c r="AG119" s="3"/>
      <c r="AH119" s="615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</row>
    <row r="120" spans="1:74" ht="15.75" customHeight="1">
      <c r="A120" s="3"/>
      <c r="B120" s="3"/>
      <c r="C120" s="3"/>
      <c r="D120" s="3"/>
      <c r="E120" s="615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615"/>
      <c r="AE120" s="3"/>
      <c r="AF120" s="3"/>
      <c r="AG120" s="3"/>
      <c r="AH120" s="615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</row>
    <row r="121" spans="1:74" ht="15.75" customHeight="1">
      <c r="A121" s="3"/>
      <c r="B121" s="3"/>
      <c r="C121" s="3"/>
      <c r="D121" s="3"/>
      <c r="E121" s="615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615"/>
      <c r="AE121" s="3"/>
      <c r="AF121" s="3"/>
      <c r="AG121" s="3"/>
      <c r="AH121" s="615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</row>
    <row r="122" spans="1:74" ht="15.75" customHeight="1">
      <c r="A122" s="3"/>
      <c r="B122" s="3"/>
      <c r="C122" s="3"/>
      <c r="D122" s="3"/>
      <c r="E122" s="615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615"/>
      <c r="AE122" s="3"/>
      <c r="AF122" s="3"/>
      <c r="AG122" s="3"/>
      <c r="AH122" s="615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</row>
    <row r="123" spans="1:74" ht="15.75" customHeight="1">
      <c r="A123" s="3"/>
      <c r="B123" s="3"/>
      <c r="C123" s="3"/>
      <c r="D123" s="3"/>
      <c r="E123" s="61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615"/>
      <c r="AE123" s="3"/>
      <c r="AF123" s="3"/>
      <c r="AG123" s="3"/>
      <c r="AH123" s="615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</row>
    <row r="124" spans="1:74" ht="15.75" customHeight="1">
      <c r="A124" s="3"/>
      <c r="B124" s="3"/>
      <c r="C124" s="3"/>
      <c r="D124" s="3"/>
      <c r="E124" s="61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615"/>
      <c r="AE124" s="3"/>
      <c r="AF124" s="3"/>
      <c r="AG124" s="3"/>
      <c r="AH124" s="615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</row>
    <row r="125" spans="1:74" ht="15.75" customHeight="1">
      <c r="A125" s="3"/>
      <c r="B125" s="3"/>
      <c r="C125" s="3"/>
      <c r="D125" s="3"/>
      <c r="E125" s="61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615"/>
      <c r="AE125" s="3"/>
      <c r="AF125" s="3"/>
      <c r="AG125" s="3"/>
      <c r="AH125" s="615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</row>
    <row r="126" spans="1:74" ht="15.75" customHeight="1">
      <c r="A126" s="3"/>
      <c r="B126" s="3"/>
      <c r="C126" s="3"/>
      <c r="D126" s="3"/>
      <c r="E126" s="615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615"/>
      <c r="AE126" s="3"/>
      <c r="AF126" s="3"/>
      <c r="AG126" s="3"/>
      <c r="AH126" s="615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</row>
    <row r="127" spans="1:74" ht="15.75" customHeight="1">
      <c r="A127" s="3"/>
      <c r="B127" s="3"/>
      <c r="C127" s="3"/>
      <c r="D127" s="3"/>
      <c r="E127" s="615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615"/>
      <c r="AE127" s="3"/>
      <c r="AF127" s="3"/>
      <c r="AG127" s="3"/>
      <c r="AH127" s="615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</row>
    <row r="128" spans="1:74" ht="15.75" customHeight="1">
      <c r="A128" s="3"/>
      <c r="B128" s="3"/>
      <c r="C128" s="3"/>
      <c r="D128" s="3"/>
      <c r="E128" s="61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615"/>
      <c r="AE128" s="3"/>
      <c r="AF128" s="3"/>
      <c r="AG128" s="3"/>
      <c r="AH128" s="615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</row>
    <row r="129" spans="1:74" ht="15.75" customHeight="1">
      <c r="A129" s="3"/>
      <c r="B129" s="3"/>
      <c r="C129" s="3"/>
      <c r="D129" s="3"/>
      <c r="E129" s="61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615"/>
      <c r="AE129" s="3"/>
      <c r="AF129" s="3"/>
      <c r="AG129" s="3"/>
      <c r="AH129" s="615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</row>
    <row r="130" spans="1:74" ht="15.75" customHeight="1">
      <c r="A130" s="3"/>
      <c r="B130" s="3"/>
      <c r="C130" s="3"/>
      <c r="D130" s="3"/>
      <c r="E130" s="61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615"/>
      <c r="AE130" s="3"/>
      <c r="AF130" s="3"/>
      <c r="AG130" s="3"/>
      <c r="AH130" s="615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</row>
    <row r="131" spans="1:74" ht="15.75" customHeight="1">
      <c r="A131" s="3"/>
      <c r="B131" s="3"/>
      <c r="C131" s="3"/>
      <c r="D131" s="3"/>
      <c r="E131" s="61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615"/>
      <c r="AE131" s="3"/>
      <c r="AF131" s="3"/>
      <c r="AG131" s="3"/>
      <c r="AH131" s="615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</row>
    <row r="132" spans="1:74" ht="15.75" customHeight="1">
      <c r="A132" s="3"/>
      <c r="B132" s="3"/>
      <c r="C132" s="3"/>
      <c r="D132" s="3"/>
      <c r="E132" s="61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615"/>
      <c r="AE132" s="3"/>
      <c r="AF132" s="3"/>
      <c r="AG132" s="3"/>
      <c r="AH132" s="615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</row>
    <row r="133" spans="1:74" ht="15.75" customHeight="1">
      <c r="A133" s="3"/>
      <c r="B133" s="3"/>
      <c r="C133" s="3"/>
      <c r="D133" s="3"/>
      <c r="E133" s="61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615"/>
      <c r="AE133" s="3"/>
      <c r="AF133" s="3"/>
      <c r="AG133" s="3"/>
      <c r="AH133" s="615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</row>
    <row r="134" spans="1:74" ht="15.75" customHeight="1">
      <c r="A134" s="3"/>
      <c r="B134" s="3"/>
      <c r="C134" s="3"/>
      <c r="D134" s="3"/>
      <c r="E134" s="61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615"/>
      <c r="AE134" s="3"/>
      <c r="AF134" s="3"/>
      <c r="AG134" s="3"/>
      <c r="AH134" s="615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</row>
    <row r="135" spans="1:74" ht="15.75" customHeight="1">
      <c r="A135" s="3"/>
      <c r="B135" s="3"/>
      <c r="C135" s="3"/>
      <c r="D135" s="3"/>
      <c r="E135" s="61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615"/>
      <c r="AE135" s="3"/>
      <c r="AF135" s="3"/>
      <c r="AG135" s="3"/>
      <c r="AH135" s="615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</row>
    <row r="136" spans="1:74" ht="15.75" customHeight="1">
      <c r="A136" s="3"/>
      <c r="B136" s="3"/>
      <c r="C136" s="3"/>
      <c r="D136" s="3"/>
      <c r="E136" s="61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615"/>
      <c r="AE136" s="3"/>
      <c r="AF136" s="3"/>
      <c r="AG136" s="3"/>
      <c r="AH136" s="615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</row>
    <row r="137" spans="1:74" ht="15.75" customHeight="1">
      <c r="A137" s="3"/>
      <c r="B137" s="3"/>
      <c r="C137" s="3"/>
      <c r="D137" s="3"/>
      <c r="E137" s="61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615"/>
      <c r="AE137" s="3"/>
      <c r="AF137" s="3"/>
      <c r="AG137" s="3"/>
      <c r="AH137" s="615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</row>
    <row r="138" spans="1:74" ht="15.75" customHeight="1">
      <c r="A138" s="3"/>
      <c r="B138" s="3"/>
      <c r="C138" s="3"/>
      <c r="D138" s="3"/>
      <c r="E138" s="61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615"/>
      <c r="AE138" s="3"/>
      <c r="AF138" s="3"/>
      <c r="AG138" s="3"/>
      <c r="AH138" s="615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</row>
    <row r="139" spans="1:74" ht="15.75" customHeight="1">
      <c r="A139" s="3"/>
      <c r="B139" s="3"/>
      <c r="C139" s="3"/>
      <c r="D139" s="3"/>
      <c r="E139" s="61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615"/>
      <c r="AE139" s="3"/>
      <c r="AF139" s="3"/>
      <c r="AG139" s="3"/>
      <c r="AH139" s="615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</row>
    <row r="140" spans="1:74" ht="15.75" customHeight="1">
      <c r="A140" s="3"/>
      <c r="B140" s="3"/>
      <c r="C140" s="3"/>
      <c r="D140" s="3"/>
      <c r="E140" s="615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615"/>
      <c r="AE140" s="3"/>
      <c r="AF140" s="3"/>
      <c r="AG140" s="3"/>
      <c r="AH140" s="615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</row>
    <row r="141" spans="1:74" ht="15.75" customHeight="1">
      <c r="A141" s="3"/>
      <c r="B141" s="3"/>
      <c r="C141" s="3"/>
      <c r="D141" s="3"/>
      <c r="E141" s="615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615"/>
      <c r="AE141" s="3"/>
      <c r="AF141" s="3"/>
      <c r="AG141" s="3"/>
      <c r="AH141" s="615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</row>
    <row r="142" spans="1:74" ht="15.75" customHeight="1">
      <c r="A142" s="3"/>
      <c r="B142" s="3"/>
      <c r="C142" s="3"/>
      <c r="D142" s="3"/>
      <c r="E142" s="61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615"/>
      <c r="AE142" s="3"/>
      <c r="AF142" s="3"/>
      <c r="AG142" s="3"/>
      <c r="AH142" s="615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</row>
    <row r="143" spans="1:74" ht="15.75" customHeight="1">
      <c r="A143" s="3"/>
      <c r="B143" s="3"/>
      <c r="C143" s="3"/>
      <c r="D143" s="3"/>
      <c r="E143" s="61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615"/>
      <c r="AE143" s="3"/>
      <c r="AF143" s="3"/>
      <c r="AG143" s="3"/>
      <c r="AH143" s="615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</row>
    <row r="144" spans="1:74" ht="15.75" customHeight="1">
      <c r="A144" s="3"/>
      <c r="B144" s="3"/>
      <c r="C144" s="3"/>
      <c r="D144" s="3"/>
      <c r="E144" s="61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615"/>
      <c r="AE144" s="3"/>
      <c r="AF144" s="3"/>
      <c r="AG144" s="3"/>
      <c r="AH144" s="615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</row>
    <row r="145" spans="1:74" ht="15.75" customHeight="1">
      <c r="A145" s="3"/>
      <c r="B145" s="3"/>
      <c r="C145" s="3"/>
      <c r="D145" s="3"/>
      <c r="E145" s="61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615"/>
      <c r="AE145" s="3"/>
      <c r="AF145" s="3"/>
      <c r="AG145" s="3"/>
      <c r="AH145" s="615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</row>
    <row r="146" spans="1:74" ht="15.75" customHeight="1">
      <c r="A146" s="3"/>
      <c r="B146" s="3"/>
      <c r="C146" s="3"/>
      <c r="D146" s="3"/>
      <c r="E146" s="61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615"/>
      <c r="AE146" s="3"/>
      <c r="AF146" s="3"/>
      <c r="AG146" s="3"/>
      <c r="AH146" s="615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</row>
    <row r="147" spans="1:74" ht="15.75" customHeight="1">
      <c r="A147" s="3"/>
      <c r="B147" s="3"/>
      <c r="C147" s="3"/>
      <c r="D147" s="3"/>
      <c r="E147" s="61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615"/>
      <c r="AE147" s="3"/>
      <c r="AF147" s="3"/>
      <c r="AG147" s="3"/>
      <c r="AH147" s="615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</row>
    <row r="148" spans="1:74" ht="15.75" customHeight="1">
      <c r="A148" s="3"/>
      <c r="B148" s="3"/>
      <c r="C148" s="3"/>
      <c r="D148" s="3"/>
      <c r="E148" s="61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615"/>
      <c r="AE148" s="3"/>
      <c r="AF148" s="3"/>
      <c r="AG148" s="3"/>
      <c r="AH148" s="615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</row>
    <row r="149" spans="1:74" ht="15.75" customHeight="1">
      <c r="A149" s="3"/>
      <c r="B149" s="3"/>
      <c r="C149" s="3"/>
      <c r="D149" s="3"/>
      <c r="E149" s="61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615"/>
      <c r="AE149" s="3"/>
      <c r="AF149" s="3"/>
      <c r="AG149" s="3"/>
      <c r="AH149" s="615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</row>
    <row r="150" spans="1:74" ht="15.75" customHeight="1">
      <c r="A150" s="3"/>
      <c r="B150" s="3"/>
      <c r="C150" s="3"/>
      <c r="D150" s="3"/>
      <c r="E150" s="615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615"/>
      <c r="AE150" s="3"/>
      <c r="AF150" s="3"/>
      <c r="AG150" s="3"/>
      <c r="AH150" s="615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</row>
    <row r="151" spans="1:74" ht="15.75" customHeight="1">
      <c r="A151" s="3"/>
      <c r="B151" s="3"/>
      <c r="C151" s="3"/>
      <c r="D151" s="3"/>
      <c r="E151" s="61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615"/>
      <c r="AE151" s="3"/>
      <c r="AF151" s="3"/>
      <c r="AG151" s="3"/>
      <c r="AH151" s="615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</row>
    <row r="152" spans="1:74" ht="15.75" customHeight="1">
      <c r="A152" s="3"/>
      <c r="B152" s="3"/>
      <c r="C152" s="3"/>
      <c r="D152" s="3"/>
      <c r="E152" s="61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615"/>
      <c r="AE152" s="3"/>
      <c r="AF152" s="3"/>
      <c r="AG152" s="3"/>
      <c r="AH152" s="615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</row>
    <row r="153" spans="1:74" ht="15.75" customHeight="1">
      <c r="A153" s="3"/>
      <c r="B153" s="3"/>
      <c r="C153" s="3"/>
      <c r="D153" s="3"/>
      <c r="E153" s="61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615"/>
      <c r="AE153" s="3"/>
      <c r="AF153" s="3"/>
      <c r="AG153" s="3"/>
      <c r="AH153" s="615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</row>
    <row r="154" spans="1:74" ht="15.75" customHeight="1">
      <c r="A154" s="3"/>
      <c r="B154" s="3"/>
      <c r="C154" s="3"/>
      <c r="D154" s="3"/>
      <c r="E154" s="615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615"/>
      <c r="AE154" s="3"/>
      <c r="AF154" s="3"/>
      <c r="AG154" s="3"/>
      <c r="AH154" s="615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</row>
    <row r="155" spans="1:74" ht="15.75" customHeight="1">
      <c r="A155" s="3"/>
      <c r="B155" s="3"/>
      <c r="C155" s="3"/>
      <c r="D155" s="3"/>
      <c r="E155" s="615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615"/>
      <c r="AE155" s="3"/>
      <c r="AF155" s="3"/>
      <c r="AG155" s="3"/>
      <c r="AH155" s="615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</row>
    <row r="156" spans="1:74" ht="15.75" customHeight="1">
      <c r="A156" s="3"/>
      <c r="B156" s="3"/>
      <c r="C156" s="3"/>
      <c r="D156" s="3"/>
      <c r="E156" s="61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615"/>
      <c r="AE156" s="3"/>
      <c r="AF156" s="3"/>
      <c r="AG156" s="3"/>
      <c r="AH156" s="615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</row>
    <row r="157" spans="1:74" ht="15.75" customHeight="1">
      <c r="A157" s="3"/>
      <c r="B157" s="3"/>
      <c r="C157" s="3"/>
      <c r="D157" s="3"/>
      <c r="E157" s="61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615"/>
      <c r="AE157" s="3"/>
      <c r="AF157" s="3"/>
      <c r="AG157" s="3"/>
      <c r="AH157" s="615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</row>
    <row r="158" spans="1:74" ht="15.75" customHeight="1">
      <c r="A158" s="3"/>
      <c r="B158" s="3"/>
      <c r="C158" s="3"/>
      <c r="D158" s="3"/>
      <c r="E158" s="61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615"/>
      <c r="AE158" s="3"/>
      <c r="AF158" s="3"/>
      <c r="AG158" s="3"/>
      <c r="AH158" s="615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</row>
    <row r="159" spans="1:74" ht="15.75" customHeight="1">
      <c r="A159" s="3"/>
      <c r="B159" s="3"/>
      <c r="C159" s="3"/>
      <c r="D159" s="3"/>
      <c r="E159" s="61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615"/>
      <c r="AE159" s="3"/>
      <c r="AF159" s="3"/>
      <c r="AG159" s="3"/>
      <c r="AH159" s="615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</row>
    <row r="160" spans="1:74" ht="15.75" customHeight="1">
      <c r="A160" s="3"/>
      <c r="B160" s="3"/>
      <c r="C160" s="3"/>
      <c r="D160" s="3"/>
      <c r="E160" s="61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615"/>
      <c r="AE160" s="3"/>
      <c r="AF160" s="3"/>
      <c r="AG160" s="3"/>
      <c r="AH160" s="615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</row>
    <row r="161" spans="1:74" ht="15.75" customHeight="1">
      <c r="A161" s="3"/>
      <c r="B161" s="3"/>
      <c r="C161" s="3"/>
      <c r="D161" s="3"/>
      <c r="E161" s="61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615"/>
      <c r="AE161" s="3"/>
      <c r="AF161" s="3"/>
      <c r="AG161" s="3"/>
      <c r="AH161" s="615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</row>
    <row r="162" spans="1:74" ht="15.75" customHeight="1">
      <c r="A162" s="3"/>
      <c r="B162" s="3"/>
      <c r="C162" s="3"/>
      <c r="D162" s="3"/>
      <c r="E162" s="615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615"/>
      <c r="AE162" s="3"/>
      <c r="AF162" s="3"/>
      <c r="AG162" s="3"/>
      <c r="AH162" s="615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</row>
    <row r="163" spans="1:74" ht="15.75" customHeight="1">
      <c r="A163" s="3"/>
      <c r="B163" s="3"/>
      <c r="C163" s="3"/>
      <c r="D163" s="3"/>
      <c r="E163" s="615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615"/>
      <c r="AE163" s="3"/>
      <c r="AF163" s="3"/>
      <c r="AG163" s="3"/>
      <c r="AH163" s="615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</row>
    <row r="164" spans="1:74" ht="15.75" customHeight="1">
      <c r="A164" s="3"/>
      <c r="B164" s="3"/>
      <c r="C164" s="3"/>
      <c r="D164" s="3"/>
      <c r="E164" s="61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615"/>
      <c r="AE164" s="3"/>
      <c r="AF164" s="3"/>
      <c r="AG164" s="3"/>
      <c r="AH164" s="615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</row>
    <row r="165" spans="1:74" ht="15.75" customHeight="1">
      <c r="A165" s="3"/>
      <c r="B165" s="3"/>
      <c r="C165" s="3"/>
      <c r="D165" s="3"/>
      <c r="E165" s="61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615"/>
      <c r="AE165" s="3"/>
      <c r="AF165" s="3"/>
      <c r="AG165" s="3"/>
      <c r="AH165" s="615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</row>
    <row r="166" spans="1:74" ht="15.75" customHeight="1">
      <c r="A166" s="3"/>
      <c r="B166" s="3"/>
      <c r="C166" s="3"/>
      <c r="D166" s="3"/>
      <c r="E166" s="61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615"/>
      <c r="AE166" s="3"/>
      <c r="AF166" s="3"/>
      <c r="AG166" s="3"/>
      <c r="AH166" s="615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</row>
    <row r="167" spans="1:74" ht="15.75" customHeight="1">
      <c r="A167" s="3"/>
      <c r="B167" s="3"/>
      <c r="C167" s="3"/>
      <c r="D167" s="3"/>
      <c r="E167" s="61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615"/>
      <c r="AE167" s="3"/>
      <c r="AF167" s="3"/>
      <c r="AG167" s="3"/>
      <c r="AH167" s="615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</row>
    <row r="168" spans="1:74" ht="15.75" customHeight="1">
      <c r="A168" s="3"/>
      <c r="B168" s="3"/>
      <c r="C168" s="3"/>
      <c r="D168" s="3"/>
      <c r="E168" s="615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615"/>
      <c r="AE168" s="3"/>
      <c r="AF168" s="3"/>
      <c r="AG168" s="3"/>
      <c r="AH168" s="615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</row>
    <row r="169" spans="1:74" ht="15.75" customHeight="1">
      <c r="A169" s="3"/>
      <c r="B169" s="3"/>
      <c r="C169" s="3"/>
      <c r="D169" s="3"/>
      <c r="E169" s="615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615"/>
      <c r="AE169" s="3"/>
      <c r="AF169" s="3"/>
      <c r="AG169" s="3"/>
      <c r="AH169" s="615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</row>
    <row r="170" spans="1:74" ht="15.75" customHeight="1">
      <c r="A170" s="3"/>
      <c r="B170" s="3"/>
      <c r="C170" s="3"/>
      <c r="D170" s="3"/>
      <c r="E170" s="61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615"/>
      <c r="AE170" s="3"/>
      <c r="AF170" s="3"/>
      <c r="AG170" s="3"/>
      <c r="AH170" s="615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</row>
    <row r="171" spans="1:74" ht="15.75" customHeight="1">
      <c r="A171" s="3"/>
      <c r="B171" s="3"/>
      <c r="C171" s="3"/>
      <c r="D171" s="3"/>
      <c r="E171" s="61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615"/>
      <c r="AE171" s="3"/>
      <c r="AF171" s="3"/>
      <c r="AG171" s="3"/>
      <c r="AH171" s="615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</row>
    <row r="172" spans="1:74" ht="15.75" customHeight="1">
      <c r="A172" s="3"/>
      <c r="B172" s="3"/>
      <c r="C172" s="3"/>
      <c r="D172" s="3"/>
      <c r="E172" s="61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615"/>
      <c r="AE172" s="3"/>
      <c r="AF172" s="3"/>
      <c r="AG172" s="3"/>
      <c r="AH172" s="615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</row>
    <row r="173" spans="1:74" ht="15.75" customHeight="1">
      <c r="A173" s="3"/>
      <c r="B173" s="3"/>
      <c r="C173" s="3"/>
      <c r="D173" s="3"/>
      <c r="E173" s="61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615"/>
      <c r="AE173" s="3"/>
      <c r="AF173" s="3"/>
      <c r="AG173" s="3"/>
      <c r="AH173" s="615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</row>
    <row r="174" spans="1:74" ht="15.75" customHeight="1">
      <c r="A174" s="3"/>
      <c r="B174" s="3"/>
      <c r="C174" s="3"/>
      <c r="D174" s="3"/>
      <c r="E174" s="61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615"/>
      <c r="AE174" s="3"/>
      <c r="AF174" s="3"/>
      <c r="AG174" s="3"/>
      <c r="AH174" s="615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</row>
    <row r="175" spans="1:74" ht="15.75" customHeight="1">
      <c r="A175" s="3"/>
      <c r="B175" s="3"/>
      <c r="C175" s="3"/>
      <c r="D175" s="3"/>
      <c r="E175" s="61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615"/>
      <c r="AE175" s="3"/>
      <c r="AF175" s="3"/>
      <c r="AG175" s="3"/>
      <c r="AH175" s="615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</row>
    <row r="176" spans="1:74" ht="15.75" customHeight="1">
      <c r="A176" s="3"/>
      <c r="B176" s="3"/>
      <c r="C176" s="3"/>
      <c r="D176" s="3"/>
      <c r="E176" s="61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615"/>
      <c r="AE176" s="3"/>
      <c r="AF176" s="3"/>
      <c r="AG176" s="3"/>
      <c r="AH176" s="615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</row>
    <row r="177" spans="1:74" ht="15.75" customHeight="1">
      <c r="A177" s="3"/>
      <c r="B177" s="3"/>
      <c r="C177" s="3"/>
      <c r="D177" s="3"/>
      <c r="E177" s="61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615"/>
      <c r="AE177" s="3"/>
      <c r="AF177" s="3"/>
      <c r="AG177" s="3"/>
      <c r="AH177" s="615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</row>
    <row r="178" spans="1:74" ht="15.75" customHeight="1">
      <c r="A178" s="3"/>
      <c r="B178" s="3"/>
      <c r="C178" s="3"/>
      <c r="D178" s="3"/>
      <c r="E178" s="61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615"/>
      <c r="AE178" s="3"/>
      <c r="AF178" s="3"/>
      <c r="AG178" s="3"/>
      <c r="AH178" s="615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</row>
    <row r="179" spans="1:74" ht="15.75" customHeight="1">
      <c r="A179" s="3"/>
      <c r="B179" s="3"/>
      <c r="C179" s="3"/>
      <c r="D179" s="3"/>
      <c r="E179" s="61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615"/>
      <c r="AE179" s="3"/>
      <c r="AF179" s="3"/>
      <c r="AG179" s="3"/>
      <c r="AH179" s="615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</row>
    <row r="180" spans="1:74" ht="15.75" customHeight="1">
      <c r="A180" s="3"/>
      <c r="B180" s="3"/>
      <c r="C180" s="3"/>
      <c r="D180" s="3"/>
      <c r="E180" s="615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615"/>
      <c r="AE180" s="3"/>
      <c r="AF180" s="3"/>
      <c r="AG180" s="3"/>
      <c r="AH180" s="615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</row>
    <row r="181" spans="1:74" ht="15.75" customHeight="1">
      <c r="A181" s="3"/>
      <c r="B181" s="3"/>
      <c r="C181" s="3"/>
      <c r="D181" s="3"/>
      <c r="E181" s="615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615"/>
      <c r="AE181" s="3"/>
      <c r="AF181" s="3"/>
      <c r="AG181" s="3"/>
      <c r="AH181" s="615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</row>
    <row r="182" spans="1:74" ht="15.75" customHeight="1">
      <c r="A182" s="3"/>
      <c r="B182" s="3"/>
      <c r="C182" s="3"/>
      <c r="D182" s="3"/>
      <c r="E182" s="615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615"/>
      <c r="AE182" s="3"/>
      <c r="AF182" s="3"/>
      <c r="AG182" s="3"/>
      <c r="AH182" s="615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</row>
    <row r="183" spans="1:74" ht="15.75" customHeight="1">
      <c r="A183" s="3"/>
      <c r="B183" s="3"/>
      <c r="C183" s="3"/>
      <c r="D183" s="3"/>
      <c r="E183" s="615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615"/>
      <c r="AE183" s="3"/>
      <c r="AF183" s="3"/>
      <c r="AG183" s="3"/>
      <c r="AH183" s="615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</row>
    <row r="184" spans="1:74" ht="15.75" customHeight="1">
      <c r="A184" s="3"/>
      <c r="B184" s="3"/>
      <c r="C184" s="3"/>
      <c r="D184" s="3"/>
      <c r="E184" s="61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615"/>
      <c r="AE184" s="3"/>
      <c r="AF184" s="3"/>
      <c r="AG184" s="3"/>
      <c r="AH184" s="615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</row>
    <row r="185" spans="1:74" ht="15.75" customHeight="1">
      <c r="A185" s="3"/>
      <c r="B185" s="3"/>
      <c r="C185" s="3"/>
      <c r="D185" s="3"/>
      <c r="E185" s="61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615"/>
      <c r="AE185" s="3"/>
      <c r="AF185" s="3"/>
      <c r="AG185" s="3"/>
      <c r="AH185" s="615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</row>
    <row r="186" spans="1:74" ht="15.75" customHeight="1">
      <c r="A186" s="3"/>
      <c r="B186" s="3"/>
      <c r="C186" s="3"/>
      <c r="D186" s="3"/>
      <c r="E186" s="61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615"/>
      <c r="AE186" s="3"/>
      <c r="AF186" s="3"/>
      <c r="AG186" s="3"/>
      <c r="AH186" s="615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</row>
    <row r="187" spans="1:74" ht="15.75" customHeight="1">
      <c r="A187" s="3"/>
      <c r="B187" s="3"/>
      <c r="C187" s="3"/>
      <c r="D187" s="3"/>
      <c r="E187" s="61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615"/>
      <c r="AE187" s="3"/>
      <c r="AF187" s="3"/>
      <c r="AG187" s="3"/>
      <c r="AH187" s="615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</row>
    <row r="188" spans="1:74" ht="15.75" customHeight="1">
      <c r="A188" s="3"/>
      <c r="B188" s="3"/>
      <c r="C188" s="3"/>
      <c r="D188" s="3"/>
      <c r="E188" s="615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615"/>
      <c r="AE188" s="3"/>
      <c r="AF188" s="3"/>
      <c r="AG188" s="3"/>
      <c r="AH188" s="615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</row>
    <row r="189" spans="1:74" ht="15.75" customHeight="1">
      <c r="A189" s="3"/>
      <c r="B189" s="3"/>
      <c r="C189" s="3"/>
      <c r="D189" s="3"/>
      <c r="E189" s="615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615"/>
      <c r="AE189" s="3"/>
      <c r="AF189" s="3"/>
      <c r="AG189" s="3"/>
      <c r="AH189" s="615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</row>
    <row r="190" spans="1:74" ht="15.75" customHeight="1">
      <c r="A190" s="3"/>
      <c r="B190" s="3"/>
      <c r="C190" s="3"/>
      <c r="D190" s="3"/>
      <c r="E190" s="615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615"/>
      <c r="AE190" s="3"/>
      <c r="AF190" s="3"/>
      <c r="AG190" s="3"/>
      <c r="AH190" s="615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</row>
    <row r="191" spans="1:74" ht="15.75" customHeight="1">
      <c r="A191" s="3"/>
      <c r="B191" s="3"/>
      <c r="C191" s="3"/>
      <c r="D191" s="3"/>
      <c r="E191" s="615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615"/>
      <c r="AE191" s="3"/>
      <c r="AF191" s="3"/>
      <c r="AG191" s="3"/>
      <c r="AH191" s="615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</row>
    <row r="192" spans="1:74" ht="15.75" customHeight="1">
      <c r="A192" s="3"/>
      <c r="B192" s="3"/>
      <c r="C192" s="3"/>
      <c r="D192" s="3"/>
      <c r="E192" s="615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615"/>
      <c r="AE192" s="3"/>
      <c r="AF192" s="3"/>
      <c r="AG192" s="3"/>
      <c r="AH192" s="615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</row>
    <row r="193" spans="1:74" ht="15.75" customHeight="1">
      <c r="A193" s="3"/>
      <c r="B193" s="3"/>
      <c r="C193" s="3"/>
      <c r="D193" s="3"/>
      <c r="E193" s="615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615"/>
      <c r="AE193" s="3"/>
      <c r="AF193" s="3"/>
      <c r="AG193" s="3"/>
      <c r="AH193" s="615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</row>
    <row r="194" spans="1:74" ht="15.75" customHeight="1">
      <c r="A194" s="3"/>
      <c r="B194" s="3"/>
      <c r="C194" s="3"/>
      <c r="D194" s="3"/>
      <c r="E194" s="615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615"/>
      <c r="AE194" s="3"/>
      <c r="AF194" s="3"/>
      <c r="AG194" s="3"/>
      <c r="AH194" s="615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</row>
    <row r="195" spans="1:74" ht="15.75" customHeight="1">
      <c r="A195" s="3"/>
      <c r="B195" s="3"/>
      <c r="C195" s="3"/>
      <c r="D195" s="3"/>
      <c r="E195" s="61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615"/>
      <c r="AE195" s="3"/>
      <c r="AF195" s="3"/>
      <c r="AG195" s="3"/>
      <c r="AH195" s="615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</row>
    <row r="196" spans="1:74" ht="15.75" customHeight="1">
      <c r="A196" s="3"/>
      <c r="B196" s="3"/>
      <c r="C196" s="3"/>
      <c r="D196" s="3"/>
      <c r="E196" s="615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615"/>
      <c r="AE196" s="3"/>
      <c r="AF196" s="3"/>
      <c r="AG196" s="3"/>
      <c r="AH196" s="615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</row>
    <row r="197" spans="1:74" ht="15.75" customHeight="1">
      <c r="A197" s="3"/>
      <c r="B197" s="3"/>
      <c r="C197" s="3"/>
      <c r="D197" s="3"/>
      <c r="E197" s="615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615"/>
      <c r="AE197" s="3"/>
      <c r="AF197" s="3"/>
      <c r="AG197" s="3"/>
      <c r="AH197" s="615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</row>
    <row r="198" spans="1:74" ht="15.75" customHeight="1">
      <c r="A198" s="3"/>
      <c r="B198" s="3"/>
      <c r="C198" s="3"/>
      <c r="D198" s="3"/>
      <c r="E198" s="615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615"/>
      <c r="AE198" s="3"/>
      <c r="AF198" s="3"/>
      <c r="AG198" s="3"/>
      <c r="AH198" s="615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</row>
    <row r="199" spans="1:74" ht="15.75" customHeight="1">
      <c r="A199" s="3"/>
      <c r="B199" s="3"/>
      <c r="C199" s="3"/>
      <c r="D199" s="3"/>
      <c r="E199" s="615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615"/>
      <c r="AE199" s="3"/>
      <c r="AF199" s="3"/>
      <c r="AG199" s="3"/>
      <c r="AH199" s="615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</row>
    <row r="200" spans="1:74" ht="15.75" customHeight="1">
      <c r="A200" s="3"/>
      <c r="B200" s="3"/>
      <c r="C200" s="3"/>
      <c r="D200" s="3"/>
      <c r="E200" s="61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615"/>
      <c r="AE200" s="3"/>
      <c r="AF200" s="3"/>
      <c r="AG200" s="3"/>
      <c r="AH200" s="615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</row>
    <row r="201" spans="1:74" ht="15.75" customHeight="1">
      <c r="A201" s="3"/>
      <c r="B201" s="3"/>
      <c r="C201" s="3"/>
      <c r="D201" s="3"/>
      <c r="E201" s="61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615"/>
      <c r="AE201" s="3"/>
      <c r="AF201" s="3"/>
      <c r="AG201" s="3"/>
      <c r="AH201" s="615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</row>
    <row r="202" spans="1:74" ht="15.75" customHeight="1">
      <c r="A202" s="3"/>
      <c r="B202" s="3"/>
      <c r="C202" s="3"/>
      <c r="D202" s="3"/>
      <c r="E202" s="61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615"/>
      <c r="AE202" s="3"/>
      <c r="AF202" s="3"/>
      <c r="AG202" s="3"/>
      <c r="AH202" s="615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</row>
    <row r="203" spans="1:74" ht="15.75" customHeight="1">
      <c r="A203" s="3"/>
      <c r="B203" s="3"/>
      <c r="C203" s="3"/>
      <c r="D203" s="3"/>
      <c r="E203" s="61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615"/>
      <c r="AE203" s="3"/>
      <c r="AF203" s="3"/>
      <c r="AG203" s="3"/>
      <c r="AH203" s="615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</row>
    <row r="204" spans="1:74" ht="15.75" customHeight="1">
      <c r="A204" s="3"/>
      <c r="B204" s="3"/>
      <c r="C204" s="3"/>
      <c r="D204" s="3"/>
      <c r="E204" s="615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615"/>
      <c r="AE204" s="3"/>
      <c r="AF204" s="3"/>
      <c r="AG204" s="3"/>
      <c r="AH204" s="615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</row>
    <row r="205" spans="1:74" ht="15.75" customHeight="1">
      <c r="A205" s="3"/>
      <c r="B205" s="3"/>
      <c r="C205" s="3"/>
      <c r="D205" s="3"/>
      <c r="E205" s="615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615"/>
      <c r="AE205" s="3"/>
      <c r="AF205" s="3"/>
      <c r="AG205" s="3"/>
      <c r="AH205" s="615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</row>
    <row r="206" spans="1:74" ht="15.75" customHeight="1">
      <c r="A206" s="3"/>
      <c r="B206" s="3"/>
      <c r="C206" s="3"/>
      <c r="D206" s="3"/>
      <c r="E206" s="615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615"/>
      <c r="AE206" s="3"/>
      <c r="AF206" s="3"/>
      <c r="AG206" s="3"/>
      <c r="AH206" s="615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</row>
    <row r="207" spans="1:74" ht="15.75" customHeight="1">
      <c r="A207" s="3"/>
      <c r="B207" s="3"/>
      <c r="C207" s="3"/>
      <c r="D207" s="3"/>
      <c r="E207" s="61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615"/>
      <c r="AE207" s="3"/>
      <c r="AF207" s="3"/>
      <c r="AG207" s="3"/>
      <c r="AH207" s="615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</row>
    <row r="208" spans="1:74" ht="15.75" customHeight="1">
      <c r="A208" s="3"/>
      <c r="B208" s="3"/>
      <c r="C208" s="3"/>
      <c r="D208" s="3"/>
      <c r="E208" s="61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615"/>
      <c r="AE208" s="3"/>
      <c r="AF208" s="3"/>
      <c r="AG208" s="3"/>
      <c r="AH208" s="615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</row>
    <row r="209" spans="1:74" ht="15.75" customHeight="1">
      <c r="A209" s="3"/>
      <c r="B209" s="3"/>
      <c r="C209" s="3"/>
      <c r="D209" s="3"/>
      <c r="E209" s="61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615"/>
      <c r="AE209" s="3"/>
      <c r="AF209" s="3"/>
      <c r="AG209" s="3"/>
      <c r="AH209" s="615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</row>
    <row r="210" spans="1:74" ht="15.75" customHeight="1">
      <c r="A210" s="3"/>
      <c r="B210" s="3"/>
      <c r="C210" s="3"/>
      <c r="D210" s="3"/>
      <c r="E210" s="615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615"/>
      <c r="AE210" s="3"/>
      <c r="AF210" s="3"/>
      <c r="AG210" s="3"/>
      <c r="AH210" s="615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</row>
    <row r="211" spans="1:74" ht="15.75" customHeight="1">
      <c r="A211" s="3"/>
      <c r="B211" s="3"/>
      <c r="C211" s="3"/>
      <c r="D211" s="3"/>
      <c r="E211" s="615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615"/>
      <c r="AE211" s="3"/>
      <c r="AF211" s="3"/>
      <c r="AG211" s="3"/>
      <c r="AH211" s="615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</row>
    <row r="212" spans="1:74" ht="15.75" customHeight="1">
      <c r="A212" s="3"/>
      <c r="B212" s="3"/>
      <c r="C212" s="3"/>
      <c r="D212" s="3"/>
      <c r="E212" s="61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615"/>
      <c r="AE212" s="3"/>
      <c r="AF212" s="3"/>
      <c r="AG212" s="3"/>
      <c r="AH212" s="615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</row>
    <row r="213" spans="1:74" ht="15.75" customHeight="1">
      <c r="A213" s="3"/>
      <c r="B213" s="3"/>
      <c r="C213" s="3"/>
      <c r="D213" s="3"/>
      <c r="E213" s="61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615"/>
      <c r="AE213" s="3"/>
      <c r="AF213" s="3"/>
      <c r="AG213" s="3"/>
      <c r="AH213" s="615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</row>
    <row r="214" spans="1:74" ht="15.75" customHeight="1">
      <c r="A214" s="3"/>
      <c r="B214" s="3"/>
      <c r="C214" s="3"/>
      <c r="D214" s="3"/>
      <c r="E214" s="61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615"/>
      <c r="AE214" s="3"/>
      <c r="AF214" s="3"/>
      <c r="AG214" s="3"/>
      <c r="AH214" s="615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</row>
    <row r="215" spans="1:74" ht="15.75" customHeight="1">
      <c r="A215" s="3"/>
      <c r="B215" s="3"/>
      <c r="C215" s="3"/>
      <c r="D215" s="3"/>
      <c r="E215" s="61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615"/>
      <c r="AE215" s="3"/>
      <c r="AF215" s="3"/>
      <c r="AG215" s="3"/>
      <c r="AH215" s="615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</row>
    <row r="216" spans="1:74" ht="15.75" customHeight="1">
      <c r="A216" s="3"/>
      <c r="B216" s="3"/>
      <c r="C216" s="3"/>
      <c r="D216" s="3"/>
      <c r="E216" s="615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615"/>
      <c r="AE216" s="3"/>
      <c r="AF216" s="3"/>
      <c r="AG216" s="3"/>
      <c r="AH216" s="615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</row>
    <row r="217" spans="1:74" ht="15.75" customHeight="1">
      <c r="A217" s="3"/>
      <c r="B217" s="3"/>
      <c r="C217" s="3"/>
      <c r="D217" s="3"/>
      <c r="E217" s="615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615"/>
      <c r="AE217" s="3"/>
      <c r="AF217" s="3"/>
      <c r="AG217" s="3"/>
      <c r="AH217" s="615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</row>
    <row r="218" spans="1:74" ht="15.75" customHeight="1">
      <c r="A218" s="3"/>
      <c r="B218" s="3"/>
      <c r="C218" s="3"/>
      <c r="D218" s="3"/>
      <c r="E218" s="61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615"/>
      <c r="AE218" s="3"/>
      <c r="AF218" s="3"/>
      <c r="AG218" s="3"/>
      <c r="AH218" s="615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</row>
    <row r="219" spans="1:74" ht="15.75" customHeight="1">
      <c r="A219" s="3"/>
      <c r="B219" s="3"/>
      <c r="C219" s="3"/>
      <c r="D219" s="3"/>
      <c r="E219" s="61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615"/>
      <c r="AE219" s="3"/>
      <c r="AF219" s="3"/>
      <c r="AG219" s="3"/>
      <c r="AH219" s="615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</row>
    <row r="220" spans="1:74" ht="15.75" customHeight="1">
      <c r="A220" s="3"/>
      <c r="B220" s="3"/>
      <c r="C220" s="3"/>
      <c r="D220" s="3"/>
      <c r="E220" s="61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615"/>
      <c r="AE220" s="3"/>
      <c r="AF220" s="3"/>
      <c r="AG220" s="3"/>
      <c r="AH220" s="615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</row>
    <row r="221" spans="1:74" ht="15.75" customHeight="1">
      <c r="A221" s="3"/>
      <c r="B221" s="3"/>
      <c r="C221" s="3"/>
      <c r="D221" s="3"/>
      <c r="E221" s="61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615"/>
      <c r="AE221" s="3"/>
      <c r="AF221" s="3"/>
      <c r="AG221" s="3"/>
      <c r="AH221" s="615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</row>
    <row r="222" spans="1:74" ht="15.75" customHeight="1">
      <c r="A222" s="3"/>
      <c r="B222" s="3"/>
      <c r="C222" s="3"/>
      <c r="D222" s="3"/>
      <c r="E222" s="61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615"/>
      <c r="AE222" s="3"/>
      <c r="AF222" s="3"/>
      <c r="AG222" s="3"/>
      <c r="AH222" s="615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</row>
    <row r="223" spans="1:74" ht="15.75" customHeight="1">
      <c r="A223" s="3"/>
      <c r="B223" s="3"/>
      <c r="C223" s="3"/>
      <c r="D223" s="3"/>
      <c r="E223" s="61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615"/>
      <c r="AE223" s="3"/>
      <c r="AF223" s="3"/>
      <c r="AG223" s="3"/>
      <c r="AH223" s="615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</row>
    <row r="224" spans="1:74" ht="15.75" customHeight="1">
      <c r="A224" s="3"/>
      <c r="B224" s="3"/>
      <c r="C224" s="3"/>
      <c r="D224" s="3"/>
      <c r="E224" s="615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615"/>
      <c r="AE224" s="3"/>
      <c r="AF224" s="3"/>
      <c r="AG224" s="3"/>
      <c r="AH224" s="615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</row>
    <row r="225" spans="1:74" ht="15.75" customHeight="1">
      <c r="A225" s="3"/>
      <c r="B225" s="3"/>
      <c r="C225" s="3"/>
      <c r="D225" s="3"/>
      <c r="E225" s="615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615"/>
      <c r="AE225" s="3"/>
      <c r="AF225" s="3"/>
      <c r="AG225" s="3"/>
      <c r="AH225" s="615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</row>
    <row r="226" spans="1:74" ht="15.75" customHeight="1">
      <c r="A226" s="3"/>
      <c r="B226" s="3"/>
      <c r="C226" s="3"/>
      <c r="D226" s="3"/>
      <c r="E226" s="61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615"/>
      <c r="AE226" s="3"/>
      <c r="AF226" s="3"/>
      <c r="AG226" s="3"/>
      <c r="AH226" s="615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</row>
    <row r="227" spans="1:74" ht="15.75" customHeight="1">
      <c r="A227" s="3"/>
      <c r="B227" s="3"/>
      <c r="C227" s="3"/>
      <c r="D227" s="3"/>
      <c r="E227" s="61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615"/>
      <c r="AE227" s="3"/>
      <c r="AF227" s="3"/>
      <c r="AG227" s="3"/>
      <c r="AH227" s="615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</row>
    <row r="228" spans="1:74" ht="15.75" customHeight="1">
      <c r="A228" s="3"/>
      <c r="B228" s="3"/>
      <c r="C228" s="3"/>
      <c r="D228" s="3"/>
      <c r="E228" s="61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615"/>
      <c r="AE228" s="3"/>
      <c r="AF228" s="3"/>
      <c r="AG228" s="3"/>
      <c r="AH228" s="615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</row>
    <row r="229" spans="1:74" ht="15.75" customHeight="1">
      <c r="A229" s="3"/>
      <c r="B229" s="3"/>
      <c r="C229" s="3"/>
      <c r="D229" s="3"/>
      <c r="E229" s="61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615"/>
      <c r="AE229" s="3"/>
      <c r="AF229" s="3"/>
      <c r="AG229" s="3"/>
      <c r="AH229" s="615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</row>
    <row r="230" spans="1:74" ht="15.75" customHeight="1">
      <c r="A230" s="3"/>
      <c r="B230" s="3"/>
      <c r="C230" s="3"/>
      <c r="D230" s="3"/>
      <c r="E230" s="615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615"/>
      <c r="AE230" s="3"/>
      <c r="AF230" s="3"/>
      <c r="AG230" s="3"/>
      <c r="AH230" s="615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</row>
    <row r="231" spans="1:74" ht="15.75" customHeight="1">
      <c r="A231" s="3"/>
      <c r="B231" s="3"/>
      <c r="C231" s="3"/>
      <c r="D231" s="3"/>
      <c r="E231" s="61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615"/>
      <c r="AE231" s="3"/>
      <c r="AF231" s="3"/>
      <c r="AG231" s="3"/>
      <c r="AH231" s="615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</row>
    <row r="232" spans="1:74" ht="15.75" customHeight="1">
      <c r="A232" s="3"/>
      <c r="B232" s="3"/>
      <c r="C232" s="3"/>
      <c r="D232" s="3"/>
      <c r="E232" s="61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615"/>
      <c r="AE232" s="3"/>
      <c r="AF232" s="3"/>
      <c r="AG232" s="3"/>
      <c r="AH232" s="615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</row>
    <row r="233" spans="1:74" ht="15.75" customHeight="1">
      <c r="A233" s="3"/>
      <c r="B233" s="3"/>
      <c r="C233" s="3"/>
      <c r="D233" s="3"/>
      <c r="E233" s="61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615"/>
      <c r="AE233" s="3"/>
      <c r="AF233" s="3"/>
      <c r="AG233" s="3"/>
      <c r="AH233" s="615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</row>
    <row r="234" spans="1:74" ht="15.75" customHeight="1">
      <c r="A234" s="3"/>
      <c r="B234" s="3"/>
      <c r="C234" s="3"/>
      <c r="D234" s="3"/>
      <c r="E234" s="615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615"/>
      <c r="AE234" s="3"/>
      <c r="AF234" s="3"/>
      <c r="AG234" s="3"/>
      <c r="AH234" s="615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</row>
    <row r="235" spans="1:74" ht="15.75" customHeight="1">
      <c r="A235" s="3"/>
      <c r="B235" s="3"/>
      <c r="C235" s="3"/>
      <c r="D235" s="3"/>
      <c r="E235" s="615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615"/>
      <c r="AE235" s="3"/>
      <c r="AF235" s="3"/>
      <c r="AG235" s="3"/>
      <c r="AH235" s="615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</row>
    <row r="236" spans="1:74" ht="15.75" customHeight="1">
      <c r="A236" s="3"/>
      <c r="B236" s="3"/>
      <c r="C236" s="3"/>
      <c r="D236" s="3"/>
      <c r="E236" s="61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615"/>
      <c r="AE236" s="3"/>
      <c r="AF236" s="3"/>
      <c r="AG236" s="3"/>
      <c r="AH236" s="615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</row>
    <row r="237" spans="1:74" ht="15.75" customHeight="1">
      <c r="A237" s="3"/>
      <c r="B237" s="3"/>
      <c r="C237" s="3"/>
      <c r="D237" s="3"/>
      <c r="E237" s="61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615"/>
      <c r="AE237" s="3"/>
      <c r="AF237" s="3"/>
      <c r="AG237" s="3"/>
      <c r="AH237" s="615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</row>
    <row r="238" spans="1:74" ht="15.75" customHeight="1">
      <c r="A238" s="3"/>
      <c r="B238" s="3"/>
      <c r="C238" s="3"/>
      <c r="D238" s="3"/>
      <c r="E238" s="615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615"/>
      <c r="AE238" s="3"/>
      <c r="AF238" s="3"/>
      <c r="AG238" s="3"/>
      <c r="AH238" s="615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</row>
    <row r="239" spans="1:74" ht="15.75" customHeight="1">
      <c r="A239" s="3"/>
      <c r="B239" s="3"/>
      <c r="C239" s="3"/>
      <c r="D239" s="3"/>
      <c r="E239" s="615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615"/>
      <c r="AE239" s="3"/>
      <c r="AF239" s="3"/>
      <c r="AG239" s="3"/>
      <c r="AH239" s="615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</row>
    <row r="240" spans="1:74" ht="15.75" customHeight="1">
      <c r="A240" s="3"/>
      <c r="B240" s="3"/>
      <c r="C240" s="3"/>
      <c r="D240" s="3"/>
      <c r="E240" s="61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615"/>
      <c r="AE240" s="3"/>
      <c r="AF240" s="3"/>
      <c r="AG240" s="3"/>
      <c r="AH240" s="615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</row>
    <row r="241" spans="1:74" ht="15.75" customHeight="1">
      <c r="A241" s="3"/>
      <c r="B241" s="3"/>
      <c r="C241" s="3"/>
      <c r="D241" s="3"/>
      <c r="E241" s="61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615"/>
      <c r="AE241" s="3"/>
      <c r="AF241" s="3"/>
      <c r="AG241" s="3"/>
      <c r="AH241" s="615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</row>
    <row r="242" spans="1:74" ht="15.75" customHeight="1">
      <c r="A242" s="3"/>
      <c r="B242" s="3"/>
      <c r="C242" s="3"/>
      <c r="D242" s="3"/>
      <c r="E242" s="61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615"/>
      <c r="AE242" s="3"/>
      <c r="AF242" s="3"/>
      <c r="AG242" s="3"/>
      <c r="AH242" s="615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</row>
    <row r="243" spans="1:74" ht="15.75" customHeight="1">
      <c r="A243" s="3"/>
      <c r="B243" s="3"/>
      <c r="C243" s="3"/>
      <c r="D243" s="3"/>
      <c r="E243" s="61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615"/>
      <c r="AE243" s="3"/>
      <c r="AF243" s="3"/>
      <c r="AG243" s="3"/>
      <c r="AH243" s="615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</row>
    <row r="244" spans="1:74" ht="15.75" customHeight="1">
      <c r="A244" s="3"/>
      <c r="B244" s="3"/>
      <c r="C244" s="3"/>
      <c r="D244" s="3"/>
      <c r="E244" s="61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615"/>
      <c r="AE244" s="3"/>
      <c r="AF244" s="3"/>
      <c r="AG244" s="3"/>
      <c r="AH244" s="615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</row>
    <row r="245" spans="1:74" ht="15.75" customHeight="1">
      <c r="A245" s="3"/>
      <c r="B245" s="3"/>
      <c r="C245" s="3"/>
      <c r="D245" s="3"/>
      <c r="E245" s="61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615"/>
      <c r="AE245" s="3"/>
      <c r="AF245" s="3"/>
      <c r="AG245" s="3"/>
      <c r="AH245" s="615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</row>
    <row r="246" spans="1:74" ht="15.75" customHeight="1">
      <c r="A246" s="3"/>
      <c r="B246" s="3"/>
      <c r="C246" s="3"/>
      <c r="D246" s="3"/>
      <c r="E246" s="61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615"/>
      <c r="AE246" s="3"/>
      <c r="AF246" s="3"/>
      <c r="AG246" s="3"/>
      <c r="AH246" s="615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</row>
    <row r="247" spans="1:74" ht="15.75" customHeight="1">
      <c r="A247" s="3"/>
      <c r="B247" s="3"/>
      <c r="C247" s="3"/>
      <c r="D247" s="3"/>
      <c r="E247" s="61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615"/>
      <c r="AE247" s="3"/>
      <c r="AF247" s="3"/>
      <c r="AG247" s="3"/>
      <c r="AH247" s="615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</row>
    <row r="248" spans="1:74" ht="15.75" customHeight="1">
      <c r="A248" s="3"/>
      <c r="B248" s="3"/>
      <c r="C248" s="3"/>
      <c r="D248" s="3"/>
      <c r="E248" s="61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615"/>
      <c r="AE248" s="3"/>
      <c r="AF248" s="3"/>
      <c r="AG248" s="3"/>
      <c r="AH248" s="615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</row>
    <row r="249" spans="1:74" ht="15.75" customHeight="1">
      <c r="A249" s="3"/>
      <c r="B249" s="3"/>
      <c r="C249" s="3"/>
      <c r="D249" s="3"/>
      <c r="E249" s="61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615"/>
      <c r="AE249" s="3"/>
      <c r="AF249" s="3"/>
      <c r="AG249" s="3"/>
      <c r="AH249" s="615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</row>
    <row r="250" spans="1:74" ht="15.75" customHeight="1">
      <c r="A250" s="3"/>
      <c r="B250" s="3"/>
      <c r="C250" s="3"/>
      <c r="D250" s="3"/>
      <c r="E250" s="61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615"/>
      <c r="AE250" s="3"/>
      <c r="AF250" s="3"/>
      <c r="AG250" s="3"/>
      <c r="AH250" s="615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</row>
    <row r="251" spans="1:74" ht="15.75" customHeight="1">
      <c r="A251" s="3"/>
      <c r="B251" s="3"/>
      <c r="C251" s="3"/>
      <c r="D251" s="3"/>
      <c r="E251" s="61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615"/>
      <c r="AE251" s="3"/>
      <c r="AF251" s="3"/>
      <c r="AG251" s="3"/>
      <c r="AH251" s="615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</row>
    <row r="252" spans="1:74" ht="15.75" customHeight="1">
      <c r="A252" s="3"/>
      <c r="B252" s="3"/>
      <c r="C252" s="3"/>
      <c r="D252" s="3"/>
      <c r="E252" s="615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615"/>
      <c r="AE252" s="3"/>
      <c r="AF252" s="3"/>
      <c r="AG252" s="3"/>
      <c r="AH252" s="615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</row>
    <row r="253" spans="1:74" ht="15.75" customHeight="1">
      <c r="A253" s="3"/>
      <c r="B253" s="3"/>
      <c r="C253" s="3"/>
      <c r="D253" s="3"/>
      <c r="E253" s="615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615"/>
      <c r="AE253" s="3"/>
      <c r="AF253" s="3"/>
      <c r="AG253" s="3"/>
      <c r="AH253" s="615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</row>
    <row r="254" spans="1:74" ht="15.75" customHeight="1">
      <c r="A254" s="3"/>
      <c r="B254" s="3"/>
      <c r="C254" s="3"/>
      <c r="D254" s="3"/>
      <c r="E254" s="61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615"/>
      <c r="AE254" s="3"/>
      <c r="AF254" s="3"/>
      <c r="AG254" s="3"/>
      <c r="AH254" s="615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</row>
    <row r="255" spans="1:74" ht="15.75" customHeight="1">
      <c r="A255" s="3"/>
      <c r="B255" s="3"/>
      <c r="C255" s="3"/>
      <c r="D255" s="3"/>
      <c r="E255" s="61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615"/>
      <c r="AE255" s="3"/>
      <c r="AF255" s="3"/>
      <c r="AG255" s="3"/>
      <c r="AH255" s="615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</row>
    <row r="256" spans="1:74" ht="15.75" customHeight="1">
      <c r="A256" s="3"/>
      <c r="B256" s="3"/>
      <c r="C256" s="3"/>
      <c r="D256" s="3"/>
      <c r="E256" s="61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615"/>
      <c r="AE256" s="3"/>
      <c r="AF256" s="3"/>
      <c r="AG256" s="3"/>
      <c r="AH256" s="615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</row>
    <row r="257" spans="1:74" ht="15.75" customHeight="1">
      <c r="A257" s="3"/>
      <c r="B257" s="3"/>
      <c r="C257" s="3"/>
      <c r="D257" s="3"/>
      <c r="E257" s="61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615"/>
      <c r="AE257" s="3"/>
      <c r="AF257" s="3"/>
      <c r="AG257" s="3"/>
      <c r="AH257" s="615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</row>
    <row r="258" spans="1:74" ht="15.75" customHeight="1">
      <c r="A258" s="3"/>
      <c r="B258" s="3"/>
      <c r="C258" s="3"/>
      <c r="D258" s="3"/>
      <c r="E258" s="61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615"/>
      <c r="AE258" s="3"/>
      <c r="AF258" s="3"/>
      <c r="AG258" s="3"/>
      <c r="AH258" s="615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</row>
    <row r="259" spans="1:74" ht="15.75" customHeight="1">
      <c r="A259" s="3"/>
      <c r="B259" s="3"/>
      <c r="C259" s="3"/>
      <c r="D259" s="3"/>
      <c r="E259" s="61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615"/>
      <c r="AE259" s="3"/>
      <c r="AF259" s="3"/>
      <c r="AG259" s="3"/>
      <c r="AH259" s="615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</row>
    <row r="260" spans="1:74" ht="15.75" customHeight="1">
      <c r="A260" s="3"/>
      <c r="B260" s="3"/>
      <c r="C260" s="3"/>
      <c r="D260" s="3"/>
      <c r="E260" s="61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615"/>
      <c r="AE260" s="3"/>
      <c r="AF260" s="3"/>
      <c r="AG260" s="3"/>
      <c r="AH260" s="615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</row>
    <row r="261" spans="1:74" ht="15.75" customHeight="1">
      <c r="A261" s="3"/>
      <c r="B261" s="3"/>
      <c r="C261" s="3"/>
      <c r="D261" s="3"/>
      <c r="E261" s="61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615"/>
      <c r="AE261" s="3"/>
      <c r="AF261" s="3"/>
      <c r="AG261" s="3"/>
      <c r="AH261" s="615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</row>
    <row r="262" spans="1:74" ht="15.75" customHeight="1">
      <c r="A262" s="3"/>
      <c r="B262" s="3"/>
      <c r="C262" s="3"/>
      <c r="D262" s="3"/>
      <c r="E262" s="61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615"/>
      <c r="AE262" s="3"/>
      <c r="AF262" s="3"/>
      <c r="AG262" s="3"/>
      <c r="AH262" s="615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</row>
    <row r="263" spans="1:74" ht="15.75" customHeight="1">
      <c r="A263" s="3"/>
      <c r="B263" s="3"/>
      <c r="C263" s="3"/>
      <c r="D263" s="3"/>
      <c r="E263" s="61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615"/>
      <c r="AE263" s="3"/>
      <c r="AF263" s="3"/>
      <c r="AG263" s="3"/>
      <c r="AH263" s="615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</row>
    <row r="264" spans="1:74" ht="15.75" customHeight="1">
      <c r="A264" s="3"/>
      <c r="B264" s="3"/>
      <c r="C264" s="3"/>
      <c r="D264" s="3"/>
      <c r="E264" s="61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615"/>
      <c r="AE264" s="3"/>
      <c r="AF264" s="3"/>
      <c r="AG264" s="3"/>
      <c r="AH264" s="615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</row>
    <row r="265" spans="1:74" ht="15.75" customHeight="1">
      <c r="A265" s="3"/>
      <c r="B265" s="3"/>
      <c r="C265" s="3"/>
      <c r="D265" s="3"/>
      <c r="E265" s="61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615"/>
      <c r="AE265" s="3"/>
      <c r="AF265" s="3"/>
      <c r="AG265" s="3"/>
      <c r="AH265" s="615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</row>
    <row r="266" spans="1:74" ht="15.75" customHeight="1">
      <c r="A266" s="3"/>
      <c r="B266" s="3"/>
      <c r="C266" s="3"/>
      <c r="D266" s="3"/>
      <c r="E266" s="615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615"/>
      <c r="AE266" s="3"/>
      <c r="AF266" s="3"/>
      <c r="AG266" s="3"/>
      <c r="AH266" s="615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</row>
    <row r="267" spans="1:74" ht="15.75" customHeight="1">
      <c r="A267" s="3"/>
      <c r="B267" s="3"/>
      <c r="C267" s="3"/>
      <c r="D267" s="3"/>
      <c r="E267" s="615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615"/>
      <c r="AE267" s="3"/>
      <c r="AF267" s="3"/>
      <c r="AG267" s="3"/>
      <c r="AH267" s="615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</row>
    <row r="268" spans="1:74" ht="15.75" customHeight="1">
      <c r="A268" s="3"/>
      <c r="B268" s="3"/>
      <c r="C268" s="3"/>
      <c r="D268" s="3"/>
      <c r="E268" s="61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615"/>
      <c r="AE268" s="3"/>
      <c r="AF268" s="3"/>
      <c r="AG268" s="3"/>
      <c r="AH268" s="615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</row>
    <row r="269" spans="1:74" ht="15.75" customHeight="1">
      <c r="A269" s="3"/>
      <c r="B269" s="3"/>
      <c r="C269" s="3"/>
      <c r="D269" s="3"/>
      <c r="E269" s="61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615"/>
      <c r="AE269" s="3"/>
      <c r="AF269" s="3"/>
      <c r="AG269" s="3"/>
      <c r="AH269" s="615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</row>
    <row r="270" spans="1:74" ht="15.75" customHeight="1">
      <c r="A270" s="3"/>
      <c r="B270" s="3"/>
      <c r="C270" s="3"/>
      <c r="D270" s="3"/>
      <c r="E270" s="61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615"/>
      <c r="AE270" s="3"/>
      <c r="AF270" s="3"/>
      <c r="AG270" s="3"/>
      <c r="AH270" s="615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</row>
    <row r="271" spans="1:74" ht="15.75" customHeight="1">
      <c r="A271" s="3"/>
      <c r="B271" s="3"/>
      <c r="C271" s="3"/>
      <c r="D271" s="3"/>
      <c r="E271" s="615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615"/>
      <c r="AE271" s="3"/>
      <c r="AF271" s="3"/>
      <c r="AG271" s="3"/>
      <c r="AH271" s="615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</row>
    <row r="272" spans="1:74" ht="15.75" customHeight="1">
      <c r="A272" s="3"/>
      <c r="B272" s="3"/>
      <c r="C272" s="3"/>
      <c r="D272" s="3"/>
      <c r="E272" s="615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615"/>
      <c r="AE272" s="3"/>
      <c r="AF272" s="3"/>
      <c r="AG272" s="3"/>
      <c r="AH272" s="615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</row>
    <row r="273" spans="1:74" ht="15.75" customHeight="1">
      <c r="A273" s="3"/>
      <c r="B273" s="3"/>
      <c r="C273" s="3"/>
      <c r="D273" s="3"/>
      <c r="E273" s="615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615"/>
      <c r="AE273" s="3"/>
      <c r="AF273" s="3"/>
      <c r="AG273" s="3"/>
      <c r="AH273" s="615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</row>
    <row r="274" spans="1:74" ht="15.75" customHeight="1">
      <c r="A274" s="3"/>
      <c r="B274" s="3"/>
      <c r="C274" s="3"/>
      <c r="D274" s="3"/>
      <c r="E274" s="615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615"/>
      <c r="AE274" s="3"/>
      <c r="AF274" s="3"/>
      <c r="AG274" s="3"/>
      <c r="AH274" s="615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</row>
    <row r="275" spans="1:74" ht="15.75" customHeight="1">
      <c r="A275" s="3"/>
      <c r="B275" s="3"/>
      <c r="C275" s="3"/>
      <c r="D275" s="3"/>
      <c r="E275" s="615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615"/>
      <c r="AE275" s="3"/>
      <c r="AF275" s="3"/>
      <c r="AG275" s="3"/>
      <c r="AH275" s="615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</row>
    <row r="276" spans="1:74" ht="15.75" customHeight="1">
      <c r="A276" s="3"/>
      <c r="B276" s="3"/>
      <c r="C276" s="3"/>
      <c r="D276" s="3"/>
      <c r="E276" s="615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615"/>
      <c r="AE276" s="3"/>
      <c r="AF276" s="3"/>
      <c r="AG276" s="3"/>
      <c r="AH276" s="615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</row>
    <row r="277" spans="1:74" ht="15.75" customHeight="1">
      <c r="A277" s="3"/>
      <c r="B277" s="3"/>
      <c r="C277" s="3"/>
      <c r="D277" s="3"/>
      <c r="E277" s="61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615"/>
      <c r="AE277" s="3"/>
      <c r="AF277" s="3"/>
      <c r="AG277" s="3"/>
      <c r="AH277" s="615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</row>
    <row r="278" spans="1:74" ht="15.75" customHeight="1">
      <c r="A278" s="3"/>
      <c r="B278" s="3"/>
      <c r="C278" s="3"/>
      <c r="D278" s="3"/>
      <c r="E278" s="61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615"/>
      <c r="AE278" s="3"/>
      <c r="AF278" s="3"/>
      <c r="AG278" s="3"/>
      <c r="AH278" s="615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</row>
    <row r="279" spans="1:74" ht="15.75" customHeight="1">
      <c r="A279" s="3"/>
      <c r="B279" s="3"/>
      <c r="C279" s="3"/>
      <c r="D279" s="3"/>
      <c r="E279" s="61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615"/>
      <c r="AE279" s="3"/>
      <c r="AF279" s="3"/>
      <c r="AG279" s="3"/>
      <c r="AH279" s="615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</row>
    <row r="280" spans="1:74" ht="15.75" customHeight="1">
      <c r="A280" s="3"/>
      <c r="B280" s="3"/>
      <c r="C280" s="3"/>
      <c r="D280" s="3"/>
      <c r="E280" s="615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615"/>
      <c r="AE280" s="3"/>
      <c r="AF280" s="3"/>
      <c r="AG280" s="3"/>
      <c r="AH280" s="615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</row>
    <row r="281" spans="1:74" ht="15.75" customHeight="1">
      <c r="A281" s="3"/>
      <c r="B281" s="3"/>
      <c r="C281" s="3"/>
      <c r="D281" s="3"/>
      <c r="E281" s="61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615"/>
      <c r="AE281" s="3"/>
      <c r="AF281" s="3"/>
      <c r="AG281" s="3"/>
      <c r="AH281" s="615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</row>
    <row r="282" spans="1:74" ht="15.75" customHeight="1">
      <c r="A282" s="3"/>
      <c r="B282" s="3"/>
      <c r="C282" s="3"/>
      <c r="D282" s="3"/>
      <c r="E282" s="61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615"/>
      <c r="AE282" s="3"/>
      <c r="AF282" s="3"/>
      <c r="AG282" s="3"/>
      <c r="AH282" s="615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</row>
    <row r="283" spans="1:74" ht="15.75" customHeight="1">
      <c r="A283" s="3"/>
      <c r="B283" s="3"/>
      <c r="C283" s="3"/>
      <c r="D283" s="3"/>
      <c r="E283" s="61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615"/>
      <c r="AE283" s="3"/>
      <c r="AF283" s="3"/>
      <c r="AG283" s="3"/>
      <c r="AH283" s="615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</row>
    <row r="284" spans="1:74" ht="15.75" customHeight="1">
      <c r="A284" s="3"/>
      <c r="B284" s="3"/>
      <c r="C284" s="3"/>
      <c r="D284" s="3"/>
      <c r="E284" s="61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615"/>
      <c r="AE284" s="3"/>
      <c r="AF284" s="3"/>
      <c r="AG284" s="3"/>
      <c r="AH284" s="615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</row>
    <row r="285" spans="1:74" ht="15.75" customHeight="1">
      <c r="A285" s="3"/>
      <c r="B285" s="3"/>
      <c r="C285" s="3"/>
      <c r="D285" s="3"/>
      <c r="E285" s="61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615"/>
      <c r="AE285" s="3"/>
      <c r="AF285" s="3"/>
      <c r="AG285" s="3"/>
      <c r="AH285" s="615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</row>
    <row r="286" spans="1:74" ht="15.75" customHeight="1">
      <c r="A286" s="3"/>
      <c r="B286" s="3"/>
      <c r="C286" s="3"/>
      <c r="D286" s="3"/>
      <c r="E286" s="615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615"/>
      <c r="AE286" s="3"/>
      <c r="AF286" s="3"/>
      <c r="AG286" s="3"/>
      <c r="AH286" s="615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</row>
    <row r="287" spans="1:74" ht="15.75" customHeight="1">
      <c r="A287" s="3"/>
      <c r="B287" s="3"/>
      <c r="C287" s="3"/>
      <c r="D287" s="3"/>
      <c r="E287" s="615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615"/>
      <c r="AE287" s="3"/>
      <c r="AF287" s="3"/>
      <c r="AG287" s="3"/>
      <c r="AH287" s="615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</row>
    <row r="288" spans="1:74" ht="15.75" customHeight="1">
      <c r="A288" s="3"/>
      <c r="B288" s="3"/>
      <c r="C288" s="3"/>
      <c r="D288" s="3"/>
      <c r="E288" s="615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615"/>
      <c r="AE288" s="3"/>
      <c r="AF288" s="3"/>
      <c r="AG288" s="3"/>
      <c r="AH288" s="615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</row>
    <row r="289" spans="1:74" ht="15.75" customHeight="1">
      <c r="A289" s="3"/>
      <c r="B289" s="3"/>
      <c r="C289" s="3"/>
      <c r="D289" s="3"/>
      <c r="E289" s="615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615"/>
      <c r="AE289" s="3"/>
      <c r="AF289" s="3"/>
      <c r="AG289" s="3"/>
      <c r="AH289" s="615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</row>
    <row r="290" spans="1:74" ht="15.75" customHeight="1">
      <c r="A290" s="3"/>
      <c r="B290" s="3"/>
      <c r="C290" s="3"/>
      <c r="D290" s="3"/>
      <c r="E290" s="615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615"/>
      <c r="AE290" s="3"/>
      <c r="AF290" s="3"/>
      <c r="AG290" s="3"/>
      <c r="AH290" s="615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</row>
    <row r="291" spans="1:74" ht="15.75" customHeight="1">
      <c r="A291" s="3"/>
      <c r="B291" s="3"/>
      <c r="C291" s="3"/>
      <c r="D291" s="3"/>
      <c r="E291" s="61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615"/>
      <c r="AE291" s="3"/>
      <c r="AF291" s="3"/>
      <c r="AG291" s="3"/>
      <c r="AH291" s="615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</row>
    <row r="292" spans="1:74" ht="15.75" customHeight="1">
      <c r="A292" s="3"/>
      <c r="B292" s="3"/>
      <c r="C292" s="3"/>
      <c r="D292" s="3"/>
      <c r="E292" s="61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615"/>
      <c r="AE292" s="3"/>
      <c r="AF292" s="3"/>
      <c r="AG292" s="3"/>
      <c r="AH292" s="615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</row>
    <row r="293" spans="1:74" ht="15.75" customHeight="1">
      <c r="A293" s="3"/>
      <c r="B293" s="3"/>
      <c r="C293" s="3"/>
      <c r="D293" s="3"/>
      <c r="E293" s="61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615"/>
      <c r="AE293" s="3"/>
      <c r="AF293" s="3"/>
      <c r="AG293" s="3"/>
      <c r="AH293" s="615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</row>
    <row r="294" spans="1:74" ht="15.75" customHeight="1">
      <c r="A294" s="3"/>
      <c r="B294" s="3"/>
      <c r="C294" s="3"/>
      <c r="D294" s="3"/>
      <c r="E294" s="615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615"/>
      <c r="AE294" s="3"/>
      <c r="AF294" s="3"/>
      <c r="AG294" s="3"/>
      <c r="AH294" s="615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</row>
    <row r="295" spans="1:74" ht="15.75" customHeight="1">
      <c r="A295" s="3"/>
      <c r="B295" s="3"/>
      <c r="C295" s="3"/>
      <c r="D295" s="3"/>
      <c r="E295" s="615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615"/>
      <c r="AE295" s="3"/>
      <c r="AF295" s="3"/>
      <c r="AG295" s="3"/>
      <c r="AH295" s="615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</row>
    <row r="296" spans="1:74" ht="15.75" customHeight="1">
      <c r="A296" s="3"/>
      <c r="B296" s="3"/>
      <c r="C296" s="3"/>
      <c r="D296" s="3"/>
      <c r="E296" s="61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615"/>
      <c r="AE296" s="3"/>
      <c r="AF296" s="3"/>
      <c r="AG296" s="3"/>
      <c r="AH296" s="615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</row>
    <row r="297" spans="1:74" ht="15.75" customHeight="1">
      <c r="A297" s="3"/>
      <c r="B297" s="3"/>
      <c r="C297" s="3"/>
      <c r="D297" s="3"/>
      <c r="E297" s="61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615"/>
      <c r="AE297" s="3"/>
      <c r="AF297" s="3"/>
      <c r="AG297" s="3"/>
      <c r="AH297" s="615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</row>
    <row r="298" spans="1:74" ht="15.75" customHeight="1">
      <c r="A298" s="3"/>
      <c r="B298" s="3"/>
      <c r="C298" s="3"/>
      <c r="D298" s="3"/>
      <c r="E298" s="61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615"/>
      <c r="AE298" s="3"/>
      <c r="AF298" s="3"/>
      <c r="AG298" s="3"/>
      <c r="AH298" s="615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</row>
    <row r="299" spans="1:74" ht="15.75" customHeight="1">
      <c r="A299" s="3"/>
      <c r="B299" s="3"/>
      <c r="C299" s="3"/>
      <c r="D299" s="3"/>
      <c r="E299" s="61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615"/>
      <c r="AE299" s="3"/>
      <c r="AF299" s="3"/>
      <c r="AG299" s="3"/>
      <c r="AH299" s="615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</row>
    <row r="300" spans="1:74" ht="15.75" customHeight="1">
      <c r="A300" s="3"/>
      <c r="B300" s="3"/>
      <c r="C300" s="3"/>
      <c r="D300" s="3"/>
      <c r="E300" s="615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615"/>
      <c r="AE300" s="3"/>
      <c r="AF300" s="3"/>
      <c r="AG300" s="3"/>
      <c r="AH300" s="615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</row>
    <row r="301" spans="1:74" ht="15.75" customHeight="1">
      <c r="A301" s="3"/>
      <c r="B301" s="3"/>
      <c r="C301" s="3"/>
      <c r="D301" s="3"/>
      <c r="E301" s="615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615"/>
      <c r="AE301" s="3"/>
      <c r="AF301" s="3"/>
      <c r="AG301" s="3"/>
      <c r="AH301" s="615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</row>
    <row r="302" spans="1:74" ht="15.75" customHeight="1">
      <c r="A302" s="3"/>
      <c r="B302" s="3"/>
      <c r="C302" s="3"/>
      <c r="D302" s="3"/>
      <c r="E302" s="615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615"/>
      <c r="AE302" s="3"/>
      <c r="AF302" s="3"/>
      <c r="AG302" s="3"/>
      <c r="AH302" s="615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</row>
    <row r="303" spans="1:74" ht="15.75" customHeight="1">
      <c r="A303" s="3"/>
      <c r="B303" s="3"/>
      <c r="C303" s="3"/>
      <c r="D303" s="3"/>
      <c r="E303" s="61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615"/>
      <c r="AE303" s="3"/>
      <c r="AF303" s="3"/>
      <c r="AG303" s="3"/>
      <c r="AH303" s="615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</row>
    <row r="304" spans="1:74" ht="15.75" customHeight="1">
      <c r="A304" s="3"/>
      <c r="B304" s="3"/>
      <c r="C304" s="3"/>
      <c r="D304" s="3"/>
      <c r="E304" s="61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615"/>
      <c r="AE304" s="3"/>
      <c r="AF304" s="3"/>
      <c r="AG304" s="3"/>
      <c r="AH304" s="615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</row>
    <row r="305" spans="1:74" ht="15.75" customHeight="1">
      <c r="A305" s="3"/>
      <c r="B305" s="3"/>
      <c r="C305" s="3"/>
      <c r="D305" s="3"/>
      <c r="E305" s="61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615"/>
      <c r="AE305" s="3"/>
      <c r="AF305" s="3"/>
      <c r="AG305" s="3"/>
      <c r="AH305" s="615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</row>
    <row r="306" spans="1:74" ht="15.75" customHeight="1">
      <c r="A306" s="3"/>
      <c r="B306" s="3"/>
      <c r="C306" s="3"/>
      <c r="D306" s="3"/>
      <c r="E306" s="61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615"/>
      <c r="AE306" s="3"/>
      <c r="AF306" s="3"/>
      <c r="AG306" s="3"/>
      <c r="AH306" s="615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</row>
    <row r="307" spans="1:74" ht="15.75" customHeight="1">
      <c r="A307" s="3"/>
      <c r="B307" s="3"/>
      <c r="C307" s="3"/>
      <c r="D307" s="3"/>
      <c r="E307" s="615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615"/>
      <c r="AE307" s="3"/>
      <c r="AF307" s="3"/>
      <c r="AG307" s="3"/>
      <c r="AH307" s="615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</row>
    <row r="308" spans="1:74" ht="15.75" customHeight="1">
      <c r="A308" s="3"/>
      <c r="B308" s="3"/>
      <c r="C308" s="3"/>
      <c r="D308" s="3"/>
      <c r="E308" s="615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615"/>
      <c r="AE308" s="3"/>
      <c r="AF308" s="3"/>
      <c r="AG308" s="3"/>
      <c r="AH308" s="615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</row>
    <row r="309" spans="1:74" ht="15.75" customHeight="1">
      <c r="A309" s="3"/>
      <c r="B309" s="3"/>
      <c r="C309" s="3"/>
      <c r="D309" s="3"/>
      <c r="E309" s="615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615"/>
      <c r="AE309" s="3"/>
      <c r="AF309" s="3"/>
      <c r="AG309" s="3"/>
      <c r="AH309" s="615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</row>
    <row r="310" spans="1:74" ht="15.75" customHeight="1">
      <c r="A310" s="3"/>
      <c r="B310" s="3"/>
      <c r="C310" s="3"/>
      <c r="D310" s="3"/>
      <c r="E310" s="61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615"/>
      <c r="AE310" s="3"/>
      <c r="AF310" s="3"/>
      <c r="AG310" s="3"/>
      <c r="AH310" s="615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</row>
    <row r="311" spans="1:74" ht="15.75" customHeight="1">
      <c r="A311" s="3"/>
      <c r="B311" s="3"/>
      <c r="C311" s="3"/>
      <c r="D311" s="3"/>
      <c r="E311" s="61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615"/>
      <c r="AE311" s="3"/>
      <c r="AF311" s="3"/>
      <c r="AG311" s="3"/>
      <c r="AH311" s="615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</row>
    <row r="312" spans="1:74" ht="15.75" customHeight="1">
      <c r="A312" s="3"/>
      <c r="B312" s="3"/>
      <c r="C312" s="3"/>
      <c r="D312" s="3"/>
      <c r="E312" s="61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615"/>
      <c r="AE312" s="3"/>
      <c r="AF312" s="3"/>
      <c r="AG312" s="3"/>
      <c r="AH312" s="615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</row>
    <row r="313" spans="1:74" ht="15.75" customHeight="1">
      <c r="A313" s="3"/>
      <c r="B313" s="3"/>
      <c r="C313" s="3"/>
      <c r="D313" s="3"/>
      <c r="E313" s="61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615"/>
      <c r="AE313" s="3"/>
      <c r="AF313" s="3"/>
      <c r="AG313" s="3"/>
      <c r="AH313" s="615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</row>
    <row r="314" spans="1:74" ht="15.75" customHeight="1">
      <c r="A314" s="3"/>
      <c r="B314" s="3"/>
      <c r="C314" s="3"/>
      <c r="D314" s="3"/>
      <c r="E314" s="615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615"/>
      <c r="AE314" s="3"/>
      <c r="AF314" s="3"/>
      <c r="AG314" s="3"/>
      <c r="AH314" s="615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</row>
    <row r="315" spans="1:74" ht="15.75" customHeight="1">
      <c r="A315" s="3"/>
      <c r="B315" s="3"/>
      <c r="C315" s="3"/>
      <c r="D315" s="3"/>
      <c r="E315" s="615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615"/>
      <c r="AE315" s="3"/>
      <c r="AF315" s="3"/>
      <c r="AG315" s="3"/>
      <c r="AH315" s="615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</row>
    <row r="316" spans="1:74" ht="15.75" customHeight="1">
      <c r="A316" s="3"/>
      <c r="B316" s="3"/>
      <c r="C316" s="3"/>
      <c r="D316" s="3"/>
      <c r="E316" s="615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615"/>
      <c r="AE316" s="3"/>
      <c r="AF316" s="3"/>
      <c r="AG316" s="3"/>
      <c r="AH316" s="615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</row>
    <row r="317" spans="1:74" ht="15.75" customHeight="1">
      <c r="A317" s="3"/>
      <c r="B317" s="3"/>
      <c r="C317" s="3"/>
      <c r="D317" s="3"/>
      <c r="E317" s="615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615"/>
      <c r="AE317" s="3"/>
      <c r="AF317" s="3"/>
      <c r="AG317" s="3"/>
      <c r="AH317" s="615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</row>
    <row r="318" spans="1:74" ht="15.75" customHeight="1">
      <c r="A318" s="3"/>
      <c r="B318" s="3"/>
      <c r="C318" s="3"/>
      <c r="D318" s="3"/>
      <c r="E318" s="615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615"/>
      <c r="AE318" s="3"/>
      <c r="AF318" s="3"/>
      <c r="AG318" s="3"/>
      <c r="AH318" s="615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</row>
    <row r="319" spans="1:74" ht="15.75" customHeight="1">
      <c r="A319" s="3"/>
      <c r="B319" s="3"/>
      <c r="C319" s="3"/>
      <c r="D319" s="3"/>
      <c r="E319" s="61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615"/>
      <c r="AE319" s="3"/>
      <c r="AF319" s="3"/>
      <c r="AG319" s="3"/>
      <c r="AH319" s="615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</row>
    <row r="320" spans="1:74" ht="15.75" customHeight="1">
      <c r="A320" s="3"/>
      <c r="B320" s="3"/>
      <c r="C320" s="3"/>
      <c r="D320" s="3"/>
      <c r="E320" s="61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615"/>
      <c r="AE320" s="3"/>
      <c r="AF320" s="3"/>
      <c r="AG320" s="3"/>
      <c r="AH320" s="615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</row>
    <row r="321" spans="1:74" ht="15.75" customHeight="1">
      <c r="A321" s="3"/>
      <c r="B321" s="3"/>
      <c r="C321" s="3"/>
      <c r="D321" s="3"/>
      <c r="E321" s="61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615"/>
      <c r="AE321" s="3"/>
      <c r="AF321" s="3"/>
      <c r="AG321" s="3"/>
      <c r="AH321" s="615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</row>
    <row r="322" spans="1:74" ht="15.75" customHeight="1">
      <c r="A322" s="3"/>
      <c r="B322" s="3"/>
      <c r="C322" s="3"/>
      <c r="D322" s="3"/>
      <c r="E322" s="615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615"/>
      <c r="AE322" s="3"/>
      <c r="AF322" s="3"/>
      <c r="AG322" s="3"/>
      <c r="AH322" s="615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</row>
    <row r="323" spans="1:74" ht="15.75" customHeight="1">
      <c r="A323" s="3"/>
      <c r="B323" s="3"/>
      <c r="C323" s="3"/>
      <c r="D323" s="3"/>
      <c r="E323" s="615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615"/>
      <c r="AE323" s="3"/>
      <c r="AF323" s="3"/>
      <c r="AG323" s="3"/>
      <c r="AH323" s="615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</row>
    <row r="324" spans="1:74" ht="15.75" customHeight="1">
      <c r="A324" s="3"/>
      <c r="B324" s="3"/>
      <c r="C324" s="3"/>
      <c r="D324" s="3"/>
      <c r="E324" s="61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615"/>
      <c r="AE324" s="3"/>
      <c r="AF324" s="3"/>
      <c r="AG324" s="3"/>
      <c r="AH324" s="615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</row>
    <row r="325" spans="1:74" ht="15.75" customHeight="1">
      <c r="A325" s="3"/>
      <c r="B325" s="3"/>
      <c r="C325" s="3"/>
      <c r="D325" s="3"/>
      <c r="E325" s="61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615"/>
      <c r="AE325" s="3"/>
      <c r="AF325" s="3"/>
      <c r="AG325" s="3"/>
      <c r="AH325" s="615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</row>
    <row r="326" spans="1:74" ht="15.75" customHeight="1">
      <c r="A326" s="3"/>
      <c r="B326" s="3"/>
      <c r="C326" s="3"/>
      <c r="D326" s="3"/>
      <c r="E326" s="61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615"/>
      <c r="AE326" s="3"/>
      <c r="AF326" s="3"/>
      <c r="AG326" s="3"/>
      <c r="AH326" s="615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</row>
    <row r="327" spans="1:74" ht="15.75" customHeight="1">
      <c r="A327" s="3"/>
      <c r="B327" s="3"/>
      <c r="C327" s="3"/>
      <c r="D327" s="3"/>
      <c r="E327" s="61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615"/>
      <c r="AE327" s="3"/>
      <c r="AF327" s="3"/>
      <c r="AG327" s="3"/>
      <c r="AH327" s="615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</row>
    <row r="328" spans="1:74" ht="15.75" customHeight="1">
      <c r="A328" s="3"/>
      <c r="B328" s="3"/>
      <c r="C328" s="3"/>
      <c r="D328" s="3"/>
      <c r="E328" s="61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615"/>
      <c r="AE328" s="3"/>
      <c r="AF328" s="3"/>
      <c r="AG328" s="3"/>
      <c r="AH328" s="615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</row>
    <row r="329" spans="1:74" ht="15.75" customHeight="1">
      <c r="A329" s="3"/>
      <c r="B329" s="3"/>
      <c r="C329" s="3"/>
      <c r="D329" s="3"/>
      <c r="E329" s="61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615"/>
      <c r="AE329" s="3"/>
      <c r="AF329" s="3"/>
      <c r="AG329" s="3"/>
      <c r="AH329" s="615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</row>
    <row r="330" spans="1:74" ht="15.75" customHeight="1">
      <c r="A330" s="3"/>
      <c r="B330" s="3"/>
      <c r="C330" s="3"/>
      <c r="D330" s="3"/>
      <c r="E330" s="61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615"/>
      <c r="AE330" s="3"/>
      <c r="AF330" s="3"/>
      <c r="AG330" s="3"/>
      <c r="AH330" s="615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</row>
    <row r="331" spans="1:74" ht="15.75" customHeight="1">
      <c r="A331" s="3"/>
      <c r="B331" s="3"/>
      <c r="C331" s="3"/>
      <c r="D331" s="3"/>
      <c r="E331" s="61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615"/>
      <c r="AE331" s="3"/>
      <c r="AF331" s="3"/>
      <c r="AG331" s="3"/>
      <c r="AH331" s="615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</row>
    <row r="332" spans="1:74" ht="15.75" customHeight="1">
      <c r="A332" s="3"/>
      <c r="B332" s="3"/>
      <c r="C332" s="3"/>
      <c r="D332" s="3"/>
      <c r="E332" s="61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615"/>
      <c r="AE332" s="3"/>
      <c r="AF332" s="3"/>
      <c r="AG332" s="3"/>
      <c r="AH332" s="615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</row>
    <row r="333" spans="1:74" ht="15.75" customHeight="1">
      <c r="A333" s="3"/>
      <c r="B333" s="3"/>
      <c r="C333" s="3"/>
      <c r="D333" s="3"/>
      <c r="E333" s="61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615"/>
      <c r="AE333" s="3"/>
      <c r="AF333" s="3"/>
      <c r="AG333" s="3"/>
      <c r="AH333" s="615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</row>
    <row r="334" spans="1:74" ht="15.75" customHeight="1">
      <c r="A334" s="3"/>
      <c r="B334" s="3"/>
      <c r="C334" s="3"/>
      <c r="D334" s="3"/>
      <c r="E334" s="61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615"/>
      <c r="AE334" s="3"/>
      <c r="AF334" s="3"/>
      <c r="AG334" s="3"/>
      <c r="AH334" s="615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</row>
    <row r="335" spans="1:74" ht="15.75" customHeight="1">
      <c r="A335" s="3"/>
      <c r="B335" s="3"/>
      <c r="C335" s="3"/>
      <c r="D335" s="3"/>
      <c r="E335" s="61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615"/>
      <c r="AE335" s="3"/>
      <c r="AF335" s="3"/>
      <c r="AG335" s="3"/>
      <c r="AH335" s="615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</row>
    <row r="336" spans="1:74" ht="15.75" customHeight="1">
      <c r="A336" s="3"/>
      <c r="B336" s="3"/>
      <c r="C336" s="3"/>
      <c r="D336" s="3"/>
      <c r="E336" s="615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615"/>
      <c r="AE336" s="3"/>
      <c r="AF336" s="3"/>
      <c r="AG336" s="3"/>
      <c r="AH336" s="615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</row>
    <row r="337" spans="1:74" ht="15.75" customHeight="1">
      <c r="A337" s="3"/>
      <c r="B337" s="3"/>
      <c r="C337" s="3"/>
      <c r="D337" s="3"/>
      <c r="E337" s="615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615"/>
      <c r="AE337" s="3"/>
      <c r="AF337" s="3"/>
      <c r="AG337" s="3"/>
      <c r="AH337" s="615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</row>
    <row r="338" spans="1:74" ht="15.75" customHeight="1">
      <c r="A338" s="3"/>
      <c r="B338" s="3"/>
      <c r="C338" s="3"/>
      <c r="D338" s="3"/>
      <c r="E338" s="61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615"/>
      <c r="AE338" s="3"/>
      <c r="AF338" s="3"/>
      <c r="AG338" s="3"/>
      <c r="AH338" s="615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</row>
    <row r="339" spans="1:74" ht="15.75" customHeight="1">
      <c r="A339" s="3"/>
      <c r="B339" s="3"/>
      <c r="C339" s="3"/>
      <c r="D339" s="3"/>
      <c r="E339" s="61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615"/>
      <c r="AE339" s="3"/>
      <c r="AF339" s="3"/>
      <c r="AG339" s="3"/>
      <c r="AH339" s="615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</row>
    <row r="340" spans="1:74" ht="15.75" customHeight="1">
      <c r="A340" s="3"/>
      <c r="B340" s="3"/>
      <c r="C340" s="3"/>
      <c r="D340" s="3"/>
      <c r="E340" s="61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615"/>
      <c r="AE340" s="3"/>
      <c r="AF340" s="3"/>
      <c r="AG340" s="3"/>
      <c r="AH340" s="615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</row>
    <row r="341" spans="1:74" ht="15.75" customHeight="1">
      <c r="A341" s="3"/>
      <c r="B341" s="3"/>
      <c r="C341" s="3"/>
      <c r="D341" s="3"/>
      <c r="E341" s="61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615"/>
      <c r="AE341" s="3"/>
      <c r="AF341" s="3"/>
      <c r="AG341" s="3"/>
      <c r="AH341" s="615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</row>
    <row r="342" spans="1:74" ht="15.75" customHeight="1">
      <c r="A342" s="3"/>
      <c r="B342" s="3"/>
      <c r="C342" s="3"/>
      <c r="D342" s="3"/>
      <c r="E342" s="615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615"/>
      <c r="AE342" s="3"/>
      <c r="AF342" s="3"/>
      <c r="AG342" s="3"/>
      <c r="AH342" s="615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</row>
    <row r="343" spans="1:74" ht="15.75" customHeight="1">
      <c r="A343" s="3"/>
      <c r="B343" s="3"/>
      <c r="C343" s="3"/>
      <c r="D343" s="3"/>
      <c r="E343" s="615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615"/>
      <c r="AE343" s="3"/>
      <c r="AF343" s="3"/>
      <c r="AG343" s="3"/>
      <c r="AH343" s="615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</row>
    <row r="344" spans="1:74" ht="15.75" customHeight="1">
      <c r="A344" s="3"/>
      <c r="B344" s="3"/>
      <c r="C344" s="3"/>
      <c r="D344" s="3"/>
      <c r="E344" s="61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615"/>
      <c r="AE344" s="3"/>
      <c r="AF344" s="3"/>
      <c r="AG344" s="3"/>
      <c r="AH344" s="615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</row>
    <row r="345" spans="1:74" ht="15.75" customHeight="1">
      <c r="A345" s="3"/>
      <c r="B345" s="3"/>
      <c r="C345" s="3"/>
      <c r="D345" s="3"/>
      <c r="E345" s="61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615"/>
      <c r="AE345" s="3"/>
      <c r="AF345" s="3"/>
      <c r="AG345" s="3"/>
      <c r="AH345" s="615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</row>
    <row r="346" spans="1:74" ht="15.75" customHeight="1">
      <c r="A346" s="3"/>
      <c r="B346" s="3"/>
      <c r="C346" s="3"/>
      <c r="D346" s="3"/>
      <c r="E346" s="61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615"/>
      <c r="AE346" s="3"/>
      <c r="AF346" s="3"/>
      <c r="AG346" s="3"/>
      <c r="AH346" s="615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</row>
    <row r="347" spans="1:74" ht="15.75" customHeight="1">
      <c r="A347" s="3"/>
      <c r="B347" s="3"/>
      <c r="C347" s="3"/>
      <c r="D347" s="3"/>
      <c r="E347" s="61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615"/>
      <c r="AE347" s="3"/>
      <c r="AF347" s="3"/>
      <c r="AG347" s="3"/>
      <c r="AH347" s="615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</row>
    <row r="348" spans="1:74" ht="15.75" customHeight="1">
      <c r="A348" s="3"/>
      <c r="B348" s="3"/>
      <c r="C348" s="3"/>
      <c r="D348" s="3"/>
      <c r="E348" s="61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615"/>
      <c r="AE348" s="3"/>
      <c r="AF348" s="3"/>
      <c r="AG348" s="3"/>
      <c r="AH348" s="615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</row>
    <row r="349" spans="1:74" ht="15.75" customHeight="1">
      <c r="A349" s="3"/>
      <c r="B349" s="3"/>
      <c r="C349" s="3"/>
      <c r="D349" s="3"/>
      <c r="E349" s="61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615"/>
      <c r="AE349" s="3"/>
      <c r="AF349" s="3"/>
      <c r="AG349" s="3"/>
      <c r="AH349" s="615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</row>
    <row r="350" spans="1:74" ht="15.75" customHeight="1">
      <c r="A350" s="3"/>
      <c r="B350" s="3"/>
      <c r="C350" s="3"/>
      <c r="D350" s="3"/>
      <c r="E350" s="61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615"/>
      <c r="AE350" s="3"/>
      <c r="AF350" s="3"/>
      <c r="AG350" s="3"/>
      <c r="AH350" s="615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</row>
    <row r="351" spans="1:74" ht="15.75" customHeight="1">
      <c r="A351" s="3"/>
      <c r="B351" s="3"/>
      <c r="C351" s="3"/>
      <c r="D351" s="3"/>
      <c r="E351" s="61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615"/>
      <c r="AE351" s="3"/>
      <c r="AF351" s="3"/>
      <c r="AG351" s="3"/>
      <c r="AH351" s="615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</row>
    <row r="352" spans="1:74" ht="15.75" customHeight="1">
      <c r="A352" s="3"/>
      <c r="B352" s="3"/>
      <c r="C352" s="3"/>
      <c r="D352" s="3"/>
      <c r="E352" s="61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615"/>
      <c r="AE352" s="3"/>
      <c r="AF352" s="3"/>
      <c r="AG352" s="3"/>
      <c r="AH352" s="615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</row>
    <row r="353" spans="1:74" ht="15.75" customHeight="1">
      <c r="A353" s="3"/>
      <c r="B353" s="3"/>
      <c r="C353" s="3"/>
      <c r="D353" s="3"/>
      <c r="E353" s="61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615"/>
      <c r="AE353" s="3"/>
      <c r="AF353" s="3"/>
      <c r="AG353" s="3"/>
      <c r="AH353" s="615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</row>
    <row r="354" spans="1:74" ht="15.75" customHeight="1">
      <c r="A354" s="3"/>
      <c r="B354" s="3"/>
      <c r="C354" s="3"/>
      <c r="D354" s="3"/>
      <c r="E354" s="61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615"/>
      <c r="AE354" s="3"/>
      <c r="AF354" s="3"/>
      <c r="AG354" s="3"/>
      <c r="AH354" s="615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</row>
    <row r="355" spans="1:74" ht="15.75" customHeight="1">
      <c r="A355" s="3"/>
      <c r="B355" s="3"/>
      <c r="C355" s="3"/>
      <c r="D355" s="3"/>
      <c r="E355" s="61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615"/>
      <c r="AE355" s="3"/>
      <c r="AF355" s="3"/>
      <c r="AG355" s="3"/>
      <c r="AH355" s="615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</row>
    <row r="356" spans="1:74" ht="15.75" customHeight="1">
      <c r="A356" s="3"/>
      <c r="B356" s="3"/>
      <c r="C356" s="3"/>
      <c r="D356" s="3"/>
      <c r="E356" s="61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615"/>
      <c r="AE356" s="3"/>
      <c r="AF356" s="3"/>
      <c r="AG356" s="3"/>
      <c r="AH356" s="615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</row>
    <row r="357" spans="1:74" ht="15.75" customHeight="1">
      <c r="A357" s="3"/>
      <c r="B357" s="3"/>
      <c r="C357" s="3"/>
      <c r="D357" s="3"/>
      <c r="E357" s="61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615"/>
      <c r="AE357" s="3"/>
      <c r="AF357" s="3"/>
      <c r="AG357" s="3"/>
      <c r="AH357" s="615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</row>
    <row r="358" spans="1:74" ht="15.75" customHeight="1">
      <c r="A358" s="3"/>
      <c r="B358" s="3"/>
      <c r="C358" s="3"/>
      <c r="D358" s="3"/>
      <c r="E358" s="61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615"/>
      <c r="AE358" s="3"/>
      <c r="AF358" s="3"/>
      <c r="AG358" s="3"/>
      <c r="AH358" s="615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</row>
    <row r="359" spans="1:74" ht="15.75" customHeight="1">
      <c r="A359" s="3"/>
      <c r="B359" s="3"/>
      <c r="C359" s="3"/>
      <c r="D359" s="3"/>
      <c r="E359" s="61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615"/>
      <c r="AE359" s="3"/>
      <c r="AF359" s="3"/>
      <c r="AG359" s="3"/>
      <c r="AH359" s="615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</row>
    <row r="360" spans="1:74" ht="15.75" customHeight="1">
      <c r="A360" s="3"/>
      <c r="B360" s="3"/>
      <c r="C360" s="3"/>
      <c r="D360" s="3"/>
      <c r="E360" s="615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615"/>
      <c r="AE360" s="3"/>
      <c r="AF360" s="3"/>
      <c r="AG360" s="3"/>
      <c r="AH360" s="615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</row>
    <row r="361" spans="1:74" ht="15.75" customHeight="1">
      <c r="A361" s="3"/>
      <c r="B361" s="3"/>
      <c r="C361" s="3"/>
      <c r="D361" s="3"/>
      <c r="E361" s="615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615"/>
      <c r="AE361" s="3"/>
      <c r="AF361" s="3"/>
      <c r="AG361" s="3"/>
      <c r="AH361" s="615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</row>
    <row r="362" spans="1:74" ht="15.75" customHeight="1">
      <c r="A362" s="3"/>
      <c r="B362" s="3"/>
      <c r="C362" s="3"/>
      <c r="D362" s="3"/>
      <c r="E362" s="61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615"/>
      <c r="AE362" s="3"/>
      <c r="AF362" s="3"/>
      <c r="AG362" s="3"/>
      <c r="AH362" s="615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</row>
    <row r="363" spans="1:74" ht="15.75" customHeight="1">
      <c r="A363" s="3"/>
      <c r="B363" s="3"/>
      <c r="C363" s="3"/>
      <c r="D363" s="3"/>
      <c r="E363" s="61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615"/>
      <c r="AE363" s="3"/>
      <c r="AF363" s="3"/>
      <c r="AG363" s="3"/>
      <c r="AH363" s="615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</row>
    <row r="364" spans="1:74" ht="15.75" customHeight="1">
      <c r="A364" s="3"/>
      <c r="B364" s="3"/>
      <c r="C364" s="3"/>
      <c r="D364" s="3"/>
      <c r="E364" s="61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615"/>
      <c r="AE364" s="3"/>
      <c r="AF364" s="3"/>
      <c r="AG364" s="3"/>
      <c r="AH364" s="615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</row>
    <row r="365" spans="1:74" ht="15.75" customHeight="1">
      <c r="A365" s="3"/>
      <c r="B365" s="3"/>
      <c r="C365" s="3"/>
      <c r="D365" s="3"/>
      <c r="E365" s="61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615"/>
      <c r="AE365" s="3"/>
      <c r="AF365" s="3"/>
      <c r="AG365" s="3"/>
      <c r="AH365" s="615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</row>
    <row r="366" spans="1:74" ht="15.75" customHeight="1">
      <c r="A366" s="3"/>
      <c r="B366" s="3"/>
      <c r="C366" s="3"/>
      <c r="D366" s="3"/>
      <c r="E366" s="61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615"/>
      <c r="AE366" s="3"/>
      <c r="AF366" s="3"/>
      <c r="AG366" s="3"/>
      <c r="AH366" s="615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</row>
    <row r="367" spans="1:74" ht="15.75" customHeight="1">
      <c r="A367" s="3"/>
      <c r="B367" s="3"/>
      <c r="C367" s="3"/>
      <c r="D367" s="3"/>
      <c r="E367" s="61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615"/>
      <c r="AE367" s="3"/>
      <c r="AF367" s="3"/>
      <c r="AG367" s="3"/>
      <c r="AH367" s="615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</row>
    <row r="368" spans="1:74" ht="15.75" customHeight="1">
      <c r="A368" s="3"/>
      <c r="B368" s="3"/>
      <c r="C368" s="3"/>
      <c r="D368" s="3"/>
      <c r="E368" s="61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615"/>
      <c r="AE368" s="3"/>
      <c r="AF368" s="3"/>
      <c r="AG368" s="3"/>
      <c r="AH368" s="615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</row>
    <row r="369" spans="1:74" ht="15.75" customHeight="1">
      <c r="A369" s="3"/>
      <c r="B369" s="3"/>
      <c r="C369" s="3"/>
      <c r="D369" s="3"/>
      <c r="E369" s="61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615"/>
      <c r="AE369" s="3"/>
      <c r="AF369" s="3"/>
      <c r="AG369" s="3"/>
      <c r="AH369" s="615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</row>
    <row r="370" spans="1:74" ht="15.75" customHeight="1">
      <c r="A370" s="3"/>
      <c r="B370" s="3"/>
      <c r="C370" s="3"/>
      <c r="D370" s="3"/>
      <c r="E370" s="615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615"/>
      <c r="AE370" s="3"/>
      <c r="AF370" s="3"/>
      <c r="AG370" s="3"/>
      <c r="AH370" s="615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</row>
    <row r="371" spans="1:74" ht="15.75" customHeight="1">
      <c r="A371" s="3"/>
      <c r="B371" s="3"/>
      <c r="C371" s="3"/>
      <c r="D371" s="3"/>
      <c r="E371" s="615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615"/>
      <c r="AE371" s="3"/>
      <c r="AF371" s="3"/>
      <c r="AG371" s="3"/>
      <c r="AH371" s="615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</row>
    <row r="372" spans="1:74" ht="15.75" customHeight="1">
      <c r="A372" s="3"/>
      <c r="B372" s="3"/>
      <c r="C372" s="3"/>
      <c r="D372" s="3"/>
      <c r="E372" s="615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615"/>
      <c r="AE372" s="3"/>
      <c r="AF372" s="3"/>
      <c r="AG372" s="3"/>
      <c r="AH372" s="615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</row>
    <row r="373" spans="1:74" ht="15.75" customHeight="1">
      <c r="A373" s="3"/>
      <c r="B373" s="3"/>
      <c r="C373" s="3"/>
      <c r="D373" s="3"/>
      <c r="E373" s="615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615"/>
      <c r="AE373" s="3"/>
      <c r="AF373" s="3"/>
      <c r="AG373" s="3"/>
      <c r="AH373" s="615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</row>
    <row r="374" spans="1:74" ht="15.75" customHeight="1">
      <c r="A374" s="3"/>
      <c r="B374" s="3"/>
      <c r="C374" s="3"/>
      <c r="D374" s="3"/>
      <c r="E374" s="615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615"/>
      <c r="AE374" s="3"/>
      <c r="AF374" s="3"/>
      <c r="AG374" s="3"/>
      <c r="AH374" s="615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</row>
    <row r="375" spans="1:74" ht="15.75" customHeight="1">
      <c r="A375" s="3"/>
      <c r="B375" s="3"/>
      <c r="C375" s="3"/>
      <c r="D375" s="3"/>
      <c r="E375" s="61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615"/>
      <c r="AE375" s="3"/>
      <c r="AF375" s="3"/>
      <c r="AG375" s="3"/>
      <c r="AH375" s="615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</row>
    <row r="376" spans="1:74" ht="15.75" customHeight="1">
      <c r="A376" s="3"/>
      <c r="B376" s="3"/>
      <c r="C376" s="3"/>
      <c r="D376" s="3"/>
      <c r="E376" s="61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615"/>
      <c r="AE376" s="3"/>
      <c r="AF376" s="3"/>
      <c r="AG376" s="3"/>
      <c r="AH376" s="615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</row>
    <row r="377" spans="1:74" ht="15.75" customHeight="1">
      <c r="A377" s="3"/>
      <c r="B377" s="3"/>
      <c r="C377" s="3"/>
      <c r="D377" s="3"/>
      <c r="E377" s="61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615"/>
      <c r="AE377" s="3"/>
      <c r="AF377" s="3"/>
      <c r="AG377" s="3"/>
      <c r="AH377" s="615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</row>
    <row r="378" spans="1:74" ht="15.75" customHeight="1">
      <c r="A378" s="3"/>
      <c r="B378" s="3"/>
      <c r="C378" s="3"/>
      <c r="D378" s="3"/>
      <c r="E378" s="615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615"/>
      <c r="AE378" s="3"/>
      <c r="AF378" s="3"/>
      <c r="AG378" s="3"/>
      <c r="AH378" s="615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</row>
    <row r="379" spans="1:74" ht="15.75" customHeight="1">
      <c r="A379" s="3"/>
      <c r="B379" s="3"/>
      <c r="C379" s="3"/>
      <c r="D379" s="3"/>
      <c r="E379" s="615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615"/>
      <c r="AE379" s="3"/>
      <c r="AF379" s="3"/>
      <c r="AG379" s="3"/>
      <c r="AH379" s="615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</row>
    <row r="380" spans="1:74" ht="15.75" customHeight="1">
      <c r="A380" s="3"/>
      <c r="B380" s="3"/>
      <c r="C380" s="3"/>
      <c r="D380" s="3"/>
      <c r="E380" s="61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615"/>
      <c r="AE380" s="3"/>
      <c r="AF380" s="3"/>
      <c r="AG380" s="3"/>
      <c r="AH380" s="615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</row>
    <row r="381" spans="1:74" ht="15.75" customHeight="1">
      <c r="A381" s="3"/>
      <c r="B381" s="3"/>
      <c r="C381" s="3"/>
      <c r="D381" s="3"/>
      <c r="E381" s="61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615"/>
      <c r="AE381" s="3"/>
      <c r="AF381" s="3"/>
      <c r="AG381" s="3"/>
      <c r="AH381" s="615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</row>
    <row r="382" spans="1:74" ht="15.75" customHeight="1">
      <c r="A382" s="3"/>
      <c r="B382" s="3"/>
      <c r="C382" s="3"/>
      <c r="D382" s="3"/>
      <c r="E382" s="61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615"/>
      <c r="AE382" s="3"/>
      <c r="AF382" s="3"/>
      <c r="AG382" s="3"/>
      <c r="AH382" s="615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</row>
    <row r="383" spans="1:74" ht="15.75" customHeight="1">
      <c r="A383" s="3"/>
      <c r="B383" s="3"/>
      <c r="C383" s="3"/>
      <c r="D383" s="3"/>
      <c r="E383" s="61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615"/>
      <c r="AE383" s="3"/>
      <c r="AF383" s="3"/>
      <c r="AG383" s="3"/>
      <c r="AH383" s="615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</row>
    <row r="384" spans="1:74" ht="15.75" customHeight="1">
      <c r="A384" s="3"/>
      <c r="B384" s="3"/>
      <c r="C384" s="3"/>
      <c r="D384" s="3"/>
      <c r="E384" s="615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615"/>
      <c r="AE384" s="3"/>
      <c r="AF384" s="3"/>
      <c r="AG384" s="3"/>
      <c r="AH384" s="615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</row>
    <row r="385" spans="1:74" ht="15.75" customHeight="1">
      <c r="A385" s="3"/>
      <c r="B385" s="3"/>
      <c r="C385" s="3"/>
      <c r="D385" s="3"/>
      <c r="E385" s="615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615"/>
      <c r="AE385" s="3"/>
      <c r="AF385" s="3"/>
      <c r="AG385" s="3"/>
      <c r="AH385" s="615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</row>
    <row r="386" spans="1:74" ht="15.75" customHeight="1">
      <c r="A386" s="3"/>
      <c r="B386" s="3"/>
      <c r="C386" s="3"/>
      <c r="D386" s="3"/>
      <c r="E386" s="615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615"/>
      <c r="AE386" s="3"/>
      <c r="AF386" s="3"/>
      <c r="AG386" s="3"/>
      <c r="AH386" s="615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</row>
    <row r="387" spans="1:74" ht="15.75" customHeight="1">
      <c r="A387" s="3"/>
      <c r="B387" s="3"/>
      <c r="C387" s="3"/>
      <c r="D387" s="3"/>
      <c r="E387" s="615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615"/>
      <c r="AE387" s="3"/>
      <c r="AF387" s="3"/>
      <c r="AG387" s="3"/>
      <c r="AH387" s="615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</row>
    <row r="388" spans="1:74" ht="15.75" customHeight="1">
      <c r="A388" s="3"/>
      <c r="B388" s="3"/>
      <c r="C388" s="3"/>
      <c r="D388" s="3"/>
      <c r="E388" s="615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615"/>
      <c r="AE388" s="3"/>
      <c r="AF388" s="3"/>
      <c r="AG388" s="3"/>
      <c r="AH388" s="615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</row>
    <row r="389" spans="1:74" ht="15.75" customHeight="1">
      <c r="A389" s="3"/>
      <c r="B389" s="3"/>
      <c r="C389" s="3"/>
      <c r="D389" s="3"/>
      <c r="E389" s="61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615"/>
      <c r="AE389" s="3"/>
      <c r="AF389" s="3"/>
      <c r="AG389" s="3"/>
      <c r="AH389" s="615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</row>
    <row r="390" spans="1:74" ht="15.75" customHeight="1">
      <c r="A390" s="3"/>
      <c r="B390" s="3"/>
      <c r="C390" s="3"/>
      <c r="D390" s="3"/>
      <c r="E390" s="61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615"/>
      <c r="AE390" s="3"/>
      <c r="AF390" s="3"/>
      <c r="AG390" s="3"/>
      <c r="AH390" s="615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</row>
    <row r="391" spans="1:74" ht="15.75" customHeight="1">
      <c r="A391" s="3"/>
      <c r="B391" s="3"/>
      <c r="C391" s="3"/>
      <c r="D391" s="3"/>
      <c r="E391" s="61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615"/>
      <c r="AE391" s="3"/>
      <c r="AF391" s="3"/>
      <c r="AG391" s="3"/>
      <c r="AH391" s="615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</row>
    <row r="392" spans="1:74" ht="15.75" customHeight="1">
      <c r="A392" s="3"/>
      <c r="B392" s="3"/>
      <c r="C392" s="3"/>
      <c r="D392" s="3"/>
      <c r="E392" s="61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615"/>
      <c r="AE392" s="3"/>
      <c r="AF392" s="3"/>
      <c r="AG392" s="3"/>
      <c r="AH392" s="615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</row>
    <row r="393" spans="1:74" ht="15.75" customHeight="1">
      <c r="A393" s="3"/>
      <c r="B393" s="3"/>
      <c r="C393" s="3"/>
      <c r="D393" s="3"/>
      <c r="E393" s="61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615"/>
      <c r="AE393" s="3"/>
      <c r="AF393" s="3"/>
      <c r="AG393" s="3"/>
      <c r="AH393" s="615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</row>
    <row r="394" spans="1:74" ht="15.75" customHeight="1">
      <c r="A394" s="3"/>
      <c r="B394" s="3"/>
      <c r="C394" s="3"/>
      <c r="D394" s="3"/>
      <c r="E394" s="61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615"/>
      <c r="AE394" s="3"/>
      <c r="AF394" s="3"/>
      <c r="AG394" s="3"/>
      <c r="AH394" s="615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</row>
    <row r="395" spans="1:74" ht="15.75" customHeight="1">
      <c r="A395" s="3"/>
      <c r="B395" s="3"/>
      <c r="C395" s="3"/>
      <c r="D395" s="3"/>
      <c r="E395" s="61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615"/>
      <c r="AE395" s="3"/>
      <c r="AF395" s="3"/>
      <c r="AG395" s="3"/>
      <c r="AH395" s="615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</row>
    <row r="396" spans="1:74" ht="15.75" customHeight="1">
      <c r="A396" s="3"/>
      <c r="B396" s="3"/>
      <c r="C396" s="3"/>
      <c r="D396" s="3"/>
      <c r="E396" s="61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615"/>
      <c r="AE396" s="3"/>
      <c r="AF396" s="3"/>
      <c r="AG396" s="3"/>
      <c r="AH396" s="615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</row>
    <row r="397" spans="1:74" ht="15.75" customHeight="1">
      <c r="A397" s="3"/>
      <c r="B397" s="3"/>
      <c r="C397" s="3"/>
      <c r="D397" s="3"/>
      <c r="E397" s="61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615"/>
      <c r="AE397" s="3"/>
      <c r="AF397" s="3"/>
      <c r="AG397" s="3"/>
      <c r="AH397" s="615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</row>
    <row r="398" spans="1:74" ht="15.75" customHeight="1">
      <c r="A398" s="3"/>
      <c r="B398" s="3"/>
      <c r="C398" s="3"/>
      <c r="D398" s="3"/>
      <c r="E398" s="61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615"/>
      <c r="AE398" s="3"/>
      <c r="AF398" s="3"/>
      <c r="AG398" s="3"/>
      <c r="AH398" s="615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</row>
    <row r="399" spans="1:74" ht="15.75" customHeight="1">
      <c r="A399" s="3"/>
      <c r="B399" s="3"/>
      <c r="C399" s="3"/>
      <c r="D399" s="3"/>
      <c r="E399" s="61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615"/>
      <c r="AE399" s="3"/>
      <c r="AF399" s="3"/>
      <c r="AG399" s="3"/>
      <c r="AH399" s="615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</row>
    <row r="400" spans="1:74" ht="15.75" customHeight="1">
      <c r="A400" s="3"/>
      <c r="B400" s="3"/>
      <c r="C400" s="3"/>
      <c r="D400" s="3"/>
      <c r="E400" s="61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615"/>
      <c r="AE400" s="3"/>
      <c r="AF400" s="3"/>
      <c r="AG400" s="3"/>
      <c r="AH400" s="615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</row>
    <row r="401" spans="1:74" ht="15.75" customHeight="1">
      <c r="A401" s="3"/>
      <c r="B401" s="3"/>
      <c r="C401" s="3"/>
      <c r="D401" s="3"/>
      <c r="E401" s="61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615"/>
      <c r="AE401" s="3"/>
      <c r="AF401" s="3"/>
      <c r="AG401" s="3"/>
      <c r="AH401" s="615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</row>
    <row r="402" spans="1:74" ht="15.75" customHeight="1">
      <c r="A402" s="3"/>
      <c r="B402" s="3"/>
      <c r="C402" s="3"/>
      <c r="D402" s="3"/>
      <c r="E402" s="61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615"/>
      <c r="AE402" s="3"/>
      <c r="AF402" s="3"/>
      <c r="AG402" s="3"/>
      <c r="AH402" s="615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</row>
    <row r="403" spans="1:74" ht="15.75" customHeight="1">
      <c r="A403" s="3"/>
      <c r="B403" s="3"/>
      <c r="C403" s="3"/>
      <c r="D403" s="3"/>
      <c r="E403" s="61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615"/>
      <c r="AE403" s="3"/>
      <c r="AF403" s="3"/>
      <c r="AG403" s="3"/>
      <c r="AH403" s="615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</row>
    <row r="404" spans="1:74" ht="15.75" customHeight="1">
      <c r="A404" s="3"/>
      <c r="B404" s="3"/>
      <c r="C404" s="3"/>
      <c r="D404" s="3"/>
      <c r="E404" s="61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615"/>
      <c r="AE404" s="3"/>
      <c r="AF404" s="3"/>
      <c r="AG404" s="3"/>
      <c r="AH404" s="615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</row>
    <row r="405" spans="1:74" ht="15.75" customHeight="1">
      <c r="A405" s="3"/>
      <c r="B405" s="3"/>
      <c r="C405" s="3"/>
      <c r="D405" s="3"/>
      <c r="E405" s="61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615"/>
      <c r="AE405" s="3"/>
      <c r="AF405" s="3"/>
      <c r="AG405" s="3"/>
      <c r="AH405" s="615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</row>
    <row r="406" spans="1:74" ht="15.75" customHeight="1">
      <c r="A406" s="3"/>
      <c r="B406" s="3"/>
      <c r="C406" s="3"/>
      <c r="D406" s="3"/>
      <c r="E406" s="615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615"/>
      <c r="AE406" s="3"/>
      <c r="AF406" s="3"/>
      <c r="AG406" s="3"/>
      <c r="AH406" s="615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</row>
    <row r="407" spans="1:74" ht="15.75" customHeight="1">
      <c r="A407" s="3"/>
      <c r="B407" s="3"/>
      <c r="C407" s="3"/>
      <c r="D407" s="3"/>
      <c r="E407" s="61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615"/>
      <c r="AE407" s="3"/>
      <c r="AF407" s="3"/>
      <c r="AG407" s="3"/>
      <c r="AH407" s="615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</row>
    <row r="408" spans="1:74" ht="15.75" customHeight="1">
      <c r="A408" s="3"/>
      <c r="B408" s="3"/>
      <c r="C408" s="3"/>
      <c r="D408" s="3"/>
      <c r="E408" s="61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615"/>
      <c r="AE408" s="3"/>
      <c r="AF408" s="3"/>
      <c r="AG408" s="3"/>
      <c r="AH408" s="615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</row>
    <row r="409" spans="1:74" ht="15.75" customHeight="1">
      <c r="A409" s="3"/>
      <c r="B409" s="3"/>
      <c r="C409" s="3"/>
      <c r="D409" s="3"/>
      <c r="E409" s="61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615"/>
      <c r="AE409" s="3"/>
      <c r="AF409" s="3"/>
      <c r="AG409" s="3"/>
      <c r="AH409" s="615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</row>
    <row r="410" spans="1:74" ht="15.75" customHeight="1">
      <c r="A410" s="3"/>
      <c r="B410" s="3"/>
      <c r="C410" s="3"/>
      <c r="D410" s="3"/>
      <c r="E410" s="61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615"/>
      <c r="AE410" s="3"/>
      <c r="AF410" s="3"/>
      <c r="AG410" s="3"/>
      <c r="AH410" s="615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</row>
    <row r="411" spans="1:74" ht="15.75" customHeight="1">
      <c r="A411" s="3"/>
      <c r="B411" s="3"/>
      <c r="C411" s="3"/>
      <c r="D411" s="3"/>
      <c r="E411" s="61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615"/>
      <c r="AE411" s="3"/>
      <c r="AF411" s="3"/>
      <c r="AG411" s="3"/>
      <c r="AH411" s="615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</row>
    <row r="412" spans="1:74" ht="15.75" customHeight="1">
      <c r="A412" s="3"/>
      <c r="B412" s="3"/>
      <c r="C412" s="3"/>
      <c r="D412" s="3"/>
      <c r="E412" s="61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615"/>
      <c r="AE412" s="3"/>
      <c r="AF412" s="3"/>
      <c r="AG412" s="3"/>
      <c r="AH412" s="615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</row>
    <row r="413" spans="1:74" ht="15.75" customHeight="1">
      <c r="A413" s="3"/>
      <c r="B413" s="3"/>
      <c r="C413" s="3"/>
      <c r="D413" s="3"/>
      <c r="E413" s="61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615"/>
      <c r="AE413" s="3"/>
      <c r="AF413" s="3"/>
      <c r="AG413" s="3"/>
      <c r="AH413" s="615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</row>
    <row r="414" spans="1:74" ht="15.75" customHeight="1">
      <c r="A414" s="3"/>
      <c r="B414" s="3"/>
      <c r="C414" s="3"/>
      <c r="D414" s="3"/>
      <c r="E414" s="615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615"/>
      <c r="AE414" s="3"/>
      <c r="AF414" s="3"/>
      <c r="AG414" s="3"/>
      <c r="AH414" s="615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</row>
    <row r="415" spans="1:74" ht="15.75" customHeight="1">
      <c r="A415" s="3"/>
      <c r="B415" s="3"/>
      <c r="C415" s="3"/>
      <c r="D415" s="3"/>
      <c r="E415" s="615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615"/>
      <c r="AE415" s="3"/>
      <c r="AF415" s="3"/>
      <c r="AG415" s="3"/>
      <c r="AH415" s="615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</row>
    <row r="416" spans="1:74" ht="15.75" customHeight="1">
      <c r="A416" s="3"/>
      <c r="B416" s="3"/>
      <c r="C416" s="3"/>
      <c r="D416" s="3"/>
      <c r="E416" s="615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615"/>
      <c r="AE416" s="3"/>
      <c r="AF416" s="3"/>
      <c r="AG416" s="3"/>
      <c r="AH416" s="615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</row>
    <row r="417" spans="1:74" ht="15.75" customHeight="1">
      <c r="A417" s="3"/>
      <c r="B417" s="3"/>
      <c r="C417" s="3"/>
      <c r="D417" s="3"/>
      <c r="E417" s="61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615"/>
      <c r="AE417" s="3"/>
      <c r="AF417" s="3"/>
      <c r="AG417" s="3"/>
      <c r="AH417" s="615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</row>
    <row r="418" spans="1:74" ht="15.75" customHeight="1">
      <c r="A418" s="3"/>
      <c r="B418" s="3"/>
      <c r="C418" s="3"/>
      <c r="D418" s="3"/>
      <c r="E418" s="61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615"/>
      <c r="AE418" s="3"/>
      <c r="AF418" s="3"/>
      <c r="AG418" s="3"/>
      <c r="AH418" s="615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</row>
    <row r="419" spans="1:74" ht="15.75" customHeight="1">
      <c r="A419" s="3"/>
      <c r="B419" s="3"/>
      <c r="C419" s="3"/>
      <c r="D419" s="3"/>
      <c r="E419" s="61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615"/>
      <c r="AE419" s="3"/>
      <c r="AF419" s="3"/>
      <c r="AG419" s="3"/>
      <c r="AH419" s="615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</row>
    <row r="420" spans="1:74" ht="15.75" customHeight="1">
      <c r="A420" s="3"/>
      <c r="B420" s="3"/>
      <c r="C420" s="3"/>
      <c r="D420" s="3"/>
      <c r="E420" s="615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615"/>
      <c r="AE420" s="3"/>
      <c r="AF420" s="3"/>
      <c r="AG420" s="3"/>
      <c r="AH420" s="615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</row>
    <row r="421" spans="1:74" ht="15.75" customHeight="1">
      <c r="A421" s="3"/>
      <c r="B421" s="3"/>
      <c r="C421" s="3"/>
      <c r="D421" s="3"/>
      <c r="E421" s="615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615"/>
      <c r="AE421" s="3"/>
      <c r="AF421" s="3"/>
      <c r="AG421" s="3"/>
      <c r="AH421" s="615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</row>
    <row r="422" spans="1:74" ht="15.75" customHeight="1">
      <c r="A422" s="3"/>
      <c r="B422" s="3"/>
      <c r="C422" s="3"/>
      <c r="D422" s="3"/>
      <c r="E422" s="61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615"/>
      <c r="AE422" s="3"/>
      <c r="AF422" s="3"/>
      <c r="AG422" s="3"/>
      <c r="AH422" s="615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</row>
    <row r="423" spans="1:74" ht="15.75" customHeight="1">
      <c r="A423" s="3"/>
      <c r="B423" s="3"/>
      <c r="C423" s="3"/>
      <c r="D423" s="3"/>
      <c r="E423" s="61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615"/>
      <c r="AE423" s="3"/>
      <c r="AF423" s="3"/>
      <c r="AG423" s="3"/>
      <c r="AH423" s="615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</row>
    <row r="424" spans="1:74" ht="15.75" customHeight="1">
      <c r="A424" s="3"/>
      <c r="B424" s="3"/>
      <c r="C424" s="3"/>
      <c r="D424" s="3"/>
      <c r="E424" s="61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615"/>
      <c r="AE424" s="3"/>
      <c r="AF424" s="3"/>
      <c r="AG424" s="3"/>
      <c r="AH424" s="615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</row>
    <row r="425" spans="1:74" ht="15.75" customHeight="1">
      <c r="A425" s="3"/>
      <c r="B425" s="3"/>
      <c r="C425" s="3"/>
      <c r="D425" s="3"/>
      <c r="E425" s="61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615"/>
      <c r="AE425" s="3"/>
      <c r="AF425" s="3"/>
      <c r="AG425" s="3"/>
      <c r="AH425" s="615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</row>
    <row r="426" spans="1:74" ht="15.75" customHeight="1">
      <c r="A426" s="3"/>
      <c r="B426" s="3"/>
      <c r="C426" s="3"/>
      <c r="D426" s="3"/>
      <c r="E426" s="615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615"/>
      <c r="AE426" s="3"/>
      <c r="AF426" s="3"/>
      <c r="AG426" s="3"/>
      <c r="AH426" s="615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</row>
    <row r="427" spans="1:74" ht="15.75" customHeight="1">
      <c r="A427" s="3"/>
      <c r="B427" s="3"/>
      <c r="C427" s="3"/>
      <c r="D427" s="3"/>
      <c r="E427" s="615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615"/>
      <c r="AE427" s="3"/>
      <c r="AF427" s="3"/>
      <c r="AG427" s="3"/>
      <c r="AH427" s="615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</row>
    <row r="428" spans="1:74" ht="15.75" customHeight="1">
      <c r="A428" s="3"/>
      <c r="B428" s="3"/>
      <c r="C428" s="3"/>
      <c r="D428" s="3"/>
      <c r="E428" s="615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615"/>
      <c r="AE428" s="3"/>
      <c r="AF428" s="3"/>
      <c r="AG428" s="3"/>
      <c r="AH428" s="615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</row>
    <row r="429" spans="1:74" ht="15.75" customHeight="1">
      <c r="A429" s="3"/>
      <c r="B429" s="3"/>
      <c r="C429" s="3"/>
      <c r="D429" s="3"/>
      <c r="E429" s="615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615"/>
      <c r="AE429" s="3"/>
      <c r="AF429" s="3"/>
      <c r="AG429" s="3"/>
      <c r="AH429" s="615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</row>
    <row r="430" spans="1:74" ht="15.75" customHeight="1">
      <c r="A430" s="3"/>
      <c r="B430" s="3"/>
      <c r="C430" s="3"/>
      <c r="D430" s="3"/>
      <c r="E430" s="615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615"/>
      <c r="AE430" s="3"/>
      <c r="AF430" s="3"/>
      <c r="AG430" s="3"/>
      <c r="AH430" s="615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</row>
    <row r="431" spans="1:74" ht="15.75" customHeight="1">
      <c r="A431" s="3"/>
      <c r="B431" s="3"/>
      <c r="C431" s="3"/>
      <c r="D431" s="3"/>
      <c r="E431" s="61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615"/>
      <c r="AE431" s="3"/>
      <c r="AF431" s="3"/>
      <c r="AG431" s="3"/>
      <c r="AH431" s="615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</row>
    <row r="432" spans="1:74" ht="15.75" customHeight="1">
      <c r="A432" s="3"/>
      <c r="B432" s="3"/>
      <c r="C432" s="3"/>
      <c r="D432" s="3"/>
      <c r="E432" s="615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615"/>
      <c r="AE432" s="3"/>
      <c r="AF432" s="3"/>
      <c r="AG432" s="3"/>
      <c r="AH432" s="615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</row>
    <row r="433" spans="1:74" ht="15.75" customHeight="1">
      <c r="A433" s="3"/>
      <c r="B433" s="3"/>
      <c r="C433" s="3"/>
      <c r="D433" s="3"/>
      <c r="E433" s="615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615"/>
      <c r="AE433" s="3"/>
      <c r="AF433" s="3"/>
      <c r="AG433" s="3"/>
      <c r="AH433" s="615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</row>
    <row r="434" spans="1:74" ht="15.75" customHeight="1">
      <c r="A434" s="3"/>
      <c r="B434" s="3"/>
      <c r="C434" s="3"/>
      <c r="D434" s="3"/>
      <c r="E434" s="615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615"/>
      <c r="AE434" s="3"/>
      <c r="AF434" s="3"/>
      <c r="AG434" s="3"/>
      <c r="AH434" s="615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</row>
    <row r="435" spans="1:74" ht="15.75" customHeight="1">
      <c r="A435" s="3"/>
      <c r="B435" s="3"/>
      <c r="C435" s="3"/>
      <c r="D435" s="3"/>
      <c r="E435" s="615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615"/>
      <c r="AE435" s="3"/>
      <c r="AF435" s="3"/>
      <c r="AG435" s="3"/>
      <c r="AH435" s="615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</row>
    <row r="436" spans="1:74" ht="15.75" customHeight="1">
      <c r="A436" s="3"/>
      <c r="B436" s="3"/>
      <c r="C436" s="3"/>
      <c r="D436" s="3"/>
      <c r="E436" s="61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615"/>
      <c r="AE436" s="3"/>
      <c r="AF436" s="3"/>
      <c r="AG436" s="3"/>
      <c r="AH436" s="615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</row>
    <row r="437" spans="1:74" ht="15.75" customHeight="1">
      <c r="A437" s="3"/>
      <c r="B437" s="3"/>
      <c r="C437" s="3"/>
      <c r="D437" s="3"/>
      <c r="E437" s="61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615"/>
      <c r="AE437" s="3"/>
      <c r="AF437" s="3"/>
      <c r="AG437" s="3"/>
      <c r="AH437" s="615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</row>
    <row r="438" spans="1:74" ht="15.75" customHeight="1">
      <c r="A438" s="3"/>
      <c r="B438" s="3"/>
      <c r="C438" s="3"/>
      <c r="D438" s="3"/>
      <c r="E438" s="61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615"/>
      <c r="AE438" s="3"/>
      <c r="AF438" s="3"/>
      <c r="AG438" s="3"/>
      <c r="AH438" s="615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</row>
    <row r="439" spans="1:74" ht="15.75" customHeight="1">
      <c r="A439" s="3"/>
      <c r="B439" s="3"/>
      <c r="C439" s="3"/>
      <c r="D439" s="3"/>
      <c r="E439" s="61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615"/>
      <c r="AE439" s="3"/>
      <c r="AF439" s="3"/>
      <c r="AG439" s="3"/>
      <c r="AH439" s="615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</row>
    <row r="440" spans="1:74" ht="15.75" customHeight="1">
      <c r="A440" s="3"/>
      <c r="B440" s="3"/>
      <c r="C440" s="3"/>
      <c r="D440" s="3"/>
      <c r="E440" s="615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615"/>
      <c r="AE440" s="3"/>
      <c r="AF440" s="3"/>
      <c r="AG440" s="3"/>
      <c r="AH440" s="615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</row>
    <row r="441" spans="1:74" ht="15.75" customHeight="1">
      <c r="A441" s="3"/>
      <c r="B441" s="3"/>
      <c r="C441" s="3"/>
      <c r="D441" s="3"/>
      <c r="E441" s="615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615"/>
      <c r="AE441" s="3"/>
      <c r="AF441" s="3"/>
      <c r="AG441" s="3"/>
      <c r="AH441" s="615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</row>
    <row r="442" spans="1:74" ht="15.75" customHeight="1">
      <c r="A442" s="3"/>
      <c r="B442" s="3"/>
      <c r="C442" s="3"/>
      <c r="D442" s="3"/>
      <c r="E442" s="615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615"/>
      <c r="AE442" s="3"/>
      <c r="AF442" s="3"/>
      <c r="AG442" s="3"/>
      <c r="AH442" s="615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</row>
    <row r="443" spans="1:74" ht="15.75" customHeight="1">
      <c r="A443" s="3"/>
      <c r="B443" s="3"/>
      <c r="C443" s="3"/>
      <c r="D443" s="3"/>
      <c r="E443" s="615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615"/>
      <c r="AE443" s="3"/>
      <c r="AF443" s="3"/>
      <c r="AG443" s="3"/>
      <c r="AH443" s="615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</row>
    <row r="444" spans="1:74" ht="15.75" customHeight="1">
      <c r="A444" s="3"/>
      <c r="B444" s="3"/>
      <c r="C444" s="3"/>
      <c r="D444" s="3"/>
      <c r="E444" s="615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615"/>
      <c r="AE444" s="3"/>
      <c r="AF444" s="3"/>
      <c r="AG444" s="3"/>
      <c r="AH444" s="615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</row>
    <row r="445" spans="1:74" ht="15.75" customHeight="1">
      <c r="A445" s="3"/>
      <c r="B445" s="3"/>
      <c r="C445" s="3"/>
      <c r="D445" s="3"/>
      <c r="E445" s="61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615"/>
      <c r="AE445" s="3"/>
      <c r="AF445" s="3"/>
      <c r="AG445" s="3"/>
      <c r="AH445" s="615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</row>
    <row r="446" spans="1:74" ht="15.75" customHeight="1">
      <c r="A446" s="3"/>
      <c r="B446" s="3"/>
      <c r="C446" s="3"/>
      <c r="D446" s="3"/>
      <c r="E446" s="61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615"/>
      <c r="AE446" s="3"/>
      <c r="AF446" s="3"/>
      <c r="AG446" s="3"/>
      <c r="AH446" s="615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</row>
    <row r="447" spans="1:74" ht="15.75" customHeight="1">
      <c r="A447" s="3"/>
      <c r="B447" s="3"/>
      <c r="C447" s="3"/>
      <c r="D447" s="3"/>
      <c r="E447" s="61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615"/>
      <c r="AE447" s="3"/>
      <c r="AF447" s="3"/>
      <c r="AG447" s="3"/>
      <c r="AH447" s="615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</row>
    <row r="448" spans="1:74" ht="15.75" customHeight="1">
      <c r="A448" s="3"/>
      <c r="B448" s="3"/>
      <c r="C448" s="3"/>
      <c r="D448" s="3"/>
      <c r="E448" s="61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615"/>
      <c r="AE448" s="3"/>
      <c r="AF448" s="3"/>
      <c r="AG448" s="3"/>
      <c r="AH448" s="615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</row>
    <row r="449" spans="1:74" ht="15.75" customHeight="1">
      <c r="A449" s="3"/>
      <c r="B449" s="3"/>
      <c r="C449" s="3"/>
      <c r="D449" s="3"/>
      <c r="E449" s="61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615"/>
      <c r="AE449" s="3"/>
      <c r="AF449" s="3"/>
      <c r="AG449" s="3"/>
      <c r="AH449" s="615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</row>
    <row r="450" spans="1:74" ht="15.75" customHeight="1">
      <c r="A450" s="3"/>
      <c r="B450" s="3"/>
      <c r="C450" s="3"/>
      <c r="D450" s="3"/>
      <c r="E450" s="615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615"/>
      <c r="AE450" s="3"/>
      <c r="AF450" s="3"/>
      <c r="AG450" s="3"/>
      <c r="AH450" s="615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</row>
    <row r="451" spans="1:74" ht="15.75" customHeight="1">
      <c r="A451" s="3"/>
      <c r="B451" s="3"/>
      <c r="C451" s="3"/>
      <c r="D451" s="3"/>
      <c r="E451" s="61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615"/>
      <c r="AE451" s="3"/>
      <c r="AF451" s="3"/>
      <c r="AG451" s="3"/>
      <c r="AH451" s="615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</row>
    <row r="452" spans="1:74" ht="15.75" customHeight="1">
      <c r="A452" s="3"/>
      <c r="B452" s="3"/>
      <c r="C452" s="3"/>
      <c r="D452" s="3"/>
      <c r="E452" s="61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615"/>
      <c r="AE452" s="3"/>
      <c r="AF452" s="3"/>
      <c r="AG452" s="3"/>
      <c r="AH452" s="615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</row>
    <row r="453" spans="1:74" ht="15.75" customHeight="1">
      <c r="A453" s="3"/>
      <c r="B453" s="3"/>
      <c r="C453" s="3"/>
      <c r="D453" s="3"/>
      <c r="E453" s="61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615"/>
      <c r="AE453" s="3"/>
      <c r="AF453" s="3"/>
      <c r="AG453" s="3"/>
      <c r="AH453" s="615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</row>
    <row r="454" spans="1:74" ht="15.75" customHeight="1">
      <c r="A454" s="3"/>
      <c r="B454" s="3"/>
      <c r="C454" s="3"/>
      <c r="D454" s="3"/>
      <c r="E454" s="615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615"/>
      <c r="AE454" s="3"/>
      <c r="AF454" s="3"/>
      <c r="AG454" s="3"/>
      <c r="AH454" s="615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</row>
    <row r="455" spans="1:74" ht="15.75" customHeight="1">
      <c r="A455" s="3"/>
      <c r="B455" s="3"/>
      <c r="C455" s="3"/>
      <c r="D455" s="3"/>
      <c r="E455" s="61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615"/>
      <c r="AE455" s="3"/>
      <c r="AF455" s="3"/>
      <c r="AG455" s="3"/>
      <c r="AH455" s="615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</row>
    <row r="456" spans="1:74" ht="15.75" customHeight="1">
      <c r="A456" s="3"/>
      <c r="B456" s="3"/>
      <c r="C456" s="3"/>
      <c r="D456" s="3"/>
      <c r="E456" s="61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615"/>
      <c r="AE456" s="3"/>
      <c r="AF456" s="3"/>
      <c r="AG456" s="3"/>
      <c r="AH456" s="615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</row>
    <row r="457" spans="1:74" ht="15.75" customHeight="1">
      <c r="A457" s="3"/>
      <c r="B457" s="3"/>
      <c r="C457" s="3"/>
      <c r="D457" s="3"/>
      <c r="E457" s="61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615"/>
      <c r="AE457" s="3"/>
      <c r="AF457" s="3"/>
      <c r="AG457" s="3"/>
      <c r="AH457" s="615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</row>
    <row r="458" spans="1:74" ht="15.75" customHeight="1">
      <c r="A458" s="3"/>
      <c r="B458" s="3"/>
      <c r="C458" s="3"/>
      <c r="D458" s="3"/>
      <c r="E458" s="61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615"/>
      <c r="AE458" s="3"/>
      <c r="AF458" s="3"/>
      <c r="AG458" s="3"/>
      <c r="AH458" s="615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</row>
    <row r="459" spans="1:74" ht="15.75" customHeight="1">
      <c r="A459" s="3"/>
      <c r="B459" s="3"/>
      <c r="C459" s="3"/>
      <c r="D459" s="3"/>
      <c r="E459" s="61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615"/>
      <c r="AE459" s="3"/>
      <c r="AF459" s="3"/>
      <c r="AG459" s="3"/>
      <c r="AH459" s="615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</row>
    <row r="460" spans="1:74" ht="15.75" customHeight="1">
      <c r="A460" s="3"/>
      <c r="B460" s="3"/>
      <c r="C460" s="3"/>
      <c r="D460" s="3"/>
      <c r="E460" s="61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615"/>
      <c r="AE460" s="3"/>
      <c r="AF460" s="3"/>
      <c r="AG460" s="3"/>
      <c r="AH460" s="615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</row>
    <row r="461" spans="1:74" ht="15.75" customHeight="1">
      <c r="A461" s="3"/>
      <c r="B461" s="3"/>
      <c r="C461" s="3"/>
      <c r="D461" s="3"/>
      <c r="E461" s="61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615"/>
      <c r="AE461" s="3"/>
      <c r="AF461" s="3"/>
      <c r="AG461" s="3"/>
      <c r="AH461" s="615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</row>
    <row r="462" spans="1:74" ht="15.75" customHeight="1">
      <c r="A462" s="3"/>
      <c r="B462" s="3"/>
      <c r="C462" s="3"/>
      <c r="D462" s="3"/>
      <c r="E462" s="615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615"/>
      <c r="AE462" s="3"/>
      <c r="AF462" s="3"/>
      <c r="AG462" s="3"/>
      <c r="AH462" s="615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</row>
    <row r="463" spans="1:74" ht="15.75" customHeight="1">
      <c r="A463" s="3"/>
      <c r="B463" s="3"/>
      <c r="C463" s="3"/>
      <c r="D463" s="3"/>
      <c r="E463" s="615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615"/>
      <c r="AE463" s="3"/>
      <c r="AF463" s="3"/>
      <c r="AG463" s="3"/>
      <c r="AH463" s="615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</row>
    <row r="464" spans="1:74" ht="15.75" customHeight="1">
      <c r="A464" s="3"/>
      <c r="B464" s="3"/>
      <c r="C464" s="3"/>
      <c r="D464" s="3"/>
      <c r="E464" s="61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615"/>
      <c r="AE464" s="3"/>
      <c r="AF464" s="3"/>
      <c r="AG464" s="3"/>
      <c r="AH464" s="615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</row>
    <row r="465" spans="1:74" ht="15.75" customHeight="1">
      <c r="A465" s="3"/>
      <c r="B465" s="3"/>
      <c r="C465" s="3"/>
      <c r="D465" s="3"/>
      <c r="E465" s="61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615"/>
      <c r="AE465" s="3"/>
      <c r="AF465" s="3"/>
      <c r="AG465" s="3"/>
      <c r="AH465" s="615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</row>
    <row r="466" spans="1:74" ht="15.75" customHeight="1">
      <c r="A466" s="3"/>
      <c r="B466" s="3"/>
      <c r="C466" s="3"/>
      <c r="D466" s="3"/>
      <c r="E466" s="61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615"/>
      <c r="AE466" s="3"/>
      <c r="AF466" s="3"/>
      <c r="AG466" s="3"/>
      <c r="AH466" s="615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</row>
    <row r="467" spans="1:74" ht="15.75" customHeight="1">
      <c r="A467" s="3"/>
      <c r="B467" s="3"/>
      <c r="C467" s="3"/>
      <c r="D467" s="3"/>
      <c r="E467" s="61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615"/>
      <c r="AE467" s="3"/>
      <c r="AF467" s="3"/>
      <c r="AG467" s="3"/>
      <c r="AH467" s="615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</row>
    <row r="468" spans="1:74" ht="15.75" customHeight="1">
      <c r="A468" s="3"/>
      <c r="B468" s="3"/>
      <c r="C468" s="3"/>
      <c r="D468" s="3"/>
      <c r="E468" s="615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615"/>
      <c r="AE468" s="3"/>
      <c r="AF468" s="3"/>
      <c r="AG468" s="3"/>
      <c r="AH468" s="615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</row>
    <row r="469" spans="1:74" ht="15.75" customHeight="1">
      <c r="A469" s="3"/>
      <c r="B469" s="3"/>
      <c r="C469" s="3"/>
      <c r="D469" s="3"/>
      <c r="E469" s="615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615"/>
      <c r="AE469" s="3"/>
      <c r="AF469" s="3"/>
      <c r="AG469" s="3"/>
      <c r="AH469" s="615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</row>
    <row r="470" spans="1:74" ht="15.75" customHeight="1">
      <c r="A470" s="3"/>
      <c r="B470" s="3"/>
      <c r="C470" s="3"/>
      <c r="D470" s="3"/>
      <c r="E470" s="61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615"/>
      <c r="AE470" s="3"/>
      <c r="AF470" s="3"/>
      <c r="AG470" s="3"/>
      <c r="AH470" s="615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</row>
    <row r="471" spans="1:74" ht="15.75" customHeight="1">
      <c r="A471" s="3"/>
      <c r="B471" s="3"/>
      <c r="C471" s="3"/>
      <c r="D471" s="3"/>
      <c r="E471" s="61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615"/>
      <c r="AE471" s="3"/>
      <c r="AF471" s="3"/>
      <c r="AG471" s="3"/>
      <c r="AH471" s="615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</row>
    <row r="472" spans="1:74" ht="15.75" customHeight="1">
      <c r="A472" s="3"/>
      <c r="B472" s="3"/>
      <c r="C472" s="3"/>
      <c r="D472" s="3"/>
      <c r="E472" s="61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615"/>
      <c r="AE472" s="3"/>
      <c r="AF472" s="3"/>
      <c r="AG472" s="3"/>
      <c r="AH472" s="615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</row>
    <row r="473" spans="1:74" ht="15.75" customHeight="1">
      <c r="A473" s="3"/>
      <c r="B473" s="3"/>
      <c r="C473" s="3"/>
      <c r="D473" s="3"/>
      <c r="E473" s="61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615"/>
      <c r="AE473" s="3"/>
      <c r="AF473" s="3"/>
      <c r="AG473" s="3"/>
      <c r="AH473" s="615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</row>
    <row r="474" spans="1:74" ht="15.75" customHeight="1">
      <c r="A474" s="3"/>
      <c r="B474" s="3"/>
      <c r="C474" s="3"/>
      <c r="D474" s="3"/>
      <c r="E474" s="61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615"/>
      <c r="AE474" s="3"/>
      <c r="AF474" s="3"/>
      <c r="AG474" s="3"/>
      <c r="AH474" s="615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</row>
    <row r="475" spans="1:74" ht="15.75" customHeight="1">
      <c r="A475" s="3"/>
      <c r="B475" s="3"/>
      <c r="C475" s="3"/>
      <c r="D475" s="3"/>
      <c r="E475" s="61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615"/>
      <c r="AE475" s="3"/>
      <c r="AF475" s="3"/>
      <c r="AG475" s="3"/>
      <c r="AH475" s="615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</row>
    <row r="476" spans="1:74" ht="15.75" customHeight="1">
      <c r="A476" s="3"/>
      <c r="B476" s="3"/>
      <c r="C476" s="3"/>
      <c r="D476" s="3"/>
      <c r="E476" s="615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615"/>
      <c r="AE476" s="3"/>
      <c r="AF476" s="3"/>
      <c r="AG476" s="3"/>
      <c r="AH476" s="615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</row>
    <row r="477" spans="1:74" ht="15.75" customHeight="1">
      <c r="A477" s="3"/>
      <c r="B477" s="3"/>
      <c r="C477" s="3"/>
      <c r="D477" s="3"/>
      <c r="E477" s="61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615"/>
      <c r="AE477" s="3"/>
      <c r="AF477" s="3"/>
      <c r="AG477" s="3"/>
      <c r="AH477" s="615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</row>
    <row r="478" spans="1:74" ht="15.75" customHeight="1">
      <c r="A478" s="3"/>
      <c r="B478" s="3"/>
      <c r="C478" s="3"/>
      <c r="D478" s="3"/>
      <c r="E478" s="61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615"/>
      <c r="AE478" s="3"/>
      <c r="AF478" s="3"/>
      <c r="AG478" s="3"/>
      <c r="AH478" s="615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</row>
    <row r="479" spans="1:74" ht="15.75" customHeight="1">
      <c r="A479" s="3"/>
      <c r="B479" s="3"/>
      <c r="C479" s="3"/>
      <c r="D479" s="3"/>
      <c r="E479" s="61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615"/>
      <c r="AE479" s="3"/>
      <c r="AF479" s="3"/>
      <c r="AG479" s="3"/>
      <c r="AH479" s="615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</row>
    <row r="480" spans="1:74" ht="15.75" customHeight="1">
      <c r="A480" s="3"/>
      <c r="B480" s="3"/>
      <c r="C480" s="3"/>
      <c r="D480" s="3"/>
      <c r="E480" s="61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615"/>
      <c r="AE480" s="3"/>
      <c r="AF480" s="3"/>
      <c r="AG480" s="3"/>
      <c r="AH480" s="615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</row>
    <row r="481" spans="1:74" ht="15.75" customHeight="1">
      <c r="A481" s="3"/>
      <c r="B481" s="3"/>
      <c r="C481" s="3"/>
      <c r="D481" s="3"/>
      <c r="E481" s="61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615"/>
      <c r="AE481" s="3"/>
      <c r="AF481" s="3"/>
      <c r="AG481" s="3"/>
      <c r="AH481" s="615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</row>
    <row r="482" spans="1:74" ht="15.75" customHeight="1">
      <c r="A482" s="3"/>
      <c r="B482" s="3"/>
      <c r="C482" s="3"/>
      <c r="D482" s="3"/>
      <c r="E482" s="61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615"/>
      <c r="AE482" s="3"/>
      <c r="AF482" s="3"/>
      <c r="AG482" s="3"/>
      <c r="AH482" s="615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</row>
    <row r="483" spans="1:74" ht="15.75" customHeight="1">
      <c r="A483" s="3"/>
      <c r="B483" s="3"/>
      <c r="C483" s="3"/>
      <c r="D483" s="3"/>
      <c r="E483" s="61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615"/>
      <c r="AE483" s="3"/>
      <c r="AF483" s="3"/>
      <c r="AG483" s="3"/>
      <c r="AH483" s="615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</row>
    <row r="484" spans="1:74" ht="15.75" customHeight="1">
      <c r="A484" s="3"/>
      <c r="B484" s="3"/>
      <c r="C484" s="3"/>
      <c r="D484" s="3"/>
      <c r="E484" s="61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615"/>
      <c r="AE484" s="3"/>
      <c r="AF484" s="3"/>
      <c r="AG484" s="3"/>
      <c r="AH484" s="615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</row>
    <row r="485" spans="1:74" ht="15.75" customHeight="1">
      <c r="A485" s="3"/>
      <c r="B485" s="3"/>
      <c r="C485" s="3"/>
      <c r="D485" s="3"/>
      <c r="E485" s="61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615"/>
      <c r="AE485" s="3"/>
      <c r="AF485" s="3"/>
      <c r="AG485" s="3"/>
      <c r="AH485" s="615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</row>
    <row r="486" spans="1:74" ht="15.75" customHeight="1">
      <c r="A486" s="3"/>
      <c r="B486" s="3"/>
      <c r="C486" s="3"/>
      <c r="D486" s="3"/>
      <c r="E486" s="615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615"/>
      <c r="AE486" s="3"/>
      <c r="AF486" s="3"/>
      <c r="AG486" s="3"/>
      <c r="AH486" s="615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</row>
    <row r="487" spans="1:74" ht="15.75" customHeight="1">
      <c r="A487" s="3"/>
      <c r="B487" s="3"/>
      <c r="C487" s="3"/>
      <c r="D487" s="3"/>
      <c r="E487" s="61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615"/>
      <c r="AE487" s="3"/>
      <c r="AF487" s="3"/>
      <c r="AG487" s="3"/>
      <c r="AH487" s="615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</row>
    <row r="488" spans="1:74" ht="15.75" customHeight="1">
      <c r="A488" s="3"/>
      <c r="B488" s="3"/>
      <c r="C488" s="3"/>
      <c r="D488" s="3"/>
      <c r="E488" s="61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615"/>
      <c r="AE488" s="3"/>
      <c r="AF488" s="3"/>
      <c r="AG488" s="3"/>
      <c r="AH488" s="615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</row>
    <row r="489" spans="1:74" ht="15.75" customHeight="1">
      <c r="A489" s="3"/>
      <c r="B489" s="3"/>
      <c r="C489" s="3"/>
      <c r="D489" s="3"/>
      <c r="E489" s="61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615"/>
      <c r="AE489" s="3"/>
      <c r="AF489" s="3"/>
      <c r="AG489" s="3"/>
      <c r="AH489" s="615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</row>
    <row r="490" spans="1:74" ht="15.75" customHeight="1">
      <c r="A490" s="3"/>
      <c r="B490" s="3"/>
      <c r="C490" s="3"/>
      <c r="D490" s="3"/>
      <c r="E490" s="615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615"/>
      <c r="AE490" s="3"/>
      <c r="AF490" s="3"/>
      <c r="AG490" s="3"/>
      <c r="AH490" s="615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</row>
    <row r="491" spans="1:74" ht="15.75" customHeight="1">
      <c r="A491" s="3"/>
      <c r="B491" s="3"/>
      <c r="C491" s="3"/>
      <c r="D491" s="3"/>
      <c r="E491" s="615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615"/>
      <c r="AE491" s="3"/>
      <c r="AF491" s="3"/>
      <c r="AG491" s="3"/>
      <c r="AH491" s="615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</row>
    <row r="492" spans="1:74" ht="15.75" customHeight="1">
      <c r="A492" s="3"/>
      <c r="B492" s="3"/>
      <c r="C492" s="3"/>
      <c r="D492" s="3"/>
      <c r="E492" s="61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615"/>
      <c r="AE492" s="3"/>
      <c r="AF492" s="3"/>
      <c r="AG492" s="3"/>
      <c r="AH492" s="615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</row>
    <row r="493" spans="1:74" ht="15.75" customHeight="1">
      <c r="A493" s="3"/>
      <c r="B493" s="3"/>
      <c r="C493" s="3"/>
      <c r="D493" s="3"/>
      <c r="E493" s="61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615"/>
      <c r="AE493" s="3"/>
      <c r="AF493" s="3"/>
      <c r="AG493" s="3"/>
      <c r="AH493" s="615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</row>
    <row r="494" spans="1:74" ht="15.75" customHeight="1">
      <c r="A494" s="3"/>
      <c r="B494" s="3"/>
      <c r="C494" s="3"/>
      <c r="D494" s="3"/>
      <c r="E494" s="61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615"/>
      <c r="AE494" s="3"/>
      <c r="AF494" s="3"/>
      <c r="AG494" s="3"/>
      <c r="AH494" s="615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</row>
    <row r="495" spans="1:74" ht="15.75" customHeight="1">
      <c r="A495" s="3"/>
      <c r="B495" s="3"/>
      <c r="C495" s="3"/>
      <c r="D495" s="3"/>
      <c r="E495" s="61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615"/>
      <c r="AE495" s="3"/>
      <c r="AF495" s="3"/>
      <c r="AG495" s="3"/>
      <c r="AH495" s="615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</row>
    <row r="496" spans="1:74" ht="15.75" customHeight="1">
      <c r="A496" s="3"/>
      <c r="B496" s="3"/>
      <c r="C496" s="3"/>
      <c r="D496" s="3"/>
      <c r="E496" s="61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615"/>
      <c r="AE496" s="3"/>
      <c r="AF496" s="3"/>
      <c r="AG496" s="3"/>
      <c r="AH496" s="615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</row>
    <row r="497" spans="1:74" ht="15.75" customHeight="1">
      <c r="A497" s="3"/>
      <c r="B497" s="3"/>
      <c r="C497" s="3"/>
      <c r="D497" s="3"/>
      <c r="E497" s="61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615"/>
      <c r="AE497" s="3"/>
      <c r="AF497" s="3"/>
      <c r="AG497" s="3"/>
      <c r="AH497" s="615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</row>
    <row r="498" spans="1:74" ht="15.75" customHeight="1">
      <c r="A498" s="3"/>
      <c r="B498" s="3"/>
      <c r="C498" s="3"/>
      <c r="D498" s="3"/>
      <c r="E498" s="615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615"/>
      <c r="AE498" s="3"/>
      <c r="AF498" s="3"/>
      <c r="AG498" s="3"/>
      <c r="AH498" s="615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</row>
    <row r="499" spans="1:74" ht="15.75" customHeight="1">
      <c r="A499" s="3"/>
      <c r="B499" s="3"/>
      <c r="C499" s="3"/>
      <c r="D499" s="3"/>
      <c r="E499" s="61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615"/>
      <c r="AE499" s="3"/>
      <c r="AF499" s="3"/>
      <c r="AG499" s="3"/>
      <c r="AH499" s="615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</row>
    <row r="500" spans="1:74" ht="15.75" customHeight="1">
      <c r="A500" s="3"/>
      <c r="B500" s="3"/>
      <c r="C500" s="3"/>
      <c r="D500" s="3"/>
      <c r="E500" s="61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615"/>
      <c r="AE500" s="3"/>
      <c r="AF500" s="3"/>
      <c r="AG500" s="3"/>
      <c r="AH500" s="615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</row>
    <row r="501" spans="1:74" ht="15.75" customHeight="1">
      <c r="A501" s="3"/>
      <c r="B501" s="3"/>
      <c r="C501" s="3"/>
      <c r="D501" s="3"/>
      <c r="E501" s="61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615"/>
      <c r="AE501" s="3"/>
      <c r="AF501" s="3"/>
      <c r="AG501" s="3"/>
      <c r="AH501" s="615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</row>
    <row r="502" spans="1:74" ht="15.75" customHeight="1">
      <c r="A502" s="3"/>
      <c r="B502" s="3"/>
      <c r="C502" s="3"/>
      <c r="D502" s="3"/>
      <c r="E502" s="61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615"/>
      <c r="AE502" s="3"/>
      <c r="AF502" s="3"/>
      <c r="AG502" s="3"/>
      <c r="AH502" s="615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</row>
    <row r="503" spans="1:74" ht="15.75" customHeight="1">
      <c r="A503" s="3"/>
      <c r="B503" s="3"/>
      <c r="C503" s="3"/>
      <c r="D503" s="3"/>
      <c r="E503" s="61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615"/>
      <c r="AE503" s="3"/>
      <c r="AF503" s="3"/>
      <c r="AG503" s="3"/>
      <c r="AH503" s="615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</row>
    <row r="504" spans="1:74" ht="15.75" customHeight="1">
      <c r="A504" s="3"/>
      <c r="B504" s="3"/>
      <c r="C504" s="3"/>
      <c r="D504" s="3"/>
      <c r="E504" s="615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615"/>
      <c r="AE504" s="3"/>
      <c r="AF504" s="3"/>
      <c r="AG504" s="3"/>
      <c r="AH504" s="615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</row>
    <row r="505" spans="1:74" ht="15.75" customHeight="1">
      <c r="A505" s="3"/>
      <c r="B505" s="3"/>
      <c r="C505" s="3"/>
      <c r="D505" s="3"/>
      <c r="E505" s="615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615"/>
      <c r="AE505" s="3"/>
      <c r="AF505" s="3"/>
      <c r="AG505" s="3"/>
      <c r="AH505" s="615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</row>
    <row r="506" spans="1:74" ht="15.75" customHeight="1">
      <c r="A506" s="3"/>
      <c r="B506" s="3"/>
      <c r="C506" s="3"/>
      <c r="D506" s="3"/>
      <c r="E506" s="61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615"/>
      <c r="AE506" s="3"/>
      <c r="AF506" s="3"/>
      <c r="AG506" s="3"/>
      <c r="AH506" s="615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</row>
    <row r="507" spans="1:74" ht="15.75" customHeight="1">
      <c r="A507" s="3"/>
      <c r="B507" s="3"/>
      <c r="C507" s="3"/>
      <c r="D507" s="3"/>
      <c r="E507" s="61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615"/>
      <c r="AE507" s="3"/>
      <c r="AF507" s="3"/>
      <c r="AG507" s="3"/>
      <c r="AH507" s="615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</row>
    <row r="508" spans="1:74" ht="15.75" customHeight="1">
      <c r="A508" s="3"/>
      <c r="B508" s="3"/>
      <c r="C508" s="3"/>
      <c r="D508" s="3"/>
      <c r="E508" s="61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615"/>
      <c r="AE508" s="3"/>
      <c r="AF508" s="3"/>
      <c r="AG508" s="3"/>
      <c r="AH508" s="615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</row>
    <row r="509" spans="1:74" ht="15.75" customHeight="1">
      <c r="A509" s="3"/>
      <c r="B509" s="3"/>
      <c r="C509" s="3"/>
      <c r="D509" s="3"/>
      <c r="E509" s="61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615"/>
      <c r="AE509" s="3"/>
      <c r="AF509" s="3"/>
      <c r="AG509" s="3"/>
      <c r="AH509" s="615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</row>
    <row r="510" spans="1:74" ht="15.75" customHeight="1">
      <c r="A510" s="3"/>
      <c r="B510" s="3"/>
      <c r="C510" s="3"/>
      <c r="D510" s="3"/>
      <c r="E510" s="615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615"/>
      <c r="AE510" s="3"/>
      <c r="AF510" s="3"/>
      <c r="AG510" s="3"/>
      <c r="AH510" s="615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</row>
    <row r="511" spans="1:74" ht="15.75" customHeight="1">
      <c r="A511" s="3"/>
      <c r="B511" s="3"/>
      <c r="C511" s="3"/>
      <c r="D511" s="3"/>
      <c r="E511" s="615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615"/>
      <c r="AE511" s="3"/>
      <c r="AF511" s="3"/>
      <c r="AG511" s="3"/>
      <c r="AH511" s="615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</row>
    <row r="512" spans="1:74" ht="15.75" customHeight="1">
      <c r="A512" s="3"/>
      <c r="B512" s="3"/>
      <c r="C512" s="3"/>
      <c r="D512" s="3"/>
      <c r="E512" s="615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615"/>
      <c r="AE512" s="3"/>
      <c r="AF512" s="3"/>
      <c r="AG512" s="3"/>
      <c r="AH512" s="615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</row>
    <row r="513" spans="1:74" ht="15.75" customHeight="1">
      <c r="A513" s="3"/>
      <c r="B513" s="3"/>
      <c r="C513" s="3"/>
      <c r="D513" s="3"/>
      <c r="E513" s="615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615"/>
      <c r="AE513" s="3"/>
      <c r="AF513" s="3"/>
      <c r="AG513" s="3"/>
      <c r="AH513" s="615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</row>
    <row r="514" spans="1:74" ht="15.75" customHeight="1">
      <c r="A514" s="3"/>
      <c r="B514" s="3"/>
      <c r="C514" s="3"/>
      <c r="D514" s="3"/>
      <c r="E514" s="615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615"/>
      <c r="AE514" s="3"/>
      <c r="AF514" s="3"/>
      <c r="AG514" s="3"/>
      <c r="AH514" s="615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</row>
    <row r="515" spans="1:74" ht="15.75" customHeight="1">
      <c r="A515" s="3"/>
      <c r="B515" s="3"/>
      <c r="C515" s="3"/>
      <c r="D515" s="3"/>
      <c r="E515" s="615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615"/>
      <c r="AE515" s="3"/>
      <c r="AF515" s="3"/>
      <c r="AG515" s="3"/>
      <c r="AH515" s="615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</row>
    <row r="516" spans="1:74" ht="15.75" customHeight="1">
      <c r="A516" s="3"/>
      <c r="B516" s="3"/>
      <c r="C516" s="3"/>
      <c r="D516" s="3"/>
      <c r="E516" s="615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615"/>
      <c r="AE516" s="3"/>
      <c r="AF516" s="3"/>
      <c r="AG516" s="3"/>
      <c r="AH516" s="615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</row>
    <row r="517" spans="1:74" ht="15.75" customHeight="1">
      <c r="A517" s="3"/>
      <c r="B517" s="3"/>
      <c r="C517" s="3"/>
      <c r="D517" s="3"/>
      <c r="E517" s="615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615"/>
      <c r="AE517" s="3"/>
      <c r="AF517" s="3"/>
      <c r="AG517" s="3"/>
      <c r="AH517" s="615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</row>
    <row r="518" spans="1:74" ht="15.75" customHeight="1">
      <c r="A518" s="3"/>
      <c r="B518" s="3"/>
      <c r="C518" s="3"/>
      <c r="D518" s="3"/>
      <c r="E518" s="615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615"/>
      <c r="AE518" s="3"/>
      <c r="AF518" s="3"/>
      <c r="AG518" s="3"/>
      <c r="AH518" s="615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</row>
    <row r="519" spans="1:74" ht="15.75" customHeight="1">
      <c r="A519" s="3"/>
      <c r="B519" s="3"/>
      <c r="C519" s="3"/>
      <c r="D519" s="3"/>
      <c r="E519" s="615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615"/>
      <c r="AE519" s="3"/>
      <c r="AF519" s="3"/>
      <c r="AG519" s="3"/>
      <c r="AH519" s="615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</row>
    <row r="520" spans="1:74" ht="15.75" customHeight="1">
      <c r="A520" s="3"/>
      <c r="B520" s="3"/>
      <c r="C520" s="3"/>
      <c r="D520" s="3"/>
      <c r="E520" s="61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615"/>
      <c r="AE520" s="3"/>
      <c r="AF520" s="3"/>
      <c r="AG520" s="3"/>
      <c r="AH520" s="615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</row>
    <row r="521" spans="1:74" ht="15.75" customHeight="1">
      <c r="A521" s="3"/>
      <c r="B521" s="3"/>
      <c r="C521" s="3"/>
      <c r="D521" s="3"/>
      <c r="E521" s="61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615"/>
      <c r="AE521" s="3"/>
      <c r="AF521" s="3"/>
      <c r="AG521" s="3"/>
      <c r="AH521" s="615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</row>
    <row r="522" spans="1:74" ht="15.75" customHeight="1">
      <c r="A522" s="3"/>
      <c r="B522" s="3"/>
      <c r="C522" s="3"/>
      <c r="D522" s="3"/>
      <c r="E522" s="615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615"/>
      <c r="AE522" s="3"/>
      <c r="AF522" s="3"/>
      <c r="AG522" s="3"/>
      <c r="AH522" s="615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</row>
    <row r="523" spans="1:74" ht="15.75" customHeight="1">
      <c r="A523" s="3"/>
      <c r="B523" s="3"/>
      <c r="C523" s="3"/>
      <c r="D523" s="3"/>
      <c r="E523" s="615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615"/>
      <c r="AE523" s="3"/>
      <c r="AF523" s="3"/>
      <c r="AG523" s="3"/>
      <c r="AH523" s="615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</row>
    <row r="524" spans="1:74" ht="15.75" customHeight="1">
      <c r="A524" s="3"/>
      <c r="B524" s="3"/>
      <c r="C524" s="3"/>
      <c r="D524" s="3"/>
      <c r="E524" s="61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615"/>
      <c r="AE524" s="3"/>
      <c r="AF524" s="3"/>
      <c r="AG524" s="3"/>
      <c r="AH524" s="615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</row>
    <row r="525" spans="1:74" ht="15.75" customHeight="1">
      <c r="A525" s="3"/>
      <c r="B525" s="3"/>
      <c r="C525" s="3"/>
      <c r="D525" s="3"/>
      <c r="E525" s="61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615"/>
      <c r="AE525" s="3"/>
      <c r="AF525" s="3"/>
      <c r="AG525" s="3"/>
      <c r="AH525" s="615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</row>
    <row r="526" spans="1:74" ht="15.75" customHeight="1">
      <c r="A526" s="3"/>
      <c r="B526" s="3"/>
      <c r="C526" s="3"/>
      <c r="D526" s="3"/>
      <c r="E526" s="61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615"/>
      <c r="AE526" s="3"/>
      <c r="AF526" s="3"/>
      <c r="AG526" s="3"/>
      <c r="AH526" s="615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</row>
    <row r="527" spans="1:74" ht="15.75" customHeight="1">
      <c r="A527" s="3"/>
      <c r="B527" s="3"/>
      <c r="C527" s="3"/>
      <c r="D527" s="3"/>
      <c r="E527" s="61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615"/>
      <c r="AE527" s="3"/>
      <c r="AF527" s="3"/>
      <c r="AG527" s="3"/>
      <c r="AH527" s="615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</row>
    <row r="528" spans="1:74" ht="15.75" customHeight="1">
      <c r="A528" s="3"/>
      <c r="B528" s="3"/>
      <c r="C528" s="3"/>
      <c r="D528" s="3"/>
      <c r="E528" s="61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615"/>
      <c r="AE528" s="3"/>
      <c r="AF528" s="3"/>
      <c r="AG528" s="3"/>
      <c r="AH528" s="615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</row>
    <row r="529" spans="1:74" ht="15.75" customHeight="1">
      <c r="A529" s="3"/>
      <c r="B529" s="3"/>
      <c r="C529" s="3"/>
      <c r="D529" s="3"/>
      <c r="E529" s="61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615"/>
      <c r="AE529" s="3"/>
      <c r="AF529" s="3"/>
      <c r="AG529" s="3"/>
      <c r="AH529" s="615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</row>
    <row r="530" spans="1:74" ht="15.75" customHeight="1">
      <c r="A530" s="3"/>
      <c r="B530" s="3"/>
      <c r="C530" s="3"/>
      <c r="D530" s="3"/>
      <c r="E530" s="61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615"/>
      <c r="AE530" s="3"/>
      <c r="AF530" s="3"/>
      <c r="AG530" s="3"/>
      <c r="AH530" s="615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</row>
    <row r="531" spans="1:74" ht="15.75" customHeight="1">
      <c r="A531" s="3"/>
      <c r="B531" s="3"/>
      <c r="C531" s="3"/>
      <c r="D531" s="3"/>
      <c r="E531" s="61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615"/>
      <c r="AE531" s="3"/>
      <c r="AF531" s="3"/>
      <c r="AG531" s="3"/>
      <c r="AH531" s="615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</row>
    <row r="532" spans="1:74" ht="15.75" customHeight="1">
      <c r="A532" s="3"/>
      <c r="B532" s="3"/>
      <c r="C532" s="3"/>
      <c r="D532" s="3"/>
      <c r="E532" s="615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615"/>
      <c r="AE532" s="3"/>
      <c r="AF532" s="3"/>
      <c r="AG532" s="3"/>
      <c r="AH532" s="615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</row>
    <row r="533" spans="1:74" ht="15.75" customHeight="1">
      <c r="A533" s="3"/>
      <c r="B533" s="3"/>
      <c r="C533" s="3"/>
      <c r="D533" s="3"/>
      <c r="E533" s="615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615"/>
      <c r="AE533" s="3"/>
      <c r="AF533" s="3"/>
      <c r="AG533" s="3"/>
      <c r="AH533" s="615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</row>
    <row r="534" spans="1:74" ht="15.75" customHeight="1">
      <c r="A534" s="3"/>
      <c r="B534" s="3"/>
      <c r="C534" s="3"/>
      <c r="D534" s="3"/>
      <c r="E534" s="61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615"/>
      <c r="AE534" s="3"/>
      <c r="AF534" s="3"/>
      <c r="AG534" s="3"/>
      <c r="AH534" s="615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</row>
    <row r="535" spans="1:74" ht="15.75" customHeight="1">
      <c r="A535" s="3"/>
      <c r="B535" s="3"/>
      <c r="C535" s="3"/>
      <c r="D535" s="3"/>
      <c r="E535" s="61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615"/>
      <c r="AE535" s="3"/>
      <c r="AF535" s="3"/>
      <c r="AG535" s="3"/>
      <c r="AH535" s="615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</row>
    <row r="536" spans="1:74" ht="15.75" customHeight="1">
      <c r="A536" s="3"/>
      <c r="B536" s="3"/>
      <c r="C536" s="3"/>
      <c r="D536" s="3"/>
      <c r="E536" s="61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615"/>
      <c r="AE536" s="3"/>
      <c r="AF536" s="3"/>
      <c r="AG536" s="3"/>
      <c r="AH536" s="615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</row>
    <row r="537" spans="1:74" ht="15.75" customHeight="1">
      <c r="A537" s="3"/>
      <c r="B537" s="3"/>
      <c r="C537" s="3"/>
      <c r="D537" s="3"/>
      <c r="E537" s="61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615"/>
      <c r="AE537" s="3"/>
      <c r="AF537" s="3"/>
      <c r="AG537" s="3"/>
      <c r="AH537" s="615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</row>
    <row r="538" spans="1:74" ht="15.75" customHeight="1">
      <c r="A538" s="3"/>
      <c r="B538" s="3"/>
      <c r="C538" s="3"/>
      <c r="D538" s="3"/>
      <c r="E538" s="61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615"/>
      <c r="AE538" s="3"/>
      <c r="AF538" s="3"/>
      <c r="AG538" s="3"/>
      <c r="AH538" s="615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</row>
    <row r="539" spans="1:74" ht="15.75" customHeight="1">
      <c r="A539" s="3"/>
      <c r="B539" s="3"/>
      <c r="C539" s="3"/>
      <c r="D539" s="3"/>
      <c r="E539" s="61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615"/>
      <c r="AE539" s="3"/>
      <c r="AF539" s="3"/>
      <c r="AG539" s="3"/>
      <c r="AH539" s="615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</row>
    <row r="540" spans="1:74" ht="15.75" customHeight="1">
      <c r="A540" s="3"/>
      <c r="B540" s="3"/>
      <c r="C540" s="3"/>
      <c r="D540" s="3"/>
      <c r="E540" s="61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615"/>
      <c r="AE540" s="3"/>
      <c r="AF540" s="3"/>
      <c r="AG540" s="3"/>
      <c r="AH540" s="615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</row>
    <row r="541" spans="1:74" ht="15.75" customHeight="1">
      <c r="A541" s="3"/>
      <c r="B541" s="3"/>
      <c r="C541" s="3"/>
      <c r="D541" s="3"/>
      <c r="E541" s="61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615"/>
      <c r="AE541" s="3"/>
      <c r="AF541" s="3"/>
      <c r="AG541" s="3"/>
      <c r="AH541" s="615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</row>
    <row r="542" spans="1:74" ht="15.75" customHeight="1">
      <c r="A542" s="3"/>
      <c r="B542" s="3"/>
      <c r="C542" s="3"/>
      <c r="D542" s="3"/>
      <c r="E542" s="61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615"/>
      <c r="AE542" s="3"/>
      <c r="AF542" s="3"/>
      <c r="AG542" s="3"/>
      <c r="AH542" s="615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</row>
    <row r="543" spans="1:74" ht="15.75" customHeight="1">
      <c r="A543" s="3"/>
      <c r="B543" s="3"/>
      <c r="C543" s="3"/>
      <c r="D543" s="3"/>
      <c r="E543" s="61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615"/>
      <c r="AE543" s="3"/>
      <c r="AF543" s="3"/>
      <c r="AG543" s="3"/>
      <c r="AH543" s="615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</row>
    <row r="544" spans="1:74" ht="15.75" customHeight="1">
      <c r="A544" s="3"/>
      <c r="B544" s="3"/>
      <c r="C544" s="3"/>
      <c r="D544" s="3"/>
      <c r="E544" s="61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615"/>
      <c r="AE544" s="3"/>
      <c r="AF544" s="3"/>
      <c r="AG544" s="3"/>
      <c r="AH544" s="615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</row>
    <row r="545" spans="1:74" ht="15.75" customHeight="1">
      <c r="A545" s="3"/>
      <c r="B545" s="3"/>
      <c r="C545" s="3"/>
      <c r="D545" s="3"/>
      <c r="E545" s="61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615"/>
      <c r="AE545" s="3"/>
      <c r="AF545" s="3"/>
      <c r="AG545" s="3"/>
      <c r="AH545" s="615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</row>
    <row r="546" spans="1:74" ht="15.75" customHeight="1">
      <c r="A546" s="3"/>
      <c r="B546" s="3"/>
      <c r="C546" s="3"/>
      <c r="D546" s="3"/>
      <c r="E546" s="615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615"/>
      <c r="AE546" s="3"/>
      <c r="AF546" s="3"/>
      <c r="AG546" s="3"/>
      <c r="AH546" s="615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</row>
    <row r="547" spans="1:74" ht="15.75" customHeight="1">
      <c r="A547" s="3"/>
      <c r="B547" s="3"/>
      <c r="C547" s="3"/>
      <c r="D547" s="3"/>
      <c r="E547" s="615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615"/>
      <c r="AE547" s="3"/>
      <c r="AF547" s="3"/>
      <c r="AG547" s="3"/>
      <c r="AH547" s="615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</row>
    <row r="548" spans="1:74" ht="15.75" customHeight="1">
      <c r="A548" s="3"/>
      <c r="B548" s="3"/>
      <c r="C548" s="3"/>
      <c r="D548" s="3"/>
      <c r="E548" s="61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615"/>
      <c r="AE548" s="3"/>
      <c r="AF548" s="3"/>
      <c r="AG548" s="3"/>
      <c r="AH548" s="615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</row>
    <row r="549" spans="1:74" ht="15.75" customHeight="1">
      <c r="A549" s="3"/>
      <c r="B549" s="3"/>
      <c r="C549" s="3"/>
      <c r="D549" s="3"/>
      <c r="E549" s="61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615"/>
      <c r="AE549" s="3"/>
      <c r="AF549" s="3"/>
      <c r="AG549" s="3"/>
      <c r="AH549" s="615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</row>
    <row r="550" spans="1:74" ht="15.75" customHeight="1">
      <c r="A550" s="3"/>
      <c r="B550" s="3"/>
      <c r="C550" s="3"/>
      <c r="D550" s="3"/>
      <c r="E550" s="61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615"/>
      <c r="AE550" s="3"/>
      <c r="AF550" s="3"/>
      <c r="AG550" s="3"/>
      <c r="AH550" s="615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</row>
    <row r="551" spans="1:74" ht="15.75" customHeight="1">
      <c r="A551" s="3"/>
      <c r="B551" s="3"/>
      <c r="C551" s="3"/>
      <c r="D551" s="3"/>
      <c r="E551" s="61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615"/>
      <c r="AE551" s="3"/>
      <c r="AF551" s="3"/>
      <c r="AG551" s="3"/>
      <c r="AH551" s="615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</row>
    <row r="552" spans="1:74" ht="15.75" customHeight="1">
      <c r="A552" s="3"/>
      <c r="B552" s="3"/>
      <c r="C552" s="3"/>
      <c r="D552" s="3"/>
      <c r="E552" s="61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615"/>
      <c r="AE552" s="3"/>
      <c r="AF552" s="3"/>
      <c r="AG552" s="3"/>
      <c r="AH552" s="615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</row>
    <row r="553" spans="1:74" ht="15.75" customHeight="1">
      <c r="A553" s="3"/>
      <c r="B553" s="3"/>
      <c r="C553" s="3"/>
      <c r="D553" s="3"/>
      <c r="E553" s="61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615"/>
      <c r="AE553" s="3"/>
      <c r="AF553" s="3"/>
      <c r="AG553" s="3"/>
      <c r="AH553" s="615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</row>
    <row r="554" spans="1:74" ht="15.75" customHeight="1">
      <c r="A554" s="3"/>
      <c r="B554" s="3"/>
      <c r="C554" s="3"/>
      <c r="D554" s="3"/>
      <c r="E554" s="61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615"/>
      <c r="AE554" s="3"/>
      <c r="AF554" s="3"/>
      <c r="AG554" s="3"/>
      <c r="AH554" s="615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</row>
    <row r="555" spans="1:74" ht="15.75" customHeight="1">
      <c r="A555" s="3"/>
      <c r="B555" s="3"/>
      <c r="C555" s="3"/>
      <c r="D555" s="3"/>
      <c r="E555" s="61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615"/>
      <c r="AE555" s="3"/>
      <c r="AF555" s="3"/>
      <c r="AG555" s="3"/>
      <c r="AH555" s="615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</row>
    <row r="556" spans="1:74" ht="15.75" customHeight="1">
      <c r="A556" s="3"/>
      <c r="B556" s="3"/>
      <c r="C556" s="3"/>
      <c r="D556" s="3"/>
      <c r="E556" s="61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615"/>
      <c r="AE556" s="3"/>
      <c r="AF556" s="3"/>
      <c r="AG556" s="3"/>
      <c r="AH556" s="615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</row>
    <row r="557" spans="1:74" ht="15.75" customHeight="1">
      <c r="A557" s="3"/>
      <c r="B557" s="3"/>
      <c r="C557" s="3"/>
      <c r="D557" s="3"/>
      <c r="E557" s="61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615"/>
      <c r="AE557" s="3"/>
      <c r="AF557" s="3"/>
      <c r="AG557" s="3"/>
      <c r="AH557" s="615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</row>
    <row r="558" spans="1:74" ht="15.75" customHeight="1">
      <c r="A558" s="3"/>
      <c r="B558" s="3"/>
      <c r="C558" s="3"/>
      <c r="D558" s="3"/>
      <c r="E558" s="61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615"/>
      <c r="AE558" s="3"/>
      <c r="AF558" s="3"/>
      <c r="AG558" s="3"/>
      <c r="AH558" s="615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</row>
    <row r="559" spans="1:74" ht="15.75" customHeight="1">
      <c r="A559" s="3"/>
      <c r="B559" s="3"/>
      <c r="C559" s="3"/>
      <c r="D559" s="3"/>
      <c r="E559" s="61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615"/>
      <c r="AE559" s="3"/>
      <c r="AF559" s="3"/>
      <c r="AG559" s="3"/>
      <c r="AH559" s="615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</row>
    <row r="560" spans="1:74" ht="15.75" customHeight="1">
      <c r="A560" s="3"/>
      <c r="B560" s="3"/>
      <c r="C560" s="3"/>
      <c r="D560" s="3"/>
      <c r="E560" s="61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615"/>
      <c r="AE560" s="3"/>
      <c r="AF560" s="3"/>
      <c r="AG560" s="3"/>
      <c r="AH560" s="615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</row>
    <row r="561" spans="1:74" ht="15.75" customHeight="1">
      <c r="A561" s="3"/>
      <c r="B561" s="3"/>
      <c r="C561" s="3"/>
      <c r="D561" s="3"/>
      <c r="E561" s="61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615"/>
      <c r="AE561" s="3"/>
      <c r="AF561" s="3"/>
      <c r="AG561" s="3"/>
      <c r="AH561" s="615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</row>
    <row r="562" spans="1:74" ht="15.75" customHeight="1">
      <c r="A562" s="3"/>
      <c r="B562" s="3"/>
      <c r="C562" s="3"/>
      <c r="D562" s="3"/>
      <c r="E562" s="61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615"/>
      <c r="AE562" s="3"/>
      <c r="AF562" s="3"/>
      <c r="AG562" s="3"/>
      <c r="AH562" s="615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</row>
    <row r="563" spans="1:74" ht="15.75" customHeight="1">
      <c r="A563" s="3"/>
      <c r="B563" s="3"/>
      <c r="C563" s="3"/>
      <c r="D563" s="3"/>
      <c r="E563" s="61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615"/>
      <c r="AE563" s="3"/>
      <c r="AF563" s="3"/>
      <c r="AG563" s="3"/>
      <c r="AH563" s="615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</row>
    <row r="564" spans="1:74" ht="15.75" customHeight="1">
      <c r="A564" s="3"/>
      <c r="B564" s="3"/>
      <c r="C564" s="3"/>
      <c r="D564" s="3"/>
      <c r="E564" s="61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615"/>
      <c r="AE564" s="3"/>
      <c r="AF564" s="3"/>
      <c r="AG564" s="3"/>
      <c r="AH564" s="615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</row>
    <row r="565" spans="1:74" ht="15.75" customHeight="1">
      <c r="A565" s="3"/>
      <c r="B565" s="3"/>
      <c r="C565" s="3"/>
      <c r="D565" s="3"/>
      <c r="E565" s="61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615"/>
      <c r="AE565" s="3"/>
      <c r="AF565" s="3"/>
      <c r="AG565" s="3"/>
      <c r="AH565" s="615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</row>
    <row r="566" spans="1:74" ht="15.75" customHeight="1">
      <c r="A566" s="3"/>
      <c r="B566" s="3"/>
      <c r="C566" s="3"/>
      <c r="D566" s="3"/>
      <c r="E566" s="615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615"/>
      <c r="AE566" s="3"/>
      <c r="AF566" s="3"/>
      <c r="AG566" s="3"/>
      <c r="AH566" s="615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</row>
    <row r="567" spans="1:74" ht="15.75" customHeight="1">
      <c r="A567" s="3"/>
      <c r="B567" s="3"/>
      <c r="C567" s="3"/>
      <c r="D567" s="3"/>
      <c r="E567" s="615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615"/>
      <c r="AE567" s="3"/>
      <c r="AF567" s="3"/>
      <c r="AG567" s="3"/>
      <c r="AH567" s="615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</row>
    <row r="568" spans="1:74" ht="15.75" customHeight="1">
      <c r="A568" s="3"/>
      <c r="B568" s="3"/>
      <c r="C568" s="3"/>
      <c r="D568" s="3"/>
      <c r="E568" s="615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615"/>
      <c r="AE568" s="3"/>
      <c r="AF568" s="3"/>
      <c r="AG568" s="3"/>
      <c r="AH568" s="615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</row>
    <row r="569" spans="1:74" ht="15.75" customHeight="1">
      <c r="A569" s="3"/>
      <c r="B569" s="3"/>
      <c r="C569" s="3"/>
      <c r="D569" s="3"/>
      <c r="E569" s="615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615"/>
      <c r="AE569" s="3"/>
      <c r="AF569" s="3"/>
      <c r="AG569" s="3"/>
      <c r="AH569" s="615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</row>
    <row r="570" spans="1:74" ht="15.75" customHeight="1">
      <c r="A570" s="3"/>
      <c r="B570" s="3"/>
      <c r="C570" s="3"/>
      <c r="D570" s="3"/>
      <c r="E570" s="615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615"/>
      <c r="AE570" s="3"/>
      <c r="AF570" s="3"/>
      <c r="AG570" s="3"/>
      <c r="AH570" s="615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</row>
    <row r="571" spans="1:74" ht="15.75" customHeight="1">
      <c r="A571" s="3"/>
      <c r="B571" s="3"/>
      <c r="C571" s="3"/>
      <c r="D571" s="3"/>
      <c r="E571" s="61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615"/>
      <c r="AE571" s="3"/>
      <c r="AF571" s="3"/>
      <c r="AG571" s="3"/>
      <c r="AH571" s="615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</row>
    <row r="572" spans="1:74" ht="15.75" customHeight="1">
      <c r="A572" s="3"/>
      <c r="B572" s="3"/>
      <c r="C572" s="3"/>
      <c r="D572" s="3"/>
      <c r="E572" s="61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615"/>
      <c r="AE572" s="3"/>
      <c r="AF572" s="3"/>
      <c r="AG572" s="3"/>
      <c r="AH572" s="615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</row>
    <row r="573" spans="1:74" ht="15.75" customHeight="1">
      <c r="A573" s="3"/>
      <c r="B573" s="3"/>
      <c r="C573" s="3"/>
      <c r="D573" s="3"/>
      <c r="E573" s="61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615"/>
      <c r="AE573" s="3"/>
      <c r="AF573" s="3"/>
      <c r="AG573" s="3"/>
      <c r="AH573" s="615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</row>
    <row r="574" spans="1:74" ht="15.75" customHeight="1">
      <c r="A574" s="3"/>
      <c r="B574" s="3"/>
      <c r="C574" s="3"/>
      <c r="D574" s="3"/>
      <c r="E574" s="61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615"/>
      <c r="AE574" s="3"/>
      <c r="AF574" s="3"/>
      <c r="AG574" s="3"/>
      <c r="AH574" s="615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</row>
    <row r="575" spans="1:74" ht="15.75" customHeight="1">
      <c r="A575" s="3"/>
      <c r="B575" s="3"/>
      <c r="C575" s="3"/>
      <c r="D575" s="3"/>
      <c r="E575" s="61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615"/>
      <c r="AE575" s="3"/>
      <c r="AF575" s="3"/>
      <c r="AG575" s="3"/>
      <c r="AH575" s="615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</row>
    <row r="576" spans="1:74" ht="15.75" customHeight="1">
      <c r="A576" s="3"/>
      <c r="B576" s="3"/>
      <c r="C576" s="3"/>
      <c r="D576" s="3"/>
      <c r="E576" s="61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615"/>
      <c r="AE576" s="3"/>
      <c r="AF576" s="3"/>
      <c r="AG576" s="3"/>
      <c r="AH576" s="615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</row>
    <row r="577" spans="1:74" ht="15.75" customHeight="1">
      <c r="A577" s="3"/>
      <c r="B577" s="3"/>
      <c r="C577" s="3"/>
      <c r="D577" s="3"/>
      <c r="E577" s="61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615"/>
      <c r="AE577" s="3"/>
      <c r="AF577" s="3"/>
      <c r="AG577" s="3"/>
      <c r="AH577" s="615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</row>
    <row r="578" spans="1:74" ht="15.75" customHeight="1">
      <c r="A578" s="3"/>
      <c r="B578" s="3"/>
      <c r="C578" s="3"/>
      <c r="D578" s="3"/>
      <c r="E578" s="61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615"/>
      <c r="AE578" s="3"/>
      <c r="AF578" s="3"/>
      <c r="AG578" s="3"/>
      <c r="AH578" s="615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</row>
    <row r="579" spans="1:74" ht="15.75" customHeight="1">
      <c r="A579" s="3"/>
      <c r="B579" s="3"/>
      <c r="C579" s="3"/>
      <c r="D579" s="3"/>
      <c r="E579" s="61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615"/>
      <c r="AE579" s="3"/>
      <c r="AF579" s="3"/>
      <c r="AG579" s="3"/>
      <c r="AH579" s="615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</row>
    <row r="580" spans="1:74" ht="15.75" customHeight="1">
      <c r="A580" s="3"/>
      <c r="B580" s="3"/>
      <c r="C580" s="3"/>
      <c r="D580" s="3"/>
      <c r="E580" s="615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615"/>
      <c r="AE580" s="3"/>
      <c r="AF580" s="3"/>
      <c r="AG580" s="3"/>
      <c r="AH580" s="615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</row>
    <row r="581" spans="1:74" ht="15.75" customHeight="1">
      <c r="A581" s="3"/>
      <c r="B581" s="3"/>
      <c r="C581" s="3"/>
      <c r="D581" s="3"/>
      <c r="E581" s="615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615"/>
      <c r="AE581" s="3"/>
      <c r="AF581" s="3"/>
      <c r="AG581" s="3"/>
      <c r="AH581" s="615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</row>
    <row r="582" spans="1:74" ht="15.75" customHeight="1">
      <c r="A582" s="3"/>
      <c r="B582" s="3"/>
      <c r="C582" s="3"/>
      <c r="D582" s="3"/>
      <c r="E582" s="615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615"/>
      <c r="AE582" s="3"/>
      <c r="AF582" s="3"/>
      <c r="AG582" s="3"/>
      <c r="AH582" s="615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</row>
    <row r="583" spans="1:74" ht="15.75" customHeight="1">
      <c r="A583" s="3"/>
      <c r="B583" s="3"/>
      <c r="C583" s="3"/>
      <c r="D583" s="3"/>
      <c r="E583" s="615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615"/>
      <c r="AE583" s="3"/>
      <c r="AF583" s="3"/>
      <c r="AG583" s="3"/>
      <c r="AH583" s="615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</row>
    <row r="584" spans="1:74" ht="15.75" customHeight="1">
      <c r="A584" s="3"/>
      <c r="B584" s="3"/>
      <c r="C584" s="3"/>
      <c r="D584" s="3"/>
      <c r="E584" s="615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615"/>
      <c r="AE584" s="3"/>
      <c r="AF584" s="3"/>
      <c r="AG584" s="3"/>
      <c r="AH584" s="615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</row>
    <row r="585" spans="1:74" ht="15.75" customHeight="1">
      <c r="A585" s="3"/>
      <c r="B585" s="3"/>
      <c r="C585" s="3"/>
      <c r="D585" s="3"/>
      <c r="E585" s="61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615"/>
      <c r="AE585" s="3"/>
      <c r="AF585" s="3"/>
      <c r="AG585" s="3"/>
      <c r="AH585" s="615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</row>
    <row r="586" spans="1:74" ht="15.75" customHeight="1">
      <c r="A586" s="3"/>
      <c r="B586" s="3"/>
      <c r="C586" s="3"/>
      <c r="D586" s="3"/>
      <c r="E586" s="61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615"/>
      <c r="AE586" s="3"/>
      <c r="AF586" s="3"/>
      <c r="AG586" s="3"/>
      <c r="AH586" s="615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</row>
    <row r="587" spans="1:74" ht="15.75" customHeight="1">
      <c r="A587" s="3"/>
      <c r="B587" s="3"/>
      <c r="C587" s="3"/>
      <c r="D587" s="3"/>
      <c r="E587" s="61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615"/>
      <c r="AE587" s="3"/>
      <c r="AF587" s="3"/>
      <c r="AG587" s="3"/>
      <c r="AH587" s="615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</row>
    <row r="588" spans="1:74" ht="15.75" customHeight="1">
      <c r="A588" s="3"/>
      <c r="B588" s="3"/>
      <c r="C588" s="3"/>
      <c r="D588" s="3"/>
      <c r="E588" s="615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615"/>
      <c r="AE588" s="3"/>
      <c r="AF588" s="3"/>
      <c r="AG588" s="3"/>
      <c r="AH588" s="615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</row>
    <row r="589" spans="1:74" ht="15.75" customHeight="1">
      <c r="A589" s="3"/>
      <c r="B589" s="3"/>
      <c r="C589" s="3"/>
      <c r="D589" s="3"/>
      <c r="E589" s="615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615"/>
      <c r="AE589" s="3"/>
      <c r="AF589" s="3"/>
      <c r="AG589" s="3"/>
      <c r="AH589" s="615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</row>
    <row r="590" spans="1:74" ht="15.75" customHeight="1">
      <c r="A590" s="3"/>
      <c r="B590" s="3"/>
      <c r="C590" s="3"/>
      <c r="D590" s="3"/>
      <c r="E590" s="61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615"/>
      <c r="AE590" s="3"/>
      <c r="AF590" s="3"/>
      <c r="AG590" s="3"/>
      <c r="AH590" s="615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</row>
    <row r="591" spans="1:74" ht="15.75" customHeight="1">
      <c r="A591" s="3"/>
      <c r="B591" s="3"/>
      <c r="C591" s="3"/>
      <c r="D591" s="3"/>
      <c r="E591" s="61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615"/>
      <c r="AE591" s="3"/>
      <c r="AF591" s="3"/>
      <c r="AG591" s="3"/>
      <c r="AH591" s="615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</row>
    <row r="592" spans="1:74" ht="15.75" customHeight="1">
      <c r="A592" s="3"/>
      <c r="B592" s="3"/>
      <c r="C592" s="3"/>
      <c r="D592" s="3"/>
      <c r="E592" s="61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615"/>
      <c r="AE592" s="3"/>
      <c r="AF592" s="3"/>
      <c r="AG592" s="3"/>
      <c r="AH592" s="615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</row>
    <row r="593" spans="1:74" ht="15.75" customHeight="1">
      <c r="A593" s="3"/>
      <c r="B593" s="3"/>
      <c r="C593" s="3"/>
      <c r="D593" s="3"/>
      <c r="E593" s="61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615"/>
      <c r="AE593" s="3"/>
      <c r="AF593" s="3"/>
      <c r="AG593" s="3"/>
      <c r="AH593" s="615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</row>
    <row r="594" spans="1:74" ht="15.75" customHeight="1">
      <c r="A594" s="3"/>
      <c r="B594" s="3"/>
      <c r="C594" s="3"/>
      <c r="D594" s="3"/>
      <c r="E594" s="615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615"/>
      <c r="AE594" s="3"/>
      <c r="AF594" s="3"/>
      <c r="AG594" s="3"/>
      <c r="AH594" s="615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</row>
    <row r="595" spans="1:74" ht="15.75" customHeight="1">
      <c r="A595" s="3"/>
      <c r="B595" s="3"/>
      <c r="C595" s="3"/>
      <c r="D595" s="3"/>
      <c r="E595" s="615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615"/>
      <c r="AE595" s="3"/>
      <c r="AF595" s="3"/>
      <c r="AG595" s="3"/>
      <c r="AH595" s="615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</row>
    <row r="596" spans="1:74" ht="15.75" customHeight="1">
      <c r="A596" s="3"/>
      <c r="B596" s="3"/>
      <c r="C596" s="3"/>
      <c r="D596" s="3"/>
      <c r="E596" s="61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615"/>
      <c r="AE596" s="3"/>
      <c r="AF596" s="3"/>
      <c r="AG596" s="3"/>
      <c r="AH596" s="615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</row>
    <row r="597" spans="1:74" ht="15.75" customHeight="1">
      <c r="A597" s="3"/>
      <c r="B597" s="3"/>
      <c r="C597" s="3"/>
      <c r="D597" s="3"/>
      <c r="E597" s="61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615"/>
      <c r="AE597" s="3"/>
      <c r="AF597" s="3"/>
      <c r="AG597" s="3"/>
      <c r="AH597" s="615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</row>
    <row r="598" spans="1:74" ht="15.75" customHeight="1">
      <c r="A598" s="3"/>
      <c r="B598" s="3"/>
      <c r="C598" s="3"/>
      <c r="D598" s="3"/>
      <c r="E598" s="61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615"/>
      <c r="AE598" s="3"/>
      <c r="AF598" s="3"/>
      <c r="AG598" s="3"/>
      <c r="AH598" s="615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</row>
    <row r="599" spans="1:74" ht="15.75" customHeight="1">
      <c r="A599" s="3"/>
      <c r="B599" s="3"/>
      <c r="C599" s="3"/>
      <c r="D599" s="3"/>
      <c r="E599" s="61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615"/>
      <c r="AE599" s="3"/>
      <c r="AF599" s="3"/>
      <c r="AG599" s="3"/>
      <c r="AH599" s="615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</row>
    <row r="600" spans="1:74" ht="15.75" customHeight="1">
      <c r="A600" s="3"/>
      <c r="B600" s="3"/>
      <c r="C600" s="3"/>
      <c r="D600" s="3"/>
      <c r="E600" s="61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615"/>
      <c r="AE600" s="3"/>
      <c r="AF600" s="3"/>
      <c r="AG600" s="3"/>
      <c r="AH600" s="615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</row>
    <row r="601" spans="1:74" ht="15.75" customHeight="1">
      <c r="A601" s="3"/>
      <c r="B601" s="3"/>
      <c r="C601" s="3"/>
      <c r="D601" s="3"/>
      <c r="E601" s="61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615"/>
      <c r="AE601" s="3"/>
      <c r="AF601" s="3"/>
      <c r="AG601" s="3"/>
      <c r="AH601" s="615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</row>
    <row r="602" spans="1:74" ht="15.75" customHeight="1">
      <c r="A602" s="3"/>
      <c r="B602" s="3"/>
      <c r="C602" s="3"/>
      <c r="D602" s="3"/>
      <c r="E602" s="615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615"/>
      <c r="AE602" s="3"/>
      <c r="AF602" s="3"/>
      <c r="AG602" s="3"/>
      <c r="AH602" s="615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</row>
    <row r="603" spans="1:74" ht="15.75" customHeight="1">
      <c r="A603" s="3"/>
      <c r="B603" s="3"/>
      <c r="C603" s="3"/>
      <c r="D603" s="3"/>
      <c r="E603" s="615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615"/>
      <c r="AE603" s="3"/>
      <c r="AF603" s="3"/>
      <c r="AG603" s="3"/>
      <c r="AH603" s="615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</row>
    <row r="604" spans="1:74" ht="15.75" customHeight="1">
      <c r="A604" s="3"/>
      <c r="B604" s="3"/>
      <c r="C604" s="3"/>
      <c r="D604" s="3"/>
      <c r="E604" s="61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615"/>
      <c r="AE604" s="3"/>
      <c r="AF604" s="3"/>
      <c r="AG604" s="3"/>
      <c r="AH604" s="615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</row>
    <row r="605" spans="1:74" ht="15.75" customHeight="1">
      <c r="A605" s="3"/>
      <c r="B605" s="3"/>
      <c r="C605" s="3"/>
      <c r="D605" s="3"/>
      <c r="E605" s="61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615"/>
      <c r="AE605" s="3"/>
      <c r="AF605" s="3"/>
      <c r="AG605" s="3"/>
      <c r="AH605" s="615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</row>
    <row r="606" spans="1:74" ht="15.75" customHeight="1">
      <c r="A606" s="3"/>
      <c r="B606" s="3"/>
      <c r="C606" s="3"/>
      <c r="D606" s="3"/>
      <c r="E606" s="61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615"/>
      <c r="AE606" s="3"/>
      <c r="AF606" s="3"/>
      <c r="AG606" s="3"/>
      <c r="AH606" s="615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</row>
    <row r="607" spans="1:74" ht="15.75" customHeight="1">
      <c r="A607" s="3"/>
      <c r="B607" s="3"/>
      <c r="C607" s="3"/>
      <c r="D607" s="3"/>
      <c r="E607" s="61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615"/>
      <c r="AE607" s="3"/>
      <c r="AF607" s="3"/>
      <c r="AG607" s="3"/>
      <c r="AH607" s="615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</row>
    <row r="608" spans="1:74" ht="15.75" customHeight="1">
      <c r="A608" s="3"/>
      <c r="B608" s="3"/>
      <c r="C608" s="3"/>
      <c r="D608" s="3"/>
      <c r="E608" s="61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615"/>
      <c r="AE608" s="3"/>
      <c r="AF608" s="3"/>
      <c r="AG608" s="3"/>
      <c r="AH608" s="615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</row>
    <row r="609" spans="1:74" ht="15.75" customHeight="1">
      <c r="A609" s="3"/>
      <c r="B609" s="3"/>
      <c r="C609" s="3"/>
      <c r="D609" s="3"/>
      <c r="E609" s="61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615"/>
      <c r="AE609" s="3"/>
      <c r="AF609" s="3"/>
      <c r="AG609" s="3"/>
      <c r="AH609" s="615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</row>
    <row r="610" spans="1:74" ht="15.75" customHeight="1">
      <c r="A610" s="3"/>
      <c r="B610" s="3"/>
      <c r="C610" s="3"/>
      <c r="D610" s="3"/>
      <c r="E610" s="61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615"/>
      <c r="AE610" s="3"/>
      <c r="AF610" s="3"/>
      <c r="AG610" s="3"/>
      <c r="AH610" s="615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</row>
    <row r="611" spans="1:74" ht="15.75" customHeight="1">
      <c r="A611" s="3"/>
      <c r="B611" s="3"/>
      <c r="C611" s="3"/>
      <c r="D611" s="3"/>
      <c r="E611" s="61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615"/>
      <c r="AE611" s="3"/>
      <c r="AF611" s="3"/>
      <c r="AG611" s="3"/>
      <c r="AH611" s="615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</row>
    <row r="612" spans="1:74" ht="15.75" customHeight="1">
      <c r="A612" s="3"/>
      <c r="B612" s="3"/>
      <c r="C612" s="3"/>
      <c r="D612" s="3"/>
      <c r="E612" s="61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615"/>
      <c r="AE612" s="3"/>
      <c r="AF612" s="3"/>
      <c r="AG612" s="3"/>
      <c r="AH612" s="615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</row>
    <row r="613" spans="1:74" ht="15.75" customHeight="1">
      <c r="A613" s="3"/>
      <c r="B613" s="3"/>
      <c r="C613" s="3"/>
      <c r="D613" s="3"/>
      <c r="E613" s="61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615"/>
      <c r="AE613" s="3"/>
      <c r="AF613" s="3"/>
      <c r="AG613" s="3"/>
      <c r="AH613" s="615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</row>
    <row r="614" spans="1:74" ht="15.75" customHeight="1">
      <c r="A614" s="3"/>
      <c r="B614" s="3"/>
      <c r="C614" s="3"/>
      <c r="D614" s="3"/>
      <c r="E614" s="61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615"/>
      <c r="AE614" s="3"/>
      <c r="AF614" s="3"/>
      <c r="AG614" s="3"/>
      <c r="AH614" s="615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</row>
    <row r="615" spans="1:74" ht="15.75" customHeight="1">
      <c r="A615" s="3"/>
      <c r="B615" s="3"/>
      <c r="C615" s="3"/>
      <c r="D615" s="3"/>
      <c r="E615" s="61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615"/>
      <c r="AE615" s="3"/>
      <c r="AF615" s="3"/>
      <c r="AG615" s="3"/>
      <c r="AH615" s="615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</row>
    <row r="616" spans="1:74" ht="15.75" customHeight="1">
      <c r="A616" s="3"/>
      <c r="B616" s="3"/>
      <c r="C616" s="3"/>
      <c r="D616" s="3"/>
      <c r="E616" s="61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615"/>
      <c r="AE616" s="3"/>
      <c r="AF616" s="3"/>
      <c r="AG616" s="3"/>
      <c r="AH616" s="615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</row>
    <row r="617" spans="1:74" ht="15.75" customHeight="1">
      <c r="A617" s="3"/>
      <c r="B617" s="3"/>
      <c r="C617" s="3"/>
      <c r="D617" s="3"/>
      <c r="E617" s="61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615"/>
      <c r="AE617" s="3"/>
      <c r="AF617" s="3"/>
      <c r="AG617" s="3"/>
      <c r="AH617" s="615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</row>
    <row r="618" spans="1:74" ht="15.75" customHeight="1">
      <c r="A618" s="3"/>
      <c r="B618" s="3"/>
      <c r="C618" s="3"/>
      <c r="D618" s="3"/>
      <c r="E618" s="61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615"/>
      <c r="AE618" s="3"/>
      <c r="AF618" s="3"/>
      <c r="AG618" s="3"/>
      <c r="AH618" s="615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</row>
    <row r="619" spans="1:74" ht="15.75" customHeight="1">
      <c r="A619" s="3"/>
      <c r="B619" s="3"/>
      <c r="C619" s="3"/>
      <c r="D619" s="3"/>
      <c r="E619" s="61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615"/>
      <c r="AE619" s="3"/>
      <c r="AF619" s="3"/>
      <c r="AG619" s="3"/>
      <c r="AH619" s="615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</row>
    <row r="620" spans="1:74" ht="15.75" customHeight="1">
      <c r="A620" s="3"/>
      <c r="B620" s="3"/>
      <c r="C620" s="3"/>
      <c r="D620" s="3"/>
      <c r="E620" s="61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615"/>
      <c r="AE620" s="3"/>
      <c r="AF620" s="3"/>
      <c r="AG620" s="3"/>
      <c r="AH620" s="615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</row>
    <row r="621" spans="1:74" ht="15.75" customHeight="1">
      <c r="A621" s="3"/>
      <c r="B621" s="3"/>
      <c r="C621" s="3"/>
      <c r="D621" s="3"/>
      <c r="E621" s="61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615"/>
      <c r="AE621" s="3"/>
      <c r="AF621" s="3"/>
      <c r="AG621" s="3"/>
      <c r="AH621" s="615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</row>
    <row r="622" spans="1:74" ht="15.75" customHeight="1">
      <c r="A622" s="3"/>
      <c r="B622" s="3"/>
      <c r="C622" s="3"/>
      <c r="D622" s="3"/>
      <c r="E622" s="61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615"/>
      <c r="AE622" s="3"/>
      <c r="AF622" s="3"/>
      <c r="AG622" s="3"/>
      <c r="AH622" s="615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</row>
    <row r="623" spans="1:74" ht="15.75" customHeight="1">
      <c r="A623" s="3"/>
      <c r="B623" s="3"/>
      <c r="C623" s="3"/>
      <c r="D623" s="3"/>
      <c r="E623" s="61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615"/>
      <c r="AE623" s="3"/>
      <c r="AF623" s="3"/>
      <c r="AG623" s="3"/>
      <c r="AH623" s="615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</row>
    <row r="624" spans="1:74" ht="15.75" customHeight="1">
      <c r="A624" s="3"/>
      <c r="B624" s="3"/>
      <c r="C624" s="3"/>
      <c r="D624" s="3"/>
      <c r="E624" s="61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615"/>
      <c r="AE624" s="3"/>
      <c r="AF624" s="3"/>
      <c r="AG624" s="3"/>
      <c r="AH624" s="615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</row>
    <row r="625" spans="1:74" ht="15.75" customHeight="1">
      <c r="A625" s="3"/>
      <c r="B625" s="3"/>
      <c r="C625" s="3"/>
      <c r="D625" s="3"/>
      <c r="E625" s="61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615"/>
      <c r="AE625" s="3"/>
      <c r="AF625" s="3"/>
      <c r="AG625" s="3"/>
      <c r="AH625" s="615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</row>
    <row r="626" spans="1:74" ht="15.75" customHeight="1">
      <c r="A626" s="3"/>
      <c r="B626" s="3"/>
      <c r="C626" s="3"/>
      <c r="D626" s="3"/>
      <c r="E626" s="61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615"/>
      <c r="AE626" s="3"/>
      <c r="AF626" s="3"/>
      <c r="AG626" s="3"/>
      <c r="AH626" s="615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</row>
    <row r="627" spans="1:74" ht="15.75" customHeight="1">
      <c r="A627" s="3"/>
      <c r="B627" s="3"/>
      <c r="C627" s="3"/>
      <c r="D627" s="3"/>
      <c r="E627" s="61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615"/>
      <c r="AE627" s="3"/>
      <c r="AF627" s="3"/>
      <c r="AG627" s="3"/>
      <c r="AH627" s="615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</row>
    <row r="628" spans="1:74" ht="15.75" customHeight="1">
      <c r="A628" s="3"/>
      <c r="B628" s="3"/>
      <c r="C628" s="3"/>
      <c r="D628" s="3"/>
      <c r="E628" s="61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615"/>
      <c r="AE628" s="3"/>
      <c r="AF628" s="3"/>
      <c r="AG628" s="3"/>
      <c r="AH628" s="615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</row>
    <row r="629" spans="1:74" ht="15.75" customHeight="1">
      <c r="A629" s="3"/>
      <c r="B629" s="3"/>
      <c r="C629" s="3"/>
      <c r="D629" s="3"/>
      <c r="E629" s="61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615"/>
      <c r="AE629" s="3"/>
      <c r="AF629" s="3"/>
      <c r="AG629" s="3"/>
      <c r="AH629" s="615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</row>
    <row r="630" spans="1:74" ht="15.75" customHeight="1">
      <c r="A630" s="3"/>
      <c r="B630" s="3"/>
      <c r="C630" s="3"/>
      <c r="D630" s="3"/>
      <c r="E630" s="615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615"/>
      <c r="AE630" s="3"/>
      <c r="AF630" s="3"/>
      <c r="AG630" s="3"/>
      <c r="AH630" s="615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</row>
    <row r="631" spans="1:74" ht="15.75" customHeight="1">
      <c r="A631" s="3"/>
      <c r="B631" s="3"/>
      <c r="C631" s="3"/>
      <c r="D631" s="3"/>
      <c r="E631" s="615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615"/>
      <c r="AE631" s="3"/>
      <c r="AF631" s="3"/>
      <c r="AG631" s="3"/>
      <c r="AH631" s="615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</row>
    <row r="632" spans="1:74" ht="15.75" customHeight="1">
      <c r="A632" s="3"/>
      <c r="B632" s="3"/>
      <c r="C632" s="3"/>
      <c r="D632" s="3"/>
      <c r="E632" s="61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615"/>
      <c r="AE632" s="3"/>
      <c r="AF632" s="3"/>
      <c r="AG632" s="3"/>
      <c r="AH632" s="615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</row>
    <row r="633" spans="1:74" ht="15.75" customHeight="1">
      <c r="A633" s="3"/>
      <c r="B633" s="3"/>
      <c r="C633" s="3"/>
      <c r="D633" s="3"/>
      <c r="E633" s="61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615"/>
      <c r="AE633" s="3"/>
      <c r="AF633" s="3"/>
      <c r="AG633" s="3"/>
      <c r="AH633" s="615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</row>
    <row r="634" spans="1:74" ht="15.75" customHeight="1">
      <c r="A634" s="3"/>
      <c r="B634" s="3"/>
      <c r="C634" s="3"/>
      <c r="D634" s="3"/>
      <c r="E634" s="61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615"/>
      <c r="AE634" s="3"/>
      <c r="AF634" s="3"/>
      <c r="AG634" s="3"/>
      <c r="AH634" s="615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</row>
    <row r="635" spans="1:74" ht="15.75" customHeight="1">
      <c r="A635" s="3"/>
      <c r="B635" s="3"/>
      <c r="C635" s="3"/>
      <c r="D635" s="3"/>
      <c r="E635" s="61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615"/>
      <c r="AE635" s="3"/>
      <c r="AF635" s="3"/>
      <c r="AG635" s="3"/>
      <c r="AH635" s="615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</row>
    <row r="636" spans="1:74" ht="15.75" customHeight="1">
      <c r="A636" s="3"/>
      <c r="B636" s="3"/>
      <c r="C636" s="3"/>
      <c r="D636" s="3"/>
      <c r="E636" s="61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615"/>
      <c r="AE636" s="3"/>
      <c r="AF636" s="3"/>
      <c r="AG636" s="3"/>
      <c r="AH636" s="615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</row>
    <row r="637" spans="1:74" ht="15.75" customHeight="1">
      <c r="A637" s="3"/>
      <c r="B637" s="3"/>
      <c r="C637" s="3"/>
      <c r="D637" s="3"/>
      <c r="E637" s="61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615"/>
      <c r="AE637" s="3"/>
      <c r="AF637" s="3"/>
      <c r="AG637" s="3"/>
      <c r="AH637" s="615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</row>
    <row r="638" spans="1:74" ht="15.75" customHeight="1">
      <c r="A638" s="3"/>
      <c r="B638" s="3"/>
      <c r="C638" s="3"/>
      <c r="D638" s="3"/>
      <c r="E638" s="61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615"/>
      <c r="AE638" s="3"/>
      <c r="AF638" s="3"/>
      <c r="AG638" s="3"/>
      <c r="AH638" s="615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</row>
    <row r="639" spans="1:74" ht="15.75" customHeight="1">
      <c r="A639" s="3"/>
      <c r="B639" s="3"/>
      <c r="C639" s="3"/>
      <c r="D639" s="3"/>
      <c r="E639" s="61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615"/>
      <c r="AE639" s="3"/>
      <c r="AF639" s="3"/>
      <c r="AG639" s="3"/>
      <c r="AH639" s="615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</row>
    <row r="640" spans="1:74" ht="15.75" customHeight="1">
      <c r="A640" s="3"/>
      <c r="B640" s="3"/>
      <c r="C640" s="3"/>
      <c r="D640" s="3"/>
      <c r="E640" s="61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615"/>
      <c r="AE640" s="3"/>
      <c r="AF640" s="3"/>
      <c r="AG640" s="3"/>
      <c r="AH640" s="615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</row>
    <row r="641" spans="1:74" ht="15.75" customHeight="1">
      <c r="A641" s="3"/>
      <c r="B641" s="3"/>
      <c r="C641" s="3"/>
      <c r="D641" s="3"/>
      <c r="E641" s="61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615"/>
      <c r="AE641" s="3"/>
      <c r="AF641" s="3"/>
      <c r="AG641" s="3"/>
      <c r="AH641" s="615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</row>
    <row r="642" spans="1:74" ht="15.75" customHeight="1">
      <c r="A642" s="3"/>
      <c r="B642" s="3"/>
      <c r="C642" s="3"/>
      <c r="D642" s="3"/>
      <c r="E642" s="61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615"/>
      <c r="AE642" s="3"/>
      <c r="AF642" s="3"/>
      <c r="AG642" s="3"/>
      <c r="AH642" s="615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</row>
    <row r="643" spans="1:74" ht="15.75" customHeight="1">
      <c r="A643" s="3"/>
      <c r="B643" s="3"/>
      <c r="C643" s="3"/>
      <c r="D643" s="3"/>
      <c r="E643" s="61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615"/>
      <c r="AE643" s="3"/>
      <c r="AF643" s="3"/>
      <c r="AG643" s="3"/>
      <c r="AH643" s="615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</row>
    <row r="644" spans="1:74" ht="15.75" customHeight="1">
      <c r="A644" s="3"/>
      <c r="B644" s="3"/>
      <c r="C644" s="3"/>
      <c r="D644" s="3"/>
      <c r="E644" s="61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615"/>
      <c r="AE644" s="3"/>
      <c r="AF644" s="3"/>
      <c r="AG644" s="3"/>
      <c r="AH644" s="615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</row>
    <row r="645" spans="1:74" ht="15.75" customHeight="1">
      <c r="A645" s="3"/>
      <c r="B645" s="3"/>
      <c r="C645" s="3"/>
      <c r="D645" s="3"/>
      <c r="E645" s="61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615"/>
      <c r="AE645" s="3"/>
      <c r="AF645" s="3"/>
      <c r="AG645" s="3"/>
      <c r="AH645" s="615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</row>
    <row r="646" spans="1:74" ht="15.75" customHeight="1">
      <c r="A646" s="3"/>
      <c r="B646" s="3"/>
      <c r="C646" s="3"/>
      <c r="D646" s="3"/>
      <c r="E646" s="61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615"/>
      <c r="AE646" s="3"/>
      <c r="AF646" s="3"/>
      <c r="AG646" s="3"/>
      <c r="AH646" s="615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</row>
    <row r="647" spans="1:74" ht="15.75" customHeight="1">
      <c r="A647" s="3"/>
      <c r="B647" s="3"/>
      <c r="C647" s="3"/>
      <c r="D647" s="3"/>
      <c r="E647" s="61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615"/>
      <c r="AE647" s="3"/>
      <c r="AF647" s="3"/>
      <c r="AG647" s="3"/>
      <c r="AH647" s="615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</row>
    <row r="648" spans="1:74" ht="15.75" customHeight="1">
      <c r="A648" s="3"/>
      <c r="B648" s="3"/>
      <c r="C648" s="3"/>
      <c r="D648" s="3"/>
      <c r="E648" s="61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615"/>
      <c r="AE648" s="3"/>
      <c r="AF648" s="3"/>
      <c r="AG648" s="3"/>
      <c r="AH648" s="615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</row>
    <row r="649" spans="1:74" ht="15.75" customHeight="1">
      <c r="A649" s="3"/>
      <c r="B649" s="3"/>
      <c r="C649" s="3"/>
      <c r="D649" s="3"/>
      <c r="E649" s="61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615"/>
      <c r="AE649" s="3"/>
      <c r="AF649" s="3"/>
      <c r="AG649" s="3"/>
      <c r="AH649" s="615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</row>
    <row r="650" spans="1:74" ht="15.75" customHeight="1">
      <c r="A650" s="3"/>
      <c r="B650" s="3"/>
      <c r="C650" s="3"/>
      <c r="D650" s="3"/>
      <c r="E650" s="61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615"/>
      <c r="AE650" s="3"/>
      <c r="AF650" s="3"/>
      <c r="AG650" s="3"/>
      <c r="AH650" s="615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</row>
    <row r="651" spans="1:74" ht="15.75" customHeight="1">
      <c r="A651" s="3"/>
      <c r="B651" s="3"/>
      <c r="C651" s="3"/>
      <c r="D651" s="3"/>
      <c r="E651" s="61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615"/>
      <c r="AE651" s="3"/>
      <c r="AF651" s="3"/>
      <c r="AG651" s="3"/>
      <c r="AH651" s="615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</row>
    <row r="652" spans="1:74" ht="15.75" customHeight="1">
      <c r="A652" s="3"/>
      <c r="B652" s="3"/>
      <c r="C652" s="3"/>
      <c r="D652" s="3"/>
      <c r="E652" s="61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615"/>
      <c r="AE652" s="3"/>
      <c r="AF652" s="3"/>
      <c r="AG652" s="3"/>
      <c r="AH652" s="615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</row>
    <row r="653" spans="1:74" ht="15.75" customHeight="1">
      <c r="A653" s="3"/>
      <c r="B653" s="3"/>
      <c r="C653" s="3"/>
      <c r="D653" s="3"/>
      <c r="E653" s="61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615"/>
      <c r="AE653" s="3"/>
      <c r="AF653" s="3"/>
      <c r="AG653" s="3"/>
      <c r="AH653" s="615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</row>
    <row r="654" spans="1:74" ht="15.75" customHeight="1">
      <c r="A654" s="3"/>
      <c r="B654" s="3"/>
      <c r="C654" s="3"/>
      <c r="D654" s="3"/>
      <c r="E654" s="61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615"/>
      <c r="AE654" s="3"/>
      <c r="AF654" s="3"/>
      <c r="AG654" s="3"/>
      <c r="AH654" s="615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</row>
    <row r="655" spans="1:74" ht="15.75" customHeight="1">
      <c r="A655" s="3"/>
      <c r="B655" s="3"/>
      <c r="C655" s="3"/>
      <c r="D655" s="3"/>
      <c r="E655" s="61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615"/>
      <c r="AE655" s="3"/>
      <c r="AF655" s="3"/>
      <c r="AG655" s="3"/>
      <c r="AH655" s="615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</row>
    <row r="656" spans="1:74" ht="15.75" customHeight="1">
      <c r="A656" s="3"/>
      <c r="B656" s="3"/>
      <c r="C656" s="3"/>
      <c r="D656" s="3"/>
      <c r="E656" s="61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615"/>
      <c r="AE656" s="3"/>
      <c r="AF656" s="3"/>
      <c r="AG656" s="3"/>
      <c r="AH656" s="615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</row>
    <row r="657" spans="1:74" ht="15.75" customHeight="1">
      <c r="A657" s="3"/>
      <c r="B657" s="3"/>
      <c r="C657" s="3"/>
      <c r="D657" s="3"/>
      <c r="E657" s="61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615"/>
      <c r="AE657" s="3"/>
      <c r="AF657" s="3"/>
      <c r="AG657" s="3"/>
      <c r="AH657" s="615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</row>
    <row r="658" spans="1:74" ht="15.75" customHeight="1">
      <c r="A658" s="3"/>
      <c r="B658" s="3"/>
      <c r="C658" s="3"/>
      <c r="D658" s="3"/>
      <c r="E658" s="615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615"/>
      <c r="AE658" s="3"/>
      <c r="AF658" s="3"/>
      <c r="AG658" s="3"/>
      <c r="AH658" s="615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</row>
    <row r="659" spans="1:74" ht="15.75" customHeight="1">
      <c r="A659" s="3"/>
      <c r="B659" s="3"/>
      <c r="C659" s="3"/>
      <c r="D659" s="3"/>
      <c r="E659" s="615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615"/>
      <c r="AE659" s="3"/>
      <c r="AF659" s="3"/>
      <c r="AG659" s="3"/>
      <c r="AH659" s="615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</row>
    <row r="660" spans="1:74" ht="15.75" customHeight="1">
      <c r="A660" s="3"/>
      <c r="B660" s="3"/>
      <c r="C660" s="3"/>
      <c r="D660" s="3"/>
      <c r="E660" s="61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615"/>
      <c r="AE660" s="3"/>
      <c r="AF660" s="3"/>
      <c r="AG660" s="3"/>
      <c r="AH660" s="615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</row>
    <row r="661" spans="1:74" ht="15.75" customHeight="1">
      <c r="A661" s="3"/>
      <c r="B661" s="3"/>
      <c r="C661" s="3"/>
      <c r="D661" s="3"/>
      <c r="E661" s="61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615"/>
      <c r="AE661" s="3"/>
      <c r="AF661" s="3"/>
      <c r="AG661" s="3"/>
      <c r="AH661" s="615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</row>
    <row r="662" spans="1:74" ht="15.75" customHeight="1">
      <c r="A662" s="3"/>
      <c r="B662" s="3"/>
      <c r="C662" s="3"/>
      <c r="D662" s="3"/>
      <c r="E662" s="61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615"/>
      <c r="AE662" s="3"/>
      <c r="AF662" s="3"/>
      <c r="AG662" s="3"/>
      <c r="AH662" s="615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</row>
    <row r="663" spans="1:74" ht="15.75" customHeight="1">
      <c r="A663" s="3"/>
      <c r="B663" s="3"/>
      <c r="C663" s="3"/>
      <c r="D663" s="3"/>
      <c r="E663" s="61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615"/>
      <c r="AE663" s="3"/>
      <c r="AF663" s="3"/>
      <c r="AG663" s="3"/>
      <c r="AH663" s="615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</row>
    <row r="664" spans="1:74" ht="15.75" customHeight="1">
      <c r="A664" s="3"/>
      <c r="B664" s="3"/>
      <c r="C664" s="3"/>
      <c r="D664" s="3"/>
      <c r="E664" s="61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615"/>
      <c r="AE664" s="3"/>
      <c r="AF664" s="3"/>
      <c r="AG664" s="3"/>
      <c r="AH664" s="615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</row>
    <row r="665" spans="1:74" ht="15.75" customHeight="1">
      <c r="A665" s="3"/>
      <c r="B665" s="3"/>
      <c r="C665" s="3"/>
      <c r="D665" s="3"/>
      <c r="E665" s="61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615"/>
      <c r="AE665" s="3"/>
      <c r="AF665" s="3"/>
      <c r="AG665" s="3"/>
      <c r="AH665" s="615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</row>
    <row r="666" spans="1:74" ht="15.75" customHeight="1">
      <c r="A666" s="3"/>
      <c r="B666" s="3"/>
      <c r="C666" s="3"/>
      <c r="D666" s="3"/>
      <c r="E666" s="615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615"/>
      <c r="AE666" s="3"/>
      <c r="AF666" s="3"/>
      <c r="AG666" s="3"/>
      <c r="AH666" s="615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</row>
    <row r="667" spans="1:74" ht="15.75" customHeight="1">
      <c r="A667" s="3"/>
      <c r="B667" s="3"/>
      <c r="C667" s="3"/>
      <c r="D667" s="3"/>
      <c r="E667" s="615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615"/>
      <c r="AE667" s="3"/>
      <c r="AF667" s="3"/>
      <c r="AG667" s="3"/>
      <c r="AH667" s="615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</row>
    <row r="668" spans="1:74" ht="15.75" customHeight="1">
      <c r="A668" s="3"/>
      <c r="B668" s="3"/>
      <c r="C668" s="3"/>
      <c r="D668" s="3"/>
      <c r="E668" s="615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615"/>
      <c r="AE668" s="3"/>
      <c r="AF668" s="3"/>
      <c r="AG668" s="3"/>
      <c r="AH668" s="615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</row>
    <row r="669" spans="1:74" ht="15.75" customHeight="1">
      <c r="A669" s="3"/>
      <c r="B669" s="3"/>
      <c r="C669" s="3"/>
      <c r="D669" s="3"/>
      <c r="E669" s="61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615"/>
      <c r="AE669" s="3"/>
      <c r="AF669" s="3"/>
      <c r="AG669" s="3"/>
      <c r="AH669" s="615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</row>
    <row r="670" spans="1:74" ht="15.75" customHeight="1">
      <c r="A670" s="3"/>
      <c r="B670" s="3"/>
      <c r="C670" s="3"/>
      <c r="D670" s="3"/>
      <c r="E670" s="61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615"/>
      <c r="AE670" s="3"/>
      <c r="AF670" s="3"/>
      <c r="AG670" s="3"/>
      <c r="AH670" s="615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</row>
    <row r="671" spans="1:74" ht="15.75" customHeight="1">
      <c r="A671" s="3"/>
      <c r="B671" s="3"/>
      <c r="C671" s="3"/>
      <c r="D671" s="3"/>
      <c r="E671" s="61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615"/>
      <c r="AE671" s="3"/>
      <c r="AF671" s="3"/>
      <c r="AG671" s="3"/>
      <c r="AH671" s="615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</row>
    <row r="672" spans="1:74" ht="15.75" customHeight="1">
      <c r="A672" s="3"/>
      <c r="B672" s="3"/>
      <c r="C672" s="3"/>
      <c r="D672" s="3"/>
      <c r="E672" s="61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615"/>
      <c r="AE672" s="3"/>
      <c r="AF672" s="3"/>
      <c r="AG672" s="3"/>
      <c r="AH672" s="615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</row>
    <row r="673" spans="1:74" ht="15.75" customHeight="1">
      <c r="A673" s="3"/>
      <c r="B673" s="3"/>
      <c r="C673" s="3"/>
      <c r="D673" s="3"/>
      <c r="E673" s="615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615"/>
      <c r="AE673" s="3"/>
      <c r="AF673" s="3"/>
      <c r="AG673" s="3"/>
      <c r="AH673" s="615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</row>
    <row r="674" spans="1:74" ht="15.75" customHeight="1">
      <c r="A674" s="3"/>
      <c r="B674" s="3"/>
      <c r="C674" s="3"/>
      <c r="D674" s="3"/>
      <c r="E674" s="61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615"/>
      <c r="AE674" s="3"/>
      <c r="AF674" s="3"/>
      <c r="AG674" s="3"/>
      <c r="AH674" s="615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</row>
    <row r="675" spans="1:74" ht="15.75" customHeight="1">
      <c r="A675" s="3"/>
      <c r="B675" s="3"/>
      <c r="C675" s="3"/>
      <c r="D675" s="3"/>
      <c r="E675" s="61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615"/>
      <c r="AE675" s="3"/>
      <c r="AF675" s="3"/>
      <c r="AG675" s="3"/>
      <c r="AH675" s="615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</row>
    <row r="676" spans="1:74" ht="15.75" customHeight="1">
      <c r="A676" s="3"/>
      <c r="B676" s="3"/>
      <c r="C676" s="3"/>
      <c r="D676" s="3"/>
      <c r="E676" s="61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615"/>
      <c r="AE676" s="3"/>
      <c r="AF676" s="3"/>
      <c r="AG676" s="3"/>
      <c r="AH676" s="615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</row>
    <row r="677" spans="1:74" ht="15.75" customHeight="1">
      <c r="A677" s="3"/>
      <c r="B677" s="3"/>
      <c r="C677" s="3"/>
      <c r="D677" s="3"/>
      <c r="E677" s="61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615"/>
      <c r="AE677" s="3"/>
      <c r="AF677" s="3"/>
      <c r="AG677" s="3"/>
      <c r="AH677" s="615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</row>
    <row r="678" spans="1:74" ht="15.75" customHeight="1">
      <c r="A678" s="3"/>
      <c r="B678" s="3"/>
      <c r="C678" s="3"/>
      <c r="D678" s="3"/>
      <c r="E678" s="61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615"/>
      <c r="AE678" s="3"/>
      <c r="AF678" s="3"/>
      <c r="AG678" s="3"/>
      <c r="AH678" s="615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</row>
    <row r="679" spans="1:74" ht="15.75" customHeight="1">
      <c r="A679" s="3"/>
      <c r="B679" s="3"/>
      <c r="C679" s="3"/>
      <c r="D679" s="3"/>
      <c r="E679" s="61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615"/>
      <c r="AE679" s="3"/>
      <c r="AF679" s="3"/>
      <c r="AG679" s="3"/>
      <c r="AH679" s="615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</row>
    <row r="680" spans="1:74" ht="15.75" customHeight="1">
      <c r="A680" s="3"/>
      <c r="B680" s="3"/>
      <c r="C680" s="3"/>
      <c r="D680" s="3"/>
      <c r="E680" s="61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615"/>
      <c r="AE680" s="3"/>
      <c r="AF680" s="3"/>
      <c r="AG680" s="3"/>
      <c r="AH680" s="615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</row>
    <row r="681" spans="1:74" ht="15.75" customHeight="1">
      <c r="A681" s="3"/>
      <c r="B681" s="3"/>
      <c r="C681" s="3"/>
      <c r="D681" s="3"/>
      <c r="E681" s="61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615"/>
      <c r="AE681" s="3"/>
      <c r="AF681" s="3"/>
      <c r="AG681" s="3"/>
      <c r="AH681" s="615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</row>
    <row r="682" spans="1:74" ht="15.75" customHeight="1">
      <c r="A682" s="3"/>
      <c r="B682" s="3"/>
      <c r="C682" s="3"/>
      <c r="D682" s="3"/>
      <c r="E682" s="61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615"/>
      <c r="AE682" s="3"/>
      <c r="AF682" s="3"/>
      <c r="AG682" s="3"/>
      <c r="AH682" s="615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</row>
    <row r="683" spans="1:74" ht="15.75" customHeight="1">
      <c r="A683" s="3"/>
      <c r="B683" s="3"/>
      <c r="C683" s="3"/>
      <c r="D683" s="3"/>
      <c r="E683" s="61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615"/>
      <c r="AE683" s="3"/>
      <c r="AF683" s="3"/>
      <c r="AG683" s="3"/>
      <c r="AH683" s="615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</row>
    <row r="684" spans="1:74" ht="15.75" customHeight="1">
      <c r="A684" s="3"/>
      <c r="B684" s="3"/>
      <c r="C684" s="3"/>
      <c r="D684" s="3"/>
      <c r="E684" s="61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615"/>
      <c r="AE684" s="3"/>
      <c r="AF684" s="3"/>
      <c r="AG684" s="3"/>
      <c r="AH684" s="615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</row>
    <row r="685" spans="1:74" ht="15.75" customHeight="1">
      <c r="A685" s="3"/>
      <c r="B685" s="3"/>
      <c r="C685" s="3"/>
      <c r="D685" s="3"/>
      <c r="E685" s="61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615"/>
      <c r="AE685" s="3"/>
      <c r="AF685" s="3"/>
      <c r="AG685" s="3"/>
      <c r="AH685" s="615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</row>
    <row r="686" spans="1:74" ht="15.75" customHeight="1">
      <c r="A686" s="3"/>
      <c r="B686" s="3"/>
      <c r="C686" s="3"/>
      <c r="D686" s="3"/>
      <c r="E686" s="615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615"/>
      <c r="AE686" s="3"/>
      <c r="AF686" s="3"/>
      <c r="AG686" s="3"/>
      <c r="AH686" s="615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</row>
    <row r="687" spans="1:74" ht="15.75" customHeight="1">
      <c r="A687" s="3"/>
      <c r="B687" s="3"/>
      <c r="C687" s="3"/>
      <c r="D687" s="3"/>
      <c r="E687" s="615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615"/>
      <c r="AE687" s="3"/>
      <c r="AF687" s="3"/>
      <c r="AG687" s="3"/>
      <c r="AH687" s="615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</row>
    <row r="688" spans="1:74" ht="15.75" customHeight="1">
      <c r="A688" s="3"/>
      <c r="B688" s="3"/>
      <c r="C688" s="3"/>
      <c r="D688" s="3"/>
      <c r="E688" s="61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615"/>
      <c r="AE688" s="3"/>
      <c r="AF688" s="3"/>
      <c r="AG688" s="3"/>
      <c r="AH688" s="615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</row>
    <row r="689" spans="1:74" ht="15.75" customHeight="1">
      <c r="A689" s="3"/>
      <c r="B689" s="3"/>
      <c r="C689" s="3"/>
      <c r="D689" s="3"/>
      <c r="E689" s="61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615"/>
      <c r="AE689" s="3"/>
      <c r="AF689" s="3"/>
      <c r="AG689" s="3"/>
      <c r="AH689" s="615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</row>
    <row r="690" spans="1:74" ht="15.75" customHeight="1">
      <c r="A690" s="3"/>
      <c r="B690" s="3"/>
      <c r="C690" s="3"/>
      <c r="D690" s="3"/>
      <c r="E690" s="61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615"/>
      <c r="AE690" s="3"/>
      <c r="AF690" s="3"/>
      <c r="AG690" s="3"/>
      <c r="AH690" s="615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</row>
    <row r="691" spans="1:74" ht="15.75" customHeight="1">
      <c r="A691" s="3"/>
      <c r="B691" s="3"/>
      <c r="C691" s="3"/>
      <c r="D691" s="3"/>
      <c r="E691" s="61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615"/>
      <c r="AE691" s="3"/>
      <c r="AF691" s="3"/>
      <c r="AG691" s="3"/>
      <c r="AH691" s="615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</row>
    <row r="692" spans="1:74" ht="15.75" customHeight="1">
      <c r="A692" s="3"/>
      <c r="B692" s="3"/>
      <c r="C692" s="3"/>
      <c r="D692" s="3"/>
      <c r="E692" s="615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615"/>
      <c r="AE692" s="3"/>
      <c r="AF692" s="3"/>
      <c r="AG692" s="3"/>
      <c r="AH692" s="615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</row>
    <row r="693" spans="1:74" ht="15.75" customHeight="1">
      <c r="A693" s="3"/>
      <c r="B693" s="3"/>
      <c r="C693" s="3"/>
      <c r="D693" s="3"/>
      <c r="E693" s="615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615"/>
      <c r="AE693" s="3"/>
      <c r="AF693" s="3"/>
      <c r="AG693" s="3"/>
      <c r="AH693" s="615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</row>
    <row r="694" spans="1:74" ht="15.75" customHeight="1">
      <c r="A694" s="3"/>
      <c r="B694" s="3"/>
      <c r="C694" s="3"/>
      <c r="D694" s="3"/>
      <c r="E694" s="615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615"/>
      <c r="AE694" s="3"/>
      <c r="AF694" s="3"/>
      <c r="AG694" s="3"/>
      <c r="AH694" s="615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</row>
    <row r="695" spans="1:74" ht="15.75" customHeight="1">
      <c r="A695" s="3"/>
      <c r="B695" s="3"/>
      <c r="C695" s="3"/>
      <c r="D695" s="3"/>
      <c r="E695" s="615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615"/>
      <c r="AE695" s="3"/>
      <c r="AF695" s="3"/>
      <c r="AG695" s="3"/>
      <c r="AH695" s="615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</row>
    <row r="696" spans="1:74" ht="15.75" customHeight="1">
      <c r="A696" s="3"/>
      <c r="B696" s="3"/>
      <c r="C696" s="3"/>
      <c r="D696" s="3"/>
      <c r="E696" s="615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615"/>
      <c r="AE696" s="3"/>
      <c r="AF696" s="3"/>
      <c r="AG696" s="3"/>
      <c r="AH696" s="615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</row>
    <row r="697" spans="1:74" ht="15.75" customHeight="1">
      <c r="A697" s="3"/>
      <c r="B697" s="3"/>
      <c r="C697" s="3"/>
      <c r="D697" s="3"/>
      <c r="E697" s="61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615"/>
      <c r="AE697" s="3"/>
      <c r="AF697" s="3"/>
      <c r="AG697" s="3"/>
      <c r="AH697" s="615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</row>
    <row r="698" spans="1:74" ht="15.75" customHeight="1">
      <c r="A698" s="3"/>
      <c r="B698" s="3"/>
      <c r="C698" s="3"/>
      <c r="D698" s="3"/>
      <c r="E698" s="61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615"/>
      <c r="AE698" s="3"/>
      <c r="AF698" s="3"/>
      <c r="AG698" s="3"/>
      <c r="AH698" s="615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</row>
    <row r="699" spans="1:74" ht="15.75" customHeight="1">
      <c r="A699" s="3"/>
      <c r="B699" s="3"/>
      <c r="C699" s="3"/>
      <c r="D699" s="3"/>
      <c r="E699" s="61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615"/>
      <c r="AE699" s="3"/>
      <c r="AF699" s="3"/>
      <c r="AG699" s="3"/>
      <c r="AH699" s="615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</row>
    <row r="700" spans="1:74" ht="15.75" customHeight="1">
      <c r="A700" s="3"/>
      <c r="B700" s="3"/>
      <c r="C700" s="3"/>
      <c r="D700" s="3"/>
      <c r="E700" s="615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615"/>
      <c r="AE700" s="3"/>
      <c r="AF700" s="3"/>
      <c r="AG700" s="3"/>
      <c r="AH700" s="615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</row>
    <row r="701" spans="1:74" ht="15.75" customHeight="1">
      <c r="A701" s="3"/>
      <c r="B701" s="3"/>
      <c r="C701" s="3"/>
      <c r="D701" s="3"/>
      <c r="E701" s="615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615"/>
      <c r="AE701" s="3"/>
      <c r="AF701" s="3"/>
      <c r="AG701" s="3"/>
      <c r="AH701" s="615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</row>
    <row r="702" spans="1:74" ht="15.75" customHeight="1">
      <c r="A702" s="3"/>
      <c r="B702" s="3"/>
      <c r="C702" s="3"/>
      <c r="D702" s="3"/>
      <c r="E702" s="61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615"/>
      <c r="AE702" s="3"/>
      <c r="AF702" s="3"/>
      <c r="AG702" s="3"/>
      <c r="AH702" s="615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</row>
    <row r="703" spans="1:74" ht="15.75" customHeight="1">
      <c r="A703" s="3"/>
      <c r="B703" s="3"/>
      <c r="C703" s="3"/>
      <c r="D703" s="3"/>
      <c r="E703" s="61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615"/>
      <c r="AE703" s="3"/>
      <c r="AF703" s="3"/>
      <c r="AG703" s="3"/>
      <c r="AH703" s="615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</row>
    <row r="704" spans="1:74" ht="15.75" customHeight="1">
      <c r="A704" s="3"/>
      <c r="B704" s="3"/>
      <c r="C704" s="3"/>
      <c r="D704" s="3"/>
      <c r="E704" s="61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615"/>
      <c r="AE704" s="3"/>
      <c r="AF704" s="3"/>
      <c r="AG704" s="3"/>
      <c r="AH704" s="615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</row>
    <row r="705" spans="1:74" ht="15.75" customHeight="1">
      <c r="A705" s="3"/>
      <c r="B705" s="3"/>
      <c r="C705" s="3"/>
      <c r="D705" s="3"/>
      <c r="E705" s="61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615"/>
      <c r="AE705" s="3"/>
      <c r="AF705" s="3"/>
      <c r="AG705" s="3"/>
      <c r="AH705" s="615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</row>
    <row r="706" spans="1:74" ht="15.75" customHeight="1">
      <c r="A706" s="3"/>
      <c r="B706" s="3"/>
      <c r="C706" s="3"/>
      <c r="D706" s="3"/>
      <c r="E706" s="615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615"/>
      <c r="AE706" s="3"/>
      <c r="AF706" s="3"/>
      <c r="AG706" s="3"/>
      <c r="AH706" s="615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</row>
    <row r="707" spans="1:74" ht="15.75" customHeight="1">
      <c r="A707" s="3"/>
      <c r="B707" s="3"/>
      <c r="C707" s="3"/>
      <c r="D707" s="3"/>
      <c r="E707" s="615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615"/>
      <c r="AE707" s="3"/>
      <c r="AF707" s="3"/>
      <c r="AG707" s="3"/>
      <c r="AH707" s="615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</row>
    <row r="708" spans="1:74" ht="15.75" customHeight="1">
      <c r="A708" s="3"/>
      <c r="B708" s="3"/>
      <c r="C708" s="3"/>
      <c r="D708" s="3"/>
      <c r="E708" s="615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615"/>
      <c r="AE708" s="3"/>
      <c r="AF708" s="3"/>
      <c r="AG708" s="3"/>
      <c r="AH708" s="615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</row>
    <row r="709" spans="1:74" ht="15.75" customHeight="1">
      <c r="A709" s="3"/>
      <c r="B709" s="3"/>
      <c r="C709" s="3"/>
      <c r="D709" s="3"/>
      <c r="E709" s="615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615"/>
      <c r="AE709" s="3"/>
      <c r="AF709" s="3"/>
      <c r="AG709" s="3"/>
      <c r="AH709" s="615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</row>
    <row r="710" spans="1:74" ht="15.75" customHeight="1">
      <c r="A710" s="3"/>
      <c r="B710" s="3"/>
      <c r="C710" s="3"/>
      <c r="D710" s="3"/>
      <c r="E710" s="615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615"/>
      <c r="AE710" s="3"/>
      <c r="AF710" s="3"/>
      <c r="AG710" s="3"/>
      <c r="AH710" s="615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</row>
    <row r="711" spans="1:74" ht="15.75" customHeight="1">
      <c r="A711" s="3"/>
      <c r="B711" s="3"/>
      <c r="C711" s="3"/>
      <c r="D711" s="3"/>
      <c r="E711" s="61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615"/>
      <c r="AE711" s="3"/>
      <c r="AF711" s="3"/>
      <c r="AG711" s="3"/>
      <c r="AH711" s="615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</row>
    <row r="712" spans="1:74" ht="15.75" customHeight="1">
      <c r="A712" s="3"/>
      <c r="B712" s="3"/>
      <c r="C712" s="3"/>
      <c r="D712" s="3"/>
      <c r="E712" s="61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615"/>
      <c r="AE712" s="3"/>
      <c r="AF712" s="3"/>
      <c r="AG712" s="3"/>
      <c r="AH712" s="615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</row>
    <row r="713" spans="1:74" ht="15.75" customHeight="1">
      <c r="A713" s="3"/>
      <c r="B713" s="3"/>
      <c r="C713" s="3"/>
      <c r="D713" s="3"/>
      <c r="E713" s="61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615"/>
      <c r="AE713" s="3"/>
      <c r="AF713" s="3"/>
      <c r="AG713" s="3"/>
      <c r="AH713" s="615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</row>
    <row r="714" spans="1:74" ht="15.75" customHeight="1">
      <c r="A714" s="3"/>
      <c r="B714" s="3"/>
      <c r="C714" s="3"/>
      <c r="D714" s="3"/>
      <c r="E714" s="615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615"/>
      <c r="AE714" s="3"/>
      <c r="AF714" s="3"/>
      <c r="AG714" s="3"/>
      <c r="AH714" s="615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</row>
    <row r="715" spans="1:74" ht="15.75" customHeight="1">
      <c r="A715" s="3"/>
      <c r="B715" s="3"/>
      <c r="C715" s="3"/>
      <c r="D715" s="3"/>
      <c r="E715" s="615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615"/>
      <c r="AE715" s="3"/>
      <c r="AF715" s="3"/>
      <c r="AG715" s="3"/>
      <c r="AH715" s="615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</row>
    <row r="716" spans="1:74" ht="15.75" customHeight="1">
      <c r="A716" s="3"/>
      <c r="B716" s="3"/>
      <c r="C716" s="3"/>
      <c r="D716" s="3"/>
      <c r="E716" s="615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615"/>
      <c r="AE716" s="3"/>
      <c r="AF716" s="3"/>
      <c r="AG716" s="3"/>
      <c r="AH716" s="615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</row>
    <row r="717" spans="1:74" ht="15.75" customHeight="1">
      <c r="A717" s="3"/>
      <c r="B717" s="3"/>
      <c r="C717" s="3"/>
      <c r="D717" s="3"/>
      <c r="E717" s="615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615"/>
      <c r="AE717" s="3"/>
      <c r="AF717" s="3"/>
      <c r="AG717" s="3"/>
      <c r="AH717" s="615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</row>
    <row r="718" spans="1:74" ht="15.75" customHeight="1">
      <c r="A718" s="3"/>
      <c r="B718" s="3"/>
      <c r="C718" s="3"/>
      <c r="D718" s="3"/>
      <c r="E718" s="615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615"/>
      <c r="AE718" s="3"/>
      <c r="AF718" s="3"/>
      <c r="AG718" s="3"/>
      <c r="AH718" s="615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</row>
    <row r="719" spans="1:74" ht="15.75" customHeight="1">
      <c r="A719" s="3"/>
      <c r="B719" s="3"/>
      <c r="C719" s="3"/>
      <c r="D719" s="3"/>
      <c r="E719" s="615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615"/>
      <c r="AE719" s="3"/>
      <c r="AF719" s="3"/>
      <c r="AG719" s="3"/>
      <c r="AH719" s="615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</row>
    <row r="720" spans="1:74" ht="15.75" customHeight="1">
      <c r="A720" s="3"/>
      <c r="B720" s="3"/>
      <c r="C720" s="3"/>
      <c r="D720" s="3"/>
      <c r="E720" s="615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615"/>
      <c r="AE720" s="3"/>
      <c r="AF720" s="3"/>
      <c r="AG720" s="3"/>
      <c r="AH720" s="615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</row>
    <row r="721" spans="1:74" ht="15.75" customHeight="1">
      <c r="A721" s="3"/>
      <c r="B721" s="3"/>
      <c r="C721" s="3"/>
      <c r="D721" s="3"/>
      <c r="E721" s="615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615"/>
      <c r="AE721" s="3"/>
      <c r="AF721" s="3"/>
      <c r="AG721" s="3"/>
      <c r="AH721" s="615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</row>
    <row r="722" spans="1:74" ht="15.75" customHeight="1">
      <c r="A722" s="3"/>
      <c r="B722" s="3"/>
      <c r="C722" s="3"/>
      <c r="D722" s="3"/>
      <c r="E722" s="615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615"/>
      <c r="AE722" s="3"/>
      <c r="AF722" s="3"/>
      <c r="AG722" s="3"/>
      <c r="AH722" s="615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</row>
    <row r="723" spans="1:74" ht="15.75" customHeight="1">
      <c r="A723" s="3"/>
      <c r="B723" s="3"/>
      <c r="C723" s="3"/>
      <c r="D723" s="3"/>
      <c r="E723" s="615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615"/>
      <c r="AE723" s="3"/>
      <c r="AF723" s="3"/>
      <c r="AG723" s="3"/>
      <c r="AH723" s="615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</row>
    <row r="724" spans="1:74" ht="15.75" customHeight="1">
      <c r="A724" s="3"/>
      <c r="B724" s="3"/>
      <c r="C724" s="3"/>
      <c r="D724" s="3"/>
      <c r="E724" s="615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615"/>
      <c r="AE724" s="3"/>
      <c r="AF724" s="3"/>
      <c r="AG724" s="3"/>
      <c r="AH724" s="615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</row>
    <row r="725" spans="1:74" ht="15.75" customHeight="1">
      <c r="A725" s="3"/>
      <c r="B725" s="3"/>
      <c r="C725" s="3"/>
      <c r="D725" s="3"/>
      <c r="E725" s="615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615"/>
      <c r="AE725" s="3"/>
      <c r="AF725" s="3"/>
      <c r="AG725" s="3"/>
      <c r="AH725" s="615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</row>
    <row r="726" spans="1:74" ht="15.75" customHeight="1">
      <c r="A726" s="3"/>
      <c r="B726" s="3"/>
      <c r="C726" s="3"/>
      <c r="D726" s="3"/>
      <c r="E726" s="615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615"/>
      <c r="AE726" s="3"/>
      <c r="AF726" s="3"/>
      <c r="AG726" s="3"/>
      <c r="AH726" s="615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</row>
    <row r="727" spans="1:74" ht="15.75" customHeight="1">
      <c r="A727" s="3"/>
      <c r="B727" s="3"/>
      <c r="C727" s="3"/>
      <c r="D727" s="3"/>
      <c r="E727" s="615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615"/>
      <c r="AE727" s="3"/>
      <c r="AF727" s="3"/>
      <c r="AG727" s="3"/>
      <c r="AH727" s="615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</row>
    <row r="728" spans="1:74" ht="15.75" customHeight="1">
      <c r="A728" s="3"/>
      <c r="B728" s="3"/>
      <c r="C728" s="3"/>
      <c r="D728" s="3"/>
      <c r="E728" s="615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615"/>
      <c r="AE728" s="3"/>
      <c r="AF728" s="3"/>
      <c r="AG728" s="3"/>
      <c r="AH728" s="615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</row>
    <row r="729" spans="1:74" ht="15.75" customHeight="1">
      <c r="A729" s="3"/>
      <c r="B729" s="3"/>
      <c r="C729" s="3"/>
      <c r="D729" s="3"/>
      <c r="E729" s="615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615"/>
      <c r="AE729" s="3"/>
      <c r="AF729" s="3"/>
      <c r="AG729" s="3"/>
      <c r="AH729" s="615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</row>
    <row r="730" spans="1:74" ht="15.75" customHeight="1">
      <c r="A730" s="3"/>
      <c r="B730" s="3"/>
      <c r="C730" s="3"/>
      <c r="D730" s="3"/>
      <c r="E730" s="615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615"/>
      <c r="AE730" s="3"/>
      <c r="AF730" s="3"/>
      <c r="AG730" s="3"/>
      <c r="AH730" s="615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</row>
    <row r="731" spans="1:74" ht="15.75" customHeight="1">
      <c r="A731" s="3"/>
      <c r="B731" s="3"/>
      <c r="C731" s="3"/>
      <c r="D731" s="3"/>
      <c r="E731" s="615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615"/>
      <c r="AE731" s="3"/>
      <c r="AF731" s="3"/>
      <c r="AG731" s="3"/>
      <c r="AH731" s="615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</row>
    <row r="732" spans="1:74" ht="15.75" customHeight="1">
      <c r="A732" s="3"/>
      <c r="B732" s="3"/>
      <c r="C732" s="3"/>
      <c r="D732" s="3"/>
      <c r="E732" s="615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615"/>
      <c r="AE732" s="3"/>
      <c r="AF732" s="3"/>
      <c r="AG732" s="3"/>
      <c r="AH732" s="615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</row>
    <row r="733" spans="1:74" ht="15.75" customHeight="1">
      <c r="A733" s="3"/>
      <c r="B733" s="3"/>
      <c r="C733" s="3"/>
      <c r="D733" s="3"/>
      <c r="E733" s="615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615"/>
      <c r="AE733" s="3"/>
      <c r="AF733" s="3"/>
      <c r="AG733" s="3"/>
      <c r="AH733" s="615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</row>
    <row r="734" spans="1:74" ht="15.75" customHeight="1">
      <c r="A734" s="3"/>
      <c r="B734" s="3"/>
      <c r="C734" s="3"/>
      <c r="D734" s="3"/>
      <c r="E734" s="615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615"/>
      <c r="AE734" s="3"/>
      <c r="AF734" s="3"/>
      <c r="AG734" s="3"/>
      <c r="AH734" s="615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</row>
    <row r="735" spans="1:74" ht="15.75" customHeight="1">
      <c r="A735" s="3"/>
      <c r="B735" s="3"/>
      <c r="C735" s="3"/>
      <c r="D735" s="3"/>
      <c r="E735" s="615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615"/>
      <c r="AE735" s="3"/>
      <c r="AF735" s="3"/>
      <c r="AG735" s="3"/>
      <c r="AH735" s="615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</row>
    <row r="736" spans="1:74" ht="15.75" customHeight="1">
      <c r="A736" s="3"/>
      <c r="B736" s="3"/>
      <c r="C736" s="3"/>
      <c r="D736" s="3"/>
      <c r="E736" s="615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615"/>
      <c r="AE736" s="3"/>
      <c r="AF736" s="3"/>
      <c r="AG736" s="3"/>
      <c r="AH736" s="615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</row>
    <row r="737" spans="1:74" ht="15.75" customHeight="1">
      <c r="A737" s="3"/>
      <c r="B737" s="3"/>
      <c r="C737" s="3"/>
      <c r="D737" s="3"/>
      <c r="E737" s="615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615"/>
      <c r="AE737" s="3"/>
      <c r="AF737" s="3"/>
      <c r="AG737" s="3"/>
      <c r="AH737" s="615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</row>
    <row r="738" spans="1:74" ht="15.75" customHeight="1">
      <c r="A738" s="3"/>
      <c r="B738" s="3"/>
      <c r="C738" s="3"/>
      <c r="D738" s="3"/>
      <c r="E738" s="615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615"/>
      <c r="AE738" s="3"/>
      <c r="AF738" s="3"/>
      <c r="AG738" s="3"/>
      <c r="AH738" s="615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</row>
    <row r="739" spans="1:74" ht="15.75" customHeight="1">
      <c r="A739" s="3"/>
      <c r="B739" s="3"/>
      <c r="C739" s="3"/>
      <c r="D739" s="3"/>
      <c r="E739" s="615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615"/>
      <c r="AE739" s="3"/>
      <c r="AF739" s="3"/>
      <c r="AG739" s="3"/>
      <c r="AH739" s="615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</row>
    <row r="740" spans="1:74" ht="15.75" customHeight="1">
      <c r="A740" s="3"/>
      <c r="B740" s="3"/>
      <c r="C740" s="3"/>
      <c r="D740" s="3"/>
      <c r="E740" s="615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615"/>
      <c r="AE740" s="3"/>
      <c r="AF740" s="3"/>
      <c r="AG740" s="3"/>
      <c r="AH740" s="615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</row>
    <row r="741" spans="1:74" ht="15.75" customHeight="1">
      <c r="A741" s="3"/>
      <c r="B741" s="3"/>
      <c r="C741" s="3"/>
      <c r="D741" s="3"/>
      <c r="E741" s="615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615"/>
      <c r="AE741" s="3"/>
      <c r="AF741" s="3"/>
      <c r="AG741" s="3"/>
      <c r="AH741" s="615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</row>
    <row r="742" spans="1:74" ht="15.75" customHeight="1">
      <c r="A742" s="3"/>
      <c r="B742" s="3"/>
      <c r="C742" s="3"/>
      <c r="D742" s="3"/>
      <c r="E742" s="615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615"/>
      <c r="AE742" s="3"/>
      <c r="AF742" s="3"/>
      <c r="AG742" s="3"/>
      <c r="AH742" s="615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</row>
    <row r="743" spans="1:74" ht="15.75" customHeight="1">
      <c r="A743" s="3"/>
      <c r="B743" s="3"/>
      <c r="C743" s="3"/>
      <c r="D743" s="3"/>
      <c r="E743" s="615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615"/>
      <c r="AE743" s="3"/>
      <c r="AF743" s="3"/>
      <c r="AG743" s="3"/>
      <c r="AH743" s="615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</row>
    <row r="744" spans="1:74" ht="15.75" customHeight="1">
      <c r="A744" s="3"/>
      <c r="B744" s="3"/>
      <c r="C744" s="3"/>
      <c r="D744" s="3"/>
      <c r="E744" s="615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615"/>
      <c r="AE744" s="3"/>
      <c r="AF744" s="3"/>
      <c r="AG744" s="3"/>
      <c r="AH744" s="615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</row>
    <row r="745" spans="1:74" ht="15.75" customHeight="1">
      <c r="A745" s="3"/>
      <c r="B745" s="3"/>
      <c r="C745" s="3"/>
      <c r="D745" s="3"/>
      <c r="E745" s="615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615"/>
      <c r="AE745" s="3"/>
      <c r="AF745" s="3"/>
      <c r="AG745" s="3"/>
      <c r="AH745" s="615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</row>
    <row r="746" spans="1:74" ht="15.75" customHeight="1">
      <c r="A746" s="3"/>
      <c r="B746" s="3"/>
      <c r="C746" s="3"/>
      <c r="D746" s="3"/>
      <c r="E746" s="615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615"/>
      <c r="AE746" s="3"/>
      <c r="AF746" s="3"/>
      <c r="AG746" s="3"/>
      <c r="AH746" s="615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</row>
    <row r="747" spans="1:74" ht="15.75" customHeight="1">
      <c r="A747" s="3"/>
      <c r="B747" s="3"/>
      <c r="C747" s="3"/>
      <c r="D747" s="3"/>
      <c r="E747" s="615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615"/>
      <c r="AE747" s="3"/>
      <c r="AF747" s="3"/>
      <c r="AG747" s="3"/>
      <c r="AH747" s="615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</row>
    <row r="748" spans="1:74" ht="15.75" customHeight="1">
      <c r="A748" s="3"/>
      <c r="B748" s="3"/>
      <c r="C748" s="3"/>
      <c r="D748" s="3"/>
      <c r="E748" s="615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615"/>
      <c r="AE748" s="3"/>
      <c r="AF748" s="3"/>
      <c r="AG748" s="3"/>
      <c r="AH748" s="615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</row>
    <row r="749" spans="1:74" ht="15.75" customHeight="1">
      <c r="A749" s="3"/>
      <c r="B749" s="3"/>
      <c r="C749" s="3"/>
      <c r="D749" s="3"/>
      <c r="E749" s="615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615"/>
      <c r="AE749" s="3"/>
      <c r="AF749" s="3"/>
      <c r="AG749" s="3"/>
      <c r="AH749" s="615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</row>
    <row r="750" spans="1:74" ht="15.75" customHeight="1">
      <c r="A750" s="3"/>
      <c r="B750" s="3"/>
      <c r="C750" s="3"/>
      <c r="D750" s="3"/>
      <c r="E750" s="615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615"/>
      <c r="AE750" s="3"/>
      <c r="AF750" s="3"/>
      <c r="AG750" s="3"/>
      <c r="AH750" s="615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</row>
    <row r="751" spans="1:74" ht="15.75" customHeight="1">
      <c r="A751" s="3"/>
      <c r="B751" s="3"/>
      <c r="C751" s="3"/>
      <c r="D751" s="3"/>
      <c r="E751" s="615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615"/>
      <c r="AE751" s="3"/>
      <c r="AF751" s="3"/>
      <c r="AG751" s="3"/>
      <c r="AH751" s="615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</row>
    <row r="752" spans="1:74" ht="15.75" customHeight="1">
      <c r="A752" s="3"/>
      <c r="B752" s="3"/>
      <c r="C752" s="3"/>
      <c r="D752" s="3"/>
      <c r="E752" s="615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615"/>
      <c r="AE752" s="3"/>
      <c r="AF752" s="3"/>
      <c r="AG752" s="3"/>
      <c r="AH752" s="615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</row>
    <row r="753" spans="1:74" ht="15.75" customHeight="1">
      <c r="A753" s="3"/>
      <c r="B753" s="3"/>
      <c r="C753" s="3"/>
      <c r="D753" s="3"/>
      <c r="E753" s="615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615"/>
      <c r="AE753" s="3"/>
      <c r="AF753" s="3"/>
      <c r="AG753" s="3"/>
      <c r="AH753" s="615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</row>
    <row r="754" spans="1:74" ht="15.75" customHeight="1">
      <c r="A754" s="3"/>
      <c r="B754" s="3"/>
      <c r="C754" s="3"/>
      <c r="D754" s="3"/>
      <c r="E754" s="615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615"/>
      <c r="AE754" s="3"/>
      <c r="AF754" s="3"/>
      <c r="AG754" s="3"/>
      <c r="AH754" s="615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</row>
    <row r="755" spans="1:74" ht="15.75" customHeight="1">
      <c r="A755" s="3"/>
      <c r="B755" s="3"/>
      <c r="C755" s="3"/>
      <c r="D755" s="3"/>
      <c r="E755" s="615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615"/>
      <c r="AE755" s="3"/>
      <c r="AF755" s="3"/>
      <c r="AG755" s="3"/>
      <c r="AH755" s="615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</row>
    <row r="756" spans="1:74" ht="15.75" customHeight="1">
      <c r="A756" s="3"/>
      <c r="B756" s="3"/>
      <c r="C756" s="3"/>
      <c r="D756" s="3"/>
      <c r="E756" s="615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615"/>
      <c r="AE756" s="3"/>
      <c r="AF756" s="3"/>
      <c r="AG756" s="3"/>
      <c r="AH756" s="615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</row>
    <row r="757" spans="1:74" ht="15.75" customHeight="1">
      <c r="A757" s="3"/>
      <c r="B757" s="3"/>
      <c r="C757" s="3"/>
      <c r="D757" s="3"/>
      <c r="E757" s="615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615"/>
      <c r="AE757" s="3"/>
      <c r="AF757" s="3"/>
      <c r="AG757" s="3"/>
      <c r="AH757" s="615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</row>
    <row r="758" spans="1:74" ht="15.75" customHeight="1">
      <c r="A758" s="3"/>
      <c r="B758" s="3"/>
      <c r="C758" s="3"/>
      <c r="D758" s="3"/>
      <c r="E758" s="615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615"/>
      <c r="AE758" s="3"/>
      <c r="AF758" s="3"/>
      <c r="AG758" s="3"/>
      <c r="AH758" s="615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</row>
    <row r="759" spans="1:74" ht="15.75" customHeight="1">
      <c r="A759" s="3"/>
      <c r="B759" s="3"/>
      <c r="C759" s="3"/>
      <c r="D759" s="3"/>
      <c r="E759" s="615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615"/>
      <c r="AE759" s="3"/>
      <c r="AF759" s="3"/>
      <c r="AG759" s="3"/>
      <c r="AH759" s="615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</row>
    <row r="760" spans="1:74" ht="15.75" customHeight="1">
      <c r="A760" s="3"/>
      <c r="B760" s="3"/>
      <c r="C760" s="3"/>
      <c r="D760" s="3"/>
      <c r="E760" s="61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615"/>
      <c r="AE760" s="3"/>
      <c r="AF760" s="3"/>
      <c r="AG760" s="3"/>
      <c r="AH760" s="615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</row>
    <row r="761" spans="1:74" ht="15.75" customHeight="1">
      <c r="A761" s="3"/>
      <c r="B761" s="3"/>
      <c r="C761" s="3"/>
      <c r="D761" s="3"/>
      <c r="E761" s="61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615"/>
      <c r="AE761" s="3"/>
      <c r="AF761" s="3"/>
      <c r="AG761" s="3"/>
      <c r="AH761" s="615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</row>
    <row r="762" spans="1:74" ht="15.75" customHeight="1">
      <c r="A762" s="3"/>
      <c r="B762" s="3"/>
      <c r="C762" s="3"/>
      <c r="D762" s="3"/>
      <c r="E762" s="615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615"/>
      <c r="AE762" s="3"/>
      <c r="AF762" s="3"/>
      <c r="AG762" s="3"/>
      <c r="AH762" s="615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</row>
    <row r="763" spans="1:74" ht="15.75" customHeight="1">
      <c r="A763" s="3"/>
      <c r="B763" s="3"/>
      <c r="C763" s="3"/>
      <c r="D763" s="3"/>
      <c r="E763" s="615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615"/>
      <c r="AE763" s="3"/>
      <c r="AF763" s="3"/>
      <c r="AG763" s="3"/>
      <c r="AH763" s="615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</row>
    <row r="764" spans="1:74" ht="15.75" customHeight="1">
      <c r="A764" s="3"/>
      <c r="B764" s="3"/>
      <c r="C764" s="3"/>
      <c r="D764" s="3"/>
      <c r="E764" s="615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615"/>
      <c r="AE764" s="3"/>
      <c r="AF764" s="3"/>
      <c r="AG764" s="3"/>
      <c r="AH764" s="615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</row>
    <row r="765" spans="1:74" ht="15.75" customHeight="1">
      <c r="A765" s="3"/>
      <c r="B765" s="3"/>
      <c r="C765" s="3"/>
      <c r="D765" s="3"/>
      <c r="E765" s="615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615"/>
      <c r="AE765" s="3"/>
      <c r="AF765" s="3"/>
      <c r="AG765" s="3"/>
      <c r="AH765" s="615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</row>
    <row r="766" spans="1:74" ht="15.75" customHeight="1">
      <c r="A766" s="3"/>
      <c r="B766" s="3"/>
      <c r="C766" s="3"/>
      <c r="D766" s="3"/>
      <c r="E766" s="615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615"/>
      <c r="AE766" s="3"/>
      <c r="AF766" s="3"/>
      <c r="AG766" s="3"/>
      <c r="AH766" s="615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</row>
    <row r="767" spans="1:74" ht="15.75" customHeight="1">
      <c r="A767" s="3"/>
      <c r="B767" s="3"/>
      <c r="C767" s="3"/>
      <c r="D767" s="3"/>
      <c r="E767" s="615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615"/>
      <c r="AE767" s="3"/>
      <c r="AF767" s="3"/>
      <c r="AG767" s="3"/>
      <c r="AH767" s="615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</row>
    <row r="768" spans="1:74" ht="15.75" customHeight="1">
      <c r="A768" s="3"/>
      <c r="B768" s="3"/>
      <c r="C768" s="3"/>
      <c r="D768" s="3"/>
      <c r="E768" s="615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615"/>
      <c r="AE768" s="3"/>
      <c r="AF768" s="3"/>
      <c r="AG768" s="3"/>
      <c r="AH768" s="615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</row>
    <row r="769" spans="1:74" ht="15.75" customHeight="1">
      <c r="A769" s="3"/>
      <c r="B769" s="3"/>
      <c r="C769" s="3"/>
      <c r="D769" s="3"/>
      <c r="E769" s="615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615"/>
      <c r="AE769" s="3"/>
      <c r="AF769" s="3"/>
      <c r="AG769" s="3"/>
      <c r="AH769" s="615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</row>
    <row r="770" spans="1:74" ht="15.75" customHeight="1">
      <c r="A770" s="3"/>
      <c r="B770" s="3"/>
      <c r="C770" s="3"/>
      <c r="D770" s="3"/>
      <c r="E770" s="615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615"/>
      <c r="AE770" s="3"/>
      <c r="AF770" s="3"/>
      <c r="AG770" s="3"/>
      <c r="AH770" s="615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</row>
    <row r="771" spans="1:74" ht="15.75" customHeight="1">
      <c r="A771" s="3"/>
      <c r="B771" s="3"/>
      <c r="C771" s="3"/>
      <c r="D771" s="3"/>
      <c r="E771" s="61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615"/>
      <c r="AE771" s="3"/>
      <c r="AF771" s="3"/>
      <c r="AG771" s="3"/>
      <c r="AH771" s="615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</row>
    <row r="772" spans="1:74" ht="15.75" customHeight="1">
      <c r="A772" s="3"/>
      <c r="B772" s="3"/>
      <c r="C772" s="3"/>
      <c r="D772" s="3"/>
      <c r="E772" s="61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615"/>
      <c r="AE772" s="3"/>
      <c r="AF772" s="3"/>
      <c r="AG772" s="3"/>
      <c r="AH772" s="615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</row>
    <row r="773" spans="1:74" ht="15.75" customHeight="1">
      <c r="A773" s="3"/>
      <c r="B773" s="3"/>
      <c r="C773" s="3"/>
      <c r="D773" s="3"/>
      <c r="E773" s="61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615"/>
      <c r="AE773" s="3"/>
      <c r="AF773" s="3"/>
      <c r="AG773" s="3"/>
      <c r="AH773" s="615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</row>
    <row r="774" spans="1:74" ht="15.75" customHeight="1">
      <c r="A774" s="3"/>
      <c r="B774" s="3"/>
      <c r="C774" s="3"/>
      <c r="D774" s="3"/>
      <c r="E774" s="615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615"/>
      <c r="AE774" s="3"/>
      <c r="AF774" s="3"/>
      <c r="AG774" s="3"/>
      <c r="AH774" s="615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</row>
    <row r="775" spans="1:74" ht="15.75" customHeight="1">
      <c r="A775" s="3"/>
      <c r="B775" s="3"/>
      <c r="C775" s="3"/>
      <c r="D775" s="3"/>
      <c r="E775" s="615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615"/>
      <c r="AE775" s="3"/>
      <c r="AF775" s="3"/>
      <c r="AG775" s="3"/>
      <c r="AH775" s="615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</row>
    <row r="776" spans="1:74" ht="15.75" customHeight="1">
      <c r="A776" s="3"/>
      <c r="B776" s="3"/>
      <c r="C776" s="3"/>
      <c r="D776" s="3"/>
      <c r="E776" s="61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615"/>
      <c r="AE776" s="3"/>
      <c r="AF776" s="3"/>
      <c r="AG776" s="3"/>
      <c r="AH776" s="615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</row>
    <row r="777" spans="1:74" ht="15.75" customHeight="1">
      <c r="A777" s="3"/>
      <c r="B777" s="3"/>
      <c r="C777" s="3"/>
      <c r="D777" s="3"/>
      <c r="E777" s="615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615"/>
      <c r="AE777" s="3"/>
      <c r="AF777" s="3"/>
      <c r="AG777" s="3"/>
      <c r="AH777" s="615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</row>
    <row r="778" spans="1:74" ht="15.75" customHeight="1">
      <c r="A778" s="3"/>
      <c r="B778" s="3"/>
      <c r="C778" s="3"/>
      <c r="D778" s="3"/>
      <c r="E778" s="615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615"/>
      <c r="AE778" s="3"/>
      <c r="AF778" s="3"/>
      <c r="AG778" s="3"/>
      <c r="AH778" s="615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</row>
    <row r="779" spans="1:74" ht="15.75" customHeight="1">
      <c r="A779" s="3"/>
      <c r="B779" s="3"/>
      <c r="C779" s="3"/>
      <c r="D779" s="3"/>
      <c r="E779" s="615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615"/>
      <c r="AE779" s="3"/>
      <c r="AF779" s="3"/>
      <c r="AG779" s="3"/>
      <c r="AH779" s="615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</row>
    <row r="780" spans="1:74" ht="15.75" customHeight="1">
      <c r="A780" s="3"/>
      <c r="B780" s="3"/>
      <c r="C780" s="3"/>
      <c r="D780" s="3"/>
      <c r="E780" s="61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615"/>
      <c r="AE780" s="3"/>
      <c r="AF780" s="3"/>
      <c r="AG780" s="3"/>
      <c r="AH780" s="615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</row>
    <row r="781" spans="1:74" ht="15.75" customHeight="1">
      <c r="A781" s="3"/>
      <c r="B781" s="3"/>
      <c r="C781" s="3"/>
      <c r="D781" s="3"/>
      <c r="E781" s="615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615"/>
      <c r="AE781" s="3"/>
      <c r="AF781" s="3"/>
      <c r="AG781" s="3"/>
      <c r="AH781" s="615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</row>
    <row r="782" spans="1:74" ht="15.75" customHeight="1">
      <c r="A782" s="3"/>
      <c r="B782" s="3"/>
      <c r="C782" s="3"/>
      <c r="D782" s="3"/>
      <c r="E782" s="615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615"/>
      <c r="AE782" s="3"/>
      <c r="AF782" s="3"/>
      <c r="AG782" s="3"/>
      <c r="AH782" s="615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</row>
    <row r="783" spans="1:74" ht="15.75" customHeight="1">
      <c r="A783" s="3"/>
      <c r="B783" s="3"/>
      <c r="C783" s="3"/>
      <c r="D783" s="3"/>
      <c r="E783" s="615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615"/>
      <c r="AE783" s="3"/>
      <c r="AF783" s="3"/>
      <c r="AG783" s="3"/>
      <c r="AH783" s="615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</row>
    <row r="784" spans="1:74" ht="15.75" customHeight="1">
      <c r="A784" s="3"/>
      <c r="B784" s="3"/>
      <c r="C784" s="3"/>
      <c r="D784" s="3"/>
      <c r="E784" s="615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615"/>
      <c r="AE784" s="3"/>
      <c r="AF784" s="3"/>
      <c r="AG784" s="3"/>
      <c r="AH784" s="615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</row>
    <row r="785" spans="1:74" ht="15.75" customHeight="1">
      <c r="A785" s="3"/>
      <c r="B785" s="3"/>
      <c r="C785" s="3"/>
      <c r="D785" s="3"/>
      <c r="E785" s="615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615"/>
      <c r="AE785" s="3"/>
      <c r="AF785" s="3"/>
      <c r="AG785" s="3"/>
      <c r="AH785" s="615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</row>
    <row r="786" spans="1:74" ht="15.75" customHeight="1">
      <c r="A786" s="3"/>
      <c r="B786" s="3"/>
      <c r="C786" s="3"/>
      <c r="D786" s="3"/>
      <c r="E786" s="615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615"/>
      <c r="AE786" s="3"/>
      <c r="AF786" s="3"/>
      <c r="AG786" s="3"/>
      <c r="AH786" s="615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</row>
    <row r="787" spans="1:74" ht="15.75" customHeight="1">
      <c r="A787" s="3"/>
      <c r="B787" s="3"/>
      <c r="C787" s="3"/>
      <c r="D787" s="3"/>
      <c r="E787" s="615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615"/>
      <c r="AE787" s="3"/>
      <c r="AF787" s="3"/>
      <c r="AG787" s="3"/>
      <c r="AH787" s="615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</row>
    <row r="788" spans="1:74" ht="15.75" customHeight="1">
      <c r="A788" s="3"/>
      <c r="B788" s="3"/>
      <c r="C788" s="3"/>
      <c r="D788" s="3"/>
      <c r="E788" s="615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615"/>
      <c r="AE788" s="3"/>
      <c r="AF788" s="3"/>
      <c r="AG788" s="3"/>
      <c r="AH788" s="615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</row>
    <row r="789" spans="1:74" ht="15.75" customHeight="1">
      <c r="A789" s="3"/>
      <c r="B789" s="3"/>
      <c r="C789" s="3"/>
      <c r="D789" s="3"/>
      <c r="E789" s="615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615"/>
      <c r="AE789" s="3"/>
      <c r="AF789" s="3"/>
      <c r="AG789" s="3"/>
      <c r="AH789" s="615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</row>
    <row r="790" spans="1:74" ht="15.75" customHeight="1">
      <c r="A790" s="3"/>
      <c r="B790" s="3"/>
      <c r="C790" s="3"/>
      <c r="D790" s="3"/>
      <c r="E790" s="615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615"/>
      <c r="AE790" s="3"/>
      <c r="AF790" s="3"/>
      <c r="AG790" s="3"/>
      <c r="AH790" s="615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</row>
    <row r="791" spans="1:74" ht="15.75" customHeight="1">
      <c r="A791" s="3"/>
      <c r="B791" s="3"/>
      <c r="C791" s="3"/>
      <c r="D791" s="3"/>
      <c r="E791" s="615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615"/>
      <c r="AE791" s="3"/>
      <c r="AF791" s="3"/>
      <c r="AG791" s="3"/>
      <c r="AH791" s="615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</row>
    <row r="792" spans="1:74" ht="15.75" customHeight="1">
      <c r="A792" s="3"/>
      <c r="B792" s="3"/>
      <c r="C792" s="3"/>
      <c r="D792" s="3"/>
      <c r="E792" s="615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615"/>
      <c r="AE792" s="3"/>
      <c r="AF792" s="3"/>
      <c r="AG792" s="3"/>
      <c r="AH792" s="615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</row>
    <row r="793" spans="1:74" ht="15.75" customHeight="1">
      <c r="A793" s="3"/>
      <c r="B793" s="3"/>
      <c r="C793" s="3"/>
      <c r="D793" s="3"/>
      <c r="E793" s="615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615"/>
      <c r="AE793" s="3"/>
      <c r="AF793" s="3"/>
      <c r="AG793" s="3"/>
      <c r="AH793" s="615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</row>
    <row r="794" spans="1:74" ht="15.75" customHeight="1">
      <c r="A794" s="3"/>
      <c r="B794" s="3"/>
      <c r="C794" s="3"/>
      <c r="D794" s="3"/>
      <c r="E794" s="615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615"/>
      <c r="AE794" s="3"/>
      <c r="AF794" s="3"/>
      <c r="AG794" s="3"/>
      <c r="AH794" s="615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</row>
    <row r="795" spans="1:74" ht="15.75" customHeight="1">
      <c r="A795" s="3"/>
      <c r="B795" s="3"/>
      <c r="C795" s="3"/>
      <c r="D795" s="3"/>
      <c r="E795" s="615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615"/>
      <c r="AE795" s="3"/>
      <c r="AF795" s="3"/>
      <c r="AG795" s="3"/>
      <c r="AH795" s="615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</row>
    <row r="796" spans="1:74" ht="15.75" customHeight="1">
      <c r="A796" s="3"/>
      <c r="B796" s="3"/>
      <c r="C796" s="3"/>
      <c r="D796" s="3"/>
      <c r="E796" s="61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615"/>
      <c r="AE796" s="3"/>
      <c r="AF796" s="3"/>
      <c r="AG796" s="3"/>
      <c r="AH796" s="615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</row>
    <row r="797" spans="1:74" ht="15.75" customHeight="1">
      <c r="A797" s="3"/>
      <c r="B797" s="3"/>
      <c r="C797" s="3"/>
      <c r="D797" s="3"/>
      <c r="E797" s="615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615"/>
      <c r="AE797" s="3"/>
      <c r="AF797" s="3"/>
      <c r="AG797" s="3"/>
      <c r="AH797" s="615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</row>
    <row r="798" spans="1:74" ht="15.75" customHeight="1">
      <c r="A798" s="3"/>
      <c r="B798" s="3"/>
      <c r="C798" s="3"/>
      <c r="D798" s="3"/>
      <c r="E798" s="615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615"/>
      <c r="AE798" s="3"/>
      <c r="AF798" s="3"/>
      <c r="AG798" s="3"/>
      <c r="AH798" s="615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</row>
    <row r="799" spans="1:74" ht="15.75" customHeight="1">
      <c r="A799" s="3"/>
      <c r="B799" s="3"/>
      <c r="C799" s="3"/>
      <c r="D799" s="3"/>
      <c r="E799" s="615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615"/>
      <c r="AE799" s="3"/>
      <c r="AF799" s="3"/>
      <c r="AG799" s="3"/>
      <c r="AH799" s="615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</row>
    <row r="800" spans="1:74" ht="15.75" customHeight="1">
      <c r="A800" s="3"/>
      <c r="B800" s="3"/>
      <c r="C800" s="3"/>
      <c r="D800" s="3"/>
      <c r="E800" s="615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615"/>
      <c r="AE800" s="3"/>
      <c r="AF800" s="3"/>
      <c r="AG800" s="3"/>
      <c r="AH800" s="615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</row>
    <row r="801" spans="1:74" ht="15.75" customHeight="1">
      <c r="A801" s="3"/>
      <c r="B801" s="3"/>
      <c r="C801" s="3"/>
      <c r="D801" s="3"/>
      <c r="E801" s="615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615"/>
      <c r="AE801" s="3"/>
      <c r="AF801" s="3"/>
      <c r="AG801" s="3"/>
      <c r="AH801" s="615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</row>
    <row r="802" spans="1:74" ht="15.75" customHeight="1">
      <c r="A802" s="3"/>
      <c r="B802" s="3"/>
      <c r="C802" s="3"/>
      <c r="D802" s="3"/>
      <c r="E802" s="615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615"/>
      <c r="AE802" s="3"/>
      <c r="AF802" s="3"/>
      <c r="AG802" s="3"/>
      <c r="AH802" s="615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</row>
    <row r="803" spans="1:74" ht="15.75" customHeight="1">
      <c r="A803" s="3"/>
      <c r="B803" s="3"/>
      <c r="C803" s="3"/>
      <c r="D803" s="3"/>
      <c r="E803" s="615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615"/>
      <c r="AE803" s="3"/>
      <c r="AF803" s="3"/>
      <c r="AG803" s="3"/>
      <c r="AH803" s="615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</row>
    <row r="804" spans="1:74" ht="15.75" customHeight="1">
      <c r="A804" s="3"/>
      <c r="B804" s="3"/>
      <c r="C804" s="3"/>
      <c r="D804" s="3"/>
      <c r="E804" s="615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615"/>
      <c r="AE804" s="3"/>
      <c r="AF804" s="3"/>
      <c r="AG804" s="3"/>
      <c r="AH804" s="615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</row>
    <row r="805" spans="1:74" ht="15.75" customHeight="1">
      <c r="A805" s="3"/>
      <c r="B805" s="3"/>
      <c r="C805" s="3"/>
      <c r="D805" s="3"/>
      <c r="E805" s="615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615"/>
      <c r="AE805" s="3"/>
      <c r="AF805" s="3"/>
      <c r="AG805" s="3"/>
      <c r="AH805" s="615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</row>
    <row r="806" spans="1:74" ht="15.75" customHeight="1">
      <c r="A806" s="3"/>
      <c r="B806" s="3"/>
      <c r="C806" s="3"/>
      <c r="D806" s="3"/>
      <c r="E806" s="615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615"/>
      <c r="AE806" s="3"/>
      <c r="AF806" s="3"/>
      <c r="AG806" s="3"/>
      <c r="AH806" s="615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</row>
    <row r="807" spans="1:74" ht="15.75" customHeight="1">
      <c r="A807" s="3"/>
      <c r="B807" s="3"/>
      <c r="C807" s="3"/>
      <c r="D807" s="3"/>
      <c r="E807" s="615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615"/>
      <c r="AE807" s="3"/>
      <c r="AF807" s="3"/>
      <c r="AG807" s="3"/>
      <c r="AH807" s="615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</row>
    <row r="808" spans="1:74" ht="15.75" customHeight="1">
      <c r="A808" s="3"/>
      <c r="B808" s="3"/>
      <c r="C808" s="3"/>
      <c r="D808" s="3"/>
      <c r="E808" s="615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615"/>
      <c r="AE808" s="3"/>
      <c r="AF808" s="3"/>
      <c r="AG808" s="3"/>
      <c r="AH808" s="615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</row>
    <row r="809" spans="1:74" ht="15.75" customHeight="1">
      <c r="A809" s="3"/>
      <c r="B809" s="3"/>
      <c r="C809" s="3"/>
      <c r="D809" s="3"/>
      <c r="E809" s="615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615"/>
      <c r="AE809" s="3"/>
      <c r="AF809" s="3"/>
      <c r="AG809" s="3"/>
      <c r="AH809" s="615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</row>
    <row r="810" spans="1:74" ht="15.75" customHeight="1">
      <c r="A810" s="3"/>
      <c r="B810" s="3"/>
      <c r="C810" s="3"/>
      <c r="D810" s="3"/>
      <c r="E810" s="615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615"/>
      <c r="AE810" s="3"/>
      <c r="AF810" s="3"/>
      <c r="AG810" s="3"/>
      <c r="AH810" s="615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</row>
    <row r="811" spans="1:74" ht="15.75" customHeight="1">
      <c r="A811" s="3"/>
      <c r="B811" s="3"/>
      <c r="C811" s="3"/>
      <c r="D811" s="3"/>
      <c r="E811" s="615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615"/>
      <c r="AE811" s="3"/>
      <c r="AF811" s="3"/>
      <c r="AG811" s="3"/>
      <c r="AH811" s="615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</row>
    <row r="812" spans="1:74" ht="15.75" customHeight="1">
      <c r="A812" s="3"/>
      <c r="B812" s="3"/>
      <c r="C812" s="3"/>
      <c r="D812" s="3"/>
      <c r="E812" s="615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615"/>
      <c r="AE812" s="3"/>
      <c r="AF812" s="3"/>
      <c r="AG812" s="3"/>
      <c r="AH812" s="615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</row>
    <row r="813" spans="1:74" ht="15.75" customHeight="1">
      <c r="A813" s="3"/>
      <c r="B813" s="3"/>
      <c r="C813" s="3"/>
      <c r="D813" s="3"/>
      <c r="E813" s="615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615"/>
      <c r="AE813" s="3"/>
      <c r="AF813" s="3"/>
      <c r="AG813" s="3"/>
      <c r="AH813" s="615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</row>
    <row r="814" spans="1:74" ht="15.75" customHeight="1">
      <c r="A814" s="3"/>
      <c r="B814" s="3"/>
      <c r="C814" s="3"/>
      <c r="D814" s="3"/>
      <c r="E814" s="615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615"/>
      <c r="AE814" s="3"/>
      <c r="AF814" s="3"/>
      <c r="AG814" s="3"/>
      <c r="AH814" s="615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</row>
    <row r="815" spans="1:74" ht="15.75" customHeight="1">
      <c r="A815" s="3"/>
      <c r="B815" s="3"/>
      <c r="C815" s="3"/>
      <c r="D815" s="3"/>
      <c r="E815" s="615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615"/>
      <c r="AE815" s="3"/>
      <c r="AF815" s="3"/>
      <c r="AG815" s="3"/>
      <c r="AH815" s="615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</row>
    <row r="816" spans="1:74" ht="15.75" customHeight="1">
      <c r="A816" s="3"/>
      <c r="B816" s="3"/>
      <c r="C816" s="3"/>
      <c r="D816" s="3"/>
      <c r="E816" s="615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615"/>
      <c r="AE816" s="3"/>
      <c r="AF816" s="3"/>
      <c r="AG816" s="3"/>
      <c r="AH816" s="615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</row>
    <row r="817" spans="1:74" ht="15.75" customHeight="1">
      <c r="A817" s="3"/>
      <c r="B817" s="3"/>
      <c r="C817" s="3"/>
      <c r="D817" s="3"/>
      <c r="E817" s="615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615"/>
      <c r="AE817" s="3"/>
      <c r="AF817" s="3"/>
      <c r="AG817" s="3"/>
      <c r="AH817" s="615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</row>
    <row r="818" spans="1:74" ht="15.75" customHeight="1">
      <c r="A818" s="3"/>
      <c r="B818" s="3"/>
      <c r="C818" s="3"/>
      <c r="D818" s="3"/>
      <c r="E818" s="615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615"/>
      <c r="AE818" s="3"/>
      <c r="AF818" s="3"/>
      <c r="AG818" s="3"/>
      <c r="AH818" s="615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</row>
    <row r="819" spans="1:74" ht="15.75" customHeight="1">
      <c r="A819" s="3"/>
      <c r="B819" s="3"/>
      <c r="C819" s="3"/>
      <c r="D819" s="3"/>
      <c r="E819" s="615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615"/>
      <c r="AE819" s="3"/>
      <c r="AF819" s="3"/>
      <c r="AG819" s="3"/>
      <c r="AH819" s="615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</row>
    <row r="820" spans="1:74" ht="15.75" customHeight="1">
      <c r="A820" s="3"/>
      <c r="B820" s="3"/>
      <c r="C820" s="3"/>
      <c r="D820" s="3"/>
      <c r="E820" s="615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615"/>
      <c r="AE820" s="3"/>
      <c r="AF820" s="3"/>
      <c r="AG820" s="3"/>
      <c r="AH820" s="615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</row>
    <row r="821" spans="1:74" ht="15.75" customHeight="1">
      <c r="A821" s="3"/>
      <c r="B821" s="3"/>
      <c r="C821" s="3"/>
      <c r="D821" s="3"/>
      <c r="E821" s="615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615"/>
      <c r="AE821" s="3"/>
      <c r="AF821" s="3"/>
      <c r="AG821" s="3"/>
      <c r="AH821" s="615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</row>
    <row r="822" spans="1:74" ht="15.75" customHeight="1">
      <c r="A822" s="3"/>
      <c r="B822" s="3"/>
      <c r="C822" s="3"/>
      <c r="D822" s="3"/>
      <c r="E822" s="615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615"/>
      <c r="AE822" s="3"/>
      <c r="AF822" s="3"/>
      <c r="AG822" s="3"/>
      <c r="AH822" s="615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</row>
    <row r="823" spans="1:74" ht="15.75" customHeight="1">
      <c r="A823" s="3"/>
      <c r="B823" s="3"/>
      <c r="C823" s="3"/>
      <c r="D823" s="3"/>
      <c r="E823" s="615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615"/>
      <c r="AE823" s="3"/>
      <c r="AF823" s="3"/>
      <c r="AG823" s="3"/>
      <c r="AH823" s="615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</row>
    <row r="824" spans="1:74" ht="15.75" customHeight="1">
      <c r="A824" s="3"/>
      <c r="B824" s="3"/>
      <c r="C824" s="3"/>
      <c r="D824" s="3"/>
      <c r="E824" s="615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615"/>
      <c r="AE824" s="3"/>
      <c r="AF824" s="3"/>
      <c r="AG824" s="3"/>
      <c r="AH824" s="615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</row>
    <row r="825" spans="1:74" ht="15.75" customHeight="1">
      <c r="A825" s="3"/>
      <c r="B825" s="3"/>
      <c r="C825" s="3"/>
      <c r="D825" s="3"/>
      <c r="E825" s="615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615"/>
      <c r="AE825" s="3"/>
      <c r="AF825" s="3"/>
      <c r="AG825" s="3"/>
      <c r="AH825" s="615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</row>
    <row r="826" spans="1:74" ht="15.75" customHeight="1">
      <c r="A826" s="3"/>
      <c r="B826" s="3"/>
      <c r="C826" s="3"/>
      <c r="D826" s="3"/>
      <c r="E826" s="615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615"/>
      <c r="AE826" s="3"/>
      <c r="AF826" s="3"/>
      <c r="AG826" s="3"/>
      <c r="AH826" s="615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</row>
    <row r="827" spans="1:74" ht="15.75" customHeight="1">
      <c r="A827" s="3"/>
      <c r="B827" s="3"/>
      <c r="C827" s="3"/>
      <c r="D827" s="3"/>
      <c r="E827" s="615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615"/>
      <c r="AE827" s="3"/>
      <c r="AF827" s="3"/>
      <c r="AG827" s="3"/>
      <c r="AH827" s="615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</row>
    <row r="828" spans="1:74" ht="15.75" customHeight="1">
      <c r="A828" s="3"/>
      <c r="B828" s="3"/>
      <c r="C828" s="3"/>
      <c r="D828" s="3"/>
      <c r="E828" s="615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615"/>
      <c r="AE828" s="3"/>
      <c r="AF828" s="3"/>
      <c r="AG828" s="3"/>
      <c r="AH828" s="615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</row>
    <row r="829" spans="1:74" ht="15.75" customHeight="1">
      <c r="A829" s="3"/>
      <c r="B829" s="3"/>
      <c r="C829" s="3"/>
      <c r="D829" s="3"/>
      <c r="E829" s="615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615"/>
      <c r="AE829" s="3"/>
      <c r="AF829" s="3"/>
      <c r="AG829" s="3"/>
      <c r="AH829" s="615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</row>
    <row r="830" spans="1:74" ht="15.75" customHeight="1">
      <c r="A830" s="3"/>
      <c r="B830" s="3"/>
      <c r="C830" s="3"/>
      <c r="D830" s="3"/>
      <c r="E830" s="615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615"/>
      <c r="AE830" s="3"/>
      <c r="AF830" s="3"/>
      <c r="AG830" s="3"/>
      <c r="AH830" s="615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</row>
    <row r="831" spans="1:74" ht="15.75" customHeight="1">
      <c r="A831" s="3"/>
      <c r="B831" s="3"/>
      <c r="C831" s="3"/>
      <c r="D831" s="3"/>
      <c r="E831" s="615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615"/>
      <c r="AE831" s="3"/>
      <c r="AF831" s="3"/>
      <c r="AG831" s="3"/>
      <c r="AH831" s="615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</row>
    <row r="832" spans="1:74" ht="15.75" customHeight="1">
      <c r="A832" s="3"/>
      <c r="B832" s="3"/>
      <c r="C832" s="3"/>
      <c r="D832" s="3"/>
      <c r="E832" s="615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615"/>
      <c r="AE832" s="3"/>
      <c r="AF832" s="3"/>
      <c r="AG832" s="3"/>
      <c r="AH832" s="615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</row>
    <row r="833" spans="1:74" ht="15.75" customHeight="1">
      <c r="A833" s="3"/>
      <c r="B833" s="3"/>
      <c r="C833" s="3"/>
      <c r="D833" s="3"/>
      <c r="E833" s="615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615"/>
      <c r="AE833" s="3"/>
      <c r="AF833" s="3"/>
      <c r="AG833" s="3"/>
      <c r="AH833" s="615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</row>
    <row r="834" spans="1:74" ht="15.75" customHeight="1">
      <c r="A834" s="3"/>
      <c r="B834" s="3"/>
      <c r="C834" s="3"/>
      <c r="D834" s="3"/>
      <c r="E834" s="615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615"/>
      <c r="AE834" s="3"/>
      <c r="AF834" s="3"/>
      <c r="AG834" s="3"/>
      <c r="AH834" s="615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</row>
    <row r="835" spans="1:74" ht="15.75" customHeight="1">
      <c r="A835" s="3"/>
      <c r="B835" s="3"/>
      <c r="C835" s="3"/>
      <c r="D835" s="3"/>
      <c r="E835" s="615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615"/>
      <c r="AE835" s="3"/>
      <c r="AF835" s="3"/>
      <c r="AG835" s="3"/>
      <c r="AH835" s="615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</row>
    <row r="836" spans="1:74" ht="15.75" customHeight="1">
      <c r="A836" s="3"/>
      <c r="B836" s="3"/>
      <c r="C836" s="3"/>
      <c r="D836" s="3"/>
      <c r="E836" s="615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615"/>
      <c r="AE836" s="3"/>
      <c r="AF836" s="3"/>
      <c r="AG836" s="3"/>
      <c r="AH836" s="615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</row>
    <row r="837" spans="1:74" ht="15.75" customHeight="1">
      <c r="A837" s="3"/>
      <c r="B837" s="3"/>
      <c r="C837" s="3"/>
      <c r="D837" s="3"/>
      <c r="E837" s="615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615"/>
      <c r="AE837" s="3"/>
      <c r="AF837" s="3"/>
      <c r="AG837" s="3"/>
      <c r="AH837" s="615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</row>
    <row r="838" spans="1:74" ht="15.75" customHeight="1">
      <c r="A838" s="3"/>
      <c r="B838" s="3"/>
      <c r="C838" s="3"/>
      <c r="D838" s="3"/>
      <c r="E838" s="615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615"/>
      <c r="AE838" s="3"/>
      <c r="AF838" s="3"/>
      <c r="AG838" s="3"/>
      <c r="AH838" s="615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</row>
    <row r="839" spans="1:74" ht="15.75" customHeight="1">
      <c r="A839" s="3"/>
      <c r="B839" s="3"/>
      <c r="C839" s="3"/>
      <c r="D839" s="3"/>
      <c r="E839" s="615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615"/>
      <c r="AE839" s="3"/>
      <c r="AF839" s="3"/>
      <c r="AG839" s="3"/>
      <c r="AH839" s="615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</row>
    <row r="840" spans="1:74" ht="15.75" customHeight="1">
      <c r="A840" s="3"/>
      <c r="B840" s="3"/>
      <c r="C840" s="3"/>
      <c r="D840" s="3"/>
      <c r="E840" s="615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615"/>
      <c r="AE840" s="3"/>
      <c r="AF840" s="3"/>
      <c r="AG840" s="3"/>
      <c r="AH840" s="615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</row>
    <row r="841" spans="1:74" ht="15.75" customHeight="1">
      <c r="A841" s="3"/>
      <c r="B841" s="3"/>
      <c r="C841" s="3"/>
      <c r="D841" s="3"/>
      <c r="E841" s="615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615"/>
      <c r="AE841" s="3"/>
      <c r="AF841" s="3"/>
      <c r="AG841" s="3"/>
      <c r="AH841" s="615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</row>
    <row r="842" spans="1:74" ht="15.75" customHeight="1">
      <c r="A842" s="3"/>
      <c r="B842" s="3"/>
      <c r="C842" s="3"/>
      <c r="D842" s="3"/>
      <c r="E842" s="615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615"/>
      <c r="AE842" s="3"/>
      <c r="AF842" s="3"/>
      <c r="AG842" s="3"/>
      <c r="AH842" s="615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</row>
    <row r="843" spans="1:74" ht="15.75" customHeight="1">
      <c r="A843" s="3"/>
      <c r="B843" s="3"/>
      <c r="C843" s="3"/>
      <c r="D843" s="3"/>
      <c r="E843" s="615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615"/>
      <c r="AE843" s="3"/>
      <c r="AF843" s="3"/>
      <c r="AG843" s="3"/>
      <c r="AH843" s="615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</row>
    <row r="844" spans="1:74" ht="15.75" customHeight="1">
      <c r="A844" s="3"/>
      <c r="B844" s="3"/>
      <c r="C844" s="3"/>
      <c r="D844" s="3"/>
      <c r="E844" s="615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615"/>
      <c r="AE844" s="3"/>
      <c r="AF844" s="3"/>
      <c r="AG844" s="3"/>
      <c r="AH844" s="615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</row>
    <row r="845" spans="1:74" ht="15.75" customHeight="1">
      <c r="A845" s="3"/>
      <c r="B845" s="3"/>
      <c r="C845" s="3"/>
      <c r="D845" s="3"/>
      <c r="E845" s="61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615"/>
      <c r="AE845" s="3"/>
      <c r="AF845" s="3"/>
      <c r="AG845" s="3"/>
      <c r="AH845" s="615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</row>
    <row r="846" spans="1:74" ht="15.75" customHeight="1">
      <c r="A846" s="3"/>
      <c r="B846" s="3"/>
      <c r="C846" s="3"/>
      <c r="D846" s="3"/>
      <c r="E846" s="615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615"/>
      <c r="AE846" s="3"/>
      <c r="AF846" s="3"/>
      <c r="AG846" s="3"/>
      <c r="AH846" s="615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</row>
    <row r="847" spans="1:74" ht="15.75" customHeight="1">
      <c r="A847" s="3"/>
      <c r="B847" s="3"/>
      <c r="C847" s="3"/>
      <c r="D847" s="3"/>
      <c r="E847" s="615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615"/>
      <c r="AE847" s="3"/>
      <c r="AF847" s="3"/>
      <c r="AG847" s="3"/>
      <c r="AH847" s="615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</row>
    <row r="848" spans="1:74" ht="15.75" customHeight="1">
      <c r="A848" s="3"/>
      <c r="B848" s="3"/>
      <c r="C848" s="3"/>
      <c r="D848" s="3"/>
      <c r="E848" s="615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615"/>
      <c r="AE848" s="3"/>
      <c r="AF848" s="3"/>
      <c r="AG848" s="3"/>
      <c r="AH848" s="615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</row>
    <row r="849" spans="1:74" ht="15.75" customHeight="1">
      <c r="A849" s="3"/>
      <c r="B849" s="3"/>
      <c r="C849" s="3"/>
      <c r="D849" s="3"/>
      <c r="E849" s="615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615"/>
      <c r="AE849" s="3"/>
      <c r="AF849" s="3"/>
      <c r="AG849" s="3"/>
      <c r="AH849" s="615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</row>
    <row r="850" spans="1:74" ht="15.75" customHeight="1">
      <c r="A850" s="3"/>
      <c r="B850" s="3"/>
      <c r="C850" s="3"/>
      <c r="D850" s="3"/>
      <c r="E850" s="615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615"/>
      <c r="AE850" s="3"/>
      <c r="AF850" s="3"/>
      <c r="AG850" s="3"/>
      <c r="AH850" s="615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</row>
    <row r="851" spans="1:74" ht="15.75" customHeight="1">
      <c r="A851" s="3"/>
      <c r="B851" s="3"/>
      <c r="C851" s="3"/>
      <c r="D851" s="3"/>
      <c r="E851" s="615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615"/>
      <c r="AE851" s="3"/>
      <c r="AF851" s="3"/>
      <c r="AG851" s="3"/>
      <c r="AH851" s="615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</row>
    <row r="852" spans="1:74" ht="15.75" customHeight="1">
      <c r="A852" s="3"/>
      <c r="B852" s="3"/>
      <c r="C852" s="3"/>
      <c r="D852" s="3"/>
      <c r="E852" s="615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615"/>
      <c r="AE852" s="3"/>
      <c r="AF852" s="3"/>
      <c r="AG852" s="3"/>
      <c r="AH852" s="615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</row>
    <row r="853" spans="1:74" ht="15.75" customHeight="1">
      <c r="A853" s="3"/>
      <c r="B853" s="3"/>
      <c r="C853" s="3"/>
      <c r="D853" s="3"/>
      <c r="E853" s="615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615"/>
      <c r="AE853" s="3"/>
      <c r="AF853" s="3"/>
      <c r="AG853" s="3"/>
      <c r="AH853" s="615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</row>
    <row r="854" spans="1:74" ht="15.75" customHeight="1">
      <c r="A854" s="3"/>
      <c r="B854" s="3"/>
      <c r="C854" s="3"/>
      <c r="D854" s="3"/>
      <c r="E854" s="615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615"/>
      <c r="AE854" s="3"/>
      <c r="AF854" s="3"/>
      <c r="AG854" s="3"/>
      <c r="AH854" s="615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</row>
    <row r="855" spans="1:74" ht="15.75" customHeight="1">
      <c r="A855" s="3"/>
      <c r="B855" s="3"/>
      <c r="C855" s="3"/>
      <c r="D855" s="3"/>
      <c r="E855" s="615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615"/>
      <c r="AE855" s="3"/>
      <c r="AF855" s="3"/>
      <c r="AG855" s="3"/>
      <c r="AH855" s="615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</row>
    <row r="856" spans="1:74" ht="15.75" customHeight="1">
      <c r="A856" s="3"/>
      <c r="B856" s="3"/>
      <c r="C856" s="3"/>
      <c r="D856" s="3"/>
      <c r="E856" s="615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615"/>
      <c r="AE856" s="3"/>
      <c r="AF856" s="3"/>
      <c r="AG856" s="3"/>
      <c r="AH856" s="615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</row>
    <row r="857" spans="1:74" ht="15.75" customHeight="1">
      <c r="A857" s="3"/>
      <c r="B857" s="3"/>
      <c r="C857" s="3"/>
      <c r="D857" s="3"/>
      <c r="E857" s="615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615"/>
      <c r="AE857" s="3"/>
      <c r="AF857" s="3"/>
      <c r="AG857" s="3"/>
      <c r="AH857" s="615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</row>
    <row r="858" spans="1:74" ht="15.75" customHeight="1">
      <c r="A858" s="3"/>
      <c r="B858" s="3"/>
      <c r="C858" s="3"/>
      <c r="D858" s="3"/>
      <c r="E858" s="615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615"/>
      <c r="AE858" s="3"/>
      <c r="AF858" s="3"/>
      <c r="AG858" s="3"/>
      <c r="AH858" s="615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</row>
    <row r="859" spans="1:74" ht="15.75" customHeight="1">
      <c r="A859" s="3"/>
      <c r="B859" s="3"/>
      <c r="C859" s="3"/>
      <c r="D859" s="3"/>
      <c r="E859" s="615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615"/>
      <c r="AE859" s="3"/>
      <c r="AF859" s="3"/>
      <c r="AG859" s="3"/>
      <c r="AH859" s="615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</row>
    <row r="860" spans="1:74" ht="15.75" customHeight="1">
      <c r="A860" s="3"/>
      <c r="B860" s="3"/>
      <c r="C860" s="3"/>
      <c r="D860" s="3"/>
      <c r="E860" s="615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615"/>
      <c r="AE860" s="3"/>
      <c r="AF860" s="3"/>
      <c r="AG860" s="3"/>
      <c r="AH860" s="615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</row>
    <row r="861" spans="1:74" ht="15.75" customHeight="1">
      <c r="A861" s="3"/>
      <c r="B861" s="3"/>
      <c r="C861" s="3"/>
      <c r="D861" s="3"/>
      <c r="E861" s="61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615"/>
      <c r="AE861" s="3"/>
      <c r="AF861" s="3"/>
      <c r="AG861" s="3"/>
      <c r="AH861" s="615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</row>
    <row r="862" spans="1:74" ht="15.75" customHeight="1">
      <c r="A862" s="3"/>
      <c r="B862" s="3"/>
      <c r="C862" s="3"/>
      <c r="D862" s="3"/>
      <c r="E862" s="61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615"/>
      <c r="AE862" s="3"/>
      <c r="AF862" s="3"/>
      <c r="AG862" s="3"/>
      <c r="AH862" s="615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</row>
    <row r="863" spans="1:74" ht="15.75" customHeight="1">
      <c r="A863" s="3"/>
      <c r="B863" s="3"/>
      <c r="C863" s="3"/>
      <c r="D863" s="3"/>
      <c r="E863" s="615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615"/>
      <c r="AE863" s="3"/>
      <c r="AF863" s="3"/>
      <c r="AG863" s="3"/>
      <c r="AH863" s="615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</row>
    <row r="864" spans="1:74" ht="15.75" customHeight="1">
      <c r="A864" s="3"/>
      <c r="B864" s="3"/>
      <c r="C864" s="3"/>
      <c r="D864" s="3"/>
      <c r="E864" s="615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615"/>
      <c r="AE864" s="3"/>
      <c r="AF864" s="3"/>
      <c r="AG864" s="3"/>
      <c r="AH864" s="615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</row>
    <row r="865" spans="1:74" ht="15.75" customHeight="1">
      <c r="A865" s="3"/>
      <c r="B865" s="3"/>
      <c r="C865" s="3"/>
      <c r="D865" s="3"/>
      <c r="E865" s="615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615"/>
      <c r="AE865" s="3"/>
      <c r="AF865" s="3"/>
      <c r="AG865" s="3"/>
      <c r="AH865" s="615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</row>
    <row r="866" spans="1:74" ht="15.75" customHeight="1">
      <c r="A866" s="3"/>
      <c r="B866" s="3"/>
      <c r="C866" s="3"/>
      <c r="D866" s="3"/>
      <c r="E866" s="615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615"/>
      <c r="AE866" s="3"/>
      <c r="AF866" s="3"/>
      <c r="AG866" s="3"/>
      <c r="AH866" s="615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</row>
    <row r="867" spans="1:74" ht="15.75" customHeight="1">
      <c r="A867" s="3"/>
      <c r="B867" s="3"/>
      <c r="C867" s="3"/>
      <c r="D867" s="3"/>
      <c r="E867" s="615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615"/>
      <c r="AE867" s="3"/>
      <c r="AF867" s="3"/>
      <c r="AG867" s="3"/>
      <c r="AH867" s="615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</row>
    <row r="868" spans="1:74" ht="15.75" customHeight="1">
      <c r="A868" s="3"/>
      <c r="B868" s="3"/>
      <c r="C868" s="3"/>
      <c r="D868" s="3"/>
      <c r="E868" s="615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615"/>
      <c r="AE868" s="3"/>
      <c r="AF868" s="3"/>
      <c r="AG868" s="3"/>
      <c r="AH868" s="615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</row>
    <row r="869" spans="1:74" ht="15.75" customHeight="1">
      <c r="A869" s="3"/>
      <c r="B869" s="3"/>
      <c r="C869" s="3"/>
      <c r="D869" s="3"/>
      <c r="E869" s="615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615"/>
      <c r="AE869" s="3"/>
      <c r="AF869" s="3"/>
      <c r="AG869" s="3"/>
      <c r="AH869" s="615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</row>
    <row r="870" spans="1:74" ht="15.75" customHeight="1">
      <c r="A870" s="3"/>
      <c r="B870" s="3"/>
      <c r="C870" s="3"/>
      <c r="D870" s="3"/>
      <c r="E870" s="615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615"/>
      <c r="AE870" s="3"/>
      <c r="AF870" s="3"/>
      <c r="AG870" s="3"/>
      <c r="AH870" s="615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</row>
    <row r="871" spans="1:74" ht="15.75" customHeight="1">
      <c r="A871" s="3"/>
      <c r="B871" s="3"/>
      <c r="C871" s="3"/>
      <c r="D871" s="3"/>
      <c r="E871" s="615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615"/>
      <c r="AE871" s="3"/>
      <c r="AF871" s="3"/>
      <c r="AG871" s="3"/>
      <c r="AH871" s="615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</row>
    <row r="872" spans="1:74" ht="15.75" customHeight="1">
      <c r="A872" s="3"/>
      <c r="B872" s="3"/>
      <c r="C872" s="3"/>
      <c r="D872" s="3"/>
      <c r="E872" s="615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615"/>
      <c r="AE872" s="3"/>
      <c r="AF872" s="3"/>
      <c r="AG872" s="3"/>
      <c r="AH872" s="615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</row>
    <row r="873" spans="1:74" ht="15.75" customHeight="1">
      <c r="A873" s="3"/>
      <c r="B873" s="3"/>
      <c r="C873" s="3"/>
      <c r="D873" s="3"/>
      <c r="E873" s="615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615"/>
      <c r="AE873" s="3"/>
      <c r="AF873" s="3"/>
      <c r="AG873" s="3"/>
      <c r="AH873" s="615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</row>
    <row r="874" spans="1:74" ht="15.75" customHeight="1">
      <c r="A874" s="3"/>
      <c r="B874" s="3"/>
      <c r="C874" s="3"/>
      <c r="D874" s="3"/>
      <c r="E874" s="615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615"/>
      <c r="AE874" s="3"/>
      <c r="AF874" s="3"/>
      <c r="AG874" s="3"/>
      <c r="AH874" s="615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</row>
    <row r="875" spans="1:74" ht="15.75" customHeight="1">
      <c r="A875" s="3"/>
      <c r="B875" s="3"/>
      <c r="C875" s="3"/>
      <c r="D875" s="3"/>
      <c r="E875" s="615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615"/>
      <c r="AE875" s="3"/>
      <c r="AF875" s="3"/>
      <c r="AG875" s="3"/>
      <c r="AH875" s="615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</row>
    <row r="876" spans="1:74" ht="15.75" customHeight="1">
      <c r="A876" s="3"/>
      <c r="B876" s="3"/>
      <c r="C876" s="3"/>
      <c r="D876" s="3"/>
      <c r="E876" s="615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615"/>
      <c r="AE876" s="3"/>
      <c r="AF876" s="3"/>
      <c r="AG876" s="3"/>
      <c r="AH876" s="615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</row>
    <row r="877" spans="1:74" ht="15.75" customHeight="1">
      <c r="A877" s="3"/>
      <c r="B877" s="3"/>
      <c r="C877" s="3"/>
      <c r="D877" s="3"/>
      <c r="E877" s="615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615"/>
      <c r="AE877" s="3"/>
      <c r="AF877" s="3"/>
      <c r="AG877" s="3"/>
      <c r="AH877" s="615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</row>
    <row r="878" spans="1:74" ht="15.75" customHeight="1">
      <c r="A878" s="3"/>
      <c r="B878" s="3"/>
      <c r="C878" s="3"/>
      <c r="D878" s="3"/>
      <c r="E878" s="615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615"/>
      <c r="AE878" s="3"/>
      <c r="AF878" s="3"/>
      <c r="AG878" s="3"/>
      <c r="AH878" s="615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</row>
    <row r="879" spans="1:74" ht="15.75" customHeight="1">
      <c r="A879" s="3"/>
      <c r="B879" s="3"/>
      <c r="C879" s="3"/>
      <c r="D879" s="3"/>
      <c r="E879" s="615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615"/>
      <c r="AE879" s="3"/>
      <c r="AF879" s="3"/>
      <c r="AG879" s="3"/>
      <c r="AH879" s="615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</row>
    <row r="880" spans="1:74" ht="15.75" customHeight="1">
      <c r="A880" s="3"/>
      <c r="B880" s="3"/>
      <c r="C880" s="3"/>
      <c r="D880" s="3"/>
      <c r="E880" s="615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615"/>
      <c r="AE880" s="3"/>
      <c r="AF880" s="3"/>
      <c r="AG880" s="3"/>
      <c r="AH880" s="615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</row>
    <row r="881" spans="1:74" ht="15.75" customHeight="1">
      <c r="A881" s="3"/>
      <c r="B881" s="3"/>
      <c r="C881" s="3"/>
      <c r="D881" s="3"/>
      <c r="E881" s="615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615"/>
      <c r="AE881" s="3"/>
      <c r="AF881" s="3"/>
      <c r="AG881" s="3"/>
      <c r="AH881" s="615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</row>
    <row r="882" spans="1:74" ht="15.75" customHeight="1">
      <c r="A882" s="3"/>
      <c r="B882" s="3"/>
      <c r="C882" s="3"/>
      <c r="D882" s="3"/>
      <c r="E882" s="615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615"/>
      <c r="AE882" s="3"/>
      <c r="AF882" s="3"/>
      <c r="AG882" s="3"/>
      <c r="AH882" s="615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</row>
    <row r="883" spans="1:74" ht="15.75" customHeight="1">
      <c r="A883" s="3"/>
      <c r="B883" s="3"/>
      <c r="C883" s="3"/>
      <c r="D883" s="3"/>
      <c r="E883" s="615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615"/>
      <c r="AE883" s="3"/>
      <c r="AF883" s="3"/>
      <c r="AG883" s="3"/>
      <c r="AH883" s="615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</row>
    <row r="884" spans="1:74" ht="15.75" customHeight="1">
      <c r="A884" s="3"/>
      <c r="B884" s="3"/>
      <c r="C884" s="3"/>
      <c r="D884" s="3"/>
      <c r="E884" s="61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615"/>
      <c r="AE884" s="3"/>
      <c r="AF884" s="3"/>
      <c r="AG884" s="3"/>
      <c r="AH884" s="615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</row>
    <row r="885" spans="1:74" ht="15.75" customHeight="1">
      <c r="A885" s="3"/>
      <c r="B885" s="3"/>
      <c r="C885" s="3"/>
      <c r="D885" s="3"/>
      <c r="E885" s="615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615"/>
      <c r="AE885" s="3"/>
      <c r="AF885" s="3"/>
      <c r="AG885" s="3"/>
      <c r="AH885" s="615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</row>
    <row r="886" spans="1:74" ht="15.75" customHeight="1">
      <c r="A886" s="3"/>
      <c r="B886" s="3"/>
      <c r="C886" s="3"/>
      <c r="D886" s="3"/>
      <c r="E886" s="615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615"/>
      <c r="AE886" s="3"/>
      <c r="AF886" s="3"/>
      <c r="AG886" s="3"/>
      <c r="AH886" s="615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</row>
    <row r="887" spans="1:74" ht="15.75" customHeight="1">
      <c r="A887" s="3"/>
      <c r="B887" s="3"/>
      <c r="C887" s="3"/>
      <c r="D887" s="3"/>
      <c r="E887" s="615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615"/>
      <c r="AE887" s="3"/>
      <c r="AF887" s="3"/>
      <c r="AG887" s="3"/>
      <c r="AH887" s="615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</row>
    <row r="888" spans="1:74" ht="15.75" customHeight="1">
      <c r="A888" s="3"/>
      <c r="B888" s="3"/>
      <c r="C888" s="3"/>
      <c r="D888" s="3"/>
      <c r="E888" s="615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615"/>
      <c r="AE888" s="3"/>
      <c r="AF888" s="3"/>
      <c r="AG888" s="3"/>
      <c r="AH888" s="615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</row>
    <row r="889" spans="1:74" ht="15.75" customHeight="1">
      <c r="A889" s="3"/>
      <c r="B889" s="3"/>
      <c r="C889" s="3"/>
      <c r="D889" s="3"/>
      <c r="E889" s="615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615"/>
      <c r="AE889" s="3"/>
      <c r="AF889" s="3"/>
      <c r="AG889" s="3"/>
      <c r="AH889" s="615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</row>
    <row r="890" spans="1:74" ht="15.75" customHeight="1">
      <c r="A890" s="3"/>
      <c r="B890" s="3"/>
      <c r="C890" s="3"/>
      <c r="D890" s="3"/>
      <c r="E890" s="615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615"/>
      <c r="AE890" s="3"/>
      <c r="AF890" s="3"/>
      <c r="AG890" s="3"/>
      <c r="AH890" s="615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</row>
    <row r="891" spans="1:74" ht="15.75" customHeight="1">
      <c r="A891" s="3"/>
      <c r="B891" s="3"/>
      <c r="C891" s="3"/>
      <c r="D891" s="3"/>
      <c r="E891" s="615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615"/>
      <c r="AE891" s="3"/>
      <c r="AF891" s="3"/>
      <c r="AG891" s="3"/>
      <c r="AH891" s="615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</row>
    <row r="892" spans="1:74" ht="15.75" customHeight="1">
      <c r="A892" s="3"/>
      <c r="B892" s="3"/>
      <c r="C892" s="3"/>
      <c r="D892" s="3"/>
      <c r="E892" s="615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615"/>
      <c r="AE892" s="3"/>
      <c r="AF892" s="3"/>
      <c r="AG892" s="3"/>
      <c r="AH892" s="615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</row>
    <row r="893" spans="1:74" ht="15.75" customHeight="1">
      <c r="A893" s="3"/>
      <c r="B893" s="3"/>
      <c r="C893" s="3"/>
      <c r="D893" s="3"/>
      <c r="E893" s="615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615"/>
      <c r="AE893" s="3"/>
      <c r="AF893" s="3"/>
      <c r="AG893" s="3"/>
      <c r="AH893" s="615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</row>
    <row r="894" spans="1:74" ht="15.75" customHeight="1">
      <c r="A894" s="3"/>
      <c r="B894" s="3"/>
      <c r="C894" s="3"/>
      <c r="D894" s="3"/>
      <c r="E894" s="615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615"/>
      <c r="AE894" s="3"/>
      <c r="AF894" s="3"/>
      <c r="AG894" s="3"/>
      <c r="AH894" s="615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</row>
    <row r="895" spans="1:74" ht="15.75" customHeight="1">
      <c r="A895" s="3"/>
      <c r="B895" s="3"/>
      <c r="C895" s="3"/>
      <c r="D895" s="3"/>
      <c r="E895" s="615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615"/>
      <c r="AE895" s="3"/>
      <c r="AF895" s="3"/>
      <c r="AG895" s="3"/>
      <c r="AH895" s="615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</row>
    <row r="896" spans="1:74" ht="15.75" customHeight="1">
      <c r="A896" s="3"/>
      <c r="B896" s="3"/>
      <c r="C896" s="3"/>
      <c r="D896" s="3"/>
      <c r="E896" s="615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615"/>
      <c r="AE896" s="3"/>
      <c r="AF896" s="3"/>
      <c r="AG896" s="3"/>
      <c r="AH896" s="615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</row>
    <row r="897" spans="1:74" ht="15.75" customHeight="1">
      <c r="A897" s="3"/>
      <c r="B897" s="3"/>
      <c r="C897" s="3"/>
      <c r="D897" s="3"/>
      <c r="E897" s="615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615"/>
      <c r="AE897" s="3"/>
      <c r="AF897" s="3"/>
      <c r="AG897" s="3"/>
      <c r="AH897" s="615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</row>
    <row r="898" spans="1:74" ht="15.75" customHeight="1">
      <c r="A898" s="3"/>
      <c r="B898" s="3"/>
      <c r="C898" s="3"/>
      <c r="D898" s="3"/>
      <c r="E898" s="615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615"/>
      <c r="AE898" s="3"/>
      <c r="AF898" s="3"/>
      <c r="AG898" s="3"/>
      <c r="AH898" s="615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</row>
    <row r="899" spans="1:74" ht="15.75" customHeight="1">
      <c r="A899" s="3"/>
      <c r="B899" s="3"/>
      <c r="C899" s="3"/>
      <c r="D899" s="3"/>
      <c r="E899" s="615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615"/>
      <c r="AE899" s="3"/>
      <c r="AF899" s="3"/>
      <c r="AG899" s="3"/>
      <c r="AH899" s="615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</row>
    <row r="900" spans="1:74" ht="15.75" customHeight="1">
      <c r="A900" s="3"/>
      <c r="B900" s="3"/>
      <c r="C900" s="3"/>
      <c r="D900" s="3"/>
      <c r="E900" s="615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615"/>
      <c r="AE900" s="3"/>
      <c r="AF900" s="3"/>
      <c r="AG900" s="3"/>
      <c r="AH900" s="615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</row>
    <row r="901" spans="1:74" ht="15.75" customHeight="1">
      <c r="A901" s="3"/>
      <c r="B901" s="3"/>
      <c r="C901" s="3"/>
      <c r="D901" s="3"/>
      <c r="E901" s="615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615"/>
      <c r="AE901" s="3"/>
      <c r="AF901" s="3"/>
      <c r="AG901" s="3"/>
      <c r="AH901" s="615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</row>
    <row r="902" spans="1:74" ht="15.75" customHeight="1">
      <c r="A902" s="3"/>
      <c r="B902" s="3"/>
      <c r="C902" s="3"/>
      <c r="D902" s="3"/>
      <c r="E902" s="615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615"/>
      <c r="AE902" s="3"/>
      <c r="AF902" s="3"/>
      <c r="AG902" s="3"/>
      <c r="AH902" s="615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</row>
    <row r="903" spans="1:74" ht="15.75" customHeight="1">
      <c r="A903" s="3"/>
      <c r="B903" s="3"/>
      <c r="C903" s="3"/>
      <c r="D903" s="3"/>
      <c r="E903" s="615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615"/>
      <c r="AE903" s="3"/>
      <c r="AF903" s="3"/>
      <c r="AG903" s="3"/>
      <c r="AH903" s="615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</row>
    <row r="904" spans="1:74" ht="15.75" customHeight="1">
      <c r="A904" s="3"/>
      <c r="B904" s="3"/>
      <c r="C904" s="3"/>
      <c r="D904" s="3"/>
      <c r="E904" s="615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615"/>
      <c r="AE904" s="3"/>
      <c r="AF904" s="3"/>
      <c r="AG904" s="3"/>
      <c r="AH904" s="615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</row>
    <row r="905" spans="1:74" ht="15.75" customHeight="1">
      <c r="A905" s="3"/>
      <c r="B905" s="3"/>
      <c r="C905" s="3"/>
      <c r="D905" s="3"/>
      <c r="E905" s="615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615"/>
      <c r="AE905" s="3"/>
      <c r="AF905" s="3"/>
      <c r="AG905" s="3"/>
      <c r="AH905" s="615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</row>
    <row r="906" spans="1:74" ht="15.75" customHeight="1">
      <c r="A906" s="3"/>
      <c r="B906" s="3"/>
      <c r="C906" s="3"/>
      <c r="D906" s="3"/>
      <c r="E906" s="615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615"/>
      <c r="AE906" s="3"/>
      <c r="AF906" s="3"/>
      <c r="AG906" s="3"/>
      <c r="AH906" s="615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</row>
    <row r="907" spans="1:74" ht="15.75" customHeight="1">
      <c r="A907" s="3"/>
      <c r="B907" s="3"/>
      <c r="C907" s="3"/>
      <c r="D907" s="3"/>
      <c r="E907" s="615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615"/>
      <c r="AE907" s="3"/>
      <c r="AF907" s="3"/>
      <c r="AG907" s="3"/>
      <c r="AH907" s="615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</row>
    <row r="908" spans="1:74" ht="15.75" customHeight="1">
      <c r="A908" s="3"/>
      <c r="B908" s="3"/>
      <c r="C908" s="3"/>
      <c r="D908" s="3"/>
      <c r="E908" s="615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615"/>
      <c r="AE908" s="3"/>
      <c r="AF908" s="3"/>
      <c r="AG908" s="3"/>
      <c r="AH908" s="615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</row>
    <row r="909" spans="1:74" ht="15.75" customHeight="1">
      <c r="A909" s="3"/>
      <c r="B909" s="3"/>
      <c r="C909" s="3"/>
      <c r="D909" s="3"/>
      <c r="E909" s="615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615"/>
      <c r="AE909" s="3"/>
      <c r="AF909" s="3"/>
      <c r="AG909" s="3"/>
      <c r="AH909" s="615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</row>
    <row r="910" spans="1:74" ht="15.75" customHeight="1">
      <c r="A910" s="3"/>
      <c r="B910" s="3"/>
      <c r="C910" s="3"/>
      <c r="D910" s="3"/>
      <c r="E910" s="615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615"/>
      <c r="AE910" s="3"/>
      <c r="AF910" s="3"/>
      <c r="AG910" s="3"/>
      <c r="AH910" s="615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</row>
    <row r="911" spans="1:74" ht="15.75" customHeight="1">
      <c r="A911" s="3"/>
      <c r="B911" s="3"/>
      <c r="C911" s="3"/>
      <c r="D911" s="3"/>
      <c r="E911" s="615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615"/>
      <c r="AE911" s="3"/>
      <c r="AF911" s="3"/>
      <c r="AG911" s="3"/>
      <c r="AH911" s="615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</row>
    <row r="912" spans="1:74" ht="15.75" customHeight="1">
      <c r="A912" s="3"/>
      <c r="B912" s="3"/>
      <c r="C912" s="3"/>
      <c r="D912" s="3"/>
      <c r="E912" s="615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615"/>
      <c r="AE912" s="3"/>
      <c r="AF912" s="3"/>
      <c r="AG912" s="3"/>
      <c r="AH912" s="615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</row>
    <row r="913" spans="1:74" ht="15.75" customHeight="1">
      <c r="A913" s="3"/>
      <c r="B913" s="3"/>
      <c r="C913" s="3"/>
      <c r="D913" s="3"/>
      <c r="E913" s="615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615"/>
      <c r="AE913" s="3"/>
      <c r="AF913" s="3"/>
      <c r="AG913" s="3"/>
      <c r="AH913" s="615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</row>
    <row r="914" spans="1:74" ht="15.75" customHeight="1">
      <c r="A914" s="3"/>
      <c r="B914" s="3"/>
      <c r="C914" s="3"/>
      <c r="D914" s="3"/>
      <c r="E914" s="615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615"/>
      <c r="AE914" s="3"/>
      <c r="AF914" s="3"/>
      <c r="AG914" s="3"/>
      <c r="AH914" s="615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</row>
    <row r="915" spans="1:74" ht="15.75" customHeight="1">
      <c r="A915" s="3"/>
      <c r="B915" s="3"/>
      <c r="C915" s="3"/>
      <c r="D915" s="3"/>
      <c r="E915" s="615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615"/>
      <c r="AE915" s="3"/>
      <c r="AF915" s="3"/>
      <c r="AG915" s="3"/>
      <c r="AH915" s="615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</row>
    <row r="916" spans="1:74" ht="15.75" customHeight="1">
      <c r="A916" s="3"/>
      <c r="B916" s="3"/>
      <c r="C916" s="3"/>
      <c r="D916" s="3"/>
      <c r="E916" s="615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615"/>
      <c r="AE916" s="3"/>
      <c r="AF916" s="3"/>
      <c r="AG916" s="3"/>
      <c r="AH916" s="615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</row>
    <row r="917" spans="1:74" ht="15.75" customHeight="1">
      <c r="A917" s="3"/>
      <c r="B917" s="3"/>
      <c r="C917" s="3"/>
      <c r="D917" s="3"/>
      <c r="E917" s="615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615"/>
      <c r="AE917" s="3"/>
      <c r="AF917" s="3"/>
      <c r="AG917" s="3"/>
      <c r="AH917" s="615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</row>
    <row r="918" spans="1:74" ht="15.75" customHeight="1">
      <c r="A918" s="3"/>
      <c r="B918" s="3"/>
      <c r="C918" s="3"/>
      <c r="D918" s="3"/>
      <c r="E918" s="615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615"/>
      <c r="AE918" s="3"/>
      <c r="AF918" s="3"/>
      <c r="AG918" s="3"/>
      <c r="AH918" s="615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</row>
    <row r="919" spans="1:74" ht="15.75" customHeight="1">
      <c r="A919" s="3"/>
      <c r="B919" s="3"/>
      <c r="C919" s="3"/>
      <c r="D919" s="3"/>
      <c r="E919" s="615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615"/>
      <c r="AE919" s="3"/>
      <c r="AF919" s="3"/>
      <c r="AG919" s="3"/>
      <c r="AH919" s="615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</row>
    <row r="920" spans="1:74" ht="15.75" customHeight="1">
      <c r="A920" s="3"/>
      <c r="B920" s="3"/>
      <c r="C920" s="3"/>
      <c r="D920" s="3"/>
      <c r="E920" s="615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615"/>
      <c r="AE920" s="3"/>
      <c r="AF920" s="3"/>
      <c r="AG920" s="3"/>
      <c r="AH920" s="615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</row>
    <row r="921" spans="1:74" ht="15.75" customHeight="1">
      <c r="A921" s="3"/>
      <c r="B921" s="3"/>
      <c r="C921" s="3"/>
      <c r="D921" s="3"/>
      <c r="E921" s="615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615"/>
      <c r="AE921" s="3"/>
      <c r="AF921" s="3"/>
      <c r="AG921" s="3"/>
      <c r="AH921" s="615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</row>
    <row r="922" spans="1:74" ht="15.75" customHeight="1">
      <c r="A922" s="3"/>
      <c r="B922" s="3"/>
      <c r="C922" s="3"/>
      <c r="D922" s="3"/>
      <c r="E922" s="615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615"/>
      <c r="AE922" s="3"/>
      <c r="AF922" s="3"/>
      <c r="AG922" s="3"/>
      <c r="AH922" s="615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</row>
    <row r="923" spans="1:74" ht="15.75" customHeight="1">
      <c r="A923" s="3"/>
      <c r="B923" s="3"/>
      <c r="C923" s="3"/>
      <c r="D923" s="3"/>
      <c r="E923" s="615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615"/>
      <c r="AE923" s="3"/>
      <c r="AF923" s="3"/>
      <c r="AG923" s="3"/>
      <c r="AH923" s="615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</row>
    <row r="924" spans="1:74" ht="15.75" customHeight="1">
      <c r="A924" s="3"/>
      <c r="B924" s="3"/>
      <c r="C924" s="3"/>
      <c r="D924" s="3"/>
      <c r="E924" s="615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615"/>
      <c r="AE924" s="3"/>
      <c r="AF924" s="3"/>
      <c r="AG924" s="3"/>
      <c r="AH924" s="615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</row>
    <row r="925" spans="1:74" ht="15.75" customHeight="1">
      <c r="A925" s="3"/>
      <c r="B925" s="3"/>
      <c r="C925" s="3"/>
      <c r="D925" s="3"/>
      <c r="E925" s="615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615"/>
      <c r="AE925" s="3"/>
      <c r="AF925" s="3"/>
      <c r="AG925" s="3"/>
      <c r="AH925" s="615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</row>
    <row r="926" spans="1:74" ht="15.75" customHeight="1">
      <c r="A926" s="3"/>
      <c r="B926" s="3"/>
      <c r="C926" s="3"/>
      <c r="D926" s="3"/>
      <c r="E926" s="615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615"/>
      <c r="AE926" s="3"/>
      <c r="AF926" s="3"/>
      <c r="AG926" s="3"/>
      <c r="AH926" s="615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</row>
    <row r="927" spans="1:74" ht="15.75" customHeight="1">
      <c r="A927" s="3"/>
      <c r="B927" s="3"/>
      <c r="C927" s="3"/>
      <c r="D927" s="3"/>
      <c r="E927" s="615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615"/>
      <c r="AE927" s="3"/>
      <c r="AF927" s="3"/>
      <c r="AG927" s="3"/>
      <c r="AH927" s="615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</row>
    <row r="928" spans="1:74" ht="15.75" customHeight="1">
      <c r="A928" s="3"/>
      <c r="B928" s="3"/>
      <c r="C928" s="3"/>
      <c r="D928" s="3"/>
      <c r="E928" s="615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615"/>
      <c r="AE928" s="3"/>
      <c r="AF928" s="3"/>
      <c r="AG928" s="3"/>
      <c r="AH928" s="615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</row>
    <row r="929" spans="1:74" ht="15.75" customHeight="1">
      <c r="A929" s="3"/>
      <c r="B929" s="3"/>
      <c r="C929" s="3"/>
      <c r="D929" s="3"/>
      <c r="E929" s="615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615"/>
      <c r="AE929" s="3"/>
      <c r="AF929" s="3"/>
      <c r="AG929" s="3"/>
      <c r="AH929" s="615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</row>
    <row r="930" spans="1:74" ht="15.75" customHeight="1">
      <c r="A930" s="3"/>
      <c r="B930" s="3"/>
      <c r="C930" s="3"/>
      <c r="D930" s="3"/>
      <c r="E930" s="615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615"/>
      <c r="AE930" s="3"/>
      <c r="AF930" s="3"/>
      <c r="AG930" s="3"/>
      <c r="AH930" s="615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</row>
    <row r="931" spans="1:74" ht="15.75" customHeight="1">
      <c r="A931" s="3"/>
      <c r="B931" s="3"/>
      <c r="C931" s="3"/>
      <c r="D931" s="3"/>
      <c r="E931" s="615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615"/>
      <c r="AE931" s="3"/>
      <c r="AF931" s="3"/>
      <c r="AG931" s="3"/>
      <c r="AH931" s="615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</row>
    <row r="932" spans="1:74" ht="15.75" customHeight="1">
      <c r="A932" s="3"/>
      <c r="B932" s="3"/>
      <c r="C932" s="3"/>
      <c r="D932" s="3"/>
      <c r="E932" s="615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615"/>
      <c r="AE932" s="3"/>
      <c r="AF932" s="3"/>
      <c r="AG932" s="3"/>
      <c r="AH932" s="615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</row>
    <row r="933" spans="1:74" ht="15.75" customHeight="1">
      <c r="A933" s="3"/>
      <c r="B933" s="3"/>
      <c r="C933" s="3"/>
      <c r="D933" s="3"/>
      <c r="E933" s="615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615"/>
      <c r="AE933" s="3"/>
      <c r="AF933" s="3"/>
      <c r="AG933" s="3"/>
      <c r="AH933" s="615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</row>
    <row r="934" spans="1:74" ht="15.75" customHeight="1">
      <c r="A934" s="3"/>
      <c r="B934" s="3"/>
      <c r="C934" s="3"/>
      <c r="D934" s="3"/>
      <c r="E934" s="615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615"/>
      <c r="AE934" s="3"/>
      <c r="AF934" s="3"/>
      <c r="AG934" s="3"/>
      <c r="AH934" s="615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</row>
    <row r="935" spans="1:74" ht="15.75" customHeight="1">
      <c r="A935" s="3"/>
      <c r="B935" s="3"/>
      <c r="C935" s="3"/>
      <c r="D935" s="3"/>
      <c r="E935" s="615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615"/>
      <c r="AE935" s="3"/>
      <c r="AF935" s="3"/>
      <c r="AG935" s="3"/>
      <c r="AH935" s="615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</row>
    <row r="936" spans="1:74" ht="15.75" customHeight="1">
      <c r="A936" s="3"/>
      <c r="B936" s="3"/>
      <c r="C936" s="3"/>
      <c r="D936" s="3"/>
      <c r="E936" s="615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615"/>
      <c r="AE936" s="3"/>
      <c r="AF936" s="3"/>
      <c r="AG936" s="3"/>
      <c r="AH936" s="615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</row>
    <row r="937" spans="1:74" ht="15.75" customHeight="1">
      <c r="A937" s="3"/>
      <c r="B937" s="3"/>
      <c r="C937" s="3"/>
      <c r="D937" s="3"/>
      <c r="E937" s="615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615"/>
      <c r="AE937" s="3"/>
      <c r="AF937" s="3"/>
      <c r="AG937" s="3"/>
      <c r="AH937" s="615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</row>
    <row r="938" spans="1:74" ht="15.75" customHeight="1">
      <c r="A938" s="3"/>
      <c r="B938" s="3"/>
      <c r="C938" s="3"/>
      <c r="D938" s="3"/>
      <c r="E938" s="615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615"/>
      <c r="AE938" s="3"/>
      <c r="AF938" s="3"/>
      <c r="AG938" s="3"/>
      <c r="AH938" s="615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</row>
    <row r="939" spans="1:74" ht="15.75" customHeight="1">
      <c r="A939" s="3"/>
      <c r="B939" s="3"/>
      <c r="C939" s="3"/>
      <c r="D939" s="3"/>
      <c r="E939" s="615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615"/>
      <c r="AE939" s="3"/>
      <c r="AF939" s="3"/>
      <c r="AG939" s="3"/>
      <c r="AH939" s="615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</row>
    <row r="940" spans="1:74" ht="15.75" customHeight="1">
      <c r="A940" s="3"/>
      <c r="B940" s="3"/>
      <c r="C940" s="3"/>
      <c r="D940" s="3"/>
      <c r="E940" s="615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615"/>
      <c r="AE940" s="3"/>
      <c r="AF940" s="3"/>
      <c r="AG940" s="3"/>
      <c r="AH940" s="615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</row>
    <row r="941" spans="1:74" ht="15.75" customHeight="1">
      <c r="A941" s="3"/>
      <c r="B941" s="3"/>
      <c r="C941" s="3"/>
      <c r="D941" s="3"/>
      <c r="E941" s="615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615"/>
      <c r="AE941" s="3"/>
      <c r="AF941" s="3"/>
      <c r="AG941" s="3"/>
      <c r="AH941" s="615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</row>
    <row r="942" spans="1:74" ht="15.75" customHeight="1">
      <c r="A942" s="3"/>
      <c r="B942" s="3"/>
      <c r="C942" s="3"/>
      <c r="D942" s="3"/>
      <c r="E942" s="615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615"/>
      <c r="AE942" s="3"/>
      <c r="AF942" s="3"/>
      <c r="AG942" s="3"/>
      <c r="AH942" s="615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</row>
    <row r="943" spans="1:74" ht="15.75" customHeight="1">
      <c r="A943" s="3"/>
      <c r="B943" s="3"/>
      <c r="C943" s="3"/>
      <c r="D943" s="3"/>
      <c r="E943" s="615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615"/>
      <c r="AE943" s="3"/>
      <c r="AF943" s="3"/>
      <c r="AG943" s="3"/>
      <c r="AH943" s="615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</row>
    <row r="944" spans="1:74" ht="15.75" customHeight="1">
      <c r="A944" s="3"/>
      <c r="B944" s="3"/>
      <c r="C944" s="3"/>
      <c r="D944" s="3"/>
      <c r="E944" s="615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615"/>
      <c r="AE944" s="3"/>
      <c r="AF944" s="3"/>
      <c r="AG944" s="3"/>
      <c r="AH944" s="615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</row>
    <row r="945" spans="1:74" ht="15.75" customHeight="1">
      <c r="A945" s="3"/>
      <c r="B945" s="3"/>
      <c r="C945" s="3"/>
      <c r="D945" s="3"/>
      <c r="E945" s="615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615"/>
      <c r="AE945" s="3"/>
      <c r="AF945" s="3"/>
      <c r="AG945" s="3"/>
      <c r="AH945" s="615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</row>
    <row r="946" spans="1:74" ht="15.75" customHeight="1">
      <c r="A946" s="3"/>
      <c r="B946" s="3"/>
      <c r="C946" s="3"/>
      <c r="D946" s="3"/>
      <c r="E946" s="615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615"/>
      <c r="AE946" s="3"/>
      <c r="AF946" s="3"/>
      <c r="AG946" s="3"/>
      <c r="AH946" s="615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</row>
    <row r="947" spans="1:74" ht="15.75" customHeight="1">
      <c r="A947" s="3"/>
      <c r="B947" s="3"/>
      <c r="C947" s="3"/>
      <c r="D947" s="3"/>
      <c r="E947" s="615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615"/>
      <c r="AE947" s="3"/>
      <c r="AF947" s="3"/>
      <c r="AG947" s="3"/>
      <c r="AH947" s="615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</row>
    <row r="948" spans="1:74" ht="15.75" customHeight="1">
      <c r="A948" s="3"/>
      <c r="B948" s="3"/>
      <c r="C948" s="3"/>
      <c r="D948" s="3"/>
      <c r="E948" s="615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615"/>
      <c r="AE948" s="3"/>
      <c r="AF948" s="3"/>
      <c r="AG948" s="3"/>
      <c r="AH948" s="615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</row>
    <row r="949" spans="1:74" ht="15.75" customHeight="1">
      <c r="A949" s="3"/>
      <c r="B949" s="3"/>
      <c r="C949" s="3"/>
      <c r="D949" s="3"/>
      <c r="E949" s="615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615"/>
      <c r="AE949" s="3"/>
      <c r="AF949" s="3"/>
      <c r="AG949" s="3"/>
      <c r="AH949" s="615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</row>
    <row r="950" spans="1:74" ht="15.75" customHeight="1">
      <c r="A950" s="3"/>
      <c r="B950" s="3"/>
      <c r="C950" s="3"/>
      <c r="D950" s="3"/>
      <c r="E950" s="615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615"/>
      <c r="AE950" s="3"/>
      <c r="AF950" s="3"/>
      <c r="AG950" s="3"/>
      <c r="AH950" s="615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</row>
    <row r="951" spans="1:74" ht="15.75" customHeight="1">
      <c r="A951" s="3"/>
      <c r="B951" s="3"/>
      <c r="C951" s="3"/>
      <c r="D951" s="3"/>
      <c r="E951" s="615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615"/>
      <c r="AE951" s="3"/>
      <c r="AF951" s="3"/>
      <c r="AG951" s="3"/>
      <c r="AH951" s="615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</row>
    <row r="952" spans="1:74" ht="15.75" customHeight="1">
      <c r="A952" s="3"/>
      <c r="B952" s="3"/>
      <c r="C952" s="3"/>
      <c r="D952" s="3"/>
      <c r="E952" s="615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615"/>
      <c r="AE952" s="3"/>
      <c r="AF952" s="3"/>
      <c r="AG952" s="3"/>
      <c r="AH952" s="615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</row>
    <row r="953" spans="1:74" ht="15.75" customHeight="1">
      <c r="A953" s="3"/>
      <c r="B953" s="3"/>
      <c r="C953" s="3"/>
      <c r="D953" s="3"/>
      <c r="E953" s="615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615"/>
      <c r="AE953" s="3"/>
      <c r="AF953" s="3"/>
      <c r="AG953" s="3"/>
      <c r="AH953" s="615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</row>
    <row r="954" spans="1:74" ht="15.75" customHeight="1">
      <c r="A954" s="3"/>
      <c r="B954" s="3"/>
      <c r="C954" s="3"/>
      <c r="D954" s="3"/>
      <c r="E954" s="615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615"/>
      <c r="AE954" s="3"/>
      <c r="AF954" s="3"/>
      <c r="AG954" s="3"/>
      <c r="AH954" s="615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</row>
    <row r="955" spans="1:74" ht="15.75" customHeight="1">
      <c r="A955" s="3"/>
      <c r="B955" s="3"/>
      <c r="C955" s="3"/>
      <c r="D955" s="3"/>
      <c r="E955" s="615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615"/>
      <c r="AE955" s="3"/>
      <c r="AF955" s="3"/>
      <c r="AG955" s="3"/>
      <c r="AH955" s="615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</row>
    <row r="956" spans="1:74" ht="15.75" customHeight="1">
      <c r="A956" s="3"/>
      <c r="B956" s="3"/>
      <c r="C956" s="3"/>
      <c r="D956" s="3"/>
      <c r="E956" s="615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615"/>
      <c r="AE956" s="3"/>
      <c r="AF956" s="3"/>
      <c r="AG956" s="3"/>
      <c r="AH956" s="615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</row>
    <row r="957" spans="1:74" ht="15.75" customHeight="1">
      <c r="A957" s="3"/>
      <c r="B957" s="3"/>
      <c r="C957" s="3"/>
      <c r="D957" s="3"/>
      <c r="E957" s="615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615"/>
      <c r="AE957" s="3"/>
      <c r="AF957" s="3"/>
      <c r="AG957" s="3"/>
      <c r="AH957" s="615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</row>
    <row r="958" spans="1:74" ht="15.75" customHeight="1">
      <c r="A958" s="3"/>
      <c r="B958" s="3"/>
      <c r="C958" s="3"/>
      <c r="D958" s="3"/>
      <c r="E958" s="615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615"/>
      <c r="AE958" s="3"/>
      <c r="AF958" s="3"/>
      <c r="AG958" s="3"/>
      <c r="AH958" s="615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</row>
    <row r="959" spans="1:74" ht="15.75" customHeight="1">
      <c r="A959" s="3"/>
      <c r="B959" s="3"/>
      <c r="C959" s="3"/>
      <c r="D959" s="3"/>
      <c r="E959" s="615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615"/>
      <c r="AE959" s="3"/>
      <c r="AF959" s="3"/>
      <c r="AG959" s="3"/>
      <c r="AH959" s="615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</row>
    <row r="960" spans="1:74" ht="15.75" customHeight="1">
      <c r="A960" s="3"/>
      <c r="B960" s="3"/>
      <c r="C960" s="3"/>
      <c r="D960" s="3"/>
      <c r="E960" s="615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615"/>
      <c r="AE960" s="3"/>
      <c r="AF960" s="3"/>
      <c r="AG960" s="3"/>
      <c r="AH960" s="615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</row>
    <row r="961" spans="1:74" ht="15.75" customHeight="1">
      <c r="A961" s="3"/>
      <c r="B961" s="3"/>
      <c r="C961" s="3"/>
      <c r="D961" s="3"/>
      <c r="E961" s="615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615"/>
      <c r="AE961" s="3"/>
      <c r="AF961" s="3"/>
      <c r="AG961" s="3"/>
      <c r="AH961" s="615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</row>
    <row r="962" spans="1:74" ht="15.75" customHeight="1">
      <c r="A962" s="3"/>
      <c r="B962" s="3"/>
      <c r="C962" s="3"/>
      <c r="D962" s="3"/>
      <c r="E962" s="615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615"/>
      <c r="AE962" s="3"/>
      <c r="AF962" s="3"/>
      <c r="AG962" s="3"/>
      <c r="AH962" s="615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</row>
    <row r="963" spans="1:74" ht="15.75" customHeight="1">
      <c r="A963" s="3"/>
      <c r="B963" s="3"/>
      <c r="C963" s="3"/>
      <c r="D963" s="3"/>
      <c r="E963" s="615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615"/>
      <c r="AE963" s="3"/>
      <c r="AF963" s="3"/>
      <c r="AG963" s="3"/>
      <c r="AH963" s="615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</row>
    <row r="964" spans="1:74" ht="15.75" customHeight="1">
      <c r="A964" s="3"/>
      <c r="B964" s="3"/>
      <c r="C964" s="3"/>
      <c r="D964" s="3"/>
      <c r="E964" s="615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615"/>
      <c r="AE964" s="3"/>
      <c r="AF964" s="3"/>
      <c r="AG964" s="3"/>
      <c r="AH964" s="615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</row>
    <row r="965" spans="1:74" ht="15.75" customHeight="1">
      <c r="A965" s="3"/>
      <c r="B965" s="3"/>
      <c r="C965" s="3"/>
      <c r="D965" s="3"/>
      <c r="E965" s="615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615"/>
      <c r="AE965" s="3"/>
      <c r="AF965" s="3"/>
      <c r="AG965" s="3"/>
      <c r="AH965" s="615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</row>
    <row r="966" spans="1:74" ht="15.75" customHeight="1">
      <c r="A966" s="3"/>
      <c r="B966" s="3"/>
      <c r="C966" s="3"/>
      <c r="D966" s="3"/>
      <c r="E966" s="615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615"/>
      <c r="AE966" s="3"/>
      <c r="AF966" s="3"/>
      <c r="AG966" s="3"/>
      <c r="AH966" s="615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</row>
    <row r="967" spans="1:74" ht="15.75" customHeight="1">
      <c r="A967" s="3"/>
      <c r="B967" s="3"/>
      <c r="C967" s="3"/>
      <c r="D967" s="3"/>
      <c r="E967" s="615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615"/>
      <c r="AE967" s="3"/>
      <c r="AF967" s="3"/>
      <c r="AG967" s="3"/>
      <c r="AH967" s="615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</row>
    <row r="968" spans="1:74" ht="15.75" customHeight="1">
      <c r="A968" s="3"/>
      <c r="B968" s="3"/>
      <c r="C968" s="3"/>
      <c r="D968" s="3"/>
      <c r="E968" s="615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615"/>
      <c r="AE968" s="3"/>
      <c r="AF968" s="3"/>
      <c r="AG968" s="3"/>
      <c r="AH968" s="615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</row>
    <row r="969" spans="1:74" ht="15.75" customHeight="1">
      <c r="A969" s="3"/>
      <c r="B969" s="3"/>
      <c r="C969" s="3"/>
      <c r="D969" s="3"/>
      <c r="E969" s="615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615"/>
      <c r="AE969" s="3"/>
      <c r="AF969" s="3"/>
      <c r="AG969" s="3"/>
      <c r="AH969" s="615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</row>
    <row r="970" spans="1:74" ht="15.75" customHeight="1">
      <c r="A970" s="3"/>
      <c r="B970" s="3"/>
      <c r="C970" s="3"/>
      <c r="D970" s="3"/>
      <c r="E970" s="615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615"/>
      <c r="AE970" s="3"/>
      <c r="AF970" s="3"/>
      <c r="AG970" s="3"/>
      <c r="AH970" s="615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</row>
    <row r="971" spans="1:74" ht="15.75" customHeight="1">
      <c r="A971" s="3"/>
      <c r="B971" s="3"/>
      <c r="C971" s="3"/>
      <c r="D971" s="3"/>
      <c r="E971" s="615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615"/>
      <c r="AE971" s="3"/>
      <c r="AF971" s="3"/>
      <c r="AG971" s="3"/>
      <c r="AH971" s="615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</row>
    <row r="972" spans="1:74" ht="15.75" customHeight="1">
      <c r="A972" s="3"/>
      <c r="B972" s="3"/>
      <c r="C972" s="3"/>
      <c r="D972" s="3"/>
      <c r="E972" s="615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615"/>
      <c r="AE972" s="3"/>
      <c r="AF972" s="3"/>
      <c r="AG972" s="3"/>
      <c r="AH972" s="615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</row>
    <row r="973" spans="1:74" ht="15.75" customHeight="1">
      <c r="A973" s="3"/>
      <c r="B973" s="3"/>
      <c r="C973" s="3"/>
      <c r="D973" s="3"/>
      <c r="E973" s="615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615"/>
      <c r="AE973" s="3"/>
      <c r="AF973" s="3"/>
      <c r="AG973" s="3"/>
      <c r="AH973" s="615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</row>
    <row r="974" spans="1:74" ht="15.75" customHeight="1">
      <c r="A974" s="3"/>
      <c r="B974" s="3"/>
      <c r="C974" s="3"/>
      <c r="D974" s="3"/>
      <c r="E974" s="615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615"/>
      <c r="AE974" s="3"/>
      <c r="AF974" s="3"/>
      <c r="AG974" s="3"/>
      <c r="AH974" s="615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</row>
    <row r="975" spans="1:74" ht="15.75" customHeight="1">
      <c r="A975" s="3"/>
      <c r="B975" s="3"/>
      <c r="C975" s="3"/>
      <c r="D975" s="3"/>
      <c r="E975" s="615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615"/>
      <c r="AE975" s="3"/>
      <c r="AF975" s="3"/>
      <c r="AG975" s="3"/>
      <c r="AH975" s="615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</row>
    <row r="976" spans="1:74" ht="15.75" customHeight="1">
      <c r="A976" s="3"/>
      <c r="B976" s="3"/>
      <c r="C976" s="3"/>
      <c r="D976" s="3"/>
      <c r="E976" s="615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615"/>
      <c r="AE976" s="3"/>
      <c r="AF976" s="3"/>
      <c r="AG976" s="3"/>
      <c r="AH976" s="615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</row>
    <row r="977" spans="1:74" ht="15.75" customHeight="1">
      <c r="A977" s="3"/>
      <c r="B977" s="3"/>
      <c r="C977" s="3"/>
      <c r="D977" s="3"/>
      <c r="E977" s="615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615"/>
      <c r="AE977" s="3"/>
      <c r="AF977" s="3"/>
      <c r="AG977" s="3"/>
      <c r="AH977" s="615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</row>
    <row r="978" spans="1:74" ht="15.75" customHeight="1">
      <c r="A978" s="3"/>
      <c r="B978" s="3"/>
      <c r="C978" s="3"/>
      <c r="D978" s="3"/>
      <c r="E978" s="615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615"/>
      <c r="AE978" s="3"/>
      <c r="AF978" s="3"/>
      <c r="AG978" s="3"/>
      <c r="AH978" s="615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</row>
    <row r="979" spans="1:74" ht="15.75" customHeight="1">
      <c r="A979" s="3"/>
      <c r="B979" s="3"/>
      <c r="C979" s="3"/>
      <c r="D979" s="3"/>
      <c r="E979" s="615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615"/>
      <c r="AE979" s="3"/>
      <c r="AF979" s="3"/>
      <c r="AG979" s="3"/>
      <c r="AH979" s="615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</row>
    <row r="980" spans="1:74" ht="15.75" customHeight="1">
      <c r="A980" s="3"/>
      <c r="B980" s="3"/>
      <c r="C980" s="3"/>
      <c r="D980" s="3"/>
      <c r="E980" s="615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615"/>
      <c r="AE980" s="3"/>
      <c r="AF980" s="3"/>
      <c r="AG980" s="3"/>
      <c r="AH980" s="615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</row>
    <row r="981" spans="1:74" ht="15.75" customHeight="1">
      <c r="A981" s="3"/>
      <c r="B981" s="3"/>
      <c r="C981" s="3"/>
      <c r="D981" s="3"/>
      <c r="E981" s="615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615"/>
      <c r="AE981" s="3"/>
      <c r="AF981" s="3"/>
      <c r="AG981" s="3"/>
      <c r="AH981" s="615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</row>
    <row r="982" spans="1:74" ht="15.75" customHeight="1">
      <c r="A982" s="3"/>
      <c r="B982" s="3"/>
      <c r="C982" s="3"/>
      <c r="D982" s="3"/>
      <c r="E982" s="615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615"/>
      <c r="AE982" s="3"/>
      <c r="AF982" s="3"/>
      <c r="AG982" s="3"/>
      <c r="AH982" s="615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</row>
    <row r="983" spans="1:74" ht="15.75" customHeight="1">
      <c r="A983" s="3"/>
      <c r="B983" s="3"/>
      <c r="C983" s="3"/>
      <c r="D983" s="3"/>
      <c r="E983" s="615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615"/>
      <c r="AE983" s="3"/>
      <c r="AF983" s="3"/>
      <c r="AG983" s="3"/>
      <c r="AH983" s="615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</row>
    <row r="984" spans="1:74" ht="15.75" customHeight="1">
      <c r="A984" s="3"/>
      <c r="B984" s="3"/>
      <c r="C984" s="3"/>
      <c r="D984" s="3"/>
      <c r="E984" s="615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615"/>
      <c r="AE984" s="3"/>
      <c r="AF984" s="3"/>
      <c r="AG984" s="3"/>
      <c r="AH984" s="615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</row>
    <row r="985" spans="1:74" ht="15.75" customHeight="1">
      <c r="A985" s="3"/>
      <c r="B985" s="3"/>
      <c r="C985" s="3"/>
      <c r="D985" s="3"/>
      <c r="E985" s="615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615"/>
      <c r="AE985" s="3"/>
      <c r="AF985" s="3"/>
      <c r="AG985" s="3"/>
      <c r="AH985" s="615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</row>
    <row r="986" spans="1:74" ht="15.75" customHeight="1">
      <c r="A986" s="3"/>
      <c r="B986" s="3"/>
      <c r="C986" s="3"/>
      <c r="D986" s="3"/>
      <c r="E986" s="615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615"/>
      <c r="AE986" s="3"/>
      <c r="AF986" s="3"/>
      <c r="AG986" s="3"/>
      <c r="AH986" s="615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</row>
    <row r="987" spans="1:74" ht="15.75" customHeight="1">
      <c r="A987" s="3"/>
      <c r="B987" s="3"/>
      <c r="C987" s="3"/>
      <c r="D987" s="3"/>
      <c r="E987" s="615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615"/>
      <c r="AE987" s="3"/>
      <c r="AF987" s="3"/>
      <c r="AG987" s="3"/>
      <c r="AH987" s="615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</row>
    <row r="988" spans="1:74" ht="15.75" customHeight="1">
      <c r="A988" s="3"/>
      <c r="B988" s="3"/>
      <c r="C988" s="3"/>
      <c r="D988" s="3"/>
      <c r="E988" s="615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615"/>
      <c r="AE988" s="3"/>
      <c r="AF988" s="3"/>
      <c r="AG988" s="3"/>
      <c r="AH988" s="615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</row>
    <row r="989" spans="1:74" ht="15.75" customHeight="1">
      <c r="A989" s="3"/>
      <c r="B989" s="3"/>
      <c r="C989" s="3"/>
      <c r="D989" s="3"/>
      <c r="E989" s="615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615"/>
      <c r="AE989" s="3"/>
      <c r="AF989" s="3"/>
      <c r="AG989" s="3"/>
      <c r="AH989" s="615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</row>
    <row r="990" spans="1:74" ht="15.75" customHeight="1">
      <c r="A990" s="3"/>
      <c r="B990" s="3"/>
      <c r="C990" s="3"/>
      <c r="D990" s="3"/>
      <c r="E990" s="615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615"/>
      <c r="AE990" s="3"/>
      <c r="AF990" s="3"/>
      <c r="AG990" s="3"/>
      <c r="AH990" s="615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</row>
    <row r="991" spans="1:74" ht="15.75" customHeight="1">
      <c r="A991" s="3"/>
      <c r="B991" s="3"/>
      <c r="C991" s="3"/>
      <c r="D991" s="3"/>
      <c r="E991" s="615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615"/>
      <c r="AE991" s="3"/>
      <c r="AF991" s="3"/>
      <c r="AG991" s="3"/>
      <c r="AH991" s="615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</row>
    <row r="992" spans="1:74" ht="15.75" customHeight="1">
      <c r="A992" s="3"/>
      <c r="B992" s="3"/>
      <c r="C992" s="3"/>
      <c r="D992" s="3"/>
      <c r="E992" s="615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615"/>
      <c r="AE992" s="3"/>
      <c r="AF992" s="3"/>
      <c r="AG992" s="3"/>
      <c r="AH992" s="615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</row>
    <row r="993" spans="1:74" ht="15.75" customHeight="1">
      <c r="A993" s="3"/>
      <c r="B993" s="3"/>
      <c r="C993" s="3"/>
      <c r="D993" s="3"/>
      <c r="E993" s="615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615"/>
      <c r="AE993" s="3"/>
      <c r="AF993" s="3"/>
      <c r="AG993" s="3"/>
      <c r="AH993" s="615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</row>
    <row r="994" spans="1:74" ht="15.75" customHeight="1">
      <c r="A994" s="3"/>
      <c r="B994" s="3"/>
      <c r="C994" s="3"/>
      <c r="D994" s="3"/>
      <c r="E994" s="615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615"/>
      <c r="AE994" s="3"/>
      <c r="AF994" s="3"/>
      <c r="AG994" s="3"/>
      <c r="AH994" s="615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</row>
    <row r="995" spans="1:74" ht="15.75" customHeight="1">
      <c r="A995" s="3"/>
      <c r="B995" s="3"/>
      <c r="C995" s="3"/>
      <c r="D995" s="3"/>
      <c r="E995" s="615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615"/>
      <c r="AE995" s="3"/>
      <c r="AF995" s="3"/>
      <c r="AG995" s="3"/>
      <c r="AH995" s="615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</row>
    <row r="996" spans="1:74" ht="15.75" customHeight="1">
      <c r="A996" s="3"/>
      <c r="B996" s="3"/>
      <c r="C996" s="3"/>
      <c r="D996" s="3"/>
      <c r="E996" s="615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615"/>
      <c r="AE996" s="3"/>
      <c r="AF996" s="3"/>
      <c r="AG996" s="3"/>
      <c r="AH996" s="615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</row>
    <row r="997" spans="1:74" ht="15.75" customHeight="1">
      <c r="A997" s="3"/>
      <c r="B997" s="3"/>
      <c r="C997" s="3"/>
      <c r="D997" s="3"/>
      <c r="E997" s="615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615"/>
      <c r="AE997" s="3"/>
      <c r="AF997" s="3"/>
      <c r="AG997" s="3"/>
      <c r="AH997" s="615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</row>
    <row r="998" spans="1:74" ht="15.75" customHeight="1">
      <c r="A998" s="3"/>
      <c r="B998" s="3"/>
      <c r="C998" s="3"/>
      <c r="D998" s="3"/>
      <c r="E998" s="615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615"/>
      <c r="AE998" s="3"/>
      <c r="AF998" s="3"/>
      <c r="AG998" s="3"/>
      <c r="AH998" s="615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</row>
    <row r="999" spans="1:74" ht="15.75" customHeight="1">
      <c r="A999" s="3"/>
      <c r="B999" s="3"/>
      <c r="C999" s="3"/>
      <c r="D999" s="3"/>
      <c r="E999" s="615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615"/>
      <c r="AE999" s="3"/>
      <c r="AF999" s="3"/>
      <c r="AG999" s="3"/>
      <c r="AH999" s="615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</row>
    <row r="1000" spans="1:74" ht="15.75" customHeight="1">
      <c r="A1000" s="3"/>
      <c r="B1000" s="3"/>
      <c r="C1000" s="3"/>
      <c r="D1000" s="3"/>
      <c r="E1000" s="615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615"/>
      <c r="AE1000" s="3"/>
      <c r="AF1000" s="3"/>
      <c r="AG1000" s="3"/>
      <c r="AH1000" s="615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</row>
  </sheetData>
  <mergeCells count="18">
    <mergeCell ref="AL1:AO2"/>
    <mergeCell ref="AP1:AS2"/>
    <mergeCell ref="A3:A4"/>
    <mergeCell ref="C3:X3"/>
    <mergeCell ref="Z3:AA3"/>
    <mergeCell ref="AC3:AX3"/>
    <mergeCell ref="C1:F2"/>
    <mergeCell ref="G1:J2"/>
    <mergeCell ref="K1:N2"/>
    <mergeCell ref="O1:R2"/>
    <mergeCell ref="Z1:AC2"/>
    <mergeCell ref="AD1:AG2"/>
    <mergeCell ref="AH1:AK2"/>
    <mergeCell ref="AK23:AK29"/>
    <mergeCell ref="R23:R29"/>
    <mergeCell ref="AO23:AO29"/>
    <mergeCell ref="H23:H30"/>
    <mergeCell ref="AN23:AN29"/>
  </mergeCells>
  <conditionalFormatting sqref="AB11 AR11:AX11 C11:G11 I11:Q11 S11:Y11">
    <cfRule type="cellIs" dxfId="39" priority="3" operator="notEqual">
      <formula>0</formula>
    </cfRule>
  </conditionalFormatting>
  <conditionalFormatting sqref="Z11:AA11">
    <cfRule type="cellIs" dxfId="38" priority="4" operator="notEqual">
      <formula>0</formula>
    </cfRule>
  </conditionalFormatting>
  <conditionalFormatting sqref="AC11:AQ11">
    <cfRule type="cellIs" dxfId="37" priority="5" operator="notEqual">
      <formula>0</formula>
    </cfRule>
  </conditionalFormatting>
  <conditionalFormatting sqref="H11">
    <cfRule type="cellIs" dxfId="36" priority="2" operator="notEqual">
      <formula>0</formula>
    </cfRule>
  </conditionalFormatting>
  <conditionalFormatting sqref="R11">
    <cfRule type="cellIs" dxfId="35" priority="1" operator="notEqual">
      <formula>0</formula>
    </cfRule>
  </conditionalFormatting>
  <pageMargins left="0.511811024" right="0.511811024" top="0.78740157499999996" bottom="0.78740157499999996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Z1000"/>
  <sheetViews>
    <sheetView workbookViewId="0">
      <pane xSplit="3" ySplit="4" topLeftCell="AD5" activePane="bottomRight" state="frozen"/>
      <selection pane="topRight" activeCell="D1" sqref="D1"/>
      <selection pane="bottomLeft" activeCell="A5" sqref="A5"/>
      <selection pane="bottomRight" activeCell="AA7" sqref="AA7"/>
    </sheetView>
  </sheetViews>
  <sheetFormatPr defaultColWidth="12.5703125" defaultRowHeight="15" customHeight="1"/>
  <cols>
    <col min="1" max="1" width="32.42578125" customWidth="1"/>
    <col min="2" max="2" width="8.42578125" customWidth="1"/>
    <col min="3" max="3" width="6.7109375" customWidth="1"/>
    <col min="4" max="4" width="10.7109375" customWidth="1"/>
    <col min="5" max="8" width="8.7109375" bestFit="1" customWidth="1"/>
    <col min="9" max="9" width="3.42578125" customWidth="1"/>
    <col min="10" max="12" width="8.7109375" bestFit="1" customWidth="1"/>
    <col min="13" max="13" width="10.28515625" bestFit="1" customWidth="1"/>
    <col min="14" max="15" width="8.7109375" bestFit="1" customWidth="1"/>
    <col min="16" max="16" width="10.28515625" bestFit="1" customWidth="1"/>
    <col min="17" max="18" width="9.85546875" customWidth="1"/>
    <col min="19" max="19" width="2.42578125" customWidth="1"/>
    <col min="20" max="23" width="7" hidden="1" customWidth="1"/>
    <col min="24" max="24" width="1" customWidth="1"/>
    <col min="25" max="25" width="13.5703125" customWidth="1"/>
    <col min="26" max="26" width="12.5703125" customWidth="1"/>
    <col min="27" max="27" width="11.28515625" customWidth="1"/>
    <col min="28" max="28" width="1.140625" customWidth="1"/>
    <col min="29" max="29" width="12" customWidth="1"/>
    <col min="30" max="30" width="12.28515625" customWidth="1"/>
    <col min="31" max="31" width="1.28515625" customWidth="1"/>
    <col min="32" max="39" width="10.140625" customWidth="1"/>
    <col min="40" max="40" width="6.140625" customWidth="1"/>
    <col min="41" max="42" width="10.140625" customWidth="1"/>
    <col min="43" max="43" width="5.28515625" customWidth="1"/>
    <col min="44" max="44" width="4.140625" customWidth="1"/>
    <col min="45" max="45" width="10.140625" customWidth="1"/>
    <col min="46" max="46" width="11.42578125" customWidth="1"/>
    <col min="47" max="47" width="12.28515625" hidden="1" customWidth="1"/>
    <col min="48" max="48" width="11.28515625" hidden="1" customWidth="1"/>
    <col min="49" max="49" width="0.85546875" hidden="1" customWidth="1"/>
    <col min="50" max="50" width="9.28515625" hidden="1" customWidth="1"/>
    <col min="51" max="51" width="11" hidden="1" customWidth="1"/>
    <col min="52" max="52" width="9.28515625" customWidth="1"/>
  </cols>
  <sheetData>
    <row r="1" spans="1:52" ht="12.75" customHeight="1">
      <c r="A1" s="2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12.75" customHeight="1">
      <c r="A2" s="2" t="s">
        <v>74</v>
      </c>
      <c r="B2" s="2"/>
      <c r="C2" s="2"/>
      <c r="D2" s="2" t="s">
        <v>75</v>
      </c>
      <c r="E2" s="2"/>
      <c r="F2" s="2"/>
      <c r="G2" s="2"/>
      <c r="H2" s="2"/>
      <c r="I2" s="2"/>
      <c r="J2" s="2"/>
      <c r="K2" s="2"/>
      <c r="L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2"/>
      <c r="AB2" s="2"/>
      <c r="AC2" s="2"/>
      <c r="AF2" s="2"/>
    </row>
    <row r="3" spans="1:52" ht="12.75" customHeight="1">
      <c r="A3" s="708" t="s">
        <v>8</v>
      </c>
      <c r="B3" s="708" t="s">
        <v>9</v>
      </c>
      <c r="C3" s="708" t="s">
        <v>10</v>
      </c>
      <c r="D3" s="702" t="s">
        <v>52</v>
      </c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  <c r="S3" s="699"/>
      <c r="T3" s="699"/>
      <c r="U3" s="699"/>
      <c r="V3" s="699"/>
      <c r="W3" s="700"/>
      <c r="X3" s="86"/>
      <c r="Y3" s="701" t="s">
        <v>76</v>
      </c>
      <c r="Z3" s="699"/>
      <c r="AA3" s="700"/>
      <c r="AB3" s="87"/>
      <c r="AC3" s="702" t="s">
        <v>31</v>
      </c>
      <c r="AD3" s="700"/>
      <c r="AE3" s="87"/>
      <c r="AF3" s="702" t="s">
        <v>53</v>
      </c>
      <c r="AG3" s="699"/>
      <c r="AH3" s="699"/>
      <c r="AI3" s="699"/>
      <c r="AJ3" s="699"/>
      <c r="AK3" s="699"/>
      <c r="AL3" s="699"/>
      <c r="AM3" s="699"/>
      <c r="AN3" s="699"/>
      <c r="AO3" s="699"/>
      <c r="AP3" s="699"/>
      <c r="AQ3" s="699"/>
      <c r="AR3" s="699"/>
      <c r="AS3" s="699"/>
      <c r="AT3" s="699"/>
      <c r="AU3" s="699"/>
      <c r="AV3" s="699"/>
      <c r="AW3" s="699"/>
      <c r="AX3" s="699"/>
      <c r="AY3" s="700"/>
    </row>
    <row r="4" spans="1:52" ht="12.75" customHeight="1">
      <c r="A4" s="697"/>
      <c r="B4" s="697"/>
      <c r="C4" s="697"/>
      <c r="D4" s="88">
        <v>3</v>
      </c>
      <c r="E4" s="88">
        <v>5</v>
      </c>
      <c r="F4" s="88">
        <v>7</v>
      </c>
      <c r="G4" s="88">
        <v>9</v>
      </c>
      <c r="H4" s="88">
        <v>11</v>
      </c>
      <c r="I4" s="629">
        <v>13</v>
      </c>
      <c r="J4" s="88">
        <v>15</v>
      </c>
      <c r="K4" s="88">
        <v>17</v>
      </c>
      <c r="L4" s="88">
        <v>19</v>
      </c>
      <c r="M4" s="88">
        <v>21</v>
      </c>
      <c r="N4" s="88">
        <v>23</v>
      </c>
      <c r="O4" s="88">
        <v>25</v>
      </c>
      <c r="P4" s="88">
        <v>27</v>
      </c>
      <c r="Q4" s="88">
        <v>29</v>
      </c>
      <c r="R4" s="88">
        <v>31</v>
      </c>
      <c r="S4" s="629">
        <v>33</v>
      </c>
      <c r="T4" s="88">
        <v>35</v>
      </c>
      <c r="U4" s="88">
        <v>37</v>
      </c>
      <c r="V4" s="89">
        <v>39</v>
      </c>
      <c r="W4" s="90">
        <v>41</v>
      </c>
      <c r="X4" s="91"/>
      <c r="Y4" s="92" t="s">
        <v>77</v>
      </c>
      <c r="Z4" s="93" t="s">
        <v>31</v>
      </c>
      <c r="AA4" s="94" t="s">
        <v>78</v>
      </c>
      <c r="AB4" s="95"/>
      <c r="AC4" s="90">
        <v>1</v>
      </c>
      <c r="AD4" s="90">
        <v>2</v>
      </c>
      <c r="AE4" s="95"/>
      <c r="AF4" s="90">
        <v>4</v>
      </c>
      <c r="AG4" s="90">
        <v>6</v>
      </c>
      <c r="AH4" s="90">
        <v>8</v>
      </c>
      <c r="AI4" s="90">
        <v>10</v>
      </c>
      <c r="AJ4" s="90">
        <v>12</v>
      </c>
      <c r="AK4" s="90">
        <v>14</v>
      </c>
      <c r="AL4" s="90">
        <v>16</v>
      </c>
      <c r="AM4" s="90">
        <v>18</v>
      </c>
      <c r="AN4" s="625">
        <v>20</v>
      </c>
      <c r="AO4" s="90">
        <v>22</v>
      </c>
      <c r="AP4" s="90">
        <v>24</v>
      </c>
      <c r="AQ4" s="625">
        <v>26</v>
      </c>
      <c r="AR4" s="625">
        <v>28</v>
      </c>
      <c r="AS4" s="90">
        <v>30</v>
      </c>
      <c r="AT4" s="90">
        <v>32</v>
      </c>
      <c r="AU4" s="90">
        <v>34</v>
      </c>
      <c r="AV4" s="90">
        <v>36</v>
      </c>
      <c r="AW4" s="90">
        <v>38</v>
      </c>
      <c r="AX4" s="90">
        <v>40</v>
      </c>
      <c r="AY4" s="90">
        <v>42</v>
      </c>
    </row>
    <row r="5" spans="1:52" ht="12.75" customHeight="1">
      <c r="A5" s="90" t="s">
        <v>25</v>
      </c>
      <c r="B5" s="96" t="s">
        <v>21</v>
      </c>
      <c r="C5" s="97">
        <f>Parâmetros!C12</f>
        <v>199.87870734000001</v>
      </c>
      <c r="D5" s="98">
        <f>$C5*Entrada!C6</f>
        <v>982803.60399078007</v>
      </c>
      <c r="E5" s="98">
        <f>$C5*Entrada!D6</f>
        <v>347788.95077160001</v>
      </c>
      <c r="F5" s="98">
        <f>$C5*Entrada!E6</f>
        <v>427140.79758558003</v>
      </c>
      <c r="G5" s="98">
        <f>$C5*Entrada!F6</f>
        <v>894657.09405384003</v>
      </c>
      <c r="H5" s="98">
        <f>$C5*Entrada!G6</f>
        <v>74754.63654516</v>
      </c>
      <c r="I5" s="630">
        <f>$C5*Entrada!H6</f>
        <v>0</v>
      </c>
      <c r="J5" s="98">
        <f>$C5*Entrada!I6</f>
        <v>863306.118807561</v>
      </c>
      <c r="K5" s="98">
        <f>$C5*Entrada!J6</f>
        <v>253092.4155951282</v>
      </c>
      <c r="L5" s="98">
        <f>$C5*Entrada!K6</f>
        <v>96447.472652770201</v>
      </c>
      <c r="M5" s="98">
        <f>$C5*Entrada!L6</f>
        <v>1248572.3272054109</v>
      </c>
      <c r="N5" s="98">
        <f>$C5*Entrada!M6</f>
        <v>566000.53314882482</v>
      </c>
      <c r="O5" s="98">
        <f>$C5*Entrada!N6</f>
        <v>293709.58782285301</v>
      </c>
      <c r="P5" s="98">
        <f>$C5*Entrada!O6</f>
        <v>1362125.9193291068</v>
      </c>
      <c r="Q5" s="98">
        <f>$C5*Entrada!P6</f>
        <v>442331.57934341999</v>
      </c>
      <c r="R5" s="98">
        <f>$C5*Entrada!Q6</f>
        <v>556462.32123455999</v>
      </c>
      <c r="S5" s="630">
        <f>$C5*Entrada!R6</f>
        <v>911107.11166792212</v>
      </c>
      <c r="T5" s="98">
        <f>$C5*Entrada!P6</f>
        <v>442331.57934341999</v>
      </c>
      <c r="U5" s="98">
        <f>$C5*Entrada!Q6</f>
        <v>556462.32123455999</v>
      </c>
      <c r="V5" s="99">
        <f>$C5*Entrada!R6</f>
        <v>911107.11166792212</v>
      </c>
      <c r="W5" s="98">
        <f>$C5*Entrada!S6</f>
        <v>0</v>
      </c>
      <c r="X5" s="100"/>
      <c r="Y5" s="101">
        <f>AVERAGE(D5:H5,J5:R5)</f>
        <v>600656.66843475669</v>
      </c>
      <c r="Z5" s="102">
        <f>AVERAGE(AC5:AD5)</f>
        <v>431738.00785439997</v>
      </c>
      <c r="AA5" s="103">
        <f>AVERAGE(AF5:AM5,AO5:AP5,AS5:AT5)</f>
        <v>815194.64768846519</v>
      </c>
      <c r="AB5" s="104"/>
      <c r="AC5" s="105">
        <f>$C5*Entrada!Z6</f>
        <v>479109.26149398001</v>
      </c>
      <c r="AD5" s="105">
        <f>$C5*Entrada!AA6</f>
        <v>384366.75421481999</v>
      </c>
      <c r="AE5" s="104"/>
      <c r="AF5" s="106">
        <f>$C5*Entrada!AC6</f>
        <v>611868.69890920795</v>
      </c>
      <c r="AG5" s="106">
        <f>$C5*Entrada!AD6</f>
        <v>412949.40936444001</v>
      </c>
      <c r="AH5" s="106">
        <f>$C5*Entrada!AE6</f>
        <v>625420.47526685998</v>
      </c>
      <c r="AI5" s="106">
        <f>$C5*Entrada!AF6</f>
        <v>65160.458592840005</v>
      </c>
      <c r="AJ5" s="106">
        <f>$C5*Entrada!AG6</f>
        <v>1850676.9512610601</v>
      </c>
      <c r="AK5" s="106">
        <f>$C5*Entrada!AH6</f>
        <v>246450.44615022</v>
      </c>
      <c r="AL5" s="106">
        <f>$C5*Entrada!AI6</f>
        <v>1414741.4905525201</v>
      </c>
      <c r="AM5" s="106">
        <f>$C5*Entrada!AJ6</f>
        <v>1766927.7728856001</v>
      </c>
      <c r="AN5" s="626">
        <f>$C5*Entrada!AK6</f>
        <v>152923.20141168722</v>
      </c>
      <c r="AO5" s="106">
        <f>$C5*Entrada!AL6</f>
        <v>665995.85285688005</v>
      </c>
      <c r="AP5" s="106">
        <f>$C5*Entrada!AM6</f>
        <v>631017.07907237997</v>
      </c>
      <c r="AQ5" s="626">
        <f>$C5*Entrada!AN6</f>
        <v>702173.89888542006</v>
      </c>
      <c r="AR5" s="626">
        <f>$C5*Entrada!AO6</f>
        <v>474711.9299325</v>
      </c>
      <c r="AS5" s="106">
        <f>$C5*Entrada!AP6</f>
        <v>896855.75983458001</v>
      </c>
      <c r="AT5" s="106">
        <f>$C5*Entrada!AQ6</f>
        <v>594271.37751499435</v>
      </c>
      <c r="AU5" s="106">
        <f>$C5*Entrada!AR6</f>
        <v>0</v>
      </c>
      <c r="AV5" s="106">
        <f>$C5*Entrada!AS6</f>
        <v>0</v>
      </c>
      <c r="AW5" s="106">
        <f>$C5*Entrada!AV6</f>
        <v>0</v>
      </c>
      <c r="AX5" s="106">
        <f>$C5*Entrada!AW6</f>
        <v>0</v>
      </c>
      <c r="AY5" s="106">
        <f>$C5*Entrada!AX6</f>
        <v>0</v>
      </c>
    </row>
    <row r="6" spans="1:52" ht="12.75" customHeight="1">
      <c r="A6" s="90" t="s">
        <v>27</v>
      </c>
      <c r="B6" s="96" t="s">
        <v>21</v>
      </c>
      <c r="C6" s="97">
        <f>Parâmetros!C13</f>
        <v>225.94984308000005</v>
      </c>
      <c r="D6" s="106">
        <f>$C6*Entrada!C7</f>
        <v>0</v>
      </c>
      <c r="E6" s="106">
        <f>$C6*Entrada!D7</f>
        <v>0</v>
      </c>
      <c r="F6" s="106">
        <f>$C6*Entrada!E7</f>
        <v>0</v>
      </c>
      <c r="G6" s="106">
        <f>$C6*Entrada!F7</f>
        <v>0</v>
      </c>
      <c r="H6" s="106">
        <f>$C6*Entrada!G7</f>
        <v>0</v>
      </c>
      <c r="I6" s="626">
        <f>$C6*Entrada!H7</f>
        <v>0</v>
      </c>
      <c r="J6" s="106">
        <f>$C6*Entrada!I7</f>
        <v>0</v>
      </c>
      <c r="K6" s="106">
        <f>$C6*Entrada!J7</f>
        <v>0</v>
      </c>
      <c r="L6" s="106">
        <f>$C6*Entrada!K7</f>
        <v>0</v>
      </c>
      <c r="M6" s="106">
        <f>$C6*Entrada!L7</f>
        <v>0</v>
      </c>
      <c r="N6" s="106">
        <f>$C6*Entrada!M7</f>
        <v>0</v>
      </c>
      <c r="O6" s="106">
        <f>$C6*Entrada!N7</f>
        <v>0</v>
      </c>
      <c r="P6" s="106">
        <f>$C6*Entrada!O7</f>
        <v>0</v>
      </c>
      <c r="Q6" s="106">
        <f>$C6*Entrada!P7</f>
        <v>0</v>
      </c>
      <c r="R6" s="106">
        <f>$C6*Entrada!Q7</f>
        <v>0</v>
      </c>
      <c r="S6" s="626">
        <f>$C6*Entrada!R7</f>
        <v>0</v>
      </c>
      <c r="T6" s="106">
        <f>$C6*Entrada!P7</f>
        <v>0</v>
      </c>
      <c r="U6" s="106">
        <f>$C6*Entrada!Q7</f>
        <v>0</v>
      </c>
      <c r="V6" s="107">
        <f>$C6*Entrada!R7</f>
        <v>0</v>
      </c>
      <c r="W6" s="106">
        <f>$C6*Entrada!S7</f>
        <v>0</v>
      </c>
      <c r="X6" s="108"/>
      <c r="Y6" s="101">
        <f t="shared" ref="Y6" si="0">AVERAGE(D6:E6,G6:P6)</f>
        <v>0</v>
      </c>
      <c r="Z6" s="102">
        <f>AVERAGE(AC6:AD6)</f>
        <v>653220.9963442802</v>
      </c>
      <c r="AA6" s="103">
        <f t="shared" ref="AA6" si="1">AVERAGE(AF6:AM6,AO6:AP6,AS6:AT6)</f>
        <v>0</v>
      </c>
      <c r="AB6" s="104"/>
      <c r="AC6" s="105">
        <f>$C6*Entrada!Z7</f>
        <v>791276.35046616022</v>
      </c>
      <c r="AD6" s="105">
        <f>$C6*Entrada!AA7</f>
        <v>515165.64222240011</v>
      </c>
      <c r="AE6" s="104"/>
      <c r="AF6" s="106">
        <f>$C6*Entrada!AC7</f>
        <v>0</v>
      </c>
      <c r="AG6" s="106">
        <f>$C6*Entrada!AD7</f>
        <v>0</v>
      </c>
      <c r="AH6" s="106">
        <f>$C6*Entrada!AE7</f>
        <v>0</v>
      </c>
      <c r="AI6" s="106">
        <f>$C6*Entrada!AF7</f>
        <v>0</v>
      </c>
      <c r="AJ6" s="106">
        <f>$C6*Entrada!AG7</f>
        <v>0</v>
      </c>
      <c r="AK6" s="106">
        <f>$C6*Entrada!AH7</f>
        <v>0</v>
      </c>
      <c r="AL6" s="106">
        <f>$C6*Entrada!AI7</f>
        <v>0</v>
      </c>
      <c r="AM6" s="106">
        <f>$C6*Entrada!AJ7</f>
        <v>0</v>
      </c>
      <c r="AN6" s="626">
        <f>$C6*Entrada!AK7</f>
        <v>0</v>
      </c>
      <c r="AO6" s="106">
        <f>$C6*Entrada!AL7</f>
        <v>0</v>
      </c>
      <c r="AP6" s="106">
        <f>$C6*Entrada!AM7</f>
        <v>0</v>
      </c>
      <c r="AQ6" s="626">
        <f>$C6*Entrada!AN7</f>
        <v>0</v>
      </c>
      <c r="AR6" s="626">
        <f>$C6*Entrada!AO7</f>
        <v>602834.18133744015</v>
      </c>
      <c r="AS6" s="106">
        <f>$C6*Entrada!AP7</f>
        <v>0</v>
      </c>
      <c r="AT6" s="109">
        <f>$C6*Entrada!AQ7</f>
        <v>0</v>
      </c>
      <c r="AU6" s="106">
        <f>$C6*Entrada!AR7</f>
        <v>0</v>
      </c>
      <c r="AV6" s="106">
        <f>$C6*Entrada!AS7</f>
        <v>0</v>
      </c>
      <c r="AW6" s="106">
        <f>$C6*Entrada!AV7</f>
        <v>0</v>
      </c>
      <c r="AX6" s="106">
        <f>$C6*Entrada!AW7</f>
        <v>0</v>
      </c>
      <c r="AY6" s="106">
        <f>$C6*Entrada!AX7</f>
        <v>0</v>
      </c>
    </row>
    <row r="7" spans="1:52" ht="12.75" customHeight="1">
      <c r="A7" s="90" t="s">
        <v>28</v>
      </c>
      <c r="B7" s="96" t="s">
        <v>21</v>
      </c>
      <c r="C7" s="97">
        <f>Parâmetros!C14</f>
        <v>28.967928600000004</v>
      </c>
      <c r="D7" s="106">
        <f>$C7*Entrada!C8</f>
        <v>183164.21253780002</v>
      </c>
      <c r="E7" s="106">
        <f>$C7*Entrada!D8</f>
        <v>268243.01883600006</v>
      </c>
      <c r="F7" s="106">
        <f>$C7*Entrada!E8</f>
        <v>291504.26550180005</v>
      </c>
      <c r="G7" s="106">
        <f>$C7*Entrada!F8</f>
        <v>98606.828954400014</v>
      </c>
      <c r="H7" s="106">
        <f>$C7*Entrada!G8</f>
        <v>384288.54080760007</v>
      </c>
      <c r="I7" s="626">
        <f>$C7*Entrada!H8</f>
        <v>409027.15183200006</v>
      </c>
      <c r="J7" s="106">
        <f>$C7*Entrada!I8</f>
        <v>19722.814187310014</v>
      </c>
      <c r="K7" s="106">
        <f>$C7*Entrada!J8</f>
        <v>275014.85150482203</v>
      </c>
      <c r="L7" s="106">
        <f>$C7*Entrada!K8</f>
        <v>367240.04578864202</v>
      </c>
      <c r="M7" s="106">
        <f>$C7*Entrada!L8</f>
        <v>123790.09768281002</v>
      </c>
      <c r="N7" s="106">
        <f>$C7*Entrada!M8</f>
        <v>180999.72891280803</v>
      </c>
      <c r="O7" s="106">
        <f>$C7*Entrada!N8</f>
        <v>234366.79048515178</v>
      </c>
      <c r="P7" s="106">
        <f>$C7*Entrada!O8</f>
        <v>155999.17539404254</v>
      </c>
      <c r="Q7" s="106">
        <f>$C7*Entrada!P8</f>
        <v>240636.58288020003</v>
      </c>
      <c r="R7" s="106">
        <f>$C7*Entrada!Q8</f>
        <v>231048.19851360004</v>
      </c>
      <c r="S7" s="626">
        <f>$C7*Entrada!R8</f>
        <v>-173192.29279653603</v>
      </c>
      <c r="T7" s="106">
        <f>$C7*Entrada!P8</f>
        <v>240636.58288020003</v>
      </c>
      <c r="U7" s="106">
        <f>$C7*Entrada!Q8</f>
        <v>231048.19851360004</v>
      </c>
      <c r="V7" s="107">
        <f>$C7*Entrada!R8</f>
        <v>-173192.29279653603</v>
      </c>
      <c r="W7" s="106">
        <f>$C7*Entrada!S8</f>
        <v>0</v>
      </c>
      <c r="X7" s="108"/>
      <c r="Y7" s="101">
        <f>AVERAGE(D7:H7,J7:R7)</f>
        <v>218187.51085621331</v>
      </c>
      <c r="Z7" s="102">
        <f>AVERAGE(AC7:AD7)</f>
        <v>109759.48146540002</v>
      </c>
      <c r="AA7" s="103">
        <f>AVERAGE(AF7:AM7,AO7:AP7,AS7:AT7)</f>
        <v>138390.99585459204</v>
      </c>
      <c r="AB7" s="104"/>
      <c r="AC7" s="105">
        <f>$C7*Entrada!Z8</f>
        <v>119956.19233260001</v>
      </c>
      <c r="AD7" s="105">
        <f>$C7*Entrada!AA8</f>
        <v>99562.770598200019</v>
      </c>
      <c r="AE7" s="104"/>
      <c r="AF7" s="106">
        <f>$C7*Entrada!AC8</f>
        <v>195209.07724968003</v>
      </c>
      <c r="AG7" s="106">
        <f>$C7*Entrada!AD8</f>
        <v>154514.93115240001</v>
      </c>
      <c r="AH7" s="106">
        <f>$C7*Entrada!AE8</f>
        <v>165435.84023460004</v>
      </c>
      <c r="AI7" s="106">
        <f>$C7*Entrada!AF8</f>
        <v>330060.57846840005</v>
      </c>
      <c r="AJ7" s="106">
        <f>$C7*Entrada!AG8</f>
        <v>8719.3465086000015</v>
      </c>
      <c r="AK7" s="106">
        <f>$C7*Entrada!AH8</f>
        <v>150836.00422020003</v>
      </c>
      <c r="AL7" s="106">
        <f>$C7*Entrada!AI8</f>
        <v>216448.36249920004</v>
      </c>
      <c r="AM7" s="106">
        <f>$C7*Entrada!AJ8</f>
        <v>0</v>
      </c>
      <c r="AN7" s="626">
        <f>$C7*Entrada!AK8</f>
        <v>345150.55183471204</v>
      </c>
      <c r="AO7" s="106">
        <f>$C7*Entrada!AL8</f>
        <v>103936.92781680002</v>
      </c>
      <c r="AP7" s="106">
        <f>$C7*Entrada!AM8</f>
        <v>171577.04109780001</v>
      </c>
      <c r="AQ7" s="626">
        <f>$C7*Entrada!AN8</f>
        <v>154312.15565220002</v>
      </c>
      <c r="AR7" s="626">
        <f>$C7*Entrada!AO8</f>
        <v>186466.55639820002</v>
      </c>
      <c r="AS7" s="106">
        <f>$C7*Entrada!AP8</f>
        <v>56574.364555800006</v>
      </c>
      <c r="AT7" s="106">
        <f>$C7*Entrada!AQ8</f>
        <v>107379.47645162402</v>
      </c>
      <c r="AU7" s="106">
        <f>$C7*Entrada!AR8</f>
        <v>0</v>
      </c>
      <c r="AV7" s="106">
        <f>$C7*Entrada!AS8</f>
        <v>0</v>
      </c>
      <c r="AW7" s="106">
        <f>$C7*Entrada!AV8</f>
        <v>0</v>
      </c>
      <c r="AX7" s="106">
        <f>$C7*Entrada!AW8</f>
        <v>0</v>
      </c>
      <c r="AY7" s="106">
        <f>$C7*Entrada!AX8</f>
        <v>0</v>
      </c>
    </row>
    <row r="8" spans="1:52" ht="26.25" customHeight="1">
      <c r="A8" s="110" t="s">
        <v>29</v>
      </c>
      <c r="B8" s="111"/>
      <c r="C8" s="112"/>
      <c r="D8" s="113">
        <f>SUM(D5:D7)</f>
        <v>1165967.8165285802</v>
      </c>
      <c r="E8" s="113">
        <f t="shared" ref="E8:W8" si="2">SUM(E5:E7)</f>
        <v>616031.96960760001</v>
      </c>
      <c r="F8" s="113">
        <f t="shared" si="2"/>
        <v>718645.06308738003</v>
      </c>
      <c r="G8" s="113">
        <f t="shared" si="2"/>
        <v>993263.92300824006</v>
      </c>
      <c r="H8" s="113">
        <f t="shared" si="2"/>
        <v>459043.1773527601</v>
      </c>
      <c r="I8" s="631">
        <f t="shared" si="2"/>
        <v>409027.15183200006</v>
      </c>
      <c r="J8" s="113">
        <f t="shared" si="2"/>
        <v>883028.93299487105</v>
      </c>
      <c r="K8" s="113">
        <f t="shared" si="2"/>
        <v>528107.26709995023</v>
      </c>
      <c r="L8" s="113">
        <f t="shared" si="2"/>
        <v>463687.51844141225</v>
      </c>
      <c r="M8" s="113">
        <f t="shared" si="2"/>
        <v>1372362.4248882208</v>
      </c>
      <c r="N8" s="113">
        <f t="shared" si="2"/>
        <v>747000.26206163282</v>
      </c>
      <c r="O8" s="113">
        <f>SUM(O5:O7)</f>
        <v>528076.37830800482</v>
      </c>
      <c r="P8" s="113">
        <f t="shared" si="2"/>
        <v>1518125.0947231494</v>
      </c>
      <c r="Q8" s="113">
        <f t="shared" si="2"/>
        <v>682968.16222361999</v>
      </c>
      <c r="R8" s="113">
        <f t="shared" si="2"/>
        <v>787510.51974816003</v>
      </c>
      <c r="S8" s="631">
        <f t="shared" ref="S8" si="3">SUM(S5:S7)</f>
        <v>737914.81887138612</v>
      </c>
      <c r="T8" s="113">
        <f t="shared" si="2"/>
        <v>682968.16222361999</v>
      </c>
      <c r="U8" s="113">
        <f t="shared" si="2"/>
        <v>787510.51974816003</v>
      </c>
      <c r="V8" s="114">
        <f t="shared" si="2"/>
        <v>737914.81887138612</v>
      </c>
      <c r="W8" s="113">
        <f t="shared" si="2"/>
        <v>0</v>
      </c>
      <c r="X8" s="115"/>
      <c r="Y8" s="101">
        <f>AVERAGE(D8:H8,J8:R8)</f>
        <v>818844.17929097044</v>
      </c>
      <c r="Z8" s="102">
        <f>AVERAGE(AC8:AD8)</f>
        <v>1194718.4856640801</v>
      </c>
      <c r="AA8" s="103">
        <f>AVERAGE(AF8:AM8,AO8:AP8,AS8:AT8)</f>
        <v>953585.64354305726</v>
      </c>
      <c r="AB8" s="116"/>
      <c r="AC8" s="117">
        <f t="shared" ref="AC8:AD8" si="4">SUM(AC5:AC7)</f>
        <v>1390341.8042927403</v>
      </c>
      <c r="AD8" s="117">
        <f t="shared" si="4"/>
        <v>999095.16703542008</v>
      </c>
      <c r="AE8" s="116"/>
      <c r="AF8" s="118">
        <f t="shared" ref="AF8:AY8" si="5">SUM(AF5:AF7)</f>
        <v>807077.77615888801</v>
      </c>
      <c r="AG8" s="118">
        <f t="shared" si="5"/>
        <v>567464.34051683999</v>
      </c>
      <c r="AH8" s="118">
        <f t="shared" si="5"/>
        <v>790856.31550145999</v>
      </c>
      <c r="AI8" s="118">
        <f t="shared" si="5"/>
        <v>395221.03706124006</v>
      </c>
      <c r="AJ8" s="118">
        <f t="shared" si="5"/>
        <v>1859396.2977696601</v>
      </c>
      <c r="AK8" s="118">
        <f t="shared" si="5"/>
        <v>397286.45037042</v>
      </c>
      <c r="AL8" s="118">
        <f t="shared" si="5"/>
        <v>1631189.8530517202</v>
      </c>
      <c r="AM8" s="118">
        <f t="shared" si="5"/>
        <v>1766927.7728856001</v>
      </c>
      <c r="AN8" s="627">
        <f t="shared" si="5"/>
        <v>498073.75324639922</v>
      </c>
      <c r="AO8" s="118">
        <f t="shared" si="5"/>
        <v>769932.78067368013</v>
      </c>
      <c r="AP8" s="118">
        <f t="shared" si="5"/>
        <v>802594.12017017999</v>
      </c>
      <c r="AQ8" s="627">
        <f t="shared" si="5"/>
        <v>856486.05453762005</v>
      </c>
      <c r="AR8" s="627">
        <f t="shared" si="5"/>
        <v>1264012.6676681403</v>
      </c>
      <c r="AS8" s="118">
        <f t="shared" si="5"/>
        <v>953430.12439037999</v>
      </c>
      <c r="AT8" s="118">
        <f t="shared" si="5"/>
        <v>701650.85396661842</v>
      </c>
      <c r="AU8" s="118">
        <f t="shared" si="5"/>
        <v>0</v>
      </c>
      <c r="AV8" s="118">
        <f t="shared" si="5"/>
        <v>0</v>
      </c>
      <c r="AW8" s="118">
        <f t="shared" si="5"/>
        <v>0</v>
      </c>
      <c r="AX8" s="118">
        <f t="shared" si="5"/>
        <v>0</v>
      </c>
      <c r="AY8" s="118">
        <f t="shared" si="5"/>
        <v>0</v>
      </c>
    </row>
    <row r="9" spans="1:52" ht="12.75" customHeight="1">
      <c r="A9" s="119"/>
      <c r="B9" s="119"/>
      <c r="C9" s="119"/>
      <c r="D9" s="120"/>
      <c r="E9" s="120"/>
      <c r="F9" s="120"/>
      <c r="G9" s="120"/>
      <c r="H9" s="120"/>
      <c r="I9" s="628"/>
      <c r="J9" s="120"/>
      <c r="K9" s="120"/>
      <c r="L9" s="120"/>
      <c r="M9" s="120"/>
      <c r="N9" s="120"/>
      <c r="O9" s="120"/>
      <c r="P9" s="120"/>
      <c r="Q9" s="120"/>
      <c r="R9" s="120"/>
      <c r="S9" s="628"/>
      <c r="T9" s="120"/>
      <c r="U9" s="120"/>
      <c r="V9" s="120"/>
      <c r="W9" s="121"/>
      <c r="X9" s="122"/>
      <c r="Y9" s="123"/>
      <c r="Z9" s="124"/>
      <c r="AA9" s="125"/>
      <c r="AB9" s="122"/>
      <c r="AC9" s="122"/>
      <c r="AD9" s="122"/>
      <c r="AE9" s="122"/>
      <c r="AF9" s="120"/>
      <c r="AG9" s="120"/>
      <c r="AH9" s="120"/>
      <c r="AI9" s="120"/>
      <c r="AJ9" s="120"/>
      <c r="AK9" s="120"/>
      <c r="AL9" s="120"/>
      <c r="AM9" s="120"/>
      <c r="AN9" s="628"/>
      <c r="AO9" s="120"/>
      <c r="AP9" s="120"/>
      <c r="AQ9" s="628"/>
      <c r="AR9" s="628"/>
      <c r="AS9" s="120"/>
      <c r="AT9" s="120"/>
      <c r="AU9" s="120"/>
      <c r="AV9" s="120"/>
      <c r="AW9" s="120"/>
      <c r="AX9" s="120"/>
      <c r="AY9" s="120"/>
    </row>
    <row r="10" spans="1:52" ht="12.75" customHeight="1">
      <c r="A10" s="90" t="s">
        <v>67</v>
      </c>
      <c r="B10" s="96" t="s">
        <v>68</v>
      </c>
      <c r="C10" s="96"/>
      <c r="D10" s="106">
        <f>+Entrada!C17</f>
        <v>480</v>
      </c>
      <c r="E10" s="106">
        <f>+Entrada!D17</f>
        <v>504.4</v>
      </c>
      <c r="F10" s="106">
        <f>+Entrada!E17</f>
        <v>432</v>
      </c>
      <c r="G10" s="106">
        <f>+Entrada!F17</f>
        <v>2704</v>
      </c>
      <c r="H10" s="106">
        <f>+Entrada!G17</f>
        <v>3200</v>
      </c>
      <c r="I10" s="626">
        <f>+Entrada!H17</f>
        <v>0</v>
      </c>
      <c r="J10" s="106">
        <f>+Entrada!I17</f>
        <v>1520</v>
      </c>
      <c r="K10" s="106">
        <f>+Entrada!J17</f>
        <v>560</v>
      </c>
      <c r="L10" s="106">
        <f>+Entrada!K17</f>
        <v>800</v>
      </c>
      <c r="M10" s="106">
        <f>+Entrada!L17</f>
        <v>480</v>
      </c>
      <c r="N10" s="106">
        <f>+Entrada!M17</f>
        <v>840</v>
      </c>
      <c r="O10" s="106">
        <f>+Entrada!N17</f>
        <v>608</v>
      </c>
      <c r="P10" s="106">
        <f>+Entrada!O17</f>
        <v>320</v>
      </c>
      <c r="Q10" s="106">
        <f>+Entrada!P17</f>
        <v>1200</v>
      </c>
      <c r="R10" s="106">
        <f>+Entrada!Q17</f>
        <v>448</v>
      </c>
      <c r="S10" s="626">
        <f>+Entrada!R17</f>
        <v>2400</v>
      </c>
      <c r="T10" s="106">
        <f>+Entrada!P17</f>
        <v>1200</v>
      </c>
      <c r="U10" s="106">
        <f>+Entrada!Q17</f>
        <v>448</v>
      </c>
      <c r="V10" s="107">
        <f>+Entrada!R17</f>
        <v>2400</v>
      </c>
      <c r="W10" s="106">
        <f>+Entrada!S17</f>
        <v>0</v>
      </c>
      <c r="X10" s="108"/>
      <c r="Y10" s="101">
        <f>AVERAGE(D10:H10,J10:R10)</f>
        <v>1006.8857142857142</v>
      </c>
      <c r="Z10" s="102">
        <f>AVERAGE(AC10:AD10)</f>
        <v>142</v>
      </c>
      <c r="AA10" s="103">
        <f>AVERAGE(AF10:AM10,AO10:AP10,AS10:AT10)</f>
        <v>457.33333333333331</v>
      </c>
      <c r="AB10" s="104"/>
      <c r="AC10" s="105">
        <f>+Entrada!Z17</f>
        <v>68</v>
      </c>
      <c r="AD10" s="105">
        <f>+Entrada!AA17</f>
        <v>216</v>
      </c>
      <c r="AE10" s="104"/>
      <c r="AF10" s="106">
        <f>+Entrada!AC17</f>
        <v>360</v>
      </c>
      <c r="AG10" s="106">
        <f>+Entrada!AD17</f>
        <v>560</v>
      </c>
      <c r="AH10" s="106">
        <f>+Entrada!AE17</f>
        <v>352</v>
      </c>
      <c r="AI10" s="106">
        <f>+Entrada!AF17</f>
        <v>200</v>
      </c>
      <c r="AJ10" s="106">
        <f>+Entrada!AG17</f>
        <v>380</v>
      </c>
      <c r="AK10" s="106">
        <f>+Entrada!AH17</f>
        <v>640</v>
      </c>
      <c r="AL10" s="106">
        <f>+Entrada!AI17</f>
        <v>360</v>
      </c>
      <c r="AM10" s="106">
        <f>+Entrada!AJ17</f>
        <v>440</v>
      </c>
      <c r="AN10" s="626">
        <f>+Entrada!AK17</f>
        <v>156</v>
      </c>
      <c r="AO10" s="106">
        <f>+Entrada!AL17</f>
        <v>600</v>
      </c>
      <c r="AP10" s="106">
        <f>+Entrada!AM17</f>
        <v>336</v>
      </c>
      <c r="AQ10" s="626">
        <f>+Entrada!AN17</f>
        <v>352</v>
      </c>
      <c r="AR10" s="626">
        <f>+Entrada!AO17</f>
        <v>220</v>
      </c>
      <c r="AS10" s="106">
        <f>+Entrada!AP17</f>
        <v>640</v>
      </c>
      <c r="AT10" s="106">
        <f>+Entrada!AQ17</f>
        <v>620</v>
      </c>
      <c r="AU10" s="106">
        <f>+Entrada!AR17</f>
        <v>0</v>
      </c>
      <c r="AV10" s="106">
        <f>+Entrada!AS17</f>
        <v>0</v>
      </c>
      <c r="AW10" s="106">
        <f>+Entrada!AV17</f>
        <v>0</v>
      </c>
      <c r="AX10" s="106">
        <f>+Entrada!AW17</f>
        <v>0</v>
      </c>
      <c r="AY10" s="106">
        <f>+Entrada!AX17</f>
        <v>0</v>
      </c>
    </row>
    <row r="11" spans="1:52" ht="25.5" customHeight="1">
      <c r="A11" s="126" t="s">
        <v>79</v>
      </c>
      <c r="B11" s="96" t="s">
        <v>80</v>
      </c>
      <c r="C11" s="96"/>
      <c r="D11" s="106">
        <f>D8/D10</f>
        <v>2429.0996177678753</v>
      </c>
      <c r="E11" s="106">
        <f t="shared" ref="E11:W11" si="6">E8/E10</f>
        <v>1221.3163552886599</v>
      </c>
      <c r="F11" s="106">
        <f t="shared" si="6"/>
        <v>1663.5302386281944</v>
      </c>
      <c r="G11" s="106">
        <f t="shared" si="6"/>
        <v>367.33133247346154</v>
      </c>
      <c r="H11" s="106">
        <f t="shared" si="6"/>
        <v>143.45099292273753</v>
      </c>
      <c r="I11" s="626" t="e">
        <f t="shared" si="6"/>
        <v>#DIV/0!</v>
      </c>
      <c r="J11" s="106">
        <f t="shared" si="6"/>
        <v>580.94008749662567</v>
      </c>
      <c r="K11" s="106">
        <f t="shared" si="6"/>
        <v>943.04869124991114</v>
      </c>
      <c r="L11" s="106">
        <f t="shared" si="6"/>
        <v>579.60939805176531</v>
      </c>
      <c r="M11" s="106">
        <f t="shared" si="6"/>
        <v>2859.0883851837934</v>
      </c>
      <c r="N11" s="106">
        <f t="shared" si="6"/>
        <v>889.28602626384861</v>
      </c>
      <c r="O11" s="106">
        <f>O8/O10</f>
        <v>868.54667484869208</v>
      </c>
      <c r="P11" s="106">
        <f t="shared" si="6"/>
        <v>4744.1409210098418</v>
      </c>
      <c r="Q11" s="106">
        <f t="shared" si="6"/>
        <v>569.14013518634999</v>
      </c>
      <c r="R11" s="106">
        <f t="shared" si="6"/>
        <v>1757.8359815807144</v>
      </c>
      <c r="S11" s="626">
        <f t="shared" ref="S11" si="7">S8/S10</f>
        <v>307.46450786307753</v>
      </c>
      <c r="T11" s="106">
        <f t="shared" si="6"/>
        <v>569.14013518634999</v>
      </c>
      <c r="U11" s="106">
        <f t="shared" si="6"/>
        <v>1757.8359815807144</v>
      </c>
      <c r="V11" s="107">
        <f t="shared" si="6"/>
        <v>307.46450786307753</v>
      </c>
      <c r="W11" s="106" t="e">
        <f t="shared" si="6"/>
        <v>#DIV/0!</v>
      </c>
      <c r="X11" s="108"/>
      <c r="Y11" s="101">
        <f>AVERAGE(D11:H11,J11:R11)</f>
        <v>1401.1689169966053</v>
      </c>
      <c r="Z11" s="102">
        <f>AVERAGE(AC11:AD11)</f>
        <v>12535.821796215974</v>
      </c>
      <c r="AA11" s="103">
        <f>AVERAGE(AF11:AM11,AO11:AP11,AS11:AT11)</f>
        <v>2319.3439866537969</v>
      </c>
      <c r="AB11" s="104"/>
      <c r="AC11" s="105">
        <f t="shared" ref="AC11" si="8">AC8/AC10</f>
        <v>20446.203004305004</v>
      </c>
      <c r="AD11" s="105">
        <f>AD8/AD10</f>
        <v>4625.4405881269449</v>
      </c>
      <c r="AE11" s="104"/>
      <c r="AF11" s="109">
        <f t="shared" ref="AF11:AY11" si="9">AF8/AF10</f>
        <v>2241.8827115524668</v>
      </c>
      <c r="AG11" s="106">
        <f t="shared" si="9"/>
        <v>1013.3291794943572</v>
      </c>
      <c r="AH11" s="106">
        <f t="shared" si="9"/>
        <v>2246.7508963109658</v>
      </c>
      <c r="AI11" s="106">
        <f t="shared" si="9"/>
        <v>1976.1051853062004</v>
      </c>
      <c r="AJ11" s="106">
        <f t="shared" si="9"/>
        <v>4893.148152025421</v>
      </c>
      <c r="AK11" s="106">
        <f t="shared" si="9"/>
        <v>620.76007870378123</v>
      </c>
      <c r="AL11" s="106">
        <f t="shared" si="9"/>
        <v>4531.0829251436671</v>
      </c>
      <c r="AM11" s="106">
        <f t="shared" si="9"/>
        <v>4015.7449383763637</v>
      </c>
      <c r="AN11" s="626">
        <f t="shared" si="9"/>
        <v>3192.7804695282002</v>
      </c>
      <c r="AO11" s="106">
        <f t="shared" si="9"/>
        <v>1283.2213011228002</v>
      </c>
      <c r="AP11" s="106">
        <f t="shared" si="9"/>
        <v>2388.6729766969643</v>
      </c>
      <c r="AQ11" s="626">
        <f t="shared" si="9"/>
        <v>2433.1990185727841</v>
      </c>
      <c r="AR11" s="626">
        <f t="shared" si="9"/>
        <v>5745.5121257642741</v>
      </c>
      <c r="AS11" s="106">
        <f t="shared" si="9"/>
        <v>1489.7345693599686</v>
      </c>
      <c r="AT11" s="106">
        <f t="shared" si="9"/>
        <v>1131.6949257526103</v>
      </c>
      <c r="AU11" s="106" t="e">
        <f t="shared" si="9"/>
        <v>#DIV/0!</v>
      </c>
      <c r="AV11" s="106" t="e">
        <f t="shared" si="9"/>
        <v>#DIV/0!</v>
      </c>
      <c r="AW11" s="106" t="e">
        <f t="shared" si="9"/>
        <v>#DIV/0!</v>
      </c>
      <c r="AX11" s="106" t="e">
        <f t="shared" si="9"/>
        <v>#DIV/0!</v>
      </c>
      <c r="AY11" s="106" t="e">
        <f t="shared" si="9"/>
        <v>#DIV/0!</v>
      </c>
    </row>
    <row r="12" spans="1:52" ht="12.75" customHeight="1">
      <c r="A12" s="2"/>
      <c r="B12" s="2"/>
      <c r="C12" s="2"/>
      <c r="D12" s="37"/>
      <c r="E12" s="37"/>
      <c r="F12" s="62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2"/>
      <c r="AB12" s="37"/>
      <c r="AC12" s="37"/>
      <c r="AD12" s="37"/>
      <c r="AE12" s="37"/>
      <c r="AF12" s="37"/>
      <c r="AG12" s="37"/>
      <c r="AH12" s="62"/>
      <c r="AI12" s="37"/>
      <c r="AJ12" s="2"/>
      <c r="AK12" s="2"/>
      <c r="AL12" s="2"/>
      <c r="AM12" s="2"/>
      <c r="AN12" s="2"/>
      <c r="AO12" s="2"/>
      <c r="AP12" s="2"/>
      <c r="AQ12" s="2"/>
      <c r="AR12" s="37"/>
      <c r="AS12" s="2"/>
      <c r="AT12" s="2"/>
      <c r="AU12" s="2"/>
      <c r="AV12" s="2"/>
      <c r="AW12" s="37"/>
      <c r="AX12" s="2"/>
      <c r="AY12" s="37"/>
      <c r="AZ12" s="2"/>
    </row>
    <row r="13" spans="1:52" ht="12.75" customHeight="1">
      <c r="A13" s="2"/>
      <c r="B13" s="2"/>
      <c r="C13" s="2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AB13" s="37"/>
      <c r="AC13" s="37"/>
      <c r="AD13" s="37"/>
      <c r="AE13" s="37"/>
      <c r="AF13" s="37"/>
      <c r="AG13" s="37"/>
      <c r="AH13" s="37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2.75" customHeight="1">
      <c r="A14" s="2"/>
      <c r="B14" s="2"/>
      <c r="C14" s="2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2"/>
      <c r="AB14" s="2"/>
      <c r="AC14" s="2"/>
      <c r="AD14" s="37"/>
      <c r="AE14" s="37"/>
      <c r="AF14" s="2"/>
      <c r="AG14" s="37"/>
      <c r="AH14" s="37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2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2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127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2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28"/>
      <c r="AC17" s="128"/>
      <c r="AD17" s="2"/>
      <c r="AE17" s="2"/>
      <c r="AF17" s="128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2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128"/>
      <c r="AC18" s="128"/>
      <c r="AD18" s="2"/>
      <c r="AE18" s="2"/>
      <c r="AF18" s="12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2.75" hidden="1" customHeight="1">
      <c r="A19" s="703" t="s">
        <v>81</v>
      </c>
      <c r="B19" s="705" t="s">
        <v>82</v>
      </c>
      <c r="C19" s="700"/>
      <c r="D19" s="113">
        <f>(((((Entrada!C7-(25*7*7))/7)*2.5*2)+3500)*Parâmetros!$C$12)</f>
        <v>524681.60676750005</v>
      </c>
      <c r="E19" s="113" t="e">
        <f>(((((Entrada!#REF!-(25*7*7))/7)*2.5*2)+3500)*Parâmetros!$C$12)</f>
        <v>#REF!</v>
      </c>
      <c r="F19" s="113" t="e">
        <f>(((((Entrada!#REF!-(25*7*7))/7)*2.5*2)+3500)*Parâmetros!$C$12)</f>
        <v>#REF!</v>
      </c>
      <c r="G19" s="113" t="e">
        <f>(((((Entrada!#REF!-(25*7*7))/7)*2.5*2)+3500)*Parâmetros!$C$12)</f>
        <v>#REF!</v>
      </c>
      <c r="H19" s="113" t="e">
        <f>(((((Entrada!#REF!-(25*7*7))/7)*2.5*2)+3500)*Parâmetros!$C$12)</f>
        <v>#REF!</v>
      </c>
      <c r="I19" s="113" t="e">
        <f>(((((Entrada!#REF!-(25*7*7))/7)*2.5*2)+3500)*Parâmetros!$C$12)</f>
        <v>#REF!</v>
      </c>
      <c r="J19" s="113" t="e">
        <f>(((((Entrada!#REF!-(25*7*7))/7)*2.5*2)+3500)*Parâmetros!$C$12)</f>
        <v>#REF!</v>
      </c>
      <c r="K19" s="113" t="e">
        <f>(((((Entrada!#REF!-(25*7*7))/7)*2.5*2)+3500)*Parâmetros!$C$12)</f>
        <v>#REF!</v>
      </c>
      <c r="L19" s="113"/>
      <c r="M19" s="113" t="e">
        <f>(((((Entrada!#REF!-(25*7*7))/7)*2.5*2)+3500)*Parâmetros!$C$12)</f>
        <v>#REF!</v>
      </c>
      <c r="N19" s="113" t="e">
        <f>(((((Entrada!#REF!-(25*7*7))/7)*2.5*2)+3500)*Parâmetros!$C$12)</f>
        <v>#REF!</v>
      </c>
      <c r="O19" s="113" t="e">
        <f>(((((Entrada!#REF!-(25*7*7))/7)*2.5*2)+3500)*Parâmetros!$C$12)</f>
        <v>#REF!</v>
      </c>
      <c r="P19" s="113" t="e">
        <f>(((((Entrada!#REF!-(25*7*7))/7)*2.5*2)+3500)*Parâmetros!$C$12)</f>
        <v>#REF!</v>
      </c>
      <c r="Q19" s="113" t="e">
        <f>(((((Entrada!#REF!-(25*7*7))/7)*2.5*2)+3500)*Parâmetros!$C$12)</f>
        <v>#REF!</v>
      </c>
      <c r="R19" s="113">
        <f>(((((Entrada!P7-(25*7*7))/7)*2.5*2)+3500)*Parâmetros!$C$12)</f>
        <v>524681.60676750005</v>
      </c>
      <c r="S19" s="113">
        <f>(((((Entrada!Q7-(25*7*7))/7)*2.5*2)+3500)*Parâmetros!$C$12)</f>
        <v>524681.60676750005</v>
      </c>
      <c r="T19" s="113">
        <f>(((((Entrada!R7-(25*7*7))/7)*2.5*2)+3500)*Parâmetros!$C$12)</f>
        <v>524681.60676750005</v>
      </c>
      <c r="U19" s="113">
        <f>(((((Entrada!S7-(25*7*7))/7)*2.5*2)+3500)*Parâmetros!$C$12)</f>
        <v>524681.60676750005</v>
      </c>
      <c r="V19" s="113">
        <f>(((((Entrada!T7-(25*7*7))/7)*2.5*2)+3500)*Parâmetros!$C$12)</f>
        <v>524681.60676750005</v>
      </c>
      <c r="W19" s="113">
        <f>(((((Entrada!U7-(25*7*7))/7)*2.5*2)+3500)*Parâmetros!$C$12)</f>
        <v>524681.60676750005</v>
      </c>
      <c r="X19" s="113"/>
      <c r="Y19" s="113">
        <f>(((((Entrada!V7-(25*7*7))/7)*2.5*2)+3500)*Parâmetros!$C$12)</f>
        <v>524681.60676750005</v>
      </c>
      <c r="Z19" s="113">
        <f>(((((Entrada!W7-(25*7*7))/7)*2.5*2)+3500)*Parâmetros!$C$12)</f>
        <v>524681.60676750005</v>
      </c>
      <c r="AA19" s="113">
        <f>(((((Entrada!X7-(25*7*7))/7)*2.5*2)+3500)*Parâmetros!$C$12)</f>
        <v>524681.60676750005</v>
      </c>
      <c r="AB19" s="113">
        <f>(((((Entrada!Y7-(25*7*7))/7)*2.5*2)+3500)*Parâmetros!$C$12)</f>
        <v>524681.60676750005</v>
      </c>
      <c r="AC19" s="113"/>
      <c r="AD19" s="113">
        <f>(((((Entrada!Z7-(25*7*7))/7)*2.5*2)+3500)*Parâmetros!$C$12)</f>
        <v>1024663.9161279858</v>
      </c>
      <c r="AE19" s="113"/>
      <c r="AF19" s="113">
        <f>(((((Entrada!AB7-(25*7*7))/7)*2.5*2)+3500)*Parâmetros!$C$12)</f>
        <v>524681.60676750005</v>
      </c>
      <c r="AG19" s="113">
        <f>(((((Entrada!AC7-(25*7*7))/7)*2.5*2)+3500)*Parâmetros!$C$12)</f>
        <v>524681.60676750005</v>
      </c>
      <c r="AH19" s="113">
        <f>(((((Entrada!AD7-(25*7*7))/7)*2.5*2)+3500)*Parâmetros!$C$12)</f>
        <v>524681.60676750005</v>
      </c>
      <c r="AI19" s="113">
        <f>(((((Entrada!AE7-(25*7*7))/7)*2.5*2)+3500)*Parâmetros!$C$12)</f>
        <v>524681.60676750005</v>
      </c>
      <c r="AJ19" s="113">
        <f>(((((Entrada!AF7-(25*7*7))/7)*2.5*2)+3500)*Parâmetros!$C$12)</f>
        <v>524681.60676750005</v>
      </c>
      <c r="AK19" s="113">
        <f>(((((Entrada!AG7-(25*7*7))/7)*2.5*2)+3500)*Parâmetros!$C$12)</f>
        <v>524681.60676750005</v>
      </c>
      <c r="AL19" s="113">
        <f>(((((Entrada!AH7-(25*7*7))/7)*2.5*2)+3500)*Parâmetros!$C$12)</f>
        <v>524681.60676750005</v>
      </c>
      <c r="AM19" s="113">
        <f>(((((Entrada!AI7-(25*7*7))/7)*2.5*2)+3500)*Parâmetros!$C$12)</f>
        <v>524681.60676750005</v>
      </c>
      <c r="AN19" s="113">
        <f>(((((Entrada!AJ7-(25*7*7))/7)*2.5*2)+3500)*Parâmetros!$C$12)</f>
        <v>524681.60676750005</v>
      </c>
      <c r="AO19" s="113">
        <f>(((((Entrada!AK7-(25*7*7))/7)*2.5*2)+3500)*Parâmetros!$C$12)</f>
        <v>524681.60676750005</v>
      </c>
      <c r="AP19" s="113">
        <f>(((((Entrada!AL7-(25*7*7))/7)*2.5*2)+3500)*Parâmetros!$C$12)</f>
        <v>524681.60676750005</v>
      </c>
      <c r="AQ19" s="113">
        <f>(((((Entrada!AM7-(25*7*7))/7)*2.5*2)+3500)*Parâmetros!$C$12)</f>
        <v>524681.60676750005</v>
      </c>
      <c r="AR19" s="113">
        <f>(((((Entrada!AN7-(25*7*7))/7)*2.5*2)+3500)*Parâmetros!$C$12)</f>
        <v>524681.60676750005</v>
      </c>
      <c r="AS19" s="113" t="e">
        <f>(((((Entrada!#REF!-(25*7*7))/7)*2.5*2)+3500)*Parâmetros!$C$12)</f>
        <v>#REF!</v>
      </c>
      <c r="AT19" s="113">
        <f>(((((Entrada!AP7-(25*7*7))/7)*2.5*2)+3500)*Parâmetros!$C$12)</f>
        <v>524681.60676750005</v>
      </c>
      <c r="AU19" s="113">
        <f>(((((Entrada!AQ7-(25*7*7))/7)*2.5*2)+3500)*Parâmetros!$C$12)</f>
        <v>524681.60676750005</v>
      </c>
      <c r="AV19" s="113">
        <f>(((((Entrada!AR7-(25*7*7))/7)*2.5*2)+3500)*Parâmetros!$C$12)</f>
        <v>524681.60676750005</v>
      </c>
      <c r="AW19" s="113">
        <f>(((((Entrada!AS7-(25*7*7))/7)*2.5*2)+3500)*Parâmetros!$C$12)</f>
        <v>524681.60676750005</v>
      </c>
      <c r="AX19" s="113">
        <f>(((((Entrada!AT7-(25*7*7))/7)*2.5*2)+3500)*Parâmetros!$C$12)</f>
        <v>524681.60676750005</v>
      </c>
      <c r="AY19" s="113">
        <f>(((((Entrada!AU7-(25*7*7))/7)*2.5*2)+3500)*Parâmetros!$C$12)</f>
        <v>524681.60676750005</v>
      </c>
      <c r="AZ19" s="113">
        <f>(((((Entrada!AV7-(25*7*7))/7)*2.5*2)+3500)*Parâmetros!$C$12)</f>
        <v>524681.60676750005</v>
      </c>
    </row>
    <row r="20" spans="1:52" ht="12.75" hidden="1" customHeight="1">
      <c r="A20" s="704"/>
      <c r="B20" s="706" t="s">
        <v>83</v>
      </c>
      <c r="C20" s="707"/>
      <c r="D20" s="113">
        <f t="shared" ref="D20:K20" si="10">D5-D19</f>
        <v>458121.99722328002</v>
      </c>
      <c r="E20" s="113" t="e">
        <f t="shared" si="10"/>
        <v>#REF!</v>
      </c>
      <c r="F20" s="113" t="e">
        <f t="shared" si="10"/>
        <v>#REF!</v>
      </c>
      <c r="G20" s="113" t="e">
        <f t="shared" si="10"/>
        <v>#REF!</v>
      </c>
      <c r="H20" s="113" t="e">
        <f t="shared" si="10"/>
        <v>#REF!</v>
      </c>
      <c r="I20" s="113" t="e">
        <f t="shared" si="10"/>
        <v>#REF!</v>
      </c>
      <c r="J20" s="113" t="e">
        <f t="shared" si="10"/>
        <v>#REF!</v>
      </c>
      <c r="K20" s="113" t="e">
        <f t="shared" si="10"/>
        <v>#REF!</v>
      </c>
      <c r="L20" s="113"/>
      <c r="M20" s="113" t="e">
        <f t="shared" ref="M20:M21" si="11">#REF!-M19</f>
        <v>#REF!</v>
      </c>
      <c r="N20" s="113" t="e">
        <f t="shared" ref="N20:W20" si="12">M5-N19</f>
        <v>#REF!</v>
      </c>
      <c r="O20" s="113" t="e">
        <f t="shared" si="12"/>
        <v>#REF!</v>
      </c>
      <c r="P20" s="113" t="e">
        <f t="shared" si="12"/>
        <v>#REF!</v>
      </c>
      <c r="Q20" s="113" t="e">
        <f t="shared" si="12"/>
        <v>#REF!</v>
      </c>
      <c r="R20" s="113">
        <f t="shared" si="12"/>
        <v>-82350.027424080065</v>
      </c>
      <c r="S20" s="113">
        <f t="shared" si="12"/>
        <v>31780.714467059937</v>
      </c>
      <c r="T20" s="113">
        <f t="shared" si="12"/>
        <v>386425.50490042206</v>
      </c>
      <c r="U20" s="113">
        <f t="shared" si="12"/>
        <v>-82350.027424080065</v>
      </c>
      <c r="V20" s="113">
        <f t="shared" si="12"/>
        <v>31780.714467059937</v>
      </c>
      <c r="W20" s="113">
        <f t="shared" si="12"/>
        <v>386425.50490042206</v>
      </c>
      <c r="X20" s="113"/>
      <c r="Y20" s="113">
        <f>W5-Y19</f>
        <v>-524681.60676750005</v>
      </c>
      <c r="Z20" s="113">
        <f t="shared" ref="Z20:AB20" si="13">Y5-Z19</f>
        <v>75975.061667256639</v>
      </c>
      <c r="AA20" s="113">
        <f t="shared" si="13"/>
        <v>-92943.598913100082</v>
      </c>
      <c r="AB20" s="113">
        <f t="shared" si="13"/>
        <v>290513.04092096514</v>
      </c>
      <c r="AC20" s="113"/>
      <c r="AD20" s="113">
        <f>AC5-AD19</f>
        <v>-545554.65463400586</v>
      </c>
      <c r="AE20" s="113"/>
      <c r="AF20" s="113" t="e">
        <f t="shared" ref="AF20:AF21" si="14">#REF!-AF19</f>
        <v>#REF!</v>
      </c>
      <c r="AG20" s="113">
        <f t="shared" ref="AG20:AZ20" si="15">AF5-AG19</f>
        <v>87187.092141707893</v>
      </c>
      <c r="AH20" s="113">
        <f t="shared" si="15"/>
        <v>-111732.19740306004</v>
      </c>
      <c r="AI20" s="113">
        <f t="shared" si="15"/>
        <v>100738.86849935993</v>
      </c>
      <c r="AJ20" s="113">
        <f t="shared" si="15"/>
        <v>-459521.14817466005</v>
      </c>
      <c r="AK20" s="113">
        <f t="shared" si="15"/>
        <v>1325995.34449356</v>
      </c>
      <c r="AL20" s="113">
        <f t="shared" si="15"/>
        <v>-278231.16061728005</v>
      </c>
      <c r="AM20" s="113">
        <f t="shared" si="15"/>
        <v>890059.88378502009</v>
      </c>
      <c r="AN20" s="113">
        <f t="shared" si="15"/>
        <v>1242246.1661181001</v>
      </c>
      <c r="AO20" s="113">
        <f t="shared" si="15"/>
        <v>-371758.40535581287</v>
      </c>
      <c r="AP20" s="113">
        <f t="shared" si="15"/>
        <v>141314.24608938</v>
      </c>
      <c r="AQ20" s="113">
        <f t="shared" si="15"/>
        <v>106335.47230487992</v>
      </c>
      <c r="AR20" s="113">
        <f t="shared" si="15"/>
        <v>177492.29211792001</v>
      </c>
      <c r="AS20" s="113" t="e">
        <f t="shared" si="15"/>
        <v>#REF!</v>
      </c>
      <c r="AT20" s="113">
        <f t="shared" si="15"/>
        <v>372174.15306707995</v>
      </c>
      <c r="AU20" s="113">
        <f t="shared" si="15"/>
        <v>69589.770747494302</v>
      </c>
      <c r="AV20" s="113">
        <f t="shared" si="15"/>
        <v>-524681.60676750005</v>
      </c>
      <c r="AW20" s="113">
        <f t="shared" si="15"/>
        <v>-524681.60676750005</v>
      </c>
      <c r="AX20" s="113">
        <f t="shared" si="15"/>
        <v>-524681.60676750005</v>
      </c>
      <c r="AY20" s="113">
        <f t="shared" si="15"/>
        <v>-524681.60676750005</v>
      </c>
      <c r="AZ20" s="113">
        <f t="shared" si="15"/>
        <v>-524681.60676750005</v>
      </c>
    </row>
    <row r="21" spans="1:52" ht="12.75" hidden="1" customHeight="1">
      <c r="A21" s="705" t="s">
        <v>84</v>
      </c>
      <c r="B21" s="699"/>
      <c r="C21" s="700"/>
      <c r="D21" s="113">
        <f t="shared" ref="D21:K21" si="16">D8-D20</f>
        <v>707845.81930530013</v>
      </c>
      <c r="E21" s="113" t="e">
        <f t="shared" si="16"/>
        <v>#REF!</v>
      </c>
      <c r="F21" s="113" t="e">
        <f t="shared" si="16"/>
        <v>#REF!</v>
      </c>
      <c r="G21" s="113" t="e">
        <f t="shared" si="16"/>
        <v>#REF!</v>
      </c>
      <c r="H21" s="113" t="e">
        <f t="shared" si="16"/>
        <v>#REF!</v>
      </c>
      <c r="I21" s="113" t="e">
        <f t="shared" si="16"/>
        <v>#REF!</v>
      </c>
      <c r="J21" s="113" t="e">
        <f t="shared" si="16"/>
        <v>#REF!</v>
      </c>
      <c r="K21" s="113" t="e">
        <f t="shared" si="16"/>
        <v>#REF!</v>
      </c>
      <c r="L21" s="113"/>
      <c r="M21" s="113" t="e">
        <f t="shared" si="11"/>
        <v>#REF!</v>
      </c>
      <c r="N21" s="113" t="e">
        <f t="shared" ref="N21:W21" si="17">M8-N20</f>
        <v>#REF!</v>
      </c>
      <c r="O21" s="113" t="e">
        <f t="shared" si="17"/>
        <v>#REF!</v>
      </c>
      <c r="P21" s="113" t="e">
        <f t="shared" si="17"/>
        <v>#REF!</v>
      </c>
      <c r="Q21" s="113" t="e">
        <f t="shared" si="17"/>
        <v>#REF!</v>
      </c>
      <c r="R21" s="113">
        <f t="shared" si="17"/>
        <v>765318.18964770006</v>
      </c>
      <c r="S21" s="113">
        <f t="shared" si="17"/>
        <v>755729.8052811001</v>
      </c>
      <c r="T21" s="113">
        <f t="shared" si="17"/>
        <v>351489.31397096405</v>
      </c>
      <c r="U21" s="113">
        <f t="shared" si="17"/>
        <v>765318.18964770006</v>
      </c>
      <c r="V21" s="113">
        <f t="shared" si="17"/>
        <v>755729.8052811001</v>
      </c>
      <c r="W21" s="113">
        <f t="shared" si="17"/>
        <v>351489.31397096405</v>
      </c>
      <c r="X21" s="113"/>
      <c r="Y21" s="113">
        <f>W8-Y20</f>
        <v>524681.60676750005</v>
      </c>
      <c r="Z21" s="113">
        <f t="shared" ref="Z21:AB21" si="18">Y8-Z20</f>
        <v>742869.1176237138</v>
      </c>
      <c r="AA21" s="113">
        <f t="shared" si="18"/>
        <v>1287662.0845771802</v>
      </c>
      <c r="AB21" s="113">
        <f t="shared" si="18"/>
        <v>663072.60262209212</v>
      </c>
      <c r="AC21" s="113"/>
      <c r="AD21" s="113">
        <f>AC8-AD20</f>
        <v>1935896.4589267462</v>
      </c>
      <c r="AE21" s="113"/>
      <c r="AF21" s="113" t="e">
        <f t="shared" si="14"/>
        <v>#REF!</v>
      </c>
      <c r="AG21" s="113">
        <f t="shared" ref="AG21:AZ21" si="19">AF8-AG20</f>
        <v>719890.68401718012</v>
      </c>
      <c r="AH21" s="113">
        <f t="shared" si="19"/>
        <v>679196.53791990003</v>
      </c>
      <c r="AI21" s="113">
        <f t="shared" si="19"/>
        <v>690117.44700210006</v>
      </c>
      <c r="AJ21" s="113">
        <f t="shared" si="19"/>
        <v>854742.18523590011</v>
      </c>
      <c r="AK21" s="113">
        <f t="shared" si="19"/>
        <v>533400.9532761001</v>
      </c>
      <c r="AL21" s="113">
        <f t="shared" si="19"/>
        <v>675517.61098770006</v>
      </c>
      <c r="AM21" s="113">
        <f t="shared" si="19"/>
        <v>741129.96926670009</v>
      </c>
      <c r="AN21" s="113">
        <f t="shared" si="19"/>
        <v>524681.60676750005</v>
      </c>
      <c r="AO21" s="113">
        <f t="shared" si="19"/>
        <v>869832.15860221209</v>
      </c>
      <c r="AP21" s="113">
        <f t="shared" si="19"/>
        <v>628618.53458430013</v>
      </c>
      <c r="AQ21" s="113">
        <f t="shared" si="19"/>
        <v>696258.64786530007</v>
      </c>
      <c r="AR21" s="113">
        <f t="shared" si="19"/>
        <v>678993.76241970004</v>
      </c>
      <c r="AS21" s="113" t="e">
        <f t="shared" si="19"/>
        <v>#REF!</v>
      </c>
      <c r="AT21" s="113">
        <f t="shared" si="19"/>
        <v>581255.97132330004</v>
      </c>
      <c r="AU21" s="113">
        <f t="shared" si="19"/>
        <v>632061.08321912412</v>
      </c>
      <c r="AV21" s="113">
        <f t="shared" si="19"/>
        <v>524681.60676750005</v>
      </c>
      <c r="AW21" s="113">
        <f t="shared" si="19"/>
        <v>524681.60676750005</v>
      </c>
      <c r="AX21" s="113">
        <f t="shared" si="19"/>
        <v>524681.60676750005</v>
      </c>
      <c r="AY21" s="113">
        <f t="shared" si="19"/>
        <v>524681.60676750005</v>
      </c>
      <c r="AZ21" s="113">
        <f t="shared" si="19"/>
        <v>524681.60676750005</v>
      </c>
    </row>
    <row r="22" spans="1:52" ht="12.75" customHeight="1">
      <c r="A22" s="2"/>
      <c r="B22" s="2"/>
      <c r="C22" s="2"/>
      <c r="D22" s="3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1:52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2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52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52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52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1:5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2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52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1:52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2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1:5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</row>
    <row r="52" spans="1: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</row>
    <row r="53" spans="1:5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</row>
    <row r="54" spans="1:5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</row>
    <row r="55" spans="1:5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</row>
    <row r="56" spans="1:5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</row>
    <row r="57" spans="1:5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</row>
    <row r="58" spans="1:5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</row>
    <row r="59" spans="1:5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</row>
    <row r="60" spans="1:5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</row>
    <row r="61" spans="1:5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</row>
    <row r="62" spans="1:5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</row>
    <row r="63" spans="1:5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</row>
    <row r="64" spans="1:5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</row>
    <row r="65" spans="1:5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</row>
    <row r="66" spans="1:5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</row>
    <row r="67" spans="1:5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spans="1:5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</row>
    <row r="69" spans="1:5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</row>
    <row r="70" spans="1:5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</row>
    <row r="71" spans="1:5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</row>
    <row r="72" spans="1:5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</row>
    <row r="73" spans="1:52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</row>
    <row r="74" spans="1:52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</row>
    <row r="75" spans="1:52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</row>
    <row r="76" spans="1:52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</row>
    <row r="77" spans="1:52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spans="1:52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spans="1:52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1:52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1:52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1:5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1:52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spans="1:52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1:52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spans="1:52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1:52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  <row r="88" spans="1:52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</row>
    <row r="89" spans="1:52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</row>
    <row r="90" spans="1:52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</row>
    <row r="91" spans="1:52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</row>
    <row r="92" spans="1:5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spans="1:52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spans="1:52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spans="1:52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spans="1:52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1:52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1:52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1:52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1:52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1:52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1:5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1:52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</row>
    <row r="104" spans="1:52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</row>
    <row r="105" spans="1:52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</row>
    <row r="106" spans="1:52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</row>
    <row r="107" spans="1:52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</row>
    <row r="108" spans="1:52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</row>
    <row r="109" spans="1:52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</row>
    <row r="110" spans="1:52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</row>
    <row r="111" spans="1:52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</row>
    <row r="112" spans="1:5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</row>
    <row r="113" spans="1:52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</row>
    <row r="114" spans="1:52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</row>
    <row r="115" spans="1:52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</row>
    <row r="116" spans="1:52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</row>
    <row r="117" spans="1:52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</row>
    <row r="118" spans="1:52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</row>
    <row r="119" spans="1:52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</row>
    <row r="120" spans="1:52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</row>
    <row r="121" spans="1:52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</row>
    <row r="122" spans="1:5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</row>
    <row r="123" spans="1:52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</row>
    <row r="124" spans="1:52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</row>
    <row r="125" spans="1:52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</row>
    <row r="126" spans="1:52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</row>
    <row r="127" spans="1:52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</row>
    <row r="128" spans="1:52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</row>
    <row r="129" spans="1:52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</row>
    <row r="130" spans="1:52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</row>
    <row r="131" spans="1:52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</row>
    <row r="132" spans="1:5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</row>
    <row r="133" spans="1:52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</row>
    <row r="134" spans="1:52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</row>
    <row r="135" spans="1:52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</row>
    <row r="136" spans="1:52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</row>
    <row r="137" spans="1:52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</row>
    <row r="138" spans="1:52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</row>
    <row r="139" spans="1:52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</row>
    <row r="140" spans="1:52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</row>
    <row r="141" spans="1:52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</row>
    <row r="142" spans="1:5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</row>
    <row r="143" spans="1:52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</row>
    <row r="144" spans="1:52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</row>
    <row r="145" spans="1:52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</row>
    <row r="146" spans="1:52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</row>
    <row r="147" spans="1:52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</row>
    <row r="148" spans="1:52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</row>
    <row r="149" spans="1:52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</row>
    <row r="150" spans="1:52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</row>
    <row r="151" spans="1:52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</row>
    <row r="152" spans="1: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</row>
    <row r="153" spans="1:52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</row>
    <row r="154" spans="1:52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</row>
    <row r="155" spans="1:52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</row>
    <row r="156" spans="1:52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</row>
    <row r="157" spans="1:52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</row>
    <row r="158" spans="1:52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</row>
    <row r="159" spans="1:52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</row>
    <row r="160" spans="1:52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</row>
    <row r="161" spans="1:52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</row>
    <row r="162" spans="1:5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</row>
    <row r="163" spans="1:52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</row>
    <row r="164" spans="1:52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</row>
    <row r="165" spans="1:52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</row>
    <row r="166" spans="1:52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</row>
    <row r="167" spans="1:52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</row>
    <row r="168" spans="1:52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</row>
    <row r="169" spans="1:52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</row>
    <row r="170" spans="1:52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</row>
    <row r="171" spans="1:52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</row>
    <row r="172" spans="1:5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</row>
    <row r="173" spans="1:52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</row>
    <row r="174" spans="1:52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</row>
    <row r="175" spans="1:52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</row>
    <row r="176" spans="1:52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</row>
    <row r="177" spans="1:52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</row>
    <row r="178" spans="1:52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</row>
    <row r="179" spans="1:52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</row>
    <row r="180" spans="1:52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</row>
    <row r="181" spans="1:52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</row>
    <row r="182" spans="1:5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</row>
    <row r="183" spans="1:52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</row>
    <row r="184" spans="1:52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</row>
    <row r="185" spans="1:52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</row>
    <row r="186" spans="1:52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</row>
    <row r="187" spans="1:52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</row>
    <row r="188" spans="1:52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</row>
    <row r="189" spans="1:52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</row>
    <row r="190" spans="1:52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</row>
    <row r="191" spans="1:52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</row>
    <row r="192" spans="1:5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</row>
    <row r="193" spans="1:52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</row>
    <row r="194" spans="1:52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</row>
    <row r="195" spans="1:52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</row>
    <row r="196" spans="1:52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</row>
    <row r="197" spans="1:52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</row>
    <row r="198" spans="1:52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</row>
    <row r="199" spans="1:52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</row>
    <row r="200" spans="1:52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</row>
    <row r="201" spans="1:52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</row>
    <row r="202" spans="1:5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</row>
    <row r="203" spans="1:52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</row>
    <row r="204" spans="1:52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</row>
    <row r="205" spans="1:52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</row>
    <row r="206" spans="1:52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</row>
    <row r="207" spans="1:52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</row>
    <row r="208" spans="1:52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</row>
    <row r="209" spans="1:52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</row>
    <row r="210" spans="1:52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</row>
    <row r="211" spans="1:52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</row>
    <row r="212" spans="1:5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</row>
    <row r="213" spans="1:52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</row>
    <row r="214" spans="1:52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</row>
    <row r="215" spans="1:52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</row>
    <row r="216" spans="1:52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</row>
    <row r="217" spans="1:52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</row>
    <row r="218" spans="1:52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</row>
    <row r="219" spans="1:52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</row>
    <row r="220" spans="1:52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</row>
    <row r="221" spans="1:52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</row>
    <row r="222" spans="1:52" ht="15.75" customHeight="1"/>
    <row r="223" spans="1:52" ht="15.75" customHeight="1"/>
    <row r="224" spans="1:5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21:C21"/>
    <mergeCell ref="A3:A4"/>
    <mergeCell ref="B3:B4"/>
    <mergeCell ref="C3:C4"/>
    <mergeCell ref="D3:W3"/>
    <mergeCell ref="Y3:AA3"/>
    <mergeCell ref="AC3:AD3"/>
    <mergeCell ref="AF3:AY3"/>
    <mergeCell ref="A19:A20"/>
    <mergeCell ref="B19:C19"/>
    <mergeCell ref="B20:C20"/>
  </mergeCells>
  <pageMargins left="0.511811024" right="0.511811024" top="0.78740157499999996" bottom="0.78740157499999996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Z1000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12.5703125" defaultRowHeight="15" customHeight="1"/>
  <cols>
    <col min="1" max="1" width="34.5703125" customWidth="1"/>
    <col min="2" max="2" width="8.42578125" hidden="1" customWidth="1"/>
    <col min="3" max="3" width="6.28515625" hidden="1" customWidth="1"/>
    <col min="4" max="4" width="6.28515625" customWidth="1"/>
    <col min="5" max="5" width="6.85546875" customWidth="1"/>
    <col min="6" max="6" width="6.7109375" customWidth="1"/>
    <col min="7" max="8" width="6.85546875" customWidth="1"/>
    <col min="9" max="9" width="0.5703125" customWidth="1"/>
    <col min="10" max="11" width="6.85546875" customWidth="1"/>
    <col min="12" max="12" width="1.140625" customWidth="1"/>
    <col min="13" max="13" width="6.28515625" customWidth="1"/>
    <col min="14" max="14" width="6.85546875" customWidth="1"/>
    <col min="15" max="15" width="6.28515625" customWidth="1"/>
    <col min="16" max="16" width="6.28515625" hidden="1" customWidth="1"/>
    <col min="17" max="19" width="6.85546875" hidden="1" customWidth="1"/>
    <col min="20" max="21" width="7" hidden="1" customWidth="1"/>
    <col min="22" max="23" width="6.42578125" hidden="1" customWidth="1"/>
    <col min="24" max="24" width="7.7109375" hidden="1" customWidth="1"/>
    <col min="25" max="25" width="1" customWidth="1"/>
    <col min="26" max="26" width="11.5703125" customWidth="1"/>
    <col min="27" max="27" width="9.85546875" customWidth="1"/>
    <col min="28" max="28" width="11.85546875" customWidth="1"/>
    <col min="29" max="29" width="1" customWidth="1"/>
    <col min="30" max="30" width="6.85546875" customWidth="1"/>
    <col min="31" max="31" width="7.28515625" customWidth="1"/>
    <col min="32" max="32" width="1" customWidth="1"/>
    <col min="33" max="33" width="6.28515625" customWidth="1"/>
    <col min="34" max="34" width="7.28515625" customWidth="1"/>
    <col min="35" max="35" width="6.42578125" customWidth="1"/>
    <col min="36" max="37" width="0.7109375" customWidth="1"/>
    <col min="38" max="38" width="6.42578125" customWidth="1"/>
    <col min="39" max="39" width="0.7109375" customWidth="1"/>
    <col min="40" max="41" width="6.42578125" customWidth="1"/>
    <col min="42" max="42" width="0.5703125" customWidth="1"/>
    <col min="43" max="43" width="6.42578125" customWidth="1"/>
    <col min="44" max="44" width="6.28515625" hidden="1" customWidth="1"/>
    <col min="45" max="45" width="0.5703125" hidden="1" customWidth="1"/>
    <col min="46" max="46" width="6.28515625" hidden="1" customWidth="1"/>
    <col min="47" max="47" width="6.42578125" hidden="1" customWidth="1"/>
    <col min="48" max="48" width="6.28515625" hidden="1" customWidth="1"/>
    <col min="49" max="49" width="0.7109375" hidden="1" customWidth="1"/>
    <col min="50" max="51" width="7" hidden="1" customWidth="1"/>
    <col min="52" max="52" width="6.42578125" hidden="1" customWidth="1"/>
  </cols>
  <sheetData>
    <row r="1" spans="1:52" ht="12.75" customHeight="1">
      <c r="A1" s="2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30"/>
      <c r="Z1" s="2"/>
      <c r="AA1" s="2"/>
      <c r="AB1" s="2"/>
      <c r="AC1" s="130"/>
      <c r="AD1" s="2"/>
      <c r="AE1" s="2"/>
      <c r="AF1" s="130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13.5" customHeight="1">
      <c r="A2" s="2"/>
      <c r="B2" s="2"/>
      <c r="C2" s="2"/>
      <c r="D2" s="131" t="s">
        <v>86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30"/>
      <c r="Z2" s="2" t="s">
        <v>75</v>
      </c>
      <c r="AA2" s="2"/>
      <c r="AB2" s="2"/>
      <c r="AC2" s="130"/>
      <c r="AD2" s="2"/>
      <c r="AE2" s="2"/>
      <c r="AF2" s="130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2.75" customHeight="1">
      <c r="A3" s="709" t="s">
        <v>8</v>
      </c>
      <c r="B3" s="711" t="s">
        <v>9</v>
      </c>
      <c r="C3" s="711" t="s">
        <v>10</v>
      </c>
      <c r="D3" s="712" t="s">
        <v>52</v>
      </c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  <c r="S3" s="699"/>
      <c r="T3" s="699"/>
      <c r="U3" s="699"/>
      <c r="V3" s="699"/>
      <c r="W3" s="713"/>
      <c r="X3" s="132"/>
      <c r="Y3" s="133"/>
      <c r="Z3" s="134"/>
      <c r="AA3" s="135" t="s">
        <v>76</v>
      </c>
      <c r="AB3" s="134"/>
      <c r="AC3" s="133"/>
      <c r="AD3" s="702" t="s">
        <v>31</v>
      </c>
      <c r="AE3" s="700"/>
      <c r="AF3" s="133"/>
      <c r="AG3" s="702" t="s">
        <v>53</v>
      </c>
      <c r="AH3" s="699"/>
      <c r="AI3" s="699"/>
      <c r="AJ3" s="699"/>
      <c r="AK3" s="699"/>
      <c r="AL3" s="699"/>
      <c r="AM3" s="699"/>
      <c r="AN3" s="699"/>
      <c r="AO3" s="699"/>
      <c r="AP3" s="699"/>
      <c r="AQ3" s="699"/>
      <c r="AR3" s="699"/>
      <c r="AS3" s="699"/>
      <c r="AT3" s="699"/>
      <c r="AU3" s="699"/>
      <c r="AV3" s="699"/>
      <c r="AW3" s="699"/>
      <c r="AX3" s="699"/>
      <c r="AY3" s="699"/>
      <c r="AZ3" s="700"/>
    </row>
    <row r="4" spans="1:52" ht="12.75" customHeight="1">
      <c r="A4" s="710"/>
      <c r="B4" s="697"/>
      <c r="C4" s="697"/>
      <c r="D4" s="90">
        <v>3</v>
      </c>
      <c r="E4" s="90">
        <v>5</v>
      </c>
      <c r="F4" s="90">
        <v>7</v>
      </c>
      <c r="G4" s="90">
        <v>9</v>
      </c>
      <c r="H4" s="90">
        <v>11</v>
      </c>
      <c r="I4" s="90">
        <v>13</v>
      </c>
      <c r="J4" s="90">
        <v>15</v>
      </c>
      <c r="K4" s="90">
        <v>17</v>
      </c>
      <c r="L4" s="90"/>
      <c r="M4" s="90">
        <v>19</v>
      </c>
      <c r="N4" s="90">
        <v>21</v>
      </c>
      <c r="O4" s="90">
        <v>23</v>
      </c>
      <c r="P4" s="90">
        <v>25</v>
      </c>
      <c r="Q4" s="90">
        <v>27</v>
      </c>
      <c r="R4" s="90">
        <v>29</v>
      </c>
      <c r="S4" s="90">
        <v>31</v>
      </c>
      <c r="T4" s="90">
        <v>33</v>
      </c>
      <c r="U4" s="90">
        <v>35</v>
      </c>
      <c r="V4" s="90">
        <v>37</v>
      </c>
      <c r="W4" s="90">
        <v>39</v>
      </c>
      <c r="X4" s="90">
        <v>41</v>
      </c>
      <c r="Y4" s="136"/>
      <c r="Z4" s="137" t="s">
        <v>87</v>
      </c>
      <c r="AA4" s="138" t="s">
        <v>31</v>
      </c>
      <c r="AB4" s="94" t="s">
        <v>88</v>
      </c>
      <c r="AC4" s="136"/>
      <c r="AD4" s="90">
        <v>1</v>
      </c>
      <c r="AE4" s="90">
        <v>2</v>
      </c>
      <c r="AF4" s="136"/>
      <c r="AG4" s="90">
        <v>4</v>
      </c>
      <c r="AH4" s="90">
        <v>6</v>
      </c>
      <c r="AI4" s="90">
        <v>8</v>
      </c>
      <c r="AJ4" s="90">
        <v>10</v>
      </c>
      <c r="AK4" s="90">
        <v>12</v>
      </c>
      <c r="AL4" s="139">
        <v>14</v>
      </c>
      <c r="AM4" s="90">
        <v>16</v>
      </c>
      <c r="AN4" s="140">
        <v>18</v>
      </c>
      <c r="AO4" s="90">
        <v>20</v>
      </c>
      <c r="AP4" s="140">
        <v>22</v>
      </c>
      <c r="AQ4" s="90">
        <v>24</v>
      </c>
      <c r="AR4" s="140">
        <v>26</v>
      </c>
      <c r="AS4" s="90">
        <v>28</v>
      </c>
      <c r="AT4" s="140">
        <v>30</v>
      </c>
      <c r="AU4" s="90">
        <v>32</v>
      </c>
      <c r="AV4" s="140">
        <v>34</v>
      </c>
      <c r="AW4" s="90">
        <v>36</v>
      </c>
      <c r="AX4" s="140">
        <v>38</v>
      </c>
      <c r="AY4" s="90">
        <v>40</v>
      </c>
      <c r="AZ4" s="140">
        <v>42</v>
      </c>
    </row>
    <row r="5" spans="1:52" ht="12.75" customHeight="1">
      <c r="A5" s="90" t="s">
        <v>89</v>
      </c>
      <c r="B5" s="141" t="s">
        <v>90</v>
      </c>
      <c r="C5" s="142">
        <v>106.6</v>
      </c>
      <c r="D5" s="143" t="e">
        <f>'custo UrbanizR$'!#REF!/'custo UrbanizR$'!$D$8</f>
        <v>#REF!</v>
      </c>
      <c r="E5" s="143" t="e">
        <f>'custo UrbanizR$'!#REF!/'custo UrbanizR$'!E$8</f>
        <v>#REF!</v>
      </c>
      <c r="F5" s="143" t="e">
        <f>'custo UrbanizR$'!#REF!/'custo UrbanizR$'!F$8</f>
        <v>#REF!</v>
      </c>
      <c r="G5" s="143" t="e">
        <f>'custo UrbanizR$'!#REF!/'custo UrbanizR$'!G$8</f>
        <v>#REF!</v>
      </c>
      <c r="H5" s="143" t="e">
        <f>'custo UrbanizR$'!#REF!/'custo UrbanizR$'!H$8</f>
        <v>#REF!</v>
      </c>
      <c r="I5" s="143" t="e">
        <f>'custo UrbanizR$'!#REF!/'custo UrbanizR$'!I$8</f>
        <v>#REF!</v>
      </c>
      <c r="J5" s="143" t="e">
        <f>'custo UrbanizR$'!#REF!/'custo UrbanizR$'!J$8</f>
        <v>#REF!</v>
      </c>
      <c r="K5" s="143" t="e">
        <f>'custo UrbanizR$'!#REF!/'custo UrbanizR$'!K$8</f>
        <v>#REF!</v>
      </c>
      <c r="L5" s="143"/>
      <c r="M5" s="143" t="e">
        <f>'custo UrbanizR$'!#REF!/'custo UrbanizR$'!#REF!</f>
        <v>#REF!</v>
      </c>
      <c r="N5" s="143" t="e">
        <f>'custo UrbanizR$'!#REF!/'custo UrbanizR$'!M$8</f>
        <v>#REF!</v>
      </c>
      <c r="O5" s="143" t="e">
        <f>'custo UrbanizR$'!#REF!/'custo UrbanizR$'!N$8</f>
        <v>#REF!</v>
      </c>
      <c r="P5" s="143" t="e">
        <f>'custo UrbanizR$'!#REF!/'custo UrbanizR$'!O$8</f>
        <v>#REF!</v>
      </c>
      <c r="Q5" s="143" t="e">
        <f>'custo UrbanizR$'!#REF!/'custo UrbanizR$'!P$8</f>
        <v>#REF!</v>
      </c>
      <c r="R5" s="143" t="e">
        <f>'custo UrbanizR$'!#REF!/'custo UrbanizR$'!Q$8</f>
        <v>#REF!</v>
      </c>
      <c r="S5" s="143" t="e">
        <f>'custo UrbanizR$'!#REF!/'custo UrbanizR$'!R$8</f>
        <v>#REF!</v>
      </c>
      <c r="T5" s="143" t="e">
        <f>'custo UrbanizR$'!#REF!/'custo UrbanizR$'!S$8</f>
        <v>#REF!</v>
      </c>
      <c r="U5" s="143" t="e">
        <f>'custo UrbanizR$'!#REF!/'custo UrbanizR$'!T$8</f>
        <v>#REF!</v>
      </c>
      <c r="V5" s="143" t="e">
        <f>'custo UrbanizR$'!#REF!/'custo UrbanizR$'!U$8</f>
        <v>#REF!</v>
      </c>
      <c r="W5" s="143" t="e">
        <f>'custo UrbanizR$'!#REF!/'custo UrbanizR$'!V$8</f>
        <v>#REF!</v>
      </c>
      <c r="X5" s="143" t="e">
        <f>'custo UrbanizR$'!#REF!/'custo UrbanizR$'!W$8</f>
        <v>#REF!</v>
      </c>
      <c r="Y5" s="144"/>
      <c r="Z5" s="145" t="e">
        <f>'custo UrbanizR$'!#REF!/'custo UrbanizR$'!Y$8</f>
        <v>#REF!</v>
      </c>
      <c r="AA5" s="146" t="e">
        <f>'custo UrbanizR$'!#REF!/'custo UrbanizR$'!$Z$8</f>
        <v>#REF!</v>
      </c>
      <c r="AB5" s="145" t="e">
        <f>'custo UrbanizR$'!#REF!/'custo UrbanizR$'!$AA$8</f>
        <v>#REF!</v>
      </c>
      <c r="AC5" s="144"/>
      <c r="AD5" s="147" t="e">
        <f>'custo UrbanizR$'!#REF!/'custo UrbanizR$'!$AC$8</f>
        <v>#REF!</v>
      </c>
      <c r="AE5" s="147" t="e">
        <f>'custo UrbanizR$'!#REF!/'custo UrbanizR$'!AD$8</f>
        <v>#REF!</v>
      </c>
      <c r="AF5" s="144"/>
      <c r="AG5" s="143" t="e">
        <f>'custo UrbanizR$'!#REF!/'custo UrbanizR$'!AF$8</f>
        <v>#REF!</v>
      </c>
      <c r="AH5" s="143" t="e">
        <f>'custo UrbanizR$'!#REF!/'custo UrbanizR$'!AG$8</f>
        <v>#REF!</v>
      </c>
      <c r="AI5" s="143" t="e">
        <f>'custo UrbanizR$'!#REF!/'custo UrbanizR$'!AH$8</f>
        <v>#REF!</v>
      </c>
      <c r="AJ5" s="143" t="e">
        <f>'custo UrbanizR$'!#REF!/'custo UrbanizR$'!AI$8</f>
        <v>#REF!</v>
      </c>
      <c r="AK5" s="143" t="e">
        <f>'custo UrbanizR$'!#REF!/'custo UrbanizR$'!AJ$8</f>
        <v>#REF!</v>
      </c>
      <c r="AL5" s="148" t="e">
        <f>'custo UrbanizR$'!#REF!/'custo UrbanizR$'!AK$8</f>
        <v>#REF!</v>
      </c>
      <c r="AM5" s="143" t="e">
        <f>'custo UrbanizR$'!#REF!/'custo UrbanizR$'!AL$8</f>
        <v>#REF!</v>
      </c>
      <c r="AN5" s="149" t="e">
        <f>'custo UrbanizR$'!#REF!/'custo UrbanizR$'!AM$8</f>
        <v>#REF!</v>
      </c>
      <c r="AO5" s="149" t="e">
        <f>'custo UrbanizR$'!#REF!/'custo UrbanizR$'!AN$8</f>
        <v>#REF!</v>
      </c>
      <c r="AP5" s="149" t="e">
        <f>'custo UrbanizR$'!#REF!/'custo UrbanizR$'!AO$8</f>
        <v>#REF!</v>
      </c>
      <c r="AQ5" s="149" t="e">
        <f>'custo UrbanizR$'!#REF!/'custo UrbanizR$'!AP$8</f>
        <v>#REF!</v>
      </c>
      <c r="AR5" s="149" t="e">
        <f>'custo UrbanizR$'!#REF!/'custo UrbanizR$'!AQ$8</f>
        <v>#REF!</v>
      </c>
      <c r="AS5" s="149" t="e">
        <f>'custo UrbanizR$'!#REF!/'custo UrbanizR$'!AR$8</f>
        <v>#REF!</v>
      </c>
      <c r="AT5" s="149" t="e">
        <f>'custo UrbanizR$'!#REF!/'custo UrbanizR$'!AS$8</f>
        <v>#REF!</v>
      </c>
      <c r="AU5" s="149" t="e">
        <f>'custo UrbanizR$'!#REF!/'custo UrbanizR$'!AT$8</f>
        <v>#REF!</v>
      </c>
      <c r="AV5" s="149" t="e">
        <f>'custo UrbanizR$'!#REF!/'custo UrbanizR$'!AU$8</f>
        <v>#REF!</v>
      </c>
      <c r="AW5" s="149" t="e">
        <f>'custo UrbanizR$'!#REF!/'custo UrbanizR$'!AV$8</f>
        <v>#REF!</v>
      </c>
      <c r="AX5" s="149" t="e">
        <f>'custo UrbanizR$'!#REF!/'custo UrbanizR$'!AW$8</f>
        <v>#REF!</v>
      </c>
      <c r="AY5" s="149" t="e">
        <f>'custo UrbanizR$'!#REF!/'custo UrbanizR$'!AX$8</f>
        <v>#REF!</v>
      </c>
      <c r="AZ5" s="149" t="e">
        <f>'custo UrbanizR$'!#REF!/'custo UrbanizR$'!AY$8</f>
        <v>#REF!</v>
      </c>
    </row>
    <row r="6" spans="1:52" ht="12.75" customHeight="1">
      <c r="A6" s="150" t="s">
        <v>25</v>
      </c>
      <c r="B6" s="141" t="s">
        <v>21</v>
      </c>
      <c r="C6" s="142">
        <v>89.7</v>
      </c>
      <c r="D6" s="143">
        <f>'custo UrbanizR$'!D5/'custo UrbanizR$'!$D$8</f>
        <v>0.84290800317016268</v>
      </c>
      <c r="E6" s="143">
        <f>'custo UrbanizR$'!E5/'custo UrbanizR$'!E$8</f>
        <v>0.56456315244992006</v>
      </c>
      <c r="F6" s="143">
        <f>'custo UrbanizR$'!F5/'custo UrbanizR$'!F$8</f>
        <v>0.59436962629442569</v>
      </c>
      <c r="G6" s="143">
        <f>'custo UrbanizR$'!G5/'custo UrbanizR$'!G$8</f>
        <v>0.90072444325194523</v>
      </c>
      <c r="H6" s="143">
        <f>'custo UrbanizR$'!H5/'custo UrbanizR$'!H$8</f>
        <v>0.16284881299458556</v>
      </c>
      <c r="I6" s="143">
        <f>'custo UrbanizR$'!I5/'custo UrbanizR$'!I$8</f>
        <v>0</v>
      </c>
      <c r="J6" s="143">
        <f>'custo UrbanizR$'!J5/'custo UrbanizR$'!J$8</f>
        <v>0.97766458895019626</v>
      </c>
      <c r="K6" s="143">
        <f>'custo UrbanizR$'!K5/'custo UrbanizR$'!K$8</f>
        <v>0.47924433417657858</v>
      </c>
      <c r="L6" s="143"/>
      <c r="M6" s="143" t="e">
        <f>'custo UrbanizR$'!#REF!/'custo UrbanizR$'!#REF!</f>
        <v>#REF!</v>
      </c>
      <c r="N6" s="143">
        <f>'custo UrbanizR$'!M5/'custo UrbanizR$'!M$8</f>
        <v>0.90979780891852047</v>
      </c>
      <c r="O6" s="143">
        <f>'custo UrbanizR$'!N5/'custo UrbanizR$'!N$8</f>
        <v>0.75769790439795826</v>
      </c>
      <c r="P6" s="143">
        <f>'custo UrbanizR$'!O5/'custo UrbanizR$'!O$8</f>
        <v>0.55618770293024644</v>
      </c>
      <c r="Q6" s="143">
        <f>'custo UrbanizR$'!P5/'custo UrbanizR$'!P$8</f>
        <v>0.89724221282140704</v>
      </c>
      <c r="R6" s="143">
        <f>'custo UrbanizR$'!Q5/'custo UrbanizR$'!Q$8</f>
        <v>0.64766061408085096</v>
      </c>
      <c r="S6" s="143">
        <f>'custo UrbanizR$'!R5/'custo UrbanizR$'!R$8</f>
        <v>0.7066093814372314</v>
      </c>
      <c r="T6" s="143">
        <f>'custo UrbanizR$'!S5/'custo UrbanizR$'!S$8</f>
        <v>1.2347049935403482</v>
      </c>
      <c r="U6" s="143">
        <f>'custo UrbanizR$'!T5/'custo UrbanizR$'!T$8</f>
        <v>0.64766061408085096</v>
      </c>
      <c r="V6" s="143">
        <f>'custo UrbanizR$'!U5/'custo UrbanizR$'!U$8</f>
        <v>0.7066093814372314</v>
      </c>
      <c r="W6" s="143">
        <f>'custo UrbanizR$'!V5/'custo UrbanizR$'!V$8</f>
        <v>1.2347049935403482</v>
      </c>
      <c r="X6" s="143" t="e">
        <f>'custo UrbanizR$'!W5/'custo UrbanizR$'!W$8</f>
        <v>#DIV/0!</v>
      </c>
      <c r="Y6" s="144"/>
      <c r="Z6" s="145">
        <f>'custo UrbanizR$'!Y5/'custo UrbanizR$'!Y$8</f>
        <v>0.73354208728070791</v>
      </c>
      <c r="AA6" s="146">
        <f>'custo UrbanizR$'!Z5/'custo UrbanizR$'!$Z$8</f>
        <v>0.36137216677820122</v>
      </c>
      <c r="AB6" s="145">
        <f>'custo UrbanizR$'!AA5/'custo UrbanizR$'!$AA$8</f>
        <v>0.85487302919075114</v>
      </c>
      <c r="AC6" s="144"/>
      <c r="AD6" s="147">
        <f>'custo UrbanizR$'!AC5/'custo UrbanizR$'!$AC$8</f>
        <v>0.34459818442825318</v>
      </c>
      <c r="AE6" s="147">
        <f>'custo UrbanizR$'!AD5/'custo UrbanizR$'!AD$8</f>
        <v>0.38471485689930612</v>
      </c>
      <c r="AF6" s="144"/>
      <c r="AG6" s="143">
        <f>'custo UrbanizR$'!AF5/'custo UrbanizR$'!AF$8</f>
        <v>0.75812854347354797</v>
      </c>
      <c r="AH6" s="143">
        <f>'custo UrbanizR$'!AG5/'custo UrbanizR$'!AG$8</f>
        <v>0.72770988391681224</v>
      </c>
      <c r="AI6" s="143">
        <f>'custo UrbanizR$'!AH5/'custo UrbanizR$'!AH$8</f>
        <v>0.79081428953412136</v>
      </c>
      <c r="AJ6" s="143">
        <f>'custo UrbanizR$'!AI5/'custo UrbanizR$'!AI$8</f>
        <v>0.16487092660187341</v>
      </c>
      <c r="AK6" s="143">
        <f>'custo UrbanizR$'!AJ5/'custo UrbanizR$'!AJ$8</f>
        <v>0.99531065727136336</v>
      </c>
      <c r="AL6" s="148">
        <f>'custo UrbanizR$'!AK5/'custo UrbanizR$'!AK$8</f>
        <v>0.62033438573209765</v>
      </c>
      <c r="AM6" s="143">
        <f>'custo UrbanizR$'!AL5/'custo UrbanizR$'!AL$8</f>
        <v>0.86730645602395307</v>
      </c>
      <c r="AN6" s="149">
        <f>'custo UrbanizR$'!AM5/'custo UrbanizR$'!AM$8</f>
        <v>1</v>
      </c>
      <c r="AO6" s="149">
        <f>'custo UrbanizR$'!AN5/'custo UrbanizR$'!AN$8</f>
        <v>0.30702923094209994</v>
      </c>
      <c r="AP6" s="149">
        <f>'custo UrbanizR$'!AO5/'custo UrbanizR$'!AO$8</f>
        <v>0.86500519210799576</v>
      </c>
      <c r="AQ6" s="149">
        <f>'custo UrbanizR$'!AP5/'custo UrbanizR$'!AP$8</f>
        <v>0.78622190620905708</v>
      </c>
      <c r="AR6" s="149">
        <f>'custo UrbanizR$'!AQ5/'custo UrbanizR$'!AQ$8</f>
        <v>0.81983109376426866</v>
      </c>
      <c r="AS6" s="149">
        <f>'custo UrbanizR$'!AR5/'custo UrbanizR$'!AR$8</f>
        <v>0.37555947189061961</v>
      </c>
      <c r="AT6" s="149">
        <f>'custo UrbanizR$'!AS5/'custo UrbanizR$'!AS$8</f>
        <v>0.94066228545906971</v>
      </c>
      <c r="AU6" s="149">
        <f>'custo UrbanizR$'!AT5/'custo UrbanizR$'!AT$8</f>
        <v>0.84696166783724502</v>
      </c>
      <c r="AV6" s="149" t="e">
        <f>'custo UrbanizR$'!AU5/'custo UrbanizR$'!AU$8</f>
        <v>#DIV/0!</v>
      </c>
      <c r="AW6" s="149" t="e">
        <f>'custo UrbanizR$'!AV5/'custo UrbanizR$'!AV$8</f>
        <v>#DIV/0!</v>
      </c>
      <c r="AX6" s="149" t="e">
        <f>'custo UrbanizR$'!AW5/'custo UrbanizR$'!AW$8</f>
        <v>#DIV/0!</v>
      </c>
      <c r="AY6" s="149" t="e">
        <f>'custo UrbanizR$'!AX5/'custo UrbanizR$'!AX$8</f>
        <v>#DIV/0!</v>
      </c>
      <c r="AZ6" s="149" t="e">
        <f>'custo UrbanizR$'!AY5/'custo UrbanizR$'!AY$8</f>
        <v>#DIV/0!</v>
      </c>
    </row>
    <row r="7" spans="1:52" ht="12.75" customHeight="1">
      <c r="A7" s="150" t="s">
        <v>27</v>
      </c>
      <c r="B7" s="141" t="s">
        <v>21</v>
      </c>
      <c r="C7" s="142">
        <v>101.4</v>
      </c>
      <c r="D7" s="143">
        <f>'custo UrbanizR$'!D6/'custo UrbanizR$'!$D$8</f>
        <v>0</v>
      </c>
      <c r="E7" s="143">
        <f>'custo UrbanizR$'!E6/'custo UrbanizR$'!E$8</f>
        <v>0</v>
      </c>
      <c r="F7" s="143">
        <f>'custo UrbanizR$'!F6/'custo UrbanizR$'!F$8</f>
        <v>0</v>
      </c>
      <c r="G7" s="143">
        <f>'custo UrbanizR$'!G6/'custo UrbanizR$'!G$8</f>
        <v>0</v>
      </c>
      <c r="H7" s="143">
        <f>'custo UrbanizR$'!H6/'custo UrbanizR$'!H$8</f>
        <v>0</v>
      </c>
      <c r="I7" s="143">
        <f>'custo UrbanizR$'!I6/'custo UrbanizR$'!I$8</f>
        <v>0</v>
      </c>
      <c r="J7" s="143">
        <f>'custo UrbanizR$'!J6/'custo UrbanizR$'!J$8</f>
        <v>0</v>
      </c>
      <c r="K7" s="143">
        <f>'custo UrbanizR$'!K6/'custo UrbanizR$'!K$8</f>
        <v>0</v>
      </c>
      <c r="L7" s="143"/>
      <c r="M7" s="143" t="e">
        <f>'custo UrbanizR$'!#REF!/'custo UrbanizR$'!#REF!</f>
        <v>#REF!</v>
      </c>
      <c r="N7" s="143">
        <f>'custo UrbanizR$'!M6/'custo UrbanizR$'!M$8</f>
        <v>0</v>
      </c>
      <c r="O7" s="143">
        <f>'custo UrbanizR$'!N6/'custo UrbanizR$'!N$8</f>
        <v>0</v>
      </c>
      <c r="P7" s="143">
        <f>'custo UrbanizR$'!O6/'custo UrbanizR$'!O$8</f>
        <v>0</v>
      </c>
      <c r="Q7" s="143">
        <f>'custo UrbanizR$'!P6/'custo UrbanizR$'!P$8</f>
        <v>0</v>
      </c>
      <c r="R7" s="143">
        <f>'custo UrbanizR$'!Q6/'custo UrbanizR$'!Q$8</f>
        <v>0</v>
      </c>
      <c r="S7" s="143">
        <f>'custo UrbanizR$'!R6/'custo UrbanizR$'!R$8</f>
        <v>0</v>
      </c>
      <c r="T7" s="143">
        <f>'custo UrbanizR$'!S6/'custo UrbanizR$'!S$8</f>
        <v>0</v>
      </c>
      <c r="U7" s="143">
        <f>'custo UrbanizR$'!T6/'custo UrbanizR$'!T$8</f>
        <v>0</v>
      </c>
      <c r="V7" s="143">
        <f>'custo UrbanizR$'!U6/'custo UrbanizR$'!U$8</f>
        <v>0</v>
      </c>
      <c r="W7" s="143">
        <f>'custo UrbanizR$'!V6/'custo UrbanizR$'!V$8</f>
        <v>0</v>
      </c>
      <c r="X7" s="143" t="e">
        <f>'custo UrbanizR$'!W6/'custo UrbanizR$'!W$8</f>
        <v>#DIV/0!</v>
      </c>
      <c r="Y7" s="144"/>
      <c r="Z7" s="145">
        <f>'custo UrbanizR$'!Y6/'custo UrbanizR$'!Y$8</f>
        <v>0</v>
      </c>
      <c r="AA7" s="146">
        <f>'custo UrbanizR$'!Z6/'custo UrbanizR$'!$Z$8</f>
        <v>0.54675725217492521</v>
      </c>
      <c r="AB7" s="145">
        <f>'custo UrbanizR$'!AA6/'custo UrbanizR$'!$AA$8</f>
        <v>0</v>
      </c>
      <c r="AC7" s="144"/>
      <c r="AD7" s="147">
        <f>'custo UrbanizR$'!AC6/'custo UrbanizR$'!$AC$8</f>
        <v>0.56912361264191325</v>
      </c>
      <c r="AE7" s="147">
        <f>'custo UrbanizR$'!AD6/'custo UrbanizR$'!AD$8</f>
        <v>0.51563220323748837</v>
      </c>
      <c r="AF7" s="144"/>
      <c r="AG7" s="143">
        <f>'custo UrbanizR$'!AF6/'custo UrbanizR$'!AF$8</f>
        <v>0</v>
      </c>
      <c r="AH7" s="143">
        <f>'custo UrbanizR$'!AG6/'custo UrbanizR$'!AG$8</f>
        <v>0</v>
      </c>
      <c r="AI7" s="143">
        <f>'custo UrbanizR$'!AH6/'custo UrbanizR$'!AH$8</f>
        <v>0</v>
      </c>
      <c r="AJ7" s="143">
        <f>'custo UrbanizR$'!AI6/'custo UrbanizR$'!AI$8</f>
        <v>0</v>
      </c>
      <c r="AK7" s="143">
        <f>'custo UrbanizR$'!AJ6/'custo UrbanizR$'!AJ$8</f>
        <v>0</v>
      </c>
      <c r="AL7" s="148">
        <f>'custo UrbanizR$'!AK6/'custo UrbanizR$'!AK$8</f>
        <v>0</v>
      </c>
      <c r="AM7" s="143">
        <f>'custo UrbanizR$'!AL6/'custo UrbanizR$'!AL$8</f>
        <v>0</v>
      </c>
      <c r="AN7" s="149">
        <f>'custo UrbanizR$'!AM6/'custo UrbanizR$'!AM$8</f>
        <v>0</v>
      </c>
      <c r="AO7" s="149">
        <f>'custo UrbanizR$'!AN6/'custo UrbanizR$'!AN$8</f>
        <v>0</v>
      </c>
      <c r="AP7" s="149">
        <f>'custo UrbanizR$'!AO6/'custo UrbanizR$'!AO$8</f>
        <v>0</v>
      </c>
      <c r="AQ7" s="149">
        <f>'custo UrbanizR$'!AP6/'custo UrbanizR$'!AP$8</f>
        <v>0</v>
      </c>
      <c r="AR7" s="149">
        <f>'custo UrbanizR$'!AQ6/'custo UrbanizR$'!AQ$8</f>
        <v>0</v>
      </c>
      <c r="AS7" s="149">
        <f>'custo UrbanizR$'!AR6/'custo UrbanizR$'!AR$8</f>
        <v>0.47692099672509852</v>
      </c>
      <c r="AT7" s="149">
        <f>'custo UrbanizR$'!AS6/'custo UrbanizR$'!AS$8</f>
        <v>0</v>
      </c>
      <c r="AU7" s="149">
        <f>'custo UrbanizR$'!AT6/'custo UrbanizR$'!AT$8</f>
        <v>0</v>
      </c>
      <c r="AV7" s="149" t="e">
        <f>'custo UrbanizR$'!AU6/'custo UrbanizR$'!AU$8</f>
        <v>#DIV/0!</v>
      </c>
      <c r="AW7" s="149" t="e">
        <f>'custo UrbanizR$'!AV6/'custo UrbanizR$'!AV$8</f>
        <v>#DIV/0!</v>
      </c>
      <c r="AX7" s="149" t="e">
        <f>'custo UrbanizR$'!AW6/'custo UrbanizR$'!AW$8</f>
        <v>#DIV/0!</v>
      </c>
      <c r="AY7" s="149" t="e">
        <f>'custo UrbanizR$'!AX6/'custo UrbanizR$'!AX$8</f>
        <v>#DIV/0!</v>
      </c>
      <c r="AZ7" s="149" t="e">
        <f>'custo UrbanizR$'!AY6/'custo UrbanizR$'!AY$8</f>
        <v>#DIV/0!</v>
      </c>
    </row>
    <row r="8" spans="1:52" ht="12.75" customHeight="1">
      <c r="A8" s="150" t="s">
        <v>28</v>
      </c>
      <c r="B8" s="141" t="s">
        <v>21</v>
      </c>
      <c r="C8" s="142">
        <v>13</v>
      </c>
      <c r="D8" s="143">
        <f>'custo UrbanizR$'!D7/'custo UrbanizR$'!$D$8</f>
        <v>0.15709199682983729</v>
      </c>
      <c r="E8" s="143">
        <f>'custo UrbanizR$'!E7/'custo UrbanizR$'!E$8</f>
        <v>0.43543684755008005</v>
      </c>
      <c r="F8" s="143">
        <f>'custo UrbanizR$'!F7/'custo UrbanizR$'!F$8</f>
        <v>0.40563037370557442</v>
      </c>
      <c r="G8" s="143">
        <f>'custo UrbanizR$'!G7/'custo UrbanizR$'!G$8</f>
        <v>9.9275556748054744E-2</v>
      </c>
      <c r="H8" s="143">
        <f>'custo UrbanizR$'!H7/'custo UrbanizR$'!H$8</f>
        <v>0.83715118700541435</v>
      </c>
      <c r="I8" s="143">
        <f>'custo UrbanizR$'!I7/'custo UrbanizR$'!I$8</f>
        <v>1</v>
      </c>
      <c r="J8" s="143">
        <f>'custo UrbanizR$'!J7/'custo UrbanizR$'!J$8</f>
        <v>2.2335411049803699E-2</v>
      </c>
      <c r="K8" s="143">
        <f>'custo UrbanizR$'!K7/'custo UrbanizR$'!K$8</f>
        <v>0.52075566582342137</v>
      </c>
      <c r="L8" s="143"/>
      <c r="M8" s="143" t="e">
        <f>'custo UrbanizR$'!#REF!/'custo UrbanizR$'!#REF!</f>
        <v>#REF!</v>
      </c>
      <c r="N8" s="143">
        <f>'custo UrbanizR$'!M7/'custo UrbanizR$'!M$8</f>
        <v>9.020219108147963E-2</v>
      </c>
      <c r="O8" s="143">
        <f>'custo UrbanizR$'!N7/'custo UrbanizR$'!N$8</f>
        <v>0.2423020956020418</v>
      </c>
      <c r="P8" s="143">
        <f>'custo UrbanizR$'!O7/'custo UrbanizR$'!O$8</f>
        <v>0.4438122970697535</v>
      </c>
      <c r="Q8" s="143">
        <f>'custo UrbanizR$'!P7/'custo UrbanizR$'!P$8</f>
        <v>0.10275778717859288</v>
      </c>
      <c r="R8" s="143">
        <f>'custo UrbanizR$'!Q7/'custo UrbanizR$'!Q$8</f>
        <v>0.35233938591914904</v>
      </c>
      <c r="S8" s="143">
        <f>'custo UrbanizR$'!R7/'custo UrbanizR$'!R$8</f>
        <v>0.29339061856276855</v>
      </c>
      <c r="T8" s="143">
        <f>'custo UrbanizR$'!S7/'custo UrbanizR$'!S$8</f>
        <v>-0.23470499354034838</v>
      </c>
      <c r="U8" s="143">
        <f>'custo UrbanizR$'!T7/'custo UrbanizR$'!T$8</f>
        <v>0.35233938591914904</v>
      </c>
      <c r="V8" s="143">
        <f>'custo UrbanizR$'!U7/'custo UrbanizR$'!U$8</f>
        <v>0.29339061856276855</v>
      </c>
      <c r="W8" s="143">
        <f>'custo UrbanizR$'!V7/'custo UrbanizR$'!V$8</f>
        <v>-0.23470499354034838</v>
      </c>
      <c r="X8" s="143" t="e">
        <f>'custo UrbanizR$'!W7/'custo UrbanizR$'!W$8</f>
        <v>#DIV/0!</v>
      </c>
      <c r="Y8" s="144"/>
      <c r="Z8" s="145">
        <f>'custo UrbanizR$'!Y7/'custo UrbanizR$'!Y$8</f>
        <v>0.26645791271929153</v>
      </c>
      <c r="AA8" s="146">
        <f>'custo UrbanizR$'!Z7/'custo UrbanizR$'!$Z$8</f>
        <v>9.1870581046873651E-2</v>
      </c>
      <c r="AB8" s="145">
        <f>'custo UrbanizR$'!AA7/'custo UrbanizR$'!$AA$8</f>
        <v>0.14512697080924883</v>
      </c>
      <c r="AC8" s="144"/>
      <c r="AD8" s="147">
        <f>'custo UrbanizR$'!AC7/'custo UrbanizR$'!$AC$8</f>
        <v>8.6278202929833583E-2</v>
      </c>
      <c r="AE8" s="147">
        <f>'custo UrbanizR$'!AD7/'custo UrbanizR$'!AD$8</f>
        <v>9.9652939863205545E-2</v>
      </c>
      <c r="AF8" s="144"/>
      <c r="AG8" s="143">
        <f>'custo UrbanizR$'!AF7/'custo UrbanizR$'!AF$8</f>
        <v>0.24187145652645201</v>
      </c>
      <c r="AH8" s="143">
        <f>'custo UrbanizR$'!AG7/'custo UrbanizR$'!AG$8</f>
        <v>0.27229011608318787</v>
      </c>
      <c r="AI8" s="143">
        <f>'custo UrbanizR$'!AH7/'custo UrbanizR$'!AH$8</f>
        <v>0.20918571046587872</v>
      </c>
      <c r="AJ8" s="143">
        <f>'custo UrbanizR$'!AI7/'custo UrbanizR$'!AI$8</f>
        <v>0.83512907339812659</v>
      </c>
      <c r="AK8" s="143">
        <f>'custo UrbanizR$'!AJ7/'custo UrbanizR$'!AJ$8</f>
        <v>4.6893427286366172E-3</v>
      </c>
      <c r="AL8" s="148">
        <f>'custo UrbanizR$'!AK7/'custo UrbanizR$'!AK$8</f>
        <v>0.37966561426790241</v>
      </c>
      <c r="AM8" s="143">
        <f>'custo UrbanizR$'!AL7/'custo UrbanizR$'!AL$8</f>
        <v>0.13269354397604699</v>
      </c>
      <c r="AN8" s="149">
        <f>'custo UrbanizR$'!AM7/'custo UrbanizR$'!AM$8</f>
        <v>0</v>
      </c>
      <c r="AO8" s="149">
        <f>'custo UrbanizR$'!AN7/'custo UrbanizR$'!AN$8</f>
        <v>0.69297076905790012</v>
      </c>
      <c r="AP8" s="149">
        <f>'custo UrbanizR$'!AO7/'custo UrbanizR$'!AO$8</f>
        <v>0.13499480789200416</v>
      </c>
      <c r="AQ8" s="149">
        <f>'custo UrbanizR$'!AP7/'custo UrbanizR$'!AP$8</f>
        <v>0.21377809379094287</v>
      </c>
      <c r="AR8" s="149">
        <f>'custo UrbanizR$'!AQ7/'custo UrbanizR$'!AQ$8</f>
        <v>0.18016890623573142</v>
      </c>
      <c r="AS8" s="149">
        <f>'custo UrbanizR$'!AR7/'custo UrbanizR$'!AR$8</f>
        <v>0.14751953138428184</v>
      </c>
      <c r="AT8" s="149">
        <f>'custo UrbanizR$'!AS7/'custo UrbanizR$'!AS$8</f>
        <v>5.9337714540930273E-2</v>
      </c>
      <c r="AU8" s="149">
        <f>'custo UrbanizR$'!AT7/'custo UrbanizR$'!AT$8</f>
        <v>0.15303833216275498</v>
      </c>
      <c r="AV8" s="149" t="e">
        <f>'custo UrbanizR$'!AU7/'custo UrbanizR$'!AU$8</f>
        <v>#DIV/0!</v>
      </c>
      <c r="AW8" s="149" t="e">
        <f>'custo UrbanizR$'!AV7/'custo UrbanizR$'!AV$8</f>
        <v>#DIV/0!</v>
      </c>
      <c r="AX8" s="149" t="e">
        <f>'custo UrbanizR$'!AW7/'custo UrbanizR$'!AW$8</f>
        <v>#DIV/0!</v>
      </c>
      <c r="AY8" s="149" t="e">
        <f>'custo UrbanizR$'!AX7/'custo UrbanizR$'!AX$8</f>
        <v>#DIV/0!</v>
      </c>
      <c r="AZ8" s="149" t="e">
        <f>'custo UrbanizR$'!AY7/'custo UrbanizR$'!AY$8</f>
        <v>#DIV/0!</v>
      </c>
    </row>
    <row r="9" spans="1:52" ht="26.25" customHeight="1">
      <c r="A9" s="151" t="s">
        <v>29</v>
      </c>
      <c r="B9" s="152"/>
      <c r="C9" s="153"/>
      <c r="D9" s="154" t="e">
        <f t="shared" ref="D9:K9" si="0">SUM(D5:D8)</f>
        <v>#REF!</v>
      </c>
      <c r="E9" s="154" t="e">
        <f t="shared" si="0"/>
        <v>#REF!</v>
      </c>
      <c r="F9" s="154" t="e">
        <f t="shared" si="0"/>
        <v>#REF!</v>
      </c>
      <c r="G9" s="154" t="e">
        <f t="shared" si="0"/>
        <v>#REF!</v>
      </c>
      <c r="H9" s="154" t="e">
        <f t="shared" si="0"/>
        <v>#REF!</v>
      </c>
      <c r="I9" s="154" t="e">
        <f t="shared" si="0"/>
        <v>#REF!</v>
      </c>
      <c r="J9" s="154" t="e">
        <f t="shared" si="0"/>
        <v>#REF!</v>
      </c>
      <c r="K9" s="154" t="e">
        <f t="shared" si="0"/>
        <v>#REF!</v>
      </c>
      <c r="L9" s="154"/>
      <c r="M9" s="154" t="e">
        <f t="shared" ref="M9:X9" si="1">SUM(M5:M8)</f>
        <v>#REF!</v>
      </c>
      <c r="N9" s="154" t="e">
        <f t="shared" si="1"/>
        <v>#REF!</v>
      </c>
      <c r="O9" s="154" t="e">
        <f t="shared" si="1"/>
        <v>#REF!</v>
      </c>
      <c r="P9" s="154" t="e">
        <f t="shared" si="1"/>
        <v>#REF!</v>
      </c>
      <c r="Q9" s="154" t="e">
        <f t="shared" si="1"/>
        <v>#REF!</v>
      </c>
      <c r="R9" s="154" t="e">
        <f t="shared" si="1"/>
        <v>#REF!</v>
      </c>
      <c r="S9" s="154" t="e">
        <f t="shared" si="1"/>
        <v>#REF!</v>
      </c>
      <c r="T9" s="154" t="e">
        <f t="shared" si="1"/>
        <v>#REF!</v>
      </c>
      <c r="U9" s="154" t="e">
        <f t="shared" si="1"/>
        <v>#REF!</v>
      </c>
      <c r="V9" s="154" t="e">
        <f t="shared" si="1"/>
        <v>#REF!</v>
      </c>
      <c r="W9" s="154" t="e">
        <f t="shared" si="1"/>
        <v>#REF!</v>
      </c>
      <c r="X9" s="154" t="e">
        <f t="shared" si="1"/>
        <v>#REF!</v>
      </c>
      <c r="Y9" s="155"/>
      <c r="Z9" s="145" t="e">
        <f t="shared" ref="Z9:AB9" si="2">SUM(Z5:Z8)</f>
        <v>#REF!</v>
      </c>
      <c r="AA9" s="146" t="e">
        <f t="shared" si="2"/>
        <v>#REF!</v>
      </c>
      <c r="AB9" s="145" t="e">
        <f t="shared" si="2"/>
        <v>#REF!</v>
      </c>
      <c r="AC9" s="155"/>
      <c r="AD9" s="156" t="e">
        <f t="shared" ref="AD9:AE9" si="3">SUM(AD5:AD8)</f>
        <v>#REF!</v>
      </c>
      <c r="AE9" s="156" t="e">
        <f t="shared" si="3"/>
        <v>#REF!</v>
      </c>
      <c r="AF9" s="155"/>
      <c r="AG9" s="154" t="e">
        <f t="shared" ref="AG9:AZ9" si="4">SUM(AG5:AG8)</f>
        <v>#REF!</v>
      </c>
      <c r="AH9" s="154" t="e">
        <f t="shared" si="4"/>
        <v>#REF!</v>
      </c>
      <c r="AI9" s="154" t="e">
        <f t="shared" si="4"/>
        <v>#REF!</v>
      </c>
      <c r="AJ9" s="154" t="e">
        <f t="shared" si="4"/>
        <v>#REF!</v>
      </c>
      <c r="AK9" s="154" t="e">
        <f t="shared" si="4"/>
        <v>#REF!</v>
      </c>
      <c r="AL9" s="154" t="e">
        <f t="shared" si="4"/>
        <v>#REF!</v>
      </c>
      <c r="AM9" s="154" t="e">
        <f t="shared" si="4"/>
        <v>#REF!</v>
      </c>
      <c r="AN9" s="154" t="e">
        <f t="shared" si="4"/>
        <v>#REF!</v>
      </c>
      <c r="AO9" s="154" t="e">
        <f t="shared" si="4"/>
        <v>#REF!</v>
      </c>
      <c r="AP9" s="154" t="e">
        <f t="shared" si="4"/>
        <v>#REF!</v>
      </c>
      <c r="AQ9" s="154" t="e">
        <f t="shared" si="4"/>
        <v>#REF!</v>
      </c>
      <c r="AR9" s="154" t="e">
        <f t="shared" si="4"/>
        <v>#REF!</v>
      </c>
      <c r="AS9" s="154" t="e">
        <f t="shared" si="4"/>
        <v>#REF!</v>
      </c>
      <c r="AT9" s="154" t="e">
        <f t="shared" si="4"/>
        <v>#REF!</v>
      </c>
      <c r="AU9" s="154" t="e">
        <f t="shared" si="4"/>
        <v>#REF!</v>
      </c>
      <c r="AV9" s="154" t="e">
        <f t="shared" si="4"/>
        <v>#REF!</v>
      </c>
      <c r="AW9" s="154" t="e">
        <f t="shared" si="4"/>
        <v>#REF!</v>
      </c>
      <c r="AX9" s="154" t="e">
        <f t="shared" si="4"/>
        <v>#REF!</v>
      </c>
      <c r="AY9" s="154" t="e">
        <f t="shared" si="4"/>
        <v>#REF!</v>
      </c>
      <c r="AZ9" s="154" t="e">
        <f t="shared" si="4"/>
        <v>#REF!</v>
      </c>
    </row>
    <row r="10" spans="1:52" ht="12.75" customHeight="1">
      <c r="A10" s="119"/>
      <c r="B10" s="157"/>
      <c r="C10" s="157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 t="s">
        <v>91</v>
      </c>
      <c r="X10" s="120"/>
      <c r="Y10" s="120"/>
      <c r="Z10" s="158"/>
      <c r="AA10" s="159"/>
      <c r="AB10" s="158"/>
      <c r="AC10" s="120"/>
      <c r="AD10" s="160"/>
      <c r="AE10" s="160"/>
      <c r="AF10" s="120"/>
      <c r="AG10" s="120"/>
      <c r="AH10" s="120"/>
      <c r="AI10" s="120"/>
      <c r="AJ10" s="16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 t="s">
        <v>91</v>
      </c>
      <c r="AY10" s="120"/>
      <c r="AZ10" s="120" t="s">
        <v>91</v>
      </c>
    </row>
    <row r="11" spans="1:52" ht="13.5" customHeight="1">
      <c r="A11" s="161" t="s">
        <v>67</v>
      </c>
      <c r="B11" s="162" t="s">
        <v>68</v>
      </c>
      <c r="C11" s="162"/>
      <c r="D11" s="163">
        <f>'custo UrbanizR$'!D11</f>
        <v>2429.0996177678753</v>
      </c>
      <c r="E11" s="163">
        <f>'custo UrbanizR$'!E11</f>
        <v>1221.3163552886599</v>
      </c>
      <c r="F11" s="163">
        <f>'custo UrbanizR$'!F11</f>
        <v>1663.5302386281944</v>
      </c>
      <c r="G11" s="163">
        <f>'custo UrbanizR$'!G11</f>
        <v>367.33133247346154</v>
      </c>
      <c r="H11" s="163">
        <f>'custo UrbanizR$'!H11</f>
        <v>143.45099292273753</v>
      </c>
      <c r="I11" s="163" t="e">
        <f>'custo UrbanizR$'!I11</f>
        <v>#DIV/0!</v>
      </c>
      <c r="J11" s="163">
        <f>'custo UrbanizR$'!J11</f>
        <v>580.94008749662567</v>
      </c>
      <c r="K11" s="163">
        <f>'custo UrbanizR$'!K11</f>
        <v>943.04869124991114</v>
      </c>
      <c r="L11" s="163"/>
      <c r="M11" s="163" t="e">
        <f>'custo UrbanizR$'!#REF!</f>
        <v>#REF!</v>
      </c>
      <c r="N11" s="163">
        <f>'custo UrbanizR$'!M11</f>
        <v>2859.0883851837934</v>
      </c>
      <c r="O11" s="163">
        <f>'custo UrbanizR$'!N11</f>
        <v>889.28602626384861</v>
      </c>
      <c r="P11" s="163" t="e">
        <f>+Entrada!#REF!</f>
        <v>#REF!</v>
      </c>
      <c r="Q11" s="163" t="e">
        <f>+Entrada!#REF!</f>
        <v>#REF!</v>
      </c>
      <c r="R11" s="163">
        <f>+Entrada!P17</f>
        <v>1200</v>
      </c>
      <c r="S11" s="163">
        <f>+Entrada!Q17</f>
        <v>448</v>
      </c>
      <c r="T11" s="163">
        <f>+Entrada!R17</f>
        <v>2400</v>
      </c>
      <c r="U11" s="163">
        <f>+Entrada!S17</f>
        <v>0</v>
      </c>
      <c r="V11" s="163">
        <f>+Entrada!V17</f>
        <v>0</v>
      </c>
      <c r="W11" s="163">
        <f>+Entrada!W17</f>
        <v>68</v>
      </c>
      <c r="X11" s="163">
        <f>+Entrada!X17</f>
        <v>216</v>
      </c>
      <c r="Y11" s="164"/>
      <c r="Z11" s="165">
        <f>'custo UrbanizR$'!Y10</f>
        <v>1006.8857142857142</v>
      </c>
      <c r="AA11" s="166">
        <f>'custo UrbanizR$'!Z10</f>
        <v>142</v>
      </c>
      <c r="AB11" s="165">
        <f>'custo UrbanizR$'!AA10</f>
        <v>457.33333333333331</v>
      </c>
      <c r="AC11" s="164"/>
      <c r="AD11" s="163">
        <f>'custo UrbanizR$'!AC11</f>
        <v>20446.203004305004</v>
      </c>
      <c r="AE11" s="163">
        <f>'custo UrbanizR$'!AD11</f>
        <v>4625.4405881269449</v>
      </c>
      <c r="AF11" s="164"/>
      <c r="AG11" s="163">
        <f>'custo UrbanizR$'!AF11</f>
        <v>2241.8827115524668</v>
      </c>
      <c r="AH11" s="163">
        <f>'custo UrbanizR$'!AG11</f>
        <v>1013.3291794943572</v>
      </c>
      <c r="AI11" s="163">
        <f>'custo UrbanizR$'!AH11</f>
        <v>2246.7508963109658</v>
      </c>
      <c r="AJ11" s="163">
        <f>'custo UrbanizR$'!AI11</f>
        <v>1976.1051853062004</v>
      </c>
      <c r="AK11" s="163">
        <f>'custo UrbanizR$'!AJ11</f>
        <v>4893.148152025421</v>
      </c>
      <c r="AL11" s="163">
        <f>'custo UrbanizR$'!AK11</f>
        <v>620.76007870378123</v>
      </c>
      <c r="AM11" s="163">
        <f>'custo UrbanizR$'!AL11</f>
        <v>4531.0829251436671</v>
      </c>
      <c r="AN11" s="163">
        <f>'custo UrbanizR$'!AM11</f>
        <v>4015.7449383763637</v>
      </c>
      <c r="AO11" s="163">
        <f>'custo UrbanizR$'!AN11</f>
        <v>3192.7804695282002</v>
      </c>
      <c r="AP11" s="163">
        <f>'custo UrbanizR$'!AO11</f>
        <v>1283.2213011228002</v>
      </c>
      <c r="AQ11" s="163">
        <f>'custo UrbanizR$'!AP11</f>
        <v>2388.6729766969643</v>
      </c>
      <c r="AR11" s="163">
        <f>'custo UrbanizR$'!AQ11</f>
        <v>2433.1990185727841</v>
      </c>
      <c r="AS11" s="163">
        <f>'custo UrbanizR$'!AR11</f>
        <v>5745.5121257642741</v>
      </c>
      <c r="AT11" s="163">
        <f>'custo UrbanizR$'!AS11</f>
        <v>1489.7345693599686</v>
      </c>
      <c r="AU11" s="163">
        <f>'custo UrbanizR$'!AT11</f>
        <v>1131.6949257526103</v>
      </c>
      <c r="AV11" s="163" t="e">
        <f>'custo UrbanizR$'!AU11</f>
        <v>#DIV/0!</v>
      </c>
      <c r="AW11" s="163" t="e">
        <f>'custo UrbanizR$'!AV11</f>
        <v>#DIV/0!</v>
      </c>
      <c r="AX11" s="163" t="e">
        <f>'custo UrbanizR$'!AW11</f>
        <v>#DIV/0!</v>
      </c>
      <c r="AY11" s="163" t="e">
        <f>'custo UrbanizR$'!AX11</f>
        <v>#DIV/0!</v>
      </c>
      <c r="AZ11" s="163" t="e">
        <f>'custo UrbanizR$'!AY11</f>
        <v>#DIV/0!</v>
      </c>
    </row>
    <row r="12" spans="1:52" ht="11.25" customHeight="1">
      <c r="A12" s="167"/>
      <c r="B12" s="167"/>
      <c r="C12" s="167"/>
      <c r="D12" s="168"/>
      <c r="E12" s="168"/>
      <c r="F12" s="169" t="s">
        <v>92</v>
      </c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70"/>
      <c r="Z12" s="168"/>
      <c r="AA12" s="167"/>
      <c r="AB12" s="168"/>
      <c r="AC12" s="170"/>
      <c r="AD12" s="168"/>
      <c r="AE12" s="168"/>
      <c r="AF12" s="170"/>
      <c r="AG12" s="168"/>
      <c r="AH12" s="169"/>
      <c r="AI12" s="168"/>
      <c r="AJ12" s="168"/>
      <c r="AK12" s="167"/>
      <c r="AL12" s="167"/>
      <c r="AM12" s="167"/>
      <c r="AN12" s="167"/>
      <c r="AO12" s="167"/>
      <c r="AP12" s="167"/>
      <c r="AQ12" s="167"/>
      <c r="AR12" s="167"/>
      <c r="AS12" s="168"/>
      <c r="AT12" s="167"/>
      <c r="AU12" s="167"/>
      <c r="AV12" s="167"/>
      <c r="AW12" s="167"/>
      <c r="AX12" s="167"/>
      <c r="AY12" s="167"/>
      <c r="AZ12" s="168" t="s">
        <v>93</v>
      </c>
    </row>
    <row r="13" spans="1:52" ht="36" customHeight="1">
      <c r="A13" s="2"/>
      <c r="B13" s="2"/>
      <c r="C13" s="2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9"/>
      <c r="Z13" s="37"/>
      <c r="AA13" s="37"/>
      <c r="AB13" s="37"/>
      <c r="AC13" s="39"/>
      <c r="AD13" s="37"/>
      <c r="AE13" s="37"/>
      <c r="AF13" s="39"/>
      <c r="AG13" s="37"/>
      <c r="AH13" s="37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2.75" customHeight="1">
      <c r="A14" s="2"/>
      <c r="B14" s="2"/>
      <c r="C14" s="2"/>
      <c r="D14" s="43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130"/>
      <c r="Z14" s="2"/>
      <c r="AA14" s="2"/>
      <c r="AB14" s="2"/>
      <c r="AC14" s="130"/>
      <c r="AD14" s="37"/>
      <c r="AE14" s="2"/>
      <c r="AF14" s="130"/>
      <c r="AG14" s="37"/>
      <c r="AH14" s="37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2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30"/>
      <c r="Z15" s="2"/>
      <c r="AA15" s="2"/>
      <c r="AB15" s="2"/>
      <c r="AC15" s="130"/>
      <c r="AD15" s="2"/>
      <c r="AE15" s="2"/>
      <c r="AF15" s="130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2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30"/>
      <c r="Z16" s="2"/>
      <c r="AA16" s="2"/>
      <c r="AB16" s="2"/>
      <c r="AC16" s="130"/>
      <c r="AD16" s="2"/>
      <c r="AE16" s="2"/>
      <c r="AF16" s="130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2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30"/>
      <c r="Z17" s="2"/>
      <c r="AA17" s="2"/>
      <c r="AB17" s="2"/>
      <c r="AC17" s="130"/>
      <c r="AD17" s="2"/>
      <c r="AE17" s="2"/>
      <c r="AF17" s="130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2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30"/>
      <c r="Z18" s="2"/>
      <c r="AA18" s="2"/>
      <c r="AB18" s="2"/>
      <c r="AC18" s="130"/>
      <c r="AD18" s="2"/>
      <c r="AE18" s="2"/>
      <c r="AF18" s="130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2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30"/>
      <c r="Z19" s="2"/>
      <c r="AA19" s="2"/>
      <c r="AB19" s="171"/>
      <c r="AC19" s="130"/>
      <c r="AD19" s="2"/>
      <c r="AE19" s="2"/>
      <c r="AF19" s="130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2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30"/>
      <c r="Z20" s="2"/>
      <c r="AA20" s="2"/>
      <c r="AB20" s="2"/>
      <c r="AC20" s="130"/>
      <c r="AD20" s="2"/>
      <c r="AE20" s="2"/>
      <c r="AF20" s="13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2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30"/>
      <c r="Z21" s="2"/>
      <c r="AA21" s="2"/>
      <c r="AB21" s="2"/>
      <c r="AC21" s="130"/>
      <c r="AD21" s="2"/>
      <c r="AE21" s="2"/>
      <c r="AF21" s="130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30"/>
      <c r="Z22" s="171"/>
      <c r="AA22" s="171"/>
      <c r="AB22" s="2"/>
      <c r="AC22" s="130"/>
      <c r="AD22" s="2"/>
      <c r="AE22" s="2"/>
      <c r="AF22" s="130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30"/>
      <c r="Z23" s="2"/>
      <c r="AA23" s="2"/>
      <c r="AB23" s="2"/>
      <c r="AC23" s="130"/>
      <c r="AD23" s="2"/>
      <c r="AE23" s="2"/>
      <c r="AF23" s="130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2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52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52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52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1:5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2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52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1:52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2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1:5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</row>
    <row r="52" spans="1: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</row>
    <row r="53" spans="1:5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</row>
    <row r="54" spans="1:5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</row>
    <row r="55" spans="1:5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</row>
    <row r="56" spans="1:5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</row>
    <row r="57" spans="1:5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</row>
    <row r="58" spans="1:5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</row>
    <row r="59" spans="1:5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</row>
    <row r="60" spans="1:5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</row>
    <row r="61" spans="1:5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</row>
    <row r="62" spans="1:5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</row>
    <row r="63" spans="1:5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</row>
    <row r="64" spans="1:5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</row>
    <row r="65" spans="1:5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</row>
    <row r="66" spans="1:5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</row>
    <row r="67" spans="1:5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spans="1:5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</row>
    <row r="69" spans="1:5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</row>
    <row r="70" spans="1:5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</row>
    <row r="71" spans="1:5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</row>
    <row r="72" spans="1:5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</row>
    <row r="73" spans="1:52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</row>
    <row r="74" spans="1:52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</row>
    <row r="75" spans="1:52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</row>
    <row r="76" spans="1:52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</row>
    <row r="77" spans="1:52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spans="1:52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spans="1:52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1:52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1:52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1:5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1:52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spans="1:52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1:52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spans="1:52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1:52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  <row r="88" spans="1:52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</row>
    <row r="89" spans="1:52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</row>
    <row r="90" spans="1:52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</row>
    <row r="91" spans="1:52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</row>
    <row r="92" spans="1:5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spans="1:52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spans="1:52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spans="1:52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spans="1:52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1:52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1:52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1:52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1:52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1:52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1:5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1:52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</row>
    <row r="104" spans="1:52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</row>
    <row r="105" spans="1:52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</row>
    <row r="106" spans="1:52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</row>
    <row r="107" spans="1:52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</row>
    <row r="108" spans="1:52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</row>
    <row r="109" spans="1:52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</row>
    <row r="110" spans="1:52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</row>
    <row r="111" spans="1:52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</row>
    <row r="112" spans="1:5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</row>
    <row r="113" spans="1:52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</row>
    <row r="114" spans="1:52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</row>
    <row r="115" spans="1:52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</row>
    <row r="116" spans="1:52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</row>
    <row r="117" spans="1:52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</row>
    <row r="118" spans="1:52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</row>
    <row r="119" spans="1:52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</row>
    <row r="120" spans="1:52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</row>
    <row r="121" spans="1:52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</row>
    <row r="122" spans="1:5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</row>
    <row r="123" spans="1:52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</row>
    <row r="124" spans="1:52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</row>
    <row r="125" spans="1:52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</row>
    <row r="126" spans="1:52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</row>
    <row r="127" spans="1:52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</row>
    <row r="128" spans="1:52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</row>
    <row r="129" spans="1:52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</row>
    <row r="130" spans="1:52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</row>
    <row r="131" spans="1:52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</row>
    <row r="132" spans="1:5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</row>
    <row r="133" spans="1:52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</row>
    <row r="134" spans="1:52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</row>
    <row r="135" spans="1:52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</row>
    <row r="136" spans="1:52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</row>
    <row r="137" spans="1:52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</row>
    <row r="138" spans="1:52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</row>
    <row r="139" spans="1:52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</row>
    <row r="140" spans="1:52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</row>
    <row r="141" spans="1:52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</row>
    <row r="142" spans="1:5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</row>
    <row r="143" spans="1:52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</row>
    <row r="144" spans="1:52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</row>
    <row r="145" spans="1:52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</row>
    <row r="146" spans="1:52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</row>
    <row r="147" spans="1:52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</row>
    <row r="148" spans="1:52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</row>
    <row r="149" spans="1:52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</row>
    <row r="150" spans="1:52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</row>
    <row r="151" spans="1:52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</row>
    <row r="152" spans="1: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</row>
    <row r="153" spans="1:52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</row>
    <row r="154" spans="1:52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</row>
    <row r="155" spans="1:52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</row>
    <row r="156" spans="1:52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</row>
    <row r="157" spans="1:52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</row>
    <row r="158" spans="1:52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</row>
    <row r="159" spans="1:52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</row>
    <row r="160" spans="1:52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</row>
    <row r="161" spans="1:52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</row>
    <row r="162" spans="1:5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</row>
    <row r="163" spans="1:52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</row>
    <row r="164" spans="1:52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</row>
    <row r="165" spans="1:52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</row>
    <row r="166" spans="1:52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</row>
    <row r="167" spans="1:52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</row>
    <row r="168" spans="1:52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</row>
    <row r="169" spans="1:52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</row>
    <row r="170" spans="1:52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</row>
    <row r="171" spans="1:52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</row>
    <row r="172" spans="1:5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</row>
    <row r="173" spans="1:52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</row>
    <row r="174" spans="1:52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</row>
    <row r="175" spans="1:52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</row>
    <row r="176" spans="1:52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</row>
    <row r="177" spans="1:52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</row>
    <row r="178" spans="1:52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</row>
    <row r="179" spans="1:52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</row>
    <row r="180" spans="1:52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</row>
    <row r="181" spans="1:52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</row>
    <row r="182" spans="1:5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</row>
    <row r="183" spans="1:52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</row>
    <row r="184" spans="1:52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</row>
    <row r="185" spans="1:52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</row>
    <row r="186" spans="1:52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</row>
    <row r="187" spans="1:52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</row>
    <row r="188" spans="1:52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</row>
    <row r="189" spans="1:52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</row>
    <row r="190" spans="1:52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</row>
    <row r="191" spans="1:52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</row>
    <row r="192" spans="1:5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</row>
    <row r="193" spans="1:52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</row>
    <row r="194" spans="1:52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</row>
    <row r="195" spans="1:52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</row>
    <row r="196" spans="1:52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</row>
    <row r="197" spans="1:52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</row>
    <row r="198" spans="1:52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</row>
    <row r="199" spans="1:52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</row>
    <row r="200" spans="1:52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</row>
    <row r="201" spans="1:52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</row>
    <row r="202" spans="1:5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</row>
    <row r="203" spans="1:52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</row>
    <row r="204" spans="1:52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</row>
    <row r="205" spans="1:52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</row>
    <row r="206" spans="1:52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</row>
    <row r="207" spans="1:52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</row>
    <row r="208" spans="1:52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</row>
    <row r="209" spans="1:52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</row>
    <row r="210" spans="1:52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</row>
    <row r="211" spans="1:52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</row>
    <row r="212" spans="1:5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</row>
    <row r="213" spans="1:52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</row>
    <row r="214" spans="1:52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</row>
    <row r="215" spans="1:52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</row>
    <row r="216" spans="1:52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</row>
    <row r="217" spans="1:52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</row>
    <row r="218" spans="1:52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</row>
    <row r="219" spans="1:52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</row>
    <row r="220" spans="1:52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</row>
    <row r="221" spans="1:52" ht="15.75" customHeight="1"/>
    <row r="222" spans="1:52" ht="15.75" customHeight="1"/>
    <row r="223" spans="1:52" ht="15.75" customHeight="1"/>
    <row r="224" spans="1:5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G3:AZ3"/>
    <mergeCell ref="A3:A4"/>
    <mergeCell ref="B3:B4"/>
    <mergeCell ref="C3:C4"/>
    <mergeCell ref="D3:W3"/>
    <mergeCell ref="AD3:AE3"/>
  </mergeCells>
  <pageMargins left="0.511811024" right="0.511811024" top="0.78740157499999996" bottom="0.78740157499999996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36C09"/>
  </sheetPr>
  <dimension ref="A1:BC100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A5" sqref="BA5"/>
    </sheetView>
  </sheetViews>
  <sheetFormatPr defaultColWidth="12.5703125" defaultRowHeight="15" customHeight="1"/>
  <cols>
    <col min="1" max="1" width="33" customWidth="1"/>
    <col min="2" max="2" width="13.7109375" customWidth="1"/>
    <col min="3" max="3" width="6.7109375" customWidth="1"/>
    <col min="4" max="5" width="12" customWidth="1"/>
    <col min="6" max="6" width="12" style="616" customWidth="1"/>
    <col min="7" max="8" width="12" customWidth="1"/>
    <col min="9" max="9" width="2.5703125" customWidth="1"/>
    <col min="10" max="18" width="12" customWidth="1"/>
    <col min="19" max="19" width="5.42578125" customWidth="1"/>
    <col min="20" max="20" width="14" hidden="1" customWidth="1"/>
    <col min="21" max="22" width="12.42578125" hidden="1" customWidth="1"/>
    <col min="23" max="23" width="11.28515625" hidden="1" customWidth="1"/>
    <col min="24" max="24" width="1.28515625" customWidth="1"/>
    <col min="25" max="25" width="14" customWidth="1"/>
    <col min="26" max="27" width="12.28515625" customWidth="1"/>
    <col min="28" max="28" width="1.28515625" customWidth="1"/>
    <col min="29" max="30" width="12.28515625" customWidth="1"/>
    <col min="31" max="31" width="1.28515625" customWidth="1"/>
    <col min="32" max="32" width="11.42578125" customWidth="1"/>
    <col min="33" max="33" width="11.42578125" style="616" customWidth="1"/>
    <col min="34" max="36" width="11.42578125" customWidth="1"/>
    <col min="37" max="37" width="11.42578125" style="616" customWidth="1"/>
    <col min="38" max="39" width="11.42578125" customWidth="1"/>
    <col min="40" max="40" width="5" customWidth="1"/>
    <col min="41" max="42" width="11.42578125" customWidth="1"/>
    <col min="43" max="43" width="4.5703125" customWidth="1"/>
    <col min="44" max="44" width="5.28515625" customWidth="1"/>
    <col min="45" max="46" width="11.7109375" customWidth="1"/>
    <col min="47" max="51" width="11.7109375" hidden="1" customWidth="1"/>
    <col min="52" max="52" width="3.28515625" customWidth="1"/>
    <col min="53" max="53" width="14" customWidth="1"/>
    <col min="54" max="55" width="12.28515625" customWidth="1"/>
  </cols>
  <sheetData>
    <row r="1" spans="1:55" ht="12.75" customHeight="1">
      <c r="A1" s="91" t="s">
        <v>94</v>
      </c>
      <c r="B1" s="172"/>
      <c r="C1" s="91"/>
      <c r="D1" s="91"/>
      <c r="E1" s="91"/>
      <c r="F1" s="620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620"/>
      <c r="AH1" s="91"/>
      <c r="AI1" s="91"/>
      <c r="AJ1" s="91"/>
      <c r="AK1" s="620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87"/>
      <c r="BA1" s="91"/>
      <c r="BB1" s="91"/>
      <c r="BC1" s="91"/>
    </row>
    <row r="2" spans="1:55" ht="12.75" customHeight="1">
      <c r="A2" s="91" t="s">
        <v>95</v>
      </c>
      <c r="B2" s="172"/>
      <c r="C2" s="91"/>
      <c r="D2" s="91" t="s">
        <v>75</v>
      </c>
      <c r="E2" s="91"/>
      <c r="F2" s="62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620"/>
      <c r="AH2" s="91"/>
      <c r="AI2" s="91"/>
      <c r="AJ2" s="91"/>
      <c r="AK2" s="620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87"/>
      <c r="BA2" s="91"/>
      <c r="BB2" s="91"/>
      <c r="BC2" s="91"/>
    </row>
    <row r="3" spans="1:55" ht="12.75" customHeight="1">
      <c r="A3" s="716" t="s">
        <v>8</v>
      </c>
      <c r="B3" s="716" t="s">
        <v>9</v>
      </c>
      <c r="C3" s="716" t="s">
        <v>10</v>
      </c>
      <c r="D3" s="714" t="s">
        <v>52</v>
      </c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  <c r="S3" s="699"/>
      <c r="T3" s="699"/>
      <c r="U3" s="699"/>
      <c r="V3" s="713"/>
      <c r="W3" s="173"/>
      <c r="X3" s="91"/>
      <c r="Y3" s="715" t="s">
        <v>76</v>
      </c>
      <c r="Z3" s="699"/>
      <c r="AA3" s="700"/>
      <c r="AB3" s="91"/>
      <c r="AC3" s="705" t="s">
        <v>31</v>
      </c>
      <c r="AD3" s="700"/>
      <c r="AE3" s="91"/>
      <c r="AF3" s="714" t="s">
        <v>53</v>
      </c>
      <c r="AG3" s="699"/>
      <c r="AH3" s="699"/>
      <c r="AI3" s="699"/>
      <c r="AJ3" s="699"/>
      <c r="AK3" s="699"/>
      <c r="AL3" s="699"/>
      <c r="AM3" s="699"/>
      <c r="AN3" s="699"/>
      <c r="AO3" s="699"/>
      <c r="AP3" s="699"/>
      <c r="AQ3" s="699"/>
      <c r="AR3" s="699"/>
      <c r="AS3" s="699"/>
      <c r="AT3" s="699"/>
      <c r="AU3" s="699"/>
      <c r="AV3" s="699"/>
      <c r="AW3" s="699"/>
      <c r="AX3" s="699"/>
      <c r="AY3" s="700"/>
      <c r="AZ3" s="87"/>
      <c r="BA3" s="715" t="s">
        <v>76</v>
      </c>
      <c r="BB3" s="699"/>
      <c r="BC3" s="700"/>
    </row>
    <row r="4" spans="1:55" ht="12.75" customHeight="1">
      <c r="A4" s="697"/>
      <c r="B4" s="697"/>
      <c r="C4" s="697"/>
      <c r="D4" s="175">
        <v>3</v>
      </c>
      <c r="E4" s="175">
        <v>5</v>
      </c>
      <c r="F4" s="175">
        <v>7</v>
      </c>
      <c r="G4" s="175">
        <v>9</v>
      </c>
      <c r="H4" s="175">
        <v>11</v>
      </c>
      <c r="I4" s="632">
        <v>13</v>
      </c>
      <c r="J4" s="175">
        <v>15</v>
      </c>
      <c r="K4" s="175">
        <v>17</v>
      </c>
      <c r="L4" s="175">
        <v>19</v>
      </c>
      <c r="M4" s="175">
        <v>21</v>
      </c>
      <c r="N4" s="175">
        <v>23</v>
      </c>
      <c r="O4" s="175">
        <v>25</v>
      </c>
      <c r="P4" s="175">
        <v>27</v>
      </c>
      <c r="Q4" s="175">
        <v>29</v>
      </c>
      <c r="R4" s="175">
        <v>31</v>
      </c>
      <c r="S4" s="632">
        <v>33</v>
      </c>
      <c r="T4" s="175">
        <v>35</v>
      </c>
      <c r="U4" s="175">
        <v>37</v>
      </c>
      <c r="V4" s="175">
        <v>39</v>
      </c>
      <c r="W4" s="176">
        <v>41</v>
      </c>
      <c r="X4" s="95"/>
      <c r="Y4" s="177" t="s">
        <v>96</v>
      </c>
      <c r="Z4" s="178" t="s">
        <v>31</v>
      </c>
      <c r="AA4" s="177" t="s">
        <v>97</v>
      </c>
      <c r="AB4" s="95"/>
      <c r="AC4" s="179">
        <v>1</v>
      </c>
      <c r="AD4" s="179">
        <v>2</v>
      </c>
      <c r="AE4" s="95"/>
      <c r="AF4" s="180">
        <v>4</v>
      </c>
      <c r="AG4" s="180">
        <v>6</v>
      </c>
      <c r="AH4" s="180">
        <v>8</v>
      </c>
      <c r="AI4" s="180">
        <v>10</v>
      </c>
      <c r="AJ4" s="180">
        <v>12</v>
      </c>
      <c r="AK4" s="180">
        <v>14</v>
      </c>
      <c r="AL4" s="180">
        <v>16</v>
      </c>
      <c r="AM4" s="180">
        <v>18</v>
      </c>
      <c r="AN4" s="643">
        <v>20</v>
      </c>
      <c r="AO4" s="180">
        <v>22</v>
      </c>
      <c r="AP4" s="180">
        <v>24</v>
      </c>
      <c r="AQ4" s="643">
        <v>26</v>
      </c>
      <c r="AR4" s="643">
        <v>28</v>
      </c>
      <c r="AS4" s="180">
        <v>30</v>
      </c>
      <c r="AT4" s="180">
        <v>32</v>
      </c>
      <c r="AU4" s="180">
        <v>34</v>
      </c>
      <c r="AV4" s="180">
        <v>36</v>
      </c>
      <c r="AW4" s="180">
        <v>38</v>
      </c>
      <c r="AX4" s="180">
        <v>40</v>
      </c>
      <c r="AY4" s="180">
        <v>42</v>
      </c>
      <c r="AZ4" s="181"/>
      <c r="BA4" s="177" t="s">
        <v>96</v>
      </c>
      <c r="BB4" s="178" t="s">
        <v>31</v>
      </c>
      <c r="BC4" s="177" t="s">
        <v>97</v>
      </c>
    </row>
    <row r="5" spans="1:55" ht="12.75" customHeight="1">
      <c r="A5" s="182" t="s">
        <v>98</v>
      </c>
      <c r="B5" s="183"/>
      <c r="C5" s="184"/>
      <c r="D5" s="185">
        <f>'custo UrbanizR$'!D8</f>
        <v>1165967.8165285802</v>
      </c>
      <c r="E5" s="185">
        <f>'custo UrbanizR$'!E8</f>
        <v>616031.96960760001</v>
      </c>
      <c r="F5" s="185">
        <f>'custo UrbanizR$'!F8</f>
        <v>718645.06308738003</v>
      </c>
      <c r="G5" s="185">
        <f>'custo UrbanizR$'!G8</f>
        <v>993263.92300824006</v>
      </c>
      <c r="H5" s="185">
        <f>'custo UrbanizR$'!H8</f>
        <v>459043.1773527601</v>
      </c>
      <c r="I5" s="633">
        <f>'custo UrbanizR$'!I8</f>
        <v>409027.15183200006</v>
      </c>
      <c r="J5" s="185">
        <f>'custo UrbanizR$'!J8</f>
        <v>883028.93299487105</v>
      </c>
      <c r="K5" s="185">
        <f>'custo UrbanizR$'!K8</f>
        <v>528107.26709995023</v>
      </c>
      <c r="L5" s="185">
        <f>'custo UrbanizR$'!L8</f>
        <v>463687.51844141225</v>
      </c>
      <c r="M5" s="185">
        <f>'custo UrbanizR$'!M8</f>
        <v>1372362.4248882208</v>
      </c>
      <c r="N5" s="185">
        <f>'custo UrbanizR$'!N8</f>
        <v>747000.26206163282</v>
      </c>
      <c r="O5" s="185">
        <f>'custo UrbanizR$'!O8</f>
        <v>528076.37830800482</v>
      </c>
      <c r="P5" s="185">
        <f>'custo UrbanizR$'!P8</f>
        <v>1518125.0947231494</v>
      </c>
      <c r="Q5" s="185">
        <f>'custo UrbanizR$'!Q8</f>
        <v>682968.16222361999</v>
      </c>
      <c r="R5" s="185">
        <f>'custo UrbanizR$'!R8</f>
        <v>787510.51974816003</v>
      </c>
      <c r="S5" s="633">
        <f>'custo UrbanizR$'!S8</f>
        <v>737914.81887138612</v>
      </c>
      <c r="T5" s="185">
        <f>'custo UrbanizR$'!T8</f>
        <v>682968.16222361999</v>
      </c>
      <c r="U5" s="185">
        <f>'custo UrbanizR$'!U8</f>
        <v>787510.51974816003</v>
      </c>
      <c r="V5" s="185">
        <f>'custo UrbanizR$'!V8</f>
        <v>737914.81887138612</v>
      </c>
      <c r="W5" s="109">
        <f>'custo UrbanizR$'!W8</f>
        <v>0</v>
      </c>
      <c r="X5" s="104"/>
      <c r="Y5" s="186">
        <f>AVERAGE(D5:H5,J5:R5)</f>
        <v>818844.17929097044</v>
      </c>
      <c r="Z5" s="187">
        <f>AVERAGE(AC5:AD5)</f>
        <v>1194718.4856640801</v>
      </c>
      <c r="AA5" s="186">
        <f>AVERAGE(AF5:AM5,AO5:AP5,AS5:AT5)</f>
        <v>953585.64354305726</v>
      </c>
      <c r="AB5" s="104"/>
      <c r="AC5" s="188">
        <f>'custo UrbanizR$'!AC8</f>
        <v>1390341.8042927403</v>
      </c>
      <c r="AD5" s="188">
        <f>'custo UrbanizR$'!AD8</f>
        <v>999095.16703542008</v>
      </c>
      <c r="AE5" s="104"/>
      <c r="AF5" s="185">
        <f>'custo UrbanizR$'!AF8</f>
        <v>807077.77615888801</v>
      </c>
      <c r="AG5" s="185">
        <f>'custo UrbanizR$'!AG8</f>
        <v>567464.34051683999</v>
      </c>
      <c r="AH5" s="185">
        <f>'custo UrbanizR$'!AH8</f>
        <v>790856.31550145999</v>
      </c>
      <c r="AI5" s="185">
        <f>'custo UrbanizR$'!AI8</f>
        <v>395221.03706124006</v>
      </c>
      <c r="AJ5" s="185">
        <f>'custo UrbanizR$'!AJ8</f>
        <v>1859396.2977696601</v>
      </c>
      <c r="AK5" s="185">
        <f>'custo UrbanizR$'!AK8</f>
        <v>397286.45037042</v>
      </c>
      <c r="AL5" s="185">
        <f>'custo UrbanizR$'!AL8</f>
        <v>1631189.8530517202</v>
      </c>
      <c r="AM5" s="185">
        <f>'custo UrbanizR$'!AM8</f>
        <v>1766927.7728856001</v>
      </c>
      <c r="AN5" s="633">
        <f>'custo UrbanizR$'!AN8</f>
        <v>498073.75324639922</v>
      </c>
      <c r="AO5" s="185">
        <f>'custo UrbanizR$'!AO8</f>
        <v>769932.78067368013</v>
      </c>
      <c r="AP5" s="185">
        <f>'custo UrbanizR$'!AP8</f>
        <v>802594.12017017999</v>
      </c>
      <c r="AQ5" s="633">
        <f>'custo UrbanizR$'!AQ8</f>
        <v>856486.05453762005</v>
      </c>
      <c r="AR5" s="633">
        <f>'custo UrbanizR$'!AR8</f>
        <v>1264012.6676681403</v>
      </c>
      <c r="AS5" s="185">
        <f>'custo UrbanizR$'!AS8</f>
        <v>953430.12439037999</v>
      </c>
      <c r="AT5" s="185">
        <f>'custo UrbanizR$'!AT8</f>
        <v>701650.85396661842</v>
      </c>
      <c r="AU5" s="185">
        <f>'custo UrbanizR$'!AU8</f>
        <v>0</v>
      </c>
      <c r="AV5" s="185">
        <f>'custo UrbanizR$'!AV8</f>
        <v>0</v>
      </c>
      <c r="AW5" s="185">
        <f>'custo UrbanizR$'!AW8</f>
        <v>0</v>
      </c>
      <c r="AX5" s="185">
        <f>'custo UrbanizR$'!AX8</f>
        <v>0</v>
      </c>
      <c r="AY5" s="185">
        <f>'custo UrbanizR$'!AY8</f>
        <v>0</v>
      </c>
      <c r="AZ5" s="181"/>
      <c r="BA5" s="189">
        <f>Y5/$Y$11</f>
        <v>7.8685227632990396E-3</v>
      </c>
      <c r="BB5" s="190">
        <f>Z5/$Z$11</f>
        <v>9.3600439250571002E-2</v>
      </c>
      <c r="BC5" s="189">
        <f>AA5/$AA$11</f>
        <v>2.2172925739874432E-2</v>
      </c>
    </row>
    <row r="6" spans="1:55" ht="12.75" customHeight="1">
      <c r="A6" s="191" t="s">
        <v>99</v>
      </c>
      <c r="B6" s="192" t="s">
        <v>21</v>
      </c>
      <c r="C6" s="193">
        <f>Parâmetros!C19</f>
        <v>1357.9</v>
      </c>
      <c r="D6" s="194"/>
      <c r="E6" s="194"/>
      <c r="F6" s="194"/>
      <c r="G6" s="194"/>
      <c r="H6" s="194"/>
      <c r="I6" s="634"/>
      <c r="J6" s="194"/>
      <c r="K6" s="194"/>
      <c r="L6" s="194"/>
      <c r="M6" s="194"/>
      <c r="N6" s="194"/>
      <c r="O6" s="194"/>
      <c r="P6" s="194"/>
      <c r="Q6" s="194"/>
      <c r="R6" s="194"/>
      <c r="S6" s="634"/>
      <c r="T6" s="194"/>
      <c r="U6" s="194"/>
      <c r="V6" s="194"/>
      <c r="W6" s="195"/>
      <c r="X6" s="108"/>
      <c r="Y6" s="196"/>
      <c r="Z6" s="187">
        <f t="shared" ref="Z6" si="0">AVERAGE(AC6:AD6)</f>
        <v>11569308</v>
      </c>
      <c r="AA6" s="197"/>
      <c r="AB6" s="108"/>
      <c r="AC6" s="198">
        <f t="shared" ref="AC6:AD6" si="1">AC21*$C$6</f>
        <v>5540232</v>
      </c>
      <c r="AD6" s="198">
        <f t="shared" si="1"/>
        <v>17598384</v>
      </c>
      <c r="AE6" s="108"/>
      <c r="AF6" s="194"/>
      <c r="AG6" s="194"/>
      <c r="AH6" s="194"/>
      <c r="AI6" s="194"/>
      <c r="AJ6" s="194"/>
      <c r="AK6" s="194"/>
      <c r="AL6" s="194"/>
      <c r="AM6" s="194"/>
      <c r="AN6" s="634"/>
      <c r="AO6" s="194"/>
      <c r="AP6" s="194"/>
      <c r="AQ6" s="634"/>
      <c r="AR6" s="634"/>
      <c r="AS6" s="194"/>
      <c r="AT6" s="194"/>
      <c r="AU6" s="193"/>
      <c r="AV6" s="193"/>
      <c r="AW6" s="193"/>
      <c r="AX6" s="193"/>
      <c r="AY6" s="193"/>
      <c r="AZ6" s="87"/>
      <c r="BA6" s="196"/>
      <c r="BB6" s="190">
        <f>Z6/$Z$11</f>
        <v>0.90639956074942896</v>
      </c>
      <c r="BC6" s="197"/>
    </row>
    <row r="7" spans="1:55" ht="12.75" customHeight="1">
      <c r="A7" s="199" t="s">
        <v>100</v>
      </c>
      <c r="B7" s="192" t="s">
        <v>21</v>
      </c>
      <c r="C7" s="200">
        <f>Parâmetros!C20</f>
        <v>1532.55</v>
      </c>
      <c r="D7" s="201"/>
      <c r="E7" s="201"/>
      <c r="F7" s="201"/>
      <c r="G7" s="201"/>
      <c r="H7" s="201"/>
      <c r="I7" s="635"/>
      <c r="J7" s="201"/>
      <c r="K7" s="201"/>
      <c r="L7" s="201"/>
      <c r="M7" s="201"/>
      <c r="N7" s="201"/>
      <c r="O7" s="201"/>
      <c r="P7" s="201"/>
      <c r="Q7" s="201"/>
      <c r="R7" s="201"/>
      <c r="S7" s="635"/>
      <c r="T7" s="201"/>
      <c r="U7" s="201"/>
      <c r="V7" s="201"/>
      <c r="W7" s="202"/>
      <c r="X7" s="108"/>
      <c r="Y7" s="203"/>
      <c r="Z7" s="196"/>
      <c r="AA7" s="186">
        <f>AVERAGE(AF7:AM7,AO7:AP7,AS7:AT7)</f>
        <v>42053172</v>
      </c>
      <c r="AB7" s="204"/>
      <c r="AC7" s="194"/>
      <c r="AD7" s="194"/>
      <c r="AE7" s="205"/>
      <c r="AF7" s="185">
        <f t="shared" ref="AF7:AY7" si="2">AF21*$C$7</f>
        <v>33103080</v>
      </c>
      <c r="AG7" s="185">
        <f t="shared" si="2"/>
        <v>51493680</v>
      </c>
      <c r="AH7" s="185">
        <f t="shared" si="2"/>
        <v>32367456</v>
      </c>
      <c r="AI7" s="185">
        <f t="shared" si="2"/>
        <v>18390600</v>
      </c>
      <c r="AJ7" s="185">
        <f t="shared" si="2"/>
        <v>34942140</v>
      </c>
      <c r="AK7" s="185">
        <f t="shared" si="2"/>
        <v>58849920</v>
      </c>
      <c r="AL7" s="185">
        <f t="shared" si="2"/>
        <v>33103080</v>
      </c>
      <c r="AM7" s="185">
        <f t="shared" si="2"/>
        <v>40459320</v>
      </c>
      <c r="AN7" s="633">
        <f t="shared" si="2"/>
        <v>14344668</v>
      </c>
      <c r="AO7" s="185">
        <f t="shared" si="2"/>
        <v>55171800</v>
      </c>
      <c r="AP7" s="185">
        <f t="shared" si="2"/>
        <v>30896208</v>
      </c>
      <c r="AQ7" s="633">
        <f t="shared" si="2"/>
        <v>32367456</v>
      </c>
      <c r="AR7" s="633">
        <f t="shared" si="2"/>
        <v>20229660</v>
      </c>
      <c r="AS7" s="185">
        <f t="shared" si="2"/>
        <v>58849920</v>
      </c>
      <c r="AT7" s="185">
        <f t="shared" ref="AT7" si="3">AT21*$C$7</f>
        <v>57010860</v>
      </c>
      <c r="AU7" s="185">
        <f t="shared" si="2"/>
        <v>0</v>
      </c>
      <c r="AV7" s="185">
        <f t="shared" si="2"/>
        <v>0</v>
      </c>
      <c r="AW7" s="185">
        <f t="shared" si="2"/>
        <v>0</v>
      </c>
      <c r="AX7" s="185">
        <f t="shared" si="2"/>
        <v>0</v>
      </c>
      <c r="AY7" s="185">
        <f t="shared" si="2"/>
        <v>0</v>
      </c>
      <c r="AZ7" s="87"/>
      <c r="BA7" s="203"/>
      <c r="BB7" s="196"/>
      <c r="BC7" s="189">
        <f>AA7/$AA$11</f>
        <v>0.97782707426012561</v>
      </c>
    </row>
    <row r="8" spans="1:55" ht="12.75" customHeight="1">
      <c r="A8" s="206" t="s">
        <v>101</v>
      </c>
      <c r="B8" s="192" t="s">
        <v>21</v>
      </c>
      <c r="C8" s="193">
        <f>Parâmetros!C21</f>
        <v>1628.4876299999999</v>
      </c>
      <c r="D8" s="185">
        <f t="shared" ref="D8:W8" si="4">D21*$C$8</f>
        <v>46900443.743999995</v>
      </c>
      <c r="E8" s="185">
        <f t="shared" si="4"/>
        <v>49284549.634319998</v>
      </c>
      <c r="F8" s="185">
        <f t="shared" si="4"/>
        <v>42210399.369599998</v>
      </c>
      <c r="G8" s="185">
        <f t="shared" si="4"/>
        <v>264205833.09119996</v>
      </c>
      <c r="H8" s="185">
        <f t="shared" si="4"/>
        <v>312669624.95999998</v>
      </c>
      <c r="I8" s="633">
        <f t="shared" si="4"/>
        <v>0</v>
      </c>
      <c r="J8" s="185">
        <f t="shared" si="4"/>
        <v>148518071.85599998</v>
      </c>
      <c r="K8" s="185">
        <f t="shared" si="4"/>
        <v>54717184.367999993</v>
      </c>
      <c r="L8" s="185">
        <f t="shared" si="4"/>
        <v>78167406.239999995</v>
      </c>
      <c r="M8" s="185">
        <f t="shared" si="4"/>
        <v>46900443.743999995</v>
      </c>
      <c r="N8" s="185">
        <f t="shared" si="4"/>
        <v>82075776.551999986</v>
      </c>
      <c r="O8" s="185">
        <f t="shared" si="4"/>
        <v>59407228.742399998</v>
      </c>
      <c r="P8" s="185">
        <f t="shared" ref="P8:S8" si="5">P21*$C$8</f>
        <v>31266962.495999996</v>
      </c>
      <c r="Q8" s="185">
        <f t="shared" si="5"/>
        <v>117251109.35999998</v>
      </c>
      <c r="R8" s="185">
        <f t="shared" si="5"/>
        <v>43773747.494399995</v>
      </c>
      <c r="S8" s="633">
        <f t="shared" si="5"/>
        <v>234502218.71999997</v>
      </c>
      <c r="T8" s="185">
        <f t="shared" si="4"/>
        <v>0</v>
      </c>
      <c r="U8" s="185">
        <f t="shared" si="4"/>
        <v>0</v>
      </c>
      <c r="V8" s="185">
        <f t="shared" si="4"/>
        <v>6644229.5303999996</v>
      </c>
      <c r="W8" s="109">
        <f t="shared" si="4"/>
        <v>21105199.684799999</v>
      </c>
      <c r="X8" s="104"/>
      <c r="Y8" s="186">
        <f>AVERAGE(D8:H8,J8:R8)</f>
        <v>98382055.832279995</v>
      </c>
      <c r="Z8" s="207"/>
      <c r="AA8" s="208"/>
      <c r="AB8" s="108"/>
      <c r="AC8" s="108"/>
      <c r="AD8" s="108"/>
      <c r="AE8" s="108"/>
      <c r="AF8" s="194"/>
      <c r="AG8" s="194"/>
      <c r="AH8" s="194"/>
      <c r="AI8" s="194"/>
      <c r="AJ8" s="194"/>
      <c r="AK8" s="194"/>
      <c r="AL8" s="194"/>
      <c r="AM8" s="194"/>
      <c r="AN8" s="634"/>
      <c r="AO8" s="194"/>
      <c r="AP8" s="194"/>
      <c r="AQ8" s="634"/>
      <c r="AR8" s="634"/>
      <c r="AS8" s="194"/>
      <c r="AT8" s="194"/>
      <c r="AU8" s="185"/>
      <c r="AV8" s="185"/>
      <c r="AW8" s="185"/>
      <c r="AX8" s="185"/>
      <c r="AY8" s="185"/>
      <c r="AZ8" s="87"/>
      <c r="BA8" s="189">
        <f>Y8/$Y$11</f>
        <v>0.94538309655782948</v>
      </c>
      <c r="BB8" s="207"/>
      <c r="BC8" s="208"/>
    </row>
    <row r="9" spans="1:55" ht="12.75" customHeight="1">
      <c r="A9" s="175" t="s">
        <v>102</v>
      </c>
      <c r="B9" s="209" t="s">
        <v>103</v>
      </c>
      <c r="C9" s="193"/>
      <c r="D9" s="185">
        <f>(Entrada!C13*Parâmetros!$C$23)+((Entrada!C14-2)*Entrada!C13*Parâmetros!$C$24)</f>
        <v>2831254.5600000005</v>
      </c>
      <c r="E9" s="185">
        <f>(Entrada!D13*Parâmetros!$C$23)+((Entrada!D14-2)*Entrada!D13*Parâmetros!$C$24)</f>
        <v>3016072.5660000001</v>
      </c>
      <c r="F9" s="185">
        <f>(Entrada!E13*Parâmetros!$C$23)+((Entrada!E14-2)*Entrada!E13*Parâmetros!$C$24)</f>
        <v>2254517.5200000005</v>
      </c>
      <c r="G9" s="185">
        <f>(Entrada!F13*Parâmetros!$C$23)+((Entrada!F14-2)*Entrada!F13*Parâmetros!$C$24)</f>
        <v>11587171.440000001</v>
      </c>
      <c r="H9" s="185">
        <f>(Entrada!G13*Parâmetros!$C$23)+((Entrada!G14-2)*Entrada!G13*Parâmetros!$C$24)</f>
        <v>10695850.560000001</v>
      </c>
      <c r="I9" s="633">
        <f>(Entrada!H13*Parâmetros!$C$23)+((Entrada!H14-2)*Entrada!H13*Parâmetros!$C$24)</f>
        <v>0</v>
      </c>
      <c r="J9" s="185">
        <f>(Entrada!I13*Parâmetros!$C$23)+((Entrada!I14-2)*Entrada!I13*Parâmetros!$C$24)</f>
        <v>8965639.4400000013</v>
      </c>
      <c r="K9" s="185">
        <f>(Entrada!J13*Parâmetros!$C$23)+((Entrada!J14-2)*Entrada!J13*Parâmetros!$C$24)</f>
        <v>3303130.3200000003</v>
      </c>
      <c r="L9" s="185">
        <f>(Entrada!K13*Parâmetros!$C$23)+((Entrada!K14-2)*Entrada!K13*Parâmetros!$C$24)</f>
        <v>3040977.12</v>
      </c>
      <c r="M9" s="185">
        <f>(Entrada!L13*Parâmetros!$C$23)+((Entrada!L14-2)*Entrada!L13*Parâmetros!$C$24)</f>
        <v>3145838.4000000004</v>
      </c>
      <c r="N9" s="185">
        <f>(Entrada!M13*Parâmetros!$C$23)+((Entrada!M14-2)*Entrada!M13*Parâmetros!$C$24)</f>
        <v>4954695.4800000004</v>
      </c>
      <c r="O9" s="185">
        <f>(Entrada!N13*Parâmetros!$C$23)+((Entrada!N14-2)*Entrada!N13*Parâmetros!$C$24)</f>
        <v>3984728.64</v>
      </c>
      <c r="P9" s="185">
        <f>(Entrada!O13*Parâmetros!$C$23)+((Entrada!O14-2)*Entrada!O13*Parâmetros!$C$24)</f>
        <v>1887503.04</v>
      </c>
      <c r="Q9" s="185">
        <f>(Entrada!P13*Parâmetros!$C$23)+((Entrada!P14-2)*Entrada!P13*Parâmetros!$C$24)</f>
        <v>5505217.2000000011</v>
      </c>
      <c r="R9" s="185">
        <f>(Entrada!Q13*Parâmetros!$C$23)+((Entrada!Q14-2)*Entrada!Q13*Parâmetros!$C$24)</f>
        <v>2936115.8400000003</v>
      </c>
      <c r="S9" s="633">
        <f>(Entrada!R13*Parâmetros!$C$23)+((Entrada!R14-2)*Entrada!R13*Parâmetros!$C$24)</f>
        <v>9961821.6000000015</v>
      </c>
      <c r="T9" s="185">
        <f>(Entrada!S13*Parâmetros!$C$23)+((Entrada!S14-2)*Entrada!S13*Parâmetros!$C$24)</f>
        <v>0</v>
      </c>
      <c r="U9" s="185">
        <f>(Entrada!V13*Parâmetros!$C$23)+((Entrada!V14-2)*Entrada!V13*Parâmetros!$C$24)</f>
        <v>0</v>
      </c>
      <c r="V9" s="185">
        <f>(Entrada!W13*Parâmetros!$C$23)+((Entrada!W14-2)*Entrada!W13*Parâmetros!$C$24)</f>
        <v>2005471.9800000002</v>
      </c>
      <c r="W9" s="109" t="e">
        <f>(Entrada!#REF!*Parâmetros!$C$23)+((Entrada!X15-2)*Entrada!X14*Parâmetros!$C$24)</f>
        <v>#REF!</v>
      </c>
      <c r="X9" s="104"/>
      <c r="Y9" s="186">
        <f>AVERAGE(D9:H9,J9:R9)</f>
        <v>4864908.0090000005</v>
      </c>
      <c r="Z9" s="210"/>
      <c r="AA9" s="211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636"/>
      <c r="AO9" s="108"/>
      <c r="AP9" s="108"/>
      <c r="AQ9" s="636"/>
      <c r="AR9" s="636"/>
      <c r="AS9" s="108"/>
      <c r="AT9" s="108"/>
      <c r="AU9" s="185"/>
      <c r="AV9" s="185"/>
      <c r="AW9" s="185"/>
      <c r="AX9" s="185"/>
      <c r="AY9" s="185"/>
      <c r="AZ9" s="87"/>
      <c r="BA9" s="189">
        <f>Y9/$Y$11</f>
        <v>4.6748380678871396E-2</v>
      </c>
      <c r="BB9" s="210"/>
      <c r="BC9" s="211"/>
    </row>
    <row r="10" spans="1:55" ht="12.75" customHeight="1">
      <c r="A10" s="212"/>
      <c r="B10" s="213"/>
      <c r="C10" s="200"/>
      <c r="D10" s="108"/>
      <c r="E10" s="108"/>
      <c r="F10" s="108"/>
      <c r="G10" s="108"/>
      <c r="H10" s="108"/>
      <c r="I10" s="636"/>
      <c r="J10" s="108"/>
      <c r="K10" s="108"/>
      <c r="L10" s="108"/>
      <c r="M10" s="108"/>
      <c r="N10" s="108"/>
      <c r="O10" s="108"/>
      <c r="P10" s="108"/>
      <c r="Q10" s="108"/>
      <c r="R10" s="108"/>
      <c r="S10" s="636"/>
      <c r="T10" s="108"/>
      <c r="U10" s="108"/>
      <c r="V10" s="108"/>
      <c r="W10" s="37"/>
      <c r="X10" s="108"/>
      <c r="Y10" s="115"/>
      <c r="Z10" s="211"/>
      <c r="AA10" s="211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636"/>
      <c r="AO10" s="108"/>
      <c r="AP10" s="108"/>
      <c r="AQ10" s="636"/>
      <c r="AR10" s="636"/>
      <c r="AS10" s="108"/>
      <c r="AT10" s="108"/>
      <c r="AU10" s="108"/>
      <c r="AV10" s="108"/>
      <c r="AW10" s="108"/>
      <c r="AX10" s="108"/>
      <c r="AY10" s="108"/>
      <c r="AZ10" s="87"/>
      <c r="BA10" s="115"/>
      <c r="BB10" s="211"/>
      <c r="BC10" s="211"/>
    </row>
    <row r="11" spans="1:55" ht="16.5" customHeight="1">
      <c r="A11" s="214" t="s">
        <v>104</v>
      </c>
      <c r="B11" s="215"/>
      <c r="C11" s="215"/>
      <c r="D11" s="215">
        <f>SUM(D5:D9)</f>
        <v>50897666.120528579</v>
      </c>
      <c r="E11" s="215">
        <f t="shared" ref="E11:O11" si="6">SUM(E5:E9)</f>
        <v>52916654.169927597</v>
      </c>
      <c r="F11" s="215">
        <f t="shared" si="6"/>
        <v>45183561.952687383</v>
      </c>
      <c r="G11" s="215">
        <f t="shared" si="6"/>
        <v>276786268.4542082</v>
      </c>
      <c r="H11" s="215">
        <f t="shared" si="6"/>
        <v>323824518.69735277</v>
      </c>
      <c r="I11" s="637">
        <f t="shared" si="6"/>
        <v>409027.15183200006</v>
      </c>
      <c r="J11" s="215">
        <f t="shared" si="6"/>
        <v>158366740.22899485</v>
      </c>
      <c r="K11" s="215">
        <f t="shared" si="6"/>
        <v>58548421.95509994</v>
      </c>
      <c r="L11" s="215">
        <f t="shared" si="6"/>
        <v>81672070.878441408</v>
      </c>
      <c r="M11" s="215">
        <f t="shared" si="6"/>
        <v>51418644.568888217</v>
      </c>
      <c r="N11" s="215">
        <f t="shared" si="6"/>
        <v>87777472.294061616</v>
      </c>
      <c r="O11" s="215">
        <f t="shared" si="6"/>
        <v>63920033.760708004</v>
      </c>
      <c r="P11" s="215">
        <f t="shared" ref="P11:S11" si="7">SUM(P5:P9)</f>
        <v>34672590.630723149</v>
      </c>
      <c r="Q11" s="215">
        <f t="shared" si="7"/>
        <v>123439294.72222361</v>
      </c>
      <c r="R11" s="215">
        <f t="shared" si="7"/>
        <v>47497373.854148157</v>
      </c>
      <c r="S11" s="637">
        <f t="shared" si="7"/>
        <v>245201955.13887134</v>
      </c>
      <c r="T11" s="37"/>
      <c r="U11" s="37"/>
      <c r="V11" s="37"/>
      <c r="W11" s="37"/>
      <c r="X11" s="108"/>
      <c r="Y11" s="215">
        <f>AVERAGE(D11:H11,J11:R11)</f>
        <v>104065808.02057098</v>
      </c>
      <c r="Z11" s="215">
        <f>AVERAGE(AC11:AD11)</f>
        <v>12764026.485664081</v>
      </c>
      <c r="AA11" s="215">
        <f>AVERAGE(AF11:AM11,AO11:AP11,AS11:AT11)</f>
        <v>43006757.643543057</v>
      </c>
      <c r="AB11" s="108"/>
      <c r="AC11" s="215">
        <f t="shared" ref="AC11:AD11" si="8">SUM(AC5:AC9)</f>
        <v>6930573.8042927403</v>
      </c>
      <c r="AD11" s="215">
        <f t="shared" si="8"/>
        <v>18597479.167035419</v>
      </c>
      <c r="AE11" s="108"/>
      <c r="AF11" s="215">
        <f t="shared" ref="AF11:AY11" si="9">SUM(AF5:AF9)</f>
        <v>33910157.776158892</v>
      </c>
      <c r="AG11" s="215">
        <f t="shared" si="9"/>
        <v>52061144.340516843</v>
      </c>
      <c r="AH11" s="215">
        <f t="shared" si="9"/>
        <v>33158312.315501459</v>
      </c>
      <c r="AI11" s="215">
        <f t="shared" si="9"/>
        <v>18785821.037061241</v>
      </c>
      <c r="AJ11" s="215">
        <f t="shared" si="9"/>
        <v>36801536.297769658</v>
      </c>
      <c r="AK11" s="215">
        <f t="shared" si="9"/>
        <v>59247206.450370423</v>
      </c>
      <c r="AL11" s="215">
        <f t="shared" si="9"/>
        <v>34734269.853051722</v>
      </c>
      <c r="AM11" s="215">
        <f t="shared" si="9"/>
        <v>42226247.772885598</v>
      </c>
      <c r="AN11" s="637">
        <f t="shared" si="9"/>
        <v>14842741.753246399</v>
      </c>
      <c r="AO11" s="215">
        <f t="shared" si="9"/>
        <v>55941732.780673683</v>
      </c>
      <c r="AP11" s="215">
        <f t="shared" si="9"/>
        <v>31698802.12017018</v>
      </c>
      <c r="AQ11" s="637">
        <f t="shared" si="9"/>
        <v>33223942.05453762</v>
      </c>
      <c r="AR11" s="637">
        <f t="shared" si="9"/>
        <v>21493672.667668141</v>
      </c>
      <c r="AS11" s="215">
        <f t="shared" si="9"/>
        <v>59803350.124390379</v>
      </c>
      <c r="AT11" s="215">
        <f t="shared" ref="AT11" si="10">SUM(AT5:AT9)</f>
        <v>57712510.853966616</v>
      </c>
      <c r="AU11" s="215">
        <f t="shared" si="9"/>
        <v>0</v>
      </c>
      <c r="AV11" s="215">
        <f t="shared" si="9"/>
        <v>0</v>
      </c>
      <c r="AW11" s="215">
        <f t="shared" si="9"/>
        <v>0</v>
      </c>
      <c r="AX11" s="215">
        <f t="shared" si="9"/>
        <v>0</v>
      </c>
      <c r="AY11" s="215">
        <f t="shared" si="9"/>
        <v>0</v>
      </c>
      <c r="AZ11" s="87"/>
      <c r="BA11" s="216">
        <f>Y11/$Y$11</f>
        <v>1</v>
      </c>
      <c r="BB11" s="216">
        <f>Z11/$Z$11</f>
        <v>1</v>
      </c>
      <c r="BC11" s="216">
        <f>AA11/$AA$11</f>
        <v>1</v>
      </c>
    </row>
    <row r="12" spans="1:55" ht="12.75" customHeight="1">
      <c r="A12" s="212"/>
      <c r="B12" s="213"/>
      <c r="C12" s="200"/>
      <c r="D12" s="108"/>
      <c r="E12" s="108"/>
      <c r="F12" s="108"/>
      <c r="G12" s="108"/>
      <c r="H12" s="108"/>
      <c r="I12" s="636"/>
      <c r="J12" s="108"/>
      <c r="K12" s="108"/>
      <c r="L12" s="108"/>
      <c r="M12" s="108"/>
      <c r="N12" s="108"/>
      <c r="O12" s="108"/>
      <c r="P12" s="108"/>
      <c r="Q12" s="108"/>
      <c r="R12" s="108"/>
      <c r="S12" s="636"/>
      <c r="T12" s="37"/>
      <c r="U12" s="37"/>
      <c r="V12" s="37"/>
      <c r="W12" s="37"/>
      <c r="X12" s="108"/>
      <c r="Y12" s="122"/>
      <c r="Z12" s="122"/>
      <c r="AA12" s="122"/>
      <c r="AB12" s="108"/>
      <c r="AC12" s="194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636"/>
      <c r="AO12" s="108"/>
      <c r="AP12" s="108"/>
      <c r="AQ12" s="636"/>
      <c r="AR12" s="636"/>
      <c r="AS12" s="108"/>
      <c r="AT12" s="108"/>
      <c r="AU12" s="37"/>
      <c r="AV12" s="37"/>
      <c r="AW12" s="37"/>
      <c r="AX12" s="37"/>
      <c r="AY12" s="37"/>
      <c r="AZ12" s="87"/>
      <c r="BA12" s="108"/>
      <c r="BB12" s="108"/>
      <c r="BC12" s="108"/>
    </row>
    <row r="13" spans="1:55" ht="12.75" customHeight="1">
      <c r="A13" s="91"/>
      <c r="B13" s="217" t="s">
        <v>105</v>
      </c>
      <c r="C13" s="218" t="s">
        <v>106</v>
      </c>
      <c r="D13" s="108"/>
      <c r="E13" s="108"/>
      <c r="F13" s="108"/>
      <c r="G13" s="108"/>
      <c r="H13" s="108"/>
      <c r="I13" s="636"/>
      <c r="J13" s="108"/>
      <c r="K13" s="108"/>
      <c r="L13" s="108"/>
      <c r="M13" s="108"/>
      <c r="N13" s="108"/>
      <c r="O13" s="108"/>
      <c r="P13" s="108"/>
      <c r="Q13" s="108"/>
      <c r="R13" s="108"/>
      <c r="S13" s="636"/>
      <c r="T13" s="37"/>
      <c r="U13" s="37"/>
      <c r="V13" s="37"/>
      <c r="W13" s="37"/>
      <c r="X13" s="108"/>
      <c r="Y13" s="122"/>
      <c r="Z13" s="122"/>
      <c r="AA13" s="122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636"/>
      <c r="AO13" s="108"/>
      <c r="AP13" s="108"/>
      <c r="AQ13" s="636"/>
      <c r="AR13" s="636"/>
      <c r="AS13" s="108"/>
      <c r="AT13" s="108"/>
      <c r="AU13" s="37"/>
      <c r="AV13" s="37"/>
      <c r="AW13" s="37"/>
      <c r="AX13" s="37"/>
      <c r="AY13" s="37"/>
      <c r="AZ13" s="87"/>
      <c r="BA13" s="87"/>
      <c r="BB13" s="87"/>
      <c r="BC13" s="87"/>
    </row>
    <row r="14" spans="1:55" ht="12.75" customHeight="1">
      <c r="A14" s="175" t="s">
        <v>107</v>
      </c>
      <c r="B14" s="192" t="s">
        <v>108</v>
      </c>
      <c r="C14" s="219">
        <v>0.22</v>
      </c>
      <c r="D14" s="185">
        <f>D11*$C$14</f>
        <v>11197486.546516288</v>
      </c>
      <c r="E14" s="185">
        <f t="shared" ref="E14:O14" si="11">E11*$C$14</f>
        <v>11641663.917384071</v>
      </c>
      <c r="F14" s="185">
        <f t="shared" si="11"/>
        <v>9940383.6295912247</v>
      </c>
      <c r="G14" s="185">
        <f t="shared" si="11"/>
        <v>60892979.059925802</v>
      </c>
      <c r="H14" s="185">
        <f t="shared" si="11"/>
        <v>71241394.113417611</v>
      </c>
      <c r="I14" s="633">
        <f t="shared" si="11"/>
        <v>89985.973403040014</v>
      </c>
      <c r="J14" s="185">
        <f t="shared" si="11"/>
        <v>34840682.850378864</v>
      </c>
      <c r="K14" s="185">
        <f t="shared" si="11"/>
        <v>12880652.830121987</v>
      </c>
      <c r="L14" s="185">
        <f t="shared" si="11"/>
        <v>17967855.593257111</v>
      </c>
      <c r="M14" s="185">
        <f t="shared" si="11"/>
        <v>11312101.805155408</v>
      </c>
      <c r="N14" s="185">
        <f t="shared" si="11"/>
        <v>19311043.904693555</v>
      </c>
      <c r="O14" s="185">
        <f t="shared" si="11"/>
        <v>14062407.427355761</v>
      </c>
      <c r="P14" s="185">
        <f t="shared" ref="P14:S14" si="12">P11*$C$14</f>
        <v>7627969.9387590932</v>
      </c>
      <c r="Q14" s="185">
        <f t="shared" si="12"/>
        <v>27156644.838889193</v>
      </c>
      <c r="R14" s="185">
        <f t="shared" si="12"/>
        <v>10449422.247912595</v>
      </c>
      <c r="S14" s="633">
        <f t="shared" si="12"/>
        <v>53944430.130551696</v>
      </c>
      <c r="T14" s="109" t="e">
        <f t="shared" ref="T14:W14" si="13">#REF!*$C$14</f>
        <v>#REF!</v>
      </c>
      <c r="U14" s="109" t="e">
        <f t="shared" si="13"/>
        <v>#REF!</v>
      </c>
      <c r="V14" s="109" t="e">
        <f t="shared" si="13"/>
        <v>#REF!</v>
      </c>
      <c r="W14" s="109" t="e">
        <f t="shared" si="13"/>
        <v>#REF!</v>
      </c>
      <c r="X14" s="104"/>
      <c r="Y14" s="186">
        <f>AVERAGE(D14:H14,J14:R14)</f>
        <v>22894477.764525604</v>
      </c>
      <c r="Z14" s="220">
        <f t="shared" ref="Z14:Z15" si="14">AVERAGE(AC14:AD14)</f>
        <v>2808085.8268460976</v>
      </c>
      <c r="AA14" s="186">
        <f>AVERAGE(AF14:AM14,AO14:AP14,AS14:AT14)</f>
        <v>9461486.6815794725</v>
      </c>
      <c r="AB14" s="104"/>
      <c r="AC14" s="188">
        <f t="shared" ref="AC14:AD14" si="15">AC11*$C$14</f>
        <v>1524726.2369444028</v>
      </c>
      <c r="AD14" s="188">
        <f t="shared" si="15"/>
        <v>4091445.4167477922</v>
      </c>
      <c r="AE14" s="104"/>
      <c r="AF14" s="185">
        <f t="shared" ref="AF14:AY14" si="16">AF11*$C$14</f>
        <v>7460234.7107549561</v>
      </c>
      <c r="AG14" s="185">
        <f t="shared" si="16"/>
        <v>11453451.754913706</v>
      </c>
      <c r="AH14" s="185">
        <f t="shared" si="16"/>
        <v>7294828.709410321</v>
      </c>
      <c r="AI14" s="185">
        <f t="shared" si="16"/>
        <v>4132880.6281534731</v>
      </c>
      <c r="AJ14" s="185">
        <f t="shared" si="16"/>
        <v>8096337.9855093248</v>
      </c>
      <c r="AK14" s="185">
        <f t="shared" si="16"/>
        <v>13034385.419081492</v>
      </c>
      <c r="AL14" s="185">
        <f t="shared" si="16"/>
        <v>7641539.3676713789</v>
      </c>
      <c r="AM14" s="185">
        <f t="shared" si="16"/>
        <v>9289774.5100348312</v>
      </c>
      <c r="AN14" s="633">
        <f t="shared" si="16"/>
        <v>3265403.1857142076</v>
      </c>
      <c r="AO14" s="185">
        <f t="shared" si="16"/>
        <v>12307181.211748211</v>
      </c>
      <c r="AP14" s="185">
        <f t="shared" si="16"/>
        <v>6973736.4664374394</v>
      </c>
      <c r="AQ14" s="633">
        <f t="shared" si="16"/>
        <v>7309267.2519982764</v>
      </c>
      <c r="AR14" s="633">
        <f t="shared" si="16"/>
        <v>4728607.9868869912</v>
      </c>
      <c r="AS14" s="185">
        <f t="shared" si="16"/>
        <v>13156737.027365884</v>
      </c>
      <c r="AT14" s="185">
        <f t="shared" ref="AT14" si="17">AT11*$C$14</f>
        <v>12696752.387872655</v>
      </c>
      <c r="AU14" s="109">
        <f t="shared" si="16"/>
        <v>0</v>
      </c>
      <c r="AV14" s="109">
        <f t="shared" si="16"/>
        <v>0</v>
      </c>
      <c r="AW14" s="109">
        <f t="shared" si="16"/>
        <v>0</v>
      </c>
      <c r="AX14" s="109">
        <f t="shared" si="16"/>
        <v>0</v>
      </c>
      <c r="AY14" s="109">
        <f t="shared" si="16"/>
        <v>0</v>
      </c>
      <c r="AZ14" s="87"/>
      <c r="BA14" s="87"/>
      <c r="BB14" s="87"/>
      <c r="BC14" s="87"/>
    </row>
    <row r="15" spans="1:55" ht="12.75" customHeight="1">
      <c r="A15" s="175" t="s">
        <v>109</v>
      </c>
      <c r="B15" s="192" t="s">
        <v>108</v>
      </c>
      <c r="C15" s="219">
        <v>0.04</v>
      </c>
      <c r="D15" s="185">
        <f>D11*$C$15</f>
        <v>2035906.6448211432</v>
      </c>
      <c r="E15" s="185">
        <f t="shared" ref="E15:O15" si="18">E11*$C$15</f>
        <v>2116666.1667971038</v>
      </c>
      <c r="F15" s="185">
        <f t="shared" si="18"/>
        <v>1807342.4781074952</v>
      </c>
      <c r="G15" s="185">
        <f t="shared" si="18"/>
        <v>11071450.738168327</v>
      </c>
      <c r="H15" s="185">
        <f t="shared" si="18"/>
        <v>12952980.74789411</v>
      </c>
      <c r="I15" s="633">
        <f t="shared" si="18"/>
        <v>16361.086073280003</v>
      </c>
      <c r="J15" s="185">
        <f t="shared" si="18"/>
        <v>6334669.6091597937</v>
      </c>
      <c r="K15" s="185">
        <f t="shared" si="18"/>
        <v>2341936.8782039979</v>
      </c>
      <c r="L15" s="185">
        <f t="shared" si="18"/>
        <v>3266882.8351376564</v>
      </c>
      <c r="M15" s="185">
        <f t="shared" si="18"/>
        <v>2056745.7827555288</v>
      </c>
      <c r="N15" s="185">
        <f t="shared" si="18"/>
        <v>3511098.8917624648</v>
      </c>
      <c r="O15" s="185">
        <f t="shared" si="18"/>
        <v>2556801.35042832</v>
      </c>
      <c r="P15" s="185">
        <f t="shared" ref="P15:S15" si="19">P11*$C$15</f>
        <v>1386903.6252289261</v>
      </c>
      <c r="Q15" s="185">
        <f t="shared" si="19"/>
        <v>4937571.7888889443</v>
      </c>
      <c r="R15" s="185">
        <f t="shared" si="19"/>
        <v>1899894.9541659262</v>
      </c>
      <c r="S15" s="633">
        <f t="shared" si="19"/>
        <v>9808078.2055548541</v>
      </c>
      <c r="T15" s="109" t="e">
        <f t="shared" ref="T15:W15" si="20">#REF!*$C$15</f>
        <v>#REF!</v>
      </c>
      <c r="U15" s="109" t="e">
        <f t="shared" si="20"/>
        <v>#REF!</v>
      </c>
      <c r="V15" s="109" t="e">
        <f t="shared" si="20"/>
        <v>#REF!</v>
      </c>
      <c r="W15" s="109" t="e">
        <f t="shared" si="20"/>
        <v>#REF!</v>
      </c>
      <c r="X15" s="104"/>
      <c r="Y15" s="186">
        <f>AVERAGE(D15:H15,J15:R15)</f>
        <v>4162632.3208228387</v>
      </c>
      <c r="Z15" s="220">
        <f t="shared" si="14"/>
        <v>510561.05942656321</v>
      </c>
      <c r="AA15" s="186">
        <f>AVERAGE(AF15:AM15,AO15:AP15,AS15:AT15)</f>
        <v>1720270.305741722</v>
      </c>
      <c r="AB15" s="104"/>
      <c r="AC15" s="188">
        <f t="shared" ref="AC15:AD15" si="21">AC11*$C$15</f>
        <v>277222.95217170962</v>
      </c>
      <c r="AD15" s="188">
        <f t="shared" si="21"/>
        <v>743899.1666814168</v>
      </c>
      <c r="AE15" s="104"/>
      <c r="AF15" s="185">
        <f t="shared" ref="AF15:AY15" si="22">AF11*$C$15</f>
        <v>1356406.3110463556</v>
      </c>
      <c r="AG15" s="185">
        <f t="shared" si="22"/>
        <v>2082445.7736206737</v>
      </c>
      <c r="AH15" s="185">
        <f t="shared" si="22"/>
        <v>1326332.4926200584</v>
      </c>
      <c r="AI15" s="185">
        <f t="shared" si="22"/>
        <v>751432.84148244967</v>
      </c>
      <c r="AJ15" s="185">
        <f t="shared" si="22"/>
        <v>1472061.4519107863</v>
      </c>
      <c r="AK15" s="185">
        <f t="shared" si="22"/>
        <v>2369888.2580148168</v>
      </c>
      <c r="AL15" s="185">
        <f t="shared" si="22"/>
        <v>1389370.7941220689</v>
      </c>
      <c r="AM15" s="185">
        <f t="shared" si="22"/>
        <v>1689049.9109154239</v>
      </c>
      <c r="AN15" s="633">
        <f t="shared" si="22"/>
        <v>593709.67012985598</v>
      </c>
      <c r="AO15" s="185">
        <f t="shared" si="22"/>
        <v>2237669.3112269472</v>
      </c>
      <c r="AP15" s="185">
        <f t="shared" si="22"/>
        <v>1267952.0848068071</v>
      </c>
      <c r="AQ15" s="633">
        <f t="shared" si="22"/>
        <v>1328957.6821815048</v>
      </c>
      <c r="AR15" s="633">
        <f t="shared" si="22"/>
        <v>859746.90670672571</v>
      </c>
      <c r="AS15" s="185">
        <f t="shared" si="22"/>
        <v>2392134.0049756151</v>
      </c>
      <c r="AT15" s="185">
        <f t="shared" ref="AT15" si="23">AT11*$C$15</f>
        <v>2308500.4341586647</v>
      </c>
      <c r="AU15" s="109">
        <f t="shared" si="22"/>
        <v>0</v>
      </c>
      <c r="AV15" s="109">
        <f t="shared" si="22"/>
        <v>0</v>
      </c>
      <c r="AW15" s="109">
        <f t="shared" si="22"/>
        <v>0</v>
      </c>
      <c r="AX15" s="109">
        <f t="shared" si="22"/>
        <v>0</v>
      </c>
      <c r="AY15" s="109">
        <f t="shared" si="22"/>
        <v>0</v>
      </c>
      <c r="AZ15" s="87"/>
      <c r="BA15" s="87"/>
      <c r="BB15" s="87"/>
      <c r="BC15" s="87"/>
    </row>
    <row r="16" spans="1:55" ht="12.75" customHeight="1">
      <c r="A16" s="91"/>
      <c r="B16" s="172"/>
      <c r="C16" s="91"/>
      <c r="D16" s="91"/>
      <c r="E16" s="91"/>
      <c r="F16" s="91"/>
      <c r="G16" s="91"/>
      <c r="H16" s="91"/>
      <c r="I16" s="638"/>
      <c r="J16" s="91"/>
      <c r="K16" s="91"/>
      <c r="L16" s="91"/>
      <c r="M16" s="91"/>
      <c r="N16" s="91"/>
      <c r="O16" s="91"/>
      <c r="P16" s="91"/>
      <c r="Q16" s="91"/>
      <c r="R16" s="91"/>
      <c r="S16" s="638"/>
      <c r="T16" s="2"/>
      <c r="U16" s="2"/>
      <c r="V16" s="2"/>
      <c r="W16" s="2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638"/>
      <c r="AO16" s="91"/>
      <c r="AP16" s="91"/>
      <c r="AQ16" s="638"/>
      <c r="AR16" s="638"/>
      <c r="AS16" s="91"/>
      <c r="AT16" s="91"/>
      <c r="AU16" s="2"/>
      <c r="AV16" s="2"/>
      <c r="AW16" s="2"/>
      <c r="AX16" s="2"/>
      <c r="AY16" s="2"/>
      <c r="AZ16" s="87"/>
      <c r="BA16" s="87"/>
      <c r="BB16" s="87"/>
      <c r="BC16" s="87"/>
    </row>
    <row r="17" spans="1:55" ht="15.75" customHeight="1">
      <c r="A17" s="214" t="s">
        <v>110</v>
      </c>
      <c r="B17" s="717"/>
      <c r="C17" s="700"/>
      <c r="D17" s="103">
        <f>SUM(D11,D14:D15)</f>
        <v>64131059.311866008</v>
      </c>
      <c r="E17" s="103">
        <f t="shared" ref="E17:O17" si="24">SUM(E11,E14:E15)</f>
        <v>66674984.254108772</v>
      </c>
      <c r="F17" s="103">
        <f t="shared" si="24"/>
        <v>56931288.060386106</v>
      </c>
      <c r="G17" s="103">
        <f t="shared" si="24"/>
        <v>348750698.25230229</v>
      </c>
      <c r="H17" s="103">
        <f t="shared" si="24"/>
        <v>408018893.5586645</v>
      </c>
      <c r="I17" s="639">
        <f t="shared" si="24"/>
        <v>515374.21130832011</v>
      </c>
      <c r="J17" s="103">
        <f t="shared" si="24"/>
        <v>199542092.68853351</v>
      </c>
      <c r="K17" s="103">
        <f t="shared" si="24"/>
        <v>73771011.663425937</v>
      </c>
      <c r="L17" s="103">
        <f t="shared" si="24"/>
        <v>102906809.30683617</v>
      </c>
      <c r="M17" s="103">
        <f t="shared" si="24"/>
        <v>64787492.15679916</v>
      </c>
      <c r="N17" s="103">
        <f t="shared" si="24"/>
        <v>110599615.09051764</v>
      </c>
      <c r="O17" s="103">
        <f t="shared" si="24"/>
        <v>80539242.538492084</v>
      </c>
      <c r="P17" s="103">
        <f t="shared" ref="P17:S17" si="25">SUM(P11,P14:P15)</f>
        <v>43687464.194711171</v>
      </c>
      <c r="Q17" s="103">
        <f t="shared" si="25"/>
        <v>155533511.35000172</v>
      </c>
      <c r="R17" s="103">
        <f t="shared" si="25"/>
        <v>59846691.056226678</v>
      </c>
      <c r="S17" s="639">
        <f t="shared" si="25"/>
        <v>308954463.47497785</v>
      </c>
      <c r="T17" s="103" t="e">
        <f t="shared" ref="T17:W17" si="26">SUM(#REF!,T9,T14:T15)</f>
        <v>#REF!</v>
      </c>
      <c r="U17" s="103" t="e">
        <f t="shared" si="26"/>
        <v>#REF!</v>
      </c>
      <c r="V17" s="103" t="e">
        <f t="shared" si="26"/>
        <v>#REF!</v>
      </c>
      <c r="W17" s="103" t="e">
        <f t="shared" si="26"/>
        <v>#REF!</v>
      </c>
      <c r="X17" s="221"/>
      <c r="Y17" s="215">
        <f>AVERAGE(D17:H17,J17:R17)</f>
        <v>131122918.10591944</v>
      </c>
      <c r="Z17" s="103">
        <f>AVERAGE(AC17:AD17)</f>
        <v>16082673.371936742</v>
      </c>
      <c r="AA17" s="215">
        <f>AVERAGE(AF17:AM17,AO17:AP17,AS17:AT17)</f>
        <v>54188514.630864255</v>
      </c>
      <c r="AB17" s="222"/>
      <c r="AC17" s="103">
        <f t="shared" ref="AC17:AD17" si="27">SUM(AC11,AC14:AC15)</f>
        <v>8732522.9934088532</v>
      </c>
      <c r="AD17" s="103">
        <f t="shared" si="27"/>
        <v>23432823.750464629</v>
      </c>
      <c r="AE17" s="223"/>
      <c r="AF17" s="103">
        <f t="shared" ref="AF17:AY17" si="28">SUM(AF11,AF14:AF15)</f>
        <v>42726798.797960199</v>
      </c>
      <c r="AG17" s="103">
        <f t="shared" si="28"/>
        <v>65597041.869051225</v>
      </c>
      <c r="AH17" s="103">
        <f t="shared" si="28"/>
        <v>41779473.517531835</v>
      </c>
      <c r="AI17" s="103">
        <f t="shared" si="28"/>
        <v>23670134.506697163</v>
      </c>
      <c r="AJ17" s="103">
        <f t="shared" si="28"/>
        <v>46369935.735189773</v>
      </c>
      <c r="AK17" s="103">
        <f t="shared" si="28"/>
        <v>74651480.127466723</v>
      </c>
      <c r="AL17" s="103">
        <f t="shared" si="28"/>
        <v>43765180.01484517</v>
      </c>
      <c r="AM17" s="103">
        <f t="shared" si="28"/>
        <v>53205072.193835855</v>
      </c>
      <c r="AN17" s="639">
        <f t="shared" si="28"/>
        <v>18701854.609090459</v>
      </c>
      <c r="AO17" s="103">
        <f t="shared" si="28"/>
        <v>70486583.303648844</v>
      </c>
      <c r="AP17" s="103">
        <f t="shared" si="28"/>
        <v>39940490.671414427</v>
      </c>
      <c r="AQ17" s="639">
        <f t="shared" si="28"/>
        <v>41862166.988717407</v>
      </c>
      <c r="AR17" s="639">
        <f t="shared" si="28"/>
        <v>27082027.561261859</v>
      </c>
      <c r="AS17" s="103">
        <f t="shared" si="28"/>
        <v>75352221.156731874</v>
      </c>
      <c r="AT17" s="103">
        <f t="shared" ref="AT17" si="29">SUM(AT11,AT14:AT15)</f>
        <v>72717763.675997943</v>
      </c>
      <c r="AU17" s="103">
        <f t="shared" si="28"/>
        <v>0</v>
      </c>
      <c r="AV17" s="103">
        <f t="shared" si="28"/>
        <v>0</v>
      </c>
      <c r="AW17" s="103">
        <f t="shared" si="28"/>
        <v>0</v>
      </c>
      <c r="AX17" s="103">
        <f t="shared" si="28"/>
        <v>0</v>
      </c>
      <c r="AY17" s="103">
        <f t="shared" si="28"/>
        <v>0</v>
      </c>
      <c r="AZ17" s="87"/>
      <c r="BA17" s="87"/>
      <c r="BB17" s="87"/>
      <c r="BC17" s="87"/>
    </row>
    <row r="18" spans="1:55" ht="12.75" customHeight="1">
      <c r="A18" s="95"/>
      <c r="B18" s="172"/>
      <c r="C18" s="91"/>
      <c r="D18" s="91"/>
      <c r="E18" s="91"/>
      <c r="F18" s="91"/>
      <c r="G18" s="91"/>
      <c r="H18" s="91"/>
      <c r="I18" s="638"/>
      <c r="J18" s="91"/>
      <c r="K18" s="91"/>
      <c r="L18" s="91"/>
      <c r="M18" s="91"/>
      <c r="N18" s="91"/>
      <c r="O18" s="91"/>
      <c r="P18" s="91"/>
      <c r="Q18" s="91"/>
      <c r="R18" s="91"/>
      <c r="S18" s="638"/>
      <c r="T18" s="2"/>
      <c r="U18" s="2"/>
      <c r="V18" s="2"/>
      <c r="W18" s="2"/>
      <c r="X18" s="91"/>
      <c r="Y18" s="225"/>
      <c r="Z18" s="225"/>
      <c r="AA18" s="108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638"/>
      <c r="AO18" s="91"/>
      <c r="AP18" s="91"/>
      <c r="AQ18" s="638"/>
      <c r="AR18" s="638"/>
      <c r="AS18" s="91"/>
      <c r="AT18" s="91"/>
      <c r="AU18" s="2"/>
      <c r="AV18" s="2"/>
      <c r="AW18" s="2"/>
      <c r="AX18" s="2"/>
      <c r="AY18" s="2"/>
      <c r="AZ18" s="87"/>
      <c r="BA18" s="87"/>
      <c r="BB18" s="87"/>
      <c r="BC18" s="87"/>
    </row>
    <row r="19" spans="1:55" ht="12.75" customHeight="1">
      <c r="A19" s="175" t="s">
        <v>67</v>
      </c>
      <c r="B19" s="209" t="s">
        <v>68</v>
      </c>
      <c r="C19" s="226"/>
      <c r="D19" s="185">
        <f>+Entrada!C17</f>
        <v>480</v>
      </c>
      <c r="E19" s="185">
        <f>+Entrada!D17</f>
        <v>504.4</v>
      </c>
      <c r="F19" s="185">
        <f>+Entrada!E17</f>
        <v>432</v>
      </c>
      <c r="G19" s="185">
        <f>+Entrada!F17</f>
        <v>2704</v>
      </c>
      <c r="H19" s="185">
        <f>+Entrada!G17</f>
        <v>3200</v>
      </c>
      <c r="I19" s="633">
        <f>+Entrada!H17</f>
        <v>0</v>
      </c>
      <c r="J19" s="185">
        <f>+Entrada!I17</f>
        <v>1520</v>
      </c>
      <c r="K19" s="185">
        <f>+Entrada!J17</f>
        <v>560</v>
      </c>
      <c r="L19" s="185">
        <f>+Entrada!K17</f>
        <v>800</v>
      </c>
      <c r="M19" s="185">
        <f>+Entrada!L17</f>
        <v>480</v>
      </c>
      <c r="N19" s="185">
        <f>+Entrada!M17</f>
        <v>840</v>
      </c>
      <c r="O19" s="185">
        <f>+Entrada!N17</f>
        <v>608</v>
      </c>
      <c r="P19" s="185">
        <f>+Entrada!O17</f>
        <v>320</v>
      </c>
      <c r="Q19" s="185">
        <f>+Entrada!P17</f>
        <v>1200</v>
      </c>
      <c r="R19" s="185">
        <f>+Entrada!Q17</f>
        <v>448</v>
      </c>
      <c r="S19" s="633">
        <f>+Entrada!R17</f>
        <v>2400</v>
      </c>
      <c r="T19" s="109">
        <f>+Entrada!S17</f>
        <v>0</v>
      </c>
      <c r="U19" s="109">
        <f>+Entrada!V17</f>
        <v>0</v>
      </c>
      <c r="V19" s="109">
        <f>+Entrada!W17</f>
        <v>68</v>
      </c>
      <c r="W19" s="109">
        <f>+Entrada!X17</f>
        <v>216</v>
      </c>
      <c r="X19" s="104"/>
      <c r="Y19" s="186">
        <f>AVERAGE(D19:H19,J19:R19)</f>
        <v>1006.8857142857142</v>
      </c>
      <c r="Z19" s="187">
        <f t="shared" ref="Z19:Z23" si="30">AVERAGE(AC19:AD19)</f>
        <v>142</v>
      </c>
      <c r="AA19" s="186">
        <f>AVERAGE(AF19:AM19,AO19:AP19,AS19:AT19)</f>
        <v>457.33333333333331</v>
      </c>
      <c r="AB19" s="104"/>
      <c r="AC19" s="188">
        <f>+Entrada!Z17</f>
        <v>68</v>
      </c>
      <c r="AD19" s="188">
        <f>+Entrada!AA17</f>
        <v>216</v>
      </c>
      <c r="AE19" s="104"/>
      <c r="AF19" s="185">
        <f>+Entrada!AC17</f>
        <v>360</v>
      </c>
      <c r="AG19" s="185">
        <f>+Entrada!AD17</f>
        <v>560</v>
      </c>
      <c r="AH19" s="185">
        <f>+Entrada!AE17</f>
        <v>352</v>
      </c>
      <c r="AI19" s="185">
        <f>+Entrada!AF17</f>
        <v>200</v>
      </c>
      <c r="AJ19" s="185">
        <f>+Entrada!AG17</f>
        <v>380</v>
      </c>
      <c r="AK19" s="185">
        <f>+Entrada!AH17</f>
        <v>640</v>
      </c>
      <c r="AL19" s="185">
        <f>+Entrada!AI17</f>
        <v>360</v>
      </c>
      <c r="AM19" s="185">
        <f>+Entrada!AJ17</f>
        <v>440</v>
      </c>
      <c r="AN19" s="633">
        <f>+Entrada!AK17</f>
        <v>156</v>
      </c>
      <c r="AO19" s="185">
        <f>+Entrada!AL17</f>
        <v>600</v>
      </c>
      <c r="AP19" s="185">
        <f>+Entrada!AM17</f>
        <v>336</v>
      </c>
      <c r="AQ19" s="633">
        <f>+Entrada!AN17</f>
        <v>352</v>
      </c>
      <c r="AR19" s="633">
        <f>+Entrada!AO17</f>
        <v>220</v>
      </c>
      <c r="AS19" s="185">
        <f>+Entrada!AP17</f>
        <v>640</v>
      </c>
      <c r="AT19" s="185">
        <f>+Entrada!AQ17</f>
        <v>620</v>
      </c>
      <c r="AU19" s="109">
        <f>+Entrada!AR17</f>
        <v>0</v>
      </c>
      <c r="AV19" s="109">
        <f>+Entrada!AS17</f>
        <v>0</v>
      </c>
      <c r="AW19" s="109">
        <f>+Entrada!AV17</f>
        <v>0</v>
      </c>
      <c r="AX19" s="109">
        <f>+Entrada!AW17</f>
        <v>0</v>
      </c>
      <c r="AY19" s="227">
        <f>+Entrada!AX17</f>
        <v>0</v>
      </c>
      <c r="AZ19" s="87"/>
      <c r="BA19" s="87"/>
      <c r="BB19" s="87"/>
      <c r="BC19" s="87"/>
    </row>
    <row r="20" spans="1:55" ht="12.75" customHeight="1">
      <c r="A20" s="228" t="s">
        <v>111</v>
      </c>
      <c r="B20" s="229" t="s">
        <v>80</v>
      </c>
      <c r="C20" s="229"/>
      <c r="D20" s="230">
        <f>+D17/D19</f>
        <v>133606.37356638751</v>
      </c>
      <c r="E20" s="230">
        <f t="shared" ref="E20:W20" si="31">+E17/E19</f>
        <v>132186.72532535443</v>
      </c>
      <c r="F20" s="230">
        <f t="shared" si="31"/>
        <v>131785.38902867155</v>
      </c>
      <c r="G20" s="230">
        <f t="shared" si="31"/>
        <v>128975.84994537807</v>
      </c>
      <c r="H20" s="230">
        <f t="shared" si="31"/>
        <v>127505.90423708265</v>
      </c>
      <c r="I20" s="640" t="e">
        <f t="shared" si="31"/>
        <v>#DIV/0!</v>
      </c>
      <c r="J20" s="230">
        <f t="shared" si="31"/>
        <v>131277.69255824573</v>
      </c>
      <c r="K20" s="230">
        <f t="shared" si="31"/>
        <v>131733.94939897489</v>
      </c>
      <c r="L20" s="230">
        <f t="shared" si="31"/>
        <v>128633.51163354522</v>
      </c>
      <c r="M20" s="230">
        <f t="shared" si="31"/>
        <v>134973.94199333159</v>
      </c>
      <c r="N20" s="230">
        <f t="shared" si="31"/>
        <v>131666.20844109243</v>
      </c>
      <c r="O20" s="230">
        <f t="shared" si="31"/>
        <v>132465.85943830936</v>
      </c>
      <c r="P20" s="230">
        <f t="shared" ref="P20:S20" si="32">+P17/P19</f>
        <v>136523.3256084724</v>
      </c>
      <c r="Q20" s="230">
        <f t="shared" si="32"/>
        <v>129611.25945833477</v>
      </c>
      <c r="R20" s="230">
        <f t="shared" si="32"/>
        <v>133586.3639647917</v>
      </c>
      <c r="S20" s="640">
        <f t="shared" si="32"/>
        <v>128731.02644790744</v>
      </c>
      <c r="T20" s="109" t="e">
        <f t="shared" si="31"/>
        <v>#REF!</v>
      </c>
      <c r="U20" s="109" t="e">
        <f t="shared" si="31"/>
        <v>#REF!</v>
      </c>
      <c r="V20" s="109" t="e">
        <f t="shared" si="31"/>
        <v>#REF!</v>
      </c>
      <c r="W20" s="109" t="e">
        <f t="shared" si="31"/>
        <v>#REF!</v>
      </c>
      <c r="X20" s="223"/>
      <c r="Y20" s="230">
        <f>AVERAGE(D20:H20,J20:R20)</f>
        <v>131752.31104271227</v>
      </c>
      <c r="Z20" s="231">
        <f t="shared" si="30"/>
        <v>118452.37546323214</v>
      </c>
      <c r="AA20" s="231">
        <f t="shared" ref="AA20:AA23" si="33">AVERAGE(AF20:AM20,AO20:AP20,AS20:AT20)</f>
        <v>118783.15342318377</v>
      </c>
      <c r="AB20" s="223"/>
      <c r="AC20" s="230">
        <f t="shared" ref="AC20:AD20" si="34">+AC17/AC19</f>
        <v>128419.45578542432</v>
      </c>
      <c r="AD20" s="230">
        <f t="shared" si="34"/>
        <v>108485.29514103995</v>
      </c>
      <c r="AE20" s="223"/>
      <c r="AF20" s="230">
        <f t="shared" ref="AF20:AY20" si="35">+AF17/AF19</f>
        <v>118685.55221655611</v>
      </c>
      <c r="AG20" s="230">
        <f t="shared" si="35"/>
        <v>117137.5747661629</v>
      </c>
      <c r="AH20" s="230">
        <f t="shared" si="35"/>
        <v>118691.6861293518</v>
      </c>
      <c r="AI20" s="230">
        <f t="shared" si="35"/>
        <v>118350.67253348582</v>
      </c>
      <c r="AJ20" s="230">
        <f t="shared" si="35"/>
        <v>122026.14667155204</v>
      </c>
      <c r="AK20" s="230">
        <f t="shared" si="35"/>
        <v>116642.93769916675</v>
      </c>
      <c r="AL20" s="230">
        <f t="shared" si="35"/>
        <v>121569.94448568103</v>
      </c>
      <c r="AM20" s="230">
        <f t="shared" si="35"/>
        <v>120920.61862235422</v>
      </c>
      <c r="AN20" s="640">
        <f t="shared" si="35"/>
        <v>119883.6833916055</v>
      </c>
      <c r="AO20" s="230">
        <f t="shared" si="35"/>
        <v>117477.63883941474</v>
      </c>
      <c r="AP20" s="230">
        <f t="shared" si="35"/>
        <v>118870.50795063817</v>
      </c>
      <c r="AQ20" s="640">
        <f t="shared" si="35"/>
        <v>118926.61076340172</v>
      </c>
      <c r="AR20" s="640">
        <f t="shared" si="35"/>
        <v>123100.12527846299</v>
      </c>
      <c r="AS20" s="230">
        <f t="shared" si="35"/>
        <v>117737.84555739355</v>
      </c>
      <c r="AT20" s="230">
        <f t="shared" ref="AT20" si="36">+AT17/AT19</f>
        <v>117286.7156064483</v>
      </c>
      <c r="AU20" s="109" t="e">
        <f t="shared" si="35"/>
        <v>#DIV/0!</v>
      </c>
      <c r="AV20" s="109" t="e">
        <f t="shared" si="35"/>
        <v>#DIV/0!</v>
      </c>
      <c r="AW20" s="109" t="e">
        <f t="shared" si="35"/>
        <v>#DIV/0!</v>
      </c>
      <c r="AX20" s="109" t="e">
        <f t="shared" si="35"/>
        <v>#DIV/0!</v>
      </c>
      <c r="AY20" s="227" t="e">
        <f t="shared" si="35"/>
        <v>#DIV/0!</v>
      </c>
      <c r="AZ20" s="87"/>
      <c r="BA20" s="87"/>
      <c r="BB20" s="87"/>
      <c r="BC20" s="87"/>
    </row>
    <row r="21" spans="1:55" ht="12.75" customHeight="1">
      <c r="A21" s="175" t="s">
        <v>112</v>
      </c>
      <c r="B21" s="232" t="s">
        <v>21</v>
      </c>
      <c r="C21" s="193"/>
      <c r="D21" s="185">
        <f>Entrada!C21</f>
        <v>28800</v>
      </c>
      <c r="E21" s="185">
        <f>Entrada!D21</f>
        <v>30264</v>
      </c>
      <c r="F21" s="185">
        <f>Entrada!E21</f>
        <v>25920</v>
      </c>
      <c r="G21" s="185">
        <f>Entrada!F21</f>
        <v>162240</v>
      </c>
      <c r="H21" s="185">
        <f>Entrada!G21</f>
        <v>192000</v>
      </c>
      <c r="I21" s="633">
        <f>Entrada!H21</f>
        <v>0</v>
      </c>
      <c r="J21" s="185">
        <f>Entrada!I21</f>
        <v>91200</v>
      </c>
      <c r="K21" s="185">
        <f>Entrada!J21</f>
        <v>33600</v>
      </c>
      <c r="L21" s="185">
        <f>Entrada!K21</f>
        <v>48000</v>
      </c>
      <c r="M21" s="185">
        <f>Entrada!L21</f>
        <v>28800</v>
      </c>
      <c r="N21" s="185">
        <f>Entrada!M21</f>
        <v>50400</v>
      </c>
      <c r="O21" s="185">
        <f>Entrada!N21</f>
        <v>36480</v>
      </c>
      <c r="P21" s="185">
        <f>Entrada!O21</f>
        <v>19200</v>
      </c>
      <c r="Q21" s="185">
        <f>Entrada!P21</f>
        <v>72000</v>
      </c>
      <c r="R21" s="185">
        <f>Entrada!Q21</f>
        <v>26880</v>
      </c>
      <c r="S21" s="633">
        <f>Entrada!R21</f>
        <v>144000</v>
      </c>
      <c r="T21" s="109">
        <f>Entrada!S21</f>
        <v>0</v>
      </c>
      <c r="U21" s="109">
        <f>Entrada!V21</f>
        <v>0</v>
      </c>
      <c r="V21" s="109">
        <f>Entrada!W21</f>
        <v>4080</v>
      </c>
      <c r="W21" s="109">
        <f>Entrada!X21</f>
        <v>12960</v>
      </c>
      <c r="X21" s="104"/>
      <c r="Y21" s="186">
        <f>AVERAGE(D21:H21,J21:R21)</f>
        <v>60413.142857142855</v>
      </c>
      <c r="Z21" s="187">
        <f t="shared" si="30"/>
        <v>8520</v>
      </c>
      <c r="AA21" s="186">
        <f t="shared" si="33"/>
        <v>27440</v>
      </c>
      <c r="AB21" s="104"/>
      <c r="AC21" s="188">
        <f>Entrada!Z21</f>
        <v>4080</v>
      </c>
      <c r="AD21" s="188">
        <f>Entrada!AA21</f>
        <v>12960</v>
      </c>
      <c r="AE21" s="104"/>
      <c r="AF21" s="185">
        <f>Entrada!AC21</f>
        <v>21600</v>
      </c>
      <c r="AG21" s="185">
        <f>Entrada!AD21</f>
        <v>33600</v>
      </c>
      <c r="AH21" s="185">
        <f>Entrada!AE21</f>
        <v>21120</v>
      </c>
      <c r="AI21" s="185">
        <f>Entrada!AF21</f>
        <v>12000</v>
      </c>
      <c r="AJ21" s="185">
        <f>Entrada!AG21</f>
        <v>22800</v>
      </c>
      <c r="AK21" s="185">
        <f>Entrada!AH21</f>
        <v>38400</v>
      </c>
      <c r="AL21" s="185">
        <f>Entrada!AI21</f>
        <v>21600</v>
      </c>
      <c r="AM21" s="185">
        <f>Entrada!AJ21</f>
        <v>26400</v>
      </c>
      <c r="AN21" s="633">
        <f>Entrada!AK21</f>
        <v>9360</v>
      </c>
      <c r="AO21" s="185">
        <f>Entrada!AL21</f>
        <v>36000</v>
      </c>
      <c r="AP21" s="185">
        <f>Entrada!AM21</f>
        <v>20160</v>
      </c>
      <c r="AQ21" s="633">
        <f>Entrada!AN21</f>
        <v>21120</v>
      </c>
      <c r="AR21" s="633">
        <f>Entrada!AO21</f>
        <v>13200</v>
      </c>
      <c r="AS21" s="185">
        <f>Entrada!AP21</f>
        <v>38400</v>
      </c>
      <c r="AT21" s="185">
        <f>Entrada!AQ21</f>
        <v>37200</v>
      </c>
      <c r="AU21" s="109">
        <f>Entrada!AR21</f>
        <v>0</v>
      </c>
      <c r="AV21" s="109">
        <f>Entrada!AS21</f>
        <v>0</v>
      </c>
      <c r="AW21" s="109">
        <f>Entrada!AV21</f>
        <v>0</v>
      </c>
      <c r="AX21" s="109">
        <f>Entrada!AW21</f>
        <v>0</v>
      </c>
      <c r="AY21" s="109">
        <f>Entrada!AX21</f>
        <v>0</v>
      </c>
      <c r="AZ21" s="87"/>
      <c r="BA21" s="87"/>
      <c r="BB21" s="87"/>
      <c r="BC21" s="87"/>
    </row>
    <row r="22" spans="1:55" ht="12.75" customHeight="1">
      <c r="A22" s="175" t="s">
        <v>113</v>
      </c>
      <c r="B22" s="232" t="s">
        <v>114</v>
      </c>
      <c r="C22" s="233"/>
      <c r="D22" s="185">
        <f>Entrada!C13</f>
        <v>12</v>
      </c>
      <c r="E22" s="185">
        <f>Entrada!D13</f>
        <v>13</v>
      </c>
      <c r="F22" s="185">
        <f>Entrada!E13</f>
        <v>8</v>
      </c>
      <c r="G22" s="185">
        <f>Entrada!F13</f>
        <v>26</v>
      </c>
      <c r="H22" s="185">
        <f>Entrada!G13</f>
        <v>2</v>
      </c>
      <c r="I22" s="633">
        <f>Entrada!H13</f>
        <v>0</v>
      </c>
      <c r="J22" s="185">
        <f>Entrada!I13</f>
        <v>38</v>
      </c>
      <c r="K22" s="185">
        <f>Entrada!J13</f>
        <v>14</v>
      </c>
      <c r="L22" s="185">
        <f>Entrada!K13</f>
        <v>4</v>
      </c>
      <c r="M22" s="185">
        <f>Entrada!L13</f>
        <v>15</v>
      </c>
      <c r="N22" s="185">
        <f>Entrada!M13</f>
        <v>21</v>
      </c>
      <c r="O22" s="185">
        <f>Entrada!N13</f>
        <v>19</v>
      </c>
      <c r="P22" s="185">
        <f>Entrada!O13</f>
        <v>8</v>
      </c>
      <c r="Q22" s="185">
        <f>Entrada!P13</f>
        <v>15</v>
      </c>
      <c r="R22" s="185">
        <f>Entrada!Q13</f>
        <v>14</v>
      </c>
      <c r="S22" s="633">
        <f>Entrada!R13</f>
        <v>20</v>
      </c>
      <c r="T22" s="109">
        <f>Entrada!S13</f>
        <v>0</v>
      </c>
      <c r="U22" s="109">
        <f>Entrada!V13</f>
        <v>0</v>
      </c>
      <c r="V22" s="109">
        <f>Entrada!W13</f>
        <v>17</v>
      </c>
      <c r="W22" s="109">
        <f>Entrada!X13</f>
        <v>27</v>
      </c>
      <c r="X22" s="104"/>
      <c r="Y22" s="186">
        <f t="shared" ref="Y22:Y27" si="37">AVERAGE(D22:H22,J22:R22)</f>
        <v>14.928571428571429</v>
      </c>
      <c r="Z22" s="234">
        <f t="shared" si="30"/>
        <v>22</v>
      </c>
      <c r="AA22" s="186">
        <f t="shared" si="33"/>
        <v>23.583333333333332</v>
      </c>
      <c r="AB22" s="104"/>
      <c r="AC22" s="188">
        <f>Entrada!Z13</f>
        <v>17</v>
      </c>
      <c r="AD22" s="188">
        <f>Entrada!AA13</f>
        <v>27</v>
      </c>
      <c r="AE22" s="104"/>
      <c r="AF22" s="185">
        <f>Entrada!AC13</f>
        <v>18</v>
      </c>
      <c r="AG22" s="185">
        <f>Entrada!AD13</f>
        <v>28</v>
      </c>
      <c r="AH22" s="185">
        <f>Entrada!AE13</f>
        <v>22</v>
      </c>
      <c r="AI22" s="185">
        <f>Entrada!AF13</f>
        <v>10</v>
      </c>
      <c r="AJ22" s="185">
        <f>Entrada!AG13</f>
        <v>19</v>
      </c>
      <c r="AK22" s="185">
        <f>Entrada!AH13</f>
        <v>32</v>
      </c>
      <c r="AL22" s="185">
        <f>Entrada!AI13</f>
        <v>18</v>
      </c>
      <c r="AM22" s="185">
        <f>Entrada!AJ13</f>
        <v>22</v>
      </c>
      <c r="AN22" s="633">
        <f>Entrada!AK13</f>
        <v>6</v>
      </c>
      <c r="AO22" s="185">
        <f>Entrada!AL13</f>
        <v>30</v>
      </c>
      <c r="AP22" s="185">
        <f>Entrada!AM13</f>
        <v>21</v>
      </c>
      <c r="AQ22" s="633">
        <f>Entrada!AN13</f>
        <v>22</v>
      </c>
      <c r="AR22" s="633">
        <f>Entrada!AO13</f>
        <v>11</v>
      </c>
      <c r="AS22" s="185">
        <f>Entrada!AP13</f>
        <v>32</v>
      </c>
      <c r="AT22" s="185">
        <f>Entrada!AQ13</f>
        <v>31</v>
      </c>
      <c r="AU22" s="109">
        <f>Entrada!AR13</f>
        <v>0</v>
      </c>
      <c r="AV22" s="109">
        <f>Entrada!AS13</f>
        <v>0</v>
      </c>
      <c r="AW22" s="109">
        <f>Entrada!AV13</f>
        <v>0</v>
      </c>
      <c r="AX22" s="109">
        <f>Entrada!AW13</f>
        <v>0</v>
      </c>
      <c r="AY22" s="109">
        <f>Entrada!AX13</f>
        <v>0</v>
      </c>
      <c r="AZ22" s="87"/>
      <c r="BA22" s="108"/>
      <c r="BB22" s="108"/>
      <c r="BC22" s="108"/>
    </row>
    <row r="23" spans="1:55" ht="12.75" customHeight="1">
      <c r="A23" s="175" t="s">
        <v>63</v>
      </c>
      <c r="B23" s="232" t="s">
        <v>114</v>
      </c>
      <c r="C23" s="193"/>
      <c r="D23" s="185">
        <f>Entrada!C14</f>
        <v>10</v>
      </c>
      <c r="E23" s="185">
        <f>Entrada!D14</f>
        <v>9.6999999999999993</v>
      </c>
      <c r="F23" s="185">
        <f>Entrada!E14</f>
        <v>13.5</v>
      </c>
      <c r="G23" s="185">
        <f>Entrada!F14</f>
        <v>26</v>
      </c>
      <c r="H23" s="185">
        <f>Entrada!G14</f>
        <v>400</v>
      </c>
      <c r="I23" s="633">
        <f>Entrada!H14</f>
        <v>0</v>
      </c>
      <c r="J23" s="185">
        <f>Entrada!I14</f>
        <v>10</v>
      </c>
      <c r="K23" s="185">
        <f>Entrada!J14</f>
        <v>10</v>
      </c>
      <c r="L23" s="185">
        <f>Entrada!K14</f>
        <v>50</v>
      </c>
      <c r="M23" s="185">
        <f>Entrada!L14</f>
        <v>8</v>
      </c>
      <c r="N23" s="185">
        <f>Entrada!M14</f>
        <v>10</v>
      </c>
      <c r="O23" s="185">
        <f>Entrada!N14</f>
        <v>8</v>
      </c>
      <c r="P23" s="185">
        <f>Entrada!O14</f>
        <v>10</v>
      </c>
      <c r="Q23" s="185">
        <f>Entrada!P14</f>
        <v>20</v>
      </c>
      <c r="R23" s="185">
        <f>Entrada!Q14</f>
        <v>8</v>
      </c>
      <c r="S23" s="633">
        <f>Entrada!R14</f>
        <v>30</v>
      </c>
      <c r="T23" s="109">
        <f>Entrada!S14</f>
        <v>0</v>
      </c>
      <c r="U23" s="109">
        <f>Entrada!V14</f>
        <v>0</v>
      </c>
      <c r="V23" s="235">
        <f>Entrada!W14</f>
        <v>1</v>
      </c>
      <c r="W23" s="109">
        <f>Entrada!X14</f>
        <v>2</v>
      </c>
      <c r="X23" s="104"/>
      <c r="Y23" s="186">
        <f t="shared" si="37"/>
        <v>42.371428571428574</v>
      </c>
      <c r="Z23" s="234">
        <f t="shared" si="30"/>
        <v>1.5</v>
      </c>
      <c r="AA23" s="186">
        <f t="shared" si="33"/>
        <v>4.833333333333333</v>
      </c>
      <c r="AB23" s="104"/>
      <c r="AC23" s="188">
        <f>Entrada!Z14</f>
        <v>1</v>
      </c>
      <c r="AD23" s="188">
        <f>Entrada!AA14</f>
        <v>2</v>
      </c>
      <c r="AE23" s="104"/>
      <c r="AF23" s="185">
        <f>Entrada!AC14</f>
        <v>5</v>
      </c>
      <c r="AG23" s="185">
        <f>Entrada!AD14</f>
        <v>5</v>
      </c>
      <c r="AH23" s="185">
        <f>Entrada!AE14</f>
        <v>4</v>
      </c>
      <c r="AI23" s="185">
        <f>Entrada!AF14</f>
        <v>5</v>
      </c>
      <c r="AJ23" s="185">
        <f>Entrada!AG14</f>
        <v>5</v>
      </c>
      <c r="AK23" s="185">
        <f>Entrada!AH14</f>
        <v>5</v>
      </c>
      <c r="AL23" s="185">
        <f>Entrada!AI14</f>
        <v>5</v>
      </c>
      <c r="AM23" s="185">
        <f>Entrada!AJ14</f>
        <v>5</v>
      </c>
      <c r="AN23" s="633">
        <f>Entrada!AK14</f>
        <v>6.5</v>
      </c>
      <c r="AO23" s="185">
        <f>Entrada!AL14</f>
        <v>5</v>
      </c>
      <c r="AP23" s="185">
        <f>Entrada!AM14</f>
        <v>4</v>
      </c>
      <c r="AQ23" s="633">
        <f>Entrada!AN14</f>
        <v>4</v>
      </c>
      <c r="AR23" s="633">
        <f>Entrada!AO14</f>
        <v>5</v>
      </c>
      <c r="AS23" s="185">
        <f>Entrada!AP14</f>
        <v>5</v>
      </c>
      <c r="AT23" s="185">
        <f>Entrada!AQ14</f>
        <v>5</v>
      </c>
      <c r="AU23" s="109">
        <f>Entrada!AR14</f>
        <v>0</v>
      </c>
      <c r="AV23" s="109">
        <f>Entrada!AS14</f>
        <v>0</v>
      </c>
      <c r="AW23" s="109">
        <f>Entrada!AV14</f>
        <v>0</v>
      </c>
      <c r="AX23" s="109">
        <f>Entrada!AW14</f>
        <v>0</v>
      </c>
      <c r="AY23" s="109">
        <f>Entrada!AX14</f>
        <v>0</v>
      </c>
      <c r="AZ23" s="87"/>
      <c r="BA23" s="108"/>
      <c r="BB23" s="251"/>
      <c r="BC23" s="251"/>
    </row>
    <row r="24" spans="1:55" ht="12.75" customHeight="1">
      <c r="A24" s="175" t="s">
        <v>115</v>
      </c>
      <c r="B24" s="232"/>
      <c r="C24" s="193"/>
      <c r="D24" s="185">
        <f>D19/D22</f>
        <v>40</v>
      </c>
      <c r="E24" s="185">
        <f t="shared" ref="E24:W24" si="38">E19/E22</f>
        <v>38.799999999999997</v>
      </c>
      <c r="F24" s="185">
        <f t="shared" si="38"/>
        <v>54</v>
      </c>
      <c r="G24" s="185">
        <f t="shared" si="38"/>
        <v>104</v>
      </c>
      <c r="H24" s="185">
        <f t="shared" si="38"/>
        <v>1600</v>
      </c>
      <c r="I24" s="633" t="e">
        <f t="shared" si="38"/>
        <v>#DIV/0!</v>
      </c>
      <c r="J24" s="185">
        <f t="shared" si="38"/>
        <v>40</v>
      </c>
      <c r="K24" s="185">
        <f t="shared" si="38"/>
        <v>40</v>
      </c>
      <c r="L24" s="185">
        <f t="shared" si="38"/>
        <v>200</v>
      </c>
      <c r="M24" s="185">
        <f t="shared" si="38"/>
        <v>32</v>
      </c>
      <c r="N24" s="185">
        <f t="shared" si="38"/>
        <v>40</v>
      </c>
      <c r="O24" s="185">
        <f t="shared" si="38"/>
        <v>32</v>
      </c>
      <c r="P24" s="185">
        <f t="shared" ref="P24:S24" si="39">P19/P22</f>
        <v>40</v>
      </c>
      <c r="Q24" s="185">
        <f t="shared" si="39"/>
        <v>80</v>
      </c>
      <c r="R24" s="185">
        <f t="shared" si="39"/>
        <v>32</v>
      </c>
      <c r="S24" s="633">
        <f t="shared" si="39"/>
        <v>120</v>
      </c>
      <c r="T24" s="109" t="e">
        <f t="shared" si="38"/>
        <v>#DIV/0!</v>
      </c>
      <c r="U24" s="109" t="e">
        <f t="shared" si="38"/>
        <v>#DIV/0!</v>
      </c>
      <c r="V24" s="109">
        <f t="shared" si="38"/>
        <v>4</v>
      </c>
      <c r="W24" s="109">
        <f t="shared" si="38"/>
        <v>8</v>
      </c>
      <c r="X24" s="204"/>
      <c r="Y24" s="186">
        <f t="shared" si="37"/>
        <v>169.48571428571429</v>
      </c>
      <c r="Z24" s="236"/>
      <c r="AA24" s="236"/>
      <c r="AB24" s="108"/>
      <c r="AC24" s="200"/>
      <c r="AD24" s="200"/>
      <c r="AE24" s="108"/>
      <c r="AF24" s="200"/>
      <c r="AG24" s="200"/>
      <c r="AH24" s="200"/>
      <c r="AI24" s="200"/>
      <c r="AJ24" s="200"/>
      <c r="AK24" s="200"/>
      <c r="AL24" s="200"/>
      <c r="AM24" s="200"/>
      <c r="AN24" s="644"/>
      <c r="AO24" s="200"/>
      <c r="AP24" s="200"/>
      <c r="AQ24" s="644"/>
      <c r="AR24" s="644"/>
      <c r="AS24" s="200"/>
      <c r="AT24" s="200"/>
      <c r="AU24" s="109"/>
      <c r="AV24" s="109"/>
      <c r="AW24" s="109"/>
      <c r="AX24" s="109"/>
      <c r="AY24" s="109"/>
      <c r="AZ24" s="87"/>
      <c r="BA24" s="91"/>
      <c r="BB24" s="251"/>
      <c r="BC24" s="251"/>
    </row>
    <row r="25" spans="1:55" ht="12.75" customHeight="1">
      <c r="A25" s="237" t="s">
        <v>116</v>
      </c>
      <c r="B25" s="551" t="s">
        <v>117</v>
      </c>
      <c r="C25" s="172"/>
      <c r="D25" s="108">
        <f>D19/(Parâmetros!$C$30/10000)</f>
        <v>339.94334277620396</v>
      </c>
      <c r="E25" s="108">
        <f>E19/(Parâmetros!$C$30/10000)</f>
        <v>357.22379603399435</v>
      </c>
      <c r="F25" s="108">
        <f>F19/(Parâmetros!$C$30/10000)</f>
        <v>305.94900849858357</v>
      </c>
      <c r="G25" s="108">
        <f>G19/(Parâmetros!$C$30/10000)</f>
        <v>1915.0141643059492</v>
      </c>
      <c r="H25" s="108">
        <f>H19/(Parâmetros!$C$30/10000)</f>
        <v>2266.2889518413599</v>
      </c>
      <c r="I25" s="636">
        <f>I19/(Parâmetros!$C$30/10000)</f>
        <v>0</v>
      </c>
      <c r="J25" s="108">
        <f>J19/(Parâmetros!$C$30/10000)</f>
        <v>1076.4872521246459</v>
      </c>
      <c r="K25" s="108">
        <f>K19/(Parâmetros!$C$30/10000)</f>
        <v>396.60056657223799</v>
      </c>
      <c r="L25" s="108">
        <f>L19/(Parâmetros!$C$30/10000)</f>
        <v>566.57223796033998</v>
      </c>
      <c r="M25" s="108">
        <f>M19/(Parâmetros!$C$30/10000)</f>
        <v>339.94334277620396</v>
      </c>
      <c r="N25" s="108">
        <f>N19/(Parâmetros!$C$30/10000)</f>
        <v>594.90084985835699</v>
      </c>
      <c r="O25" s="108">
        <f>O19/(Parâmetros!$C$30/10000)</f>
        <v>430.59490084985839</v>
      </c>
      <c r="P25" s="108">
        <f>P19/(Parâmetros!$C$30/10000)</f>
        <v>226.62889518413598</v>
      </c>
      <c r="Q25" s="108">
        <f>Q19/(Parâmetros!$C$30/10000)</f>
        <v>849.85835694050991</v>
      </c>
      <c r="R25" s="108">
        <f>R19/(Parâmetros!$C$30/10000)</f>
        <v>317.28045325779038</v>
      </c>
      <c r="S25" s="636">
        <f>S19/(Parâmetros!$C$30/10000)</f>
        <v>1699.7167138810198</v>
      </c>
      <c r="T25" s="37">
        <f>T19/(Parâmetros!$C$30/10000)</f>
        <v>0</v>
      </c>
      <c r="U25" s="37">
        <f>U19/(Parâmetros!$C$30/10000)</f>
        <v>0</v>
      </c>
      <c r="V25" s="37">
        <f>V19/(Parâmetros!$C$30/10000)</f>
        <v>48.158640226628897</v>
      </c>
      <c r="W25" s="37" t="e">
        <f>W19/(Parâmetros!X30/10000)</f>
        <v>#DIV/0!</v>
      </c>
      <c r="X25" s="108"/>
      <c r="Y25" s="186">
        <f t="shared" si="37"/>
        <v>713.09186564144079</v>
      </c>
      <c r="Z25" s="238">
        <f>AVERAGE(AC25:AD25)</f>
        <v>100.56657223796034</v>
      </c>
      <c r="AA25" s="186">
        <f>AVERAGE(AF25:AM25,AO25:AP25,AS25:AT25)</f>
        <v>323.89046270066098</v>
      </c>
      <c r="AB25" s="108"/>
      <c r="AC25" s="239">
        <f>AC19/(Parâmetros!$C$30/10000)</f>
        <v>48.158640226628897</v>
      </c>
      <c r="AD25" s="239">
        <f>AD19/(Parâmetros!$C$30/10000)</f>
        <v>152.97450424929178</v>
      </c>
      <c r="AE25" s="108"/>
      <c r="AF25" s="185">
        <f>AF19/(Parâmetros!$C$30/10000)</f>
        <v>254.957507082153</v>
      </c>
      <c r="AG25" s="185">
        <f>AG19/(Parâmetros!$C$30/10000)</f>
        <v>396.60056657223799</v>
      </c>
      <c r="AH25" s="185">
        <f>AH19/(Parâmetros!$C$30/10000)</f>
        <v>249.29178470254959</v>
      </c>
      <c r="AI25" s="185">
        <f>AI19/(Parâmetros!$C$30/10000)</f>
        <v>141.64305949008499</v>
      </c>
      <c r="AJ25" s="185">
        <f>AJ19/(Parâmetros!$C$30/10000)</f>
        <v>269.12181303116148</v>
      </c>
      <c r="AK25" s="185">
        <f>AK19/(Parâmetros!$C$30/10000)</f>
        <v>453.25779036827197</v>
      </c>
      <c r="AL25" s="185">
        <f>AL19/(Parâmetros!$C$30/10000)</f>
        <v>254.957507082153</v>
      </c>
      <c r="AM25" s="185">
        <f>AM19/(Parâmetros!$C$30/10000)</f>
        <v>311.614730878187</v>
      </c>
      <c r="AN25" s="633">
        <f>AN19/(Parâmetros!$C$30/10000)</f>
        <v>110.4815864022663</v>
      </c>
      <c r="AO25" s="185">
        <f>AO19/(Parâmetros!$C$30/10000)</f>
        <v>424.92917847025495</v>
      </c>
      <c r="AP25" s="185">
        <f>AP19/(Parâmetros!$C$30/10000)</f>
        <v>237.9603399433428</v>
      </c>
      <c r="AQ25" s="633">
        <f>AQ19/(Parâmetros!$C$30/10000)</f>
        <v>249.29178470254959</v>
      </c>
      <c r="AR25" s="633">
        <f>AR19/(Parâmetros!$C$30/10000)</f>
        <v>155.8073654390935</v>
      </c>
      <c r="AS25" s="185">
        <f>AS19/(Parâmetros!$C$30/10000)</f>
        <v>453.25779036827197</v>
      </c>
      <c r="AT25" s="185">
        <f>AT19/(Parâmetros!$C$30/10000)</f>
        <v>439.09348441926346</v>
      </c>
      <c r="AU25" s="37">
        <f t="shared" ref="AU25:AY25" si="40">AU19/25</f>
        <v>0</v>
      </c>
      <c r="AV25" s="37">
        <f t="shared" si="40"/>
        <v>0</v>
      </c>
      <c r="AW25" s="37">
        <f t="shared" si="40"/>
        <v>0</v>
      </c>
      <c r="AX25" s="37">
        <f t="shared" si="40"/>
        <v>0</v>
      </c>
      <c r="AY25" s="37">
        <f t="shared" si="40"/>
        <v>0</v>
      </c>
      <c r="AZ25" s="87"/>
      <c r="BA25" s="91"/>
      <c r="BB25" s="91"/>
      <c r="BC25" s="91"/>
    </row>
    <row r="26" spans="1:55" ht="12.75" customHeight="1">
      <c r="A26" s="240" t="s">
        <v>118</v>
      </c>
      <c r="B26" s="241" t="s">
        <v>80</v>
      </c>
      <c r="C26" s="242"/>
      <c r="D26" s="243">
        <f>D9/D19</f>
        <v>5898.447000000001</v>
      </c>
      <c r="E26" s="243">
        <f t="shared" ref="E26:W26" si="41">E9/E19</f>
        <v>5979.5253092783514</v>
      </c>
      <c r="F26" s="243">
        <f t="shared" si="41"/>
        <v>5218.7905555555562</v>
      </c>
      <c r="G26" s="243">
        <f t="shared" si="41"/>
        <v>4285.1965384615387</v>
      </c>
      <c r="H26" s="243">
        <f t="shared" si="41"/>
        <v>3342.4533000000001</v>
      </c>
      <c r="I26" s="641" t="e">
        <f t="shared" si="41"/>
        <v>#DIV/0!</v>
      </c>
      <c r="J26" s="243">
        <f t="shared" si="41"/>
        <v>5898.447000000001</v>
      </c>
      <c r="K26" s="243">
        <f t="shared" si="41"/>
        <v>5898.4470000000001</v>
      </c>
      <c r="L26" s="243">
        <f t="shared" si="41"/>
        <v>3801.2214000000004</v>
      </c>
      <c r="M26" s="243">
        <f t="shared" si="41"/>
        <v>6553.8300000000008</v>
      </c>
      <c r="N26" s="243">
        <f t="shared" si="41"/>
        <v>5898.4470000000001</v>
      </c>
      <c r="O26" s="243">
        <f t="shared" si="41"/>
        <v>6553.83</v>
      </c>
      <c r="P26" s="243">
        <f t="shared" ref="P26:S26" si="42">P9/P19</f>
        <v>5898.4470000000001</v>
      </c>
      <c r="Q26" s="243">
        <f t="shared" si="42"/>
        <v>4587.6810000000005</v>
      </c>
      <c r="R26" s="243">
        <f t="shared" si="42"/>
        <v>6553.8300000000008</v>
      </c>
      <c r="S26" s="641">
        <f t="shared" si="42"/>
        <v>4150.7590000000009</v>
      </c>
      <c r="T26" s="244" t="e">
        <f t="shared" si="41"/>
        <v>#DIV/0!</v>
      </c>
      <c r="U26" s="244" t="e">
        <f t="shared" si="41"/>
        <v>#DIV/0!</v>
      </c>
      <c r="V26" s="244">
        <f t="shared" si="41"/>
        <v>29492.235000000004</v>
      </c>
      <c r="W26" s="244" t="e">
        <f t="shared" si="41"/>
        <v>#REF!</v>
      </c>
      <c r="X26" s="245"/>
      <c r="Y26" s="186">
        <f t="shared" si="37"/>
        <v>5454.8995073782471</v>
      </c>
      <c r="Z26" s="208"/>
      <c r="AA26" s="208"/>
      <c r="AB26" s="246"/>
      <c r="AC26" s="247"/>
      <c r="AD26" s="247"/>
      <c r="AE26" s="246"/>
      <c r="AF26" s="247"/>
      <c r="AG26" s="622"/>
      <c r="AH26" s="247"/>
      <c r="AI26" s="247"/>
      <c r="AJ26" s="247"/>
      <c r="AK26" s="622"/>
      <c r="AL26" s="247"/>
      <c r="AM26" s="247"/>
      <c r="AN26" s="247"/>
      <c r="AO26" s="247"/>
      <c r="AP26" s="247"/>
      <c r="AQ26" s="247"/>
      <c r="AR26" s="247"/>
      <c r="AS26" s="247"/>
      <c r="AT26" s="247"/>
      <c r="AU26" s="248"/>
      <c r="AV26" s="248"/>
      <c r="AW26" s="248"/>
      <c r="AX26" s="248"/>
      <c r="AY26" s="248"/>
      <c r="AZ26" s="87"/>
      <c r="BA26" s="87"/>
      <c r="BB26" s="87"/>
      <c r="BC26" s="87"/>
    </row>
    <row r="27" spans="1:55" ht="24" customHeight="1">
      <c r="A27" s="249" t="s">
        <v>119</v>
      </c>
      <c r="B27" s="192" t="s">
        <v>106</v>
      </c>
      <c r="C27" s="175"/>
      <c r="D27" s="250">
        <f>D26/D20</f>
        <v>4.4147946258485407E-2</v>
      </c>
      <c r="E27" s="250">
        <f t="shared" ref="E27:O27" si="43">E26/E20</f>
        <v>4.5235444743492954E-2</v>
      </c>
      <c r="F27" s="250">
        <f t="shared" si="43"/>
        <v>3.9600676478787365E-2</v>
      </c>
      <c r="G27" s="250">
        <f t="shared" si="43"/>
        <v>3.3224797822819861E-2</v>
      </c>
      <c r="H27" s="250">
        <f t="shared" si="43"/>
        <v>2.6214106083943301E-2</v>
      </c>
      <c r="I27" s="642" t="e">
        <f t="shared" si="43"/>
        <v>#DIV/0!</v>
      </c>
      <c r="J27" s="250">
        <f t="shared" si="43"/>
        <v>4.4931068523945593E-2</v>
      </c>
      <c r="K27" s="250">
        <f t="shared" si="43"/>
        <v>4.4775451027705242E-2</v>
      </c>
      <c r="L27" s="250">
        <f t="shared" si="43"/>
        <v>2.9550786196594146E-2</v>
      </c>
      <c r="M27" s="250">
        <f t="shared" si="43"/>
        <v>4.8556261328751842E-2</v>
      </c>
      <c r="N27" s="250">
        <f t="shared" si="43"/>
        <v>4.4798487553007728E-2</v>
      </c>
      <c r="O27" s="250">
        <f t="shared" si="43"/>
        <v>4.9475616040163033E-2</v>
      </c>
      <c r="P27" s="250">
        <f t="shared" ref="P27:S27" si="44">P26/P20</f>
        <v>4.3204682963230955E-2</v>
      </c>
      <c r="Q27" s="250">
        <f t="shared" si="44"/>
        <v>3.539569802170444E-2</v>
      </c>
      <c r="R27" s="250">
        <f t="shared" si="44"/>
        <v>4.9060621200284649E-2</v>
      </c>
      <c r="S27" s="642">
        <f t="shared" si="44"/>
        <v>3.2243656518031849E-2</v>
      </c>
      <c r="T27" s="37"/>
      <c r="U27" s="37"/>
      <c r="V27" s="37"/>
      <c r="W27" s="37"/>
      <c r="X27" s="108"/>
      <c r="Y27" s="525">
        <f t="shared" si="37"/>
        <v>4.1297974588779755E-2</v>
      </c>
      <c r="Z27" s="108"/>
      <c r="AA27" s="108"/>
      <c r="AB27" s="108"/>
      <c r="AC27" s="108"/>
      <c r="AD27" s="108"/>
      <c r="AE27" s="108"/>
      <c r="AF27" s="108"/>
      <c r="AG27" s="624"/>
      <c r="AH27" s="91"/>
      <c r="AI27" s="91"/>
      <c r="AJ27" s="91"/>
      <c r="AK27" s="620"/>
      <c r="AL27" s="91"/>
      <c r="AM27" s="91"/>
      <c r="AN27" s="91"/>
      <c r="AO27" s="91"/>
      <c r="AP27" s="91"/>
      <c r="AQ27" s="91"/>
      <c r="AR27" s="91"/>
      <c r="AS27" s="91"/>
      <c r="AT27" s="91"/>
      <c r="AU27" s="2"/>
      <c r="AV27" s="2"/>
      <c r="AW27" s="2"/>
      <c r="AX27" s="2"/>
      <c r="AY27" s="2"/>
      <c r="AZ27" s="87"/>
      <c r="BA27" s="87"/>
      <c r="BB27" s="87"/>
      <c r="BC27" s="87"/>
    </row>
    <row r="28" spans="1:55" ht="27" customHeight="1">
      <c r="A28" s="91"/>
      <c r="B28" s="172"/>
      <c r="C28" s="91"/>
      <c r="D28" s="108"/>
      <c r="E28" s="108"/>
      <c r="F28" s="621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621"/>
      <c r="AH28" s="91"/>
      <c r="AI28" s="91"/>
      <c r="AJ28" s="91"/>
      <c r="AK28" s="620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87"/>
      <c r="BA28" s="87"/>
      <c r="BB28" s="87"/>
      <c r="BC28" s="87"/>
    </row>
    <row r="29" spans="1:55" ht="12.75" customHeight="1">
      <c r="A29" s="91"/>
      <c r="B29" s="172"/>
      <c r="C29" s="91"/>
      <c r="D29" s="108"/>
      <c r="E29" s="108"/>
      <c r="F29" s="621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251"/>
      <c r="Y29" s="108"/>
      <c r="Z29" s="251"/>
      <c r="AA29" s="251"/>
      <c r="AB29" s="251"/>
      <c r="AC29" s="108"/>
      <c r="AD29" s="251"/>
      <c r="AE29" s="251"/>
      <c r="AF29" s="108"/>
      <c r="AG29" s="621"/>
      <c r="AH29" s="91"/>
      <c r="AI29" s="91"/>
      <c r="AJ29" s="91"/>
      <c r="AK29" s="620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87"/>
      <c r="BA29" s="87"/>
      <c r="BB29" s="87"/>
      <c r="BC29" s="87"/>
    </row>
    <row r="30" spans="1:55" ht="12.75" customHeight="1">
      <c r="A30" s="91"/>
      <c r="B30" s="172"/>
      <c r="C30" s="91"/>
      <c r="D30" s="91"/>
      <c r="E30" s="91"/>
      <c r="F30" s="620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251"/>
      <c r="Y30" s="91"/>
      <c r="Z30" s="251"/>
      <c r="AA30" s="251"/>
      <c r="AB30" s="251"/>
      <c r="AC30" s="91"/>
      <c r="AD30" s="251"/>
      <c r="AE30" s="251"/>
      <c r="AF30" s="91"/>
      <c r="AG30" s="620"/>
      <c r="AH30" s="91"/>
      <c r="AI30" s="91"/>
      <c r="AJ30" s="91"/>
      <c r="AK30" s="620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87"/>
      <c r="BA30" s="87"/>
      <c r="BB30" s="87"/>
      <c r="BC30" s="87"/>
    </row>
    <row r="31" spans="1:55" ht="12.75" customHeight="1">
      <c r="A31" s="91"/>
      <c r="B31" s="172"/>
      <c r="C31" s="91"/>
      <c r="D31" s="91"/>
      <c r="E31" s="91"/>
      <c r="F31" s="62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620"/>
      <c r="AH31" s="91"/>
      <c r="AI31" s="91"/>
      <c r="AJ31" s="91"/>
      <c r="AK31" s="620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87"/>
      <c r="BA31" s="87"/>
      <c r="BB31" s="87"/>
      <c r="BC31" s="87"/>
    </row>
    <row r="32" spans="1:55" ht="15.75" customHeight="1">
      <c r="A32" s="87"/>
      <c r="B32" s="87"/>
      <c r="C32" s="87"/>
      <c r="D32" s="87"/>
      <c r="E32" s="87"/>
      <c r="F32" s="623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623"/>
      <c r="AH32" s="87"/>
      <c r="AI32" s="87"/>
      <c r="AJ32" s="87"/>
      <c r="AK32" s="623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</row>
    <row r="33" spans="1:55" ht="15.75" customHeight="1">
      <c r="A33" s="87"/>
      <c r="B33" s="87"/>
      <c r="C33" s="87"/>
      <c r="D33" s="87"/>
      <c r="E33" s="87"/>
      <c r="F33" s="623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623"/>
      <c r="AH33" s="87"/>
      <c r="AI33" s="87"/>
      <c r="AJ33" s="87"/>
      <c r="AK33" s="623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5.75" customHeight="1">
      <c r="A34" s="87"/>
      <c r="B34" s="87"/>
      <c r="C34" s="87"/>
      <c r="D34" s="87"/>
      <c r="E34" s="87"/>
      <c r="F34" s="623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623"/>
      <c r="AH34" s="87"/>
      <c r="AI34" s="87"/>
      <c r="AJ34" s="87"/>
      <c r="AK34" s="623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5.75" customHeight="1">
      <c r="A35" s="87"/>
      <c r="B35" s="87"/>
      <c r="C35" s="87"/>
      <c r="D35" s="87"/>
      <c r="E35" s="87"/>
      <c r="F35" s="623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623"/>
      <c r="AH35" s="87"/>
      <c r="AI35" s="87"/>
      <c r="AJ35" s="87"/>
      <c r="AK35" s="623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5.75" customHeight="1">
      <c r="A36" s="87"/>
      <c r="B36" s="87"/>
      <c r="C36" s="87"/>
      <c r="D36" s="87"/>
      <c r="E36" s="87"/>
      <c r="F36" s="623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623"/>
      <c r="AH36" s="87"/>
      <c r="AI36" s="87"/>
      <c r="AJ36" s="87"/>
      <c r="AK36" s="623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5.75" customHeight="1">
      <c r="A37" s="87"/>
      <c r="B37" s="87"/>
      <c r="C37" s="87"/>
      <c r="D37" s="87"/>
      <c r="E37" s="87"/>
      <c r="F37" s="623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623"/>
      <c r="AH37" s="87"/>
      <c r="AI37" s="87"/>
      <c r="AJ37" s="87"/>
      <c r="AK37" s="623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5.75" customHeight="1">
      <c r="A38" s="87"/>
      <c r="B38" s="87"/>
      <c r="C38" s="87"/>
      <c r="D38" s="87"/>
      <c r="E38" s="87"/>
      <c r="F38" s="623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623"/>
      <c r="AH38" s="87"/>
      <c r="AI38" s="87"/>
      <c r="AJ38" s="87"/>
      <c r="AK38" s="623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5.75" customHeight="1">
      <c r="A39" s="87"/>
      <c r="B39" s="87"/>
      <c r="C39" s="87"/>
      <c r="D39" s="87"/>
      <c r="E39" s="87"/>
      <c r="F39" s="623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623"/>
      <c r="AH39" s="87"/>
      <c r="AI39" s="87"/>
      <c r="AJ39" s="87"/>
      <c r="AK39" s="623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5.75" customHeight="1">
      <c r="A40" s="87"/>
      <c r="B40" s="87"/>
      <c r="C40" s="87"/>
      <c r="D40" s="87"/>
      <c r="E40" s="87"/>
      <c r="F40" s="623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623"/>
      <c r="AH40" s="87"/>
      <c r="AI40" s="87"/>
      <c r="AJ40" s="87"/>
      <c r="AK40" s="623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5.75" customHeight="1">
      <c r="A41" s="87"/>
      <c r="B41" s="87"/>
      <c r="C41" s="87"/>
      <c r="D41" s="87"/>
      <c r="E41" s="87"/>
      <c r="F41" s="623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623"/>
      <c r="AH41" s="87"/>
      <c r="AI41" s="87"/>
      <c r="AJ41" s="87"/>
      <c r="AK41" s="623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5.75" customHeight="1">
      <c r="A42" s="87"/>
      <c r="B42" s="87"/>
      <c r="C42" s="87"/>
      <c r="D42" s="87"/>
      <c r="E42" s="87"/>
      <c r="F42" s="623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623"/>
      <c r="AH42" s="87"/>
      <c r="AI42" s="87"/>
      <c r="AJ42" s="87"/>
      <c r="AK42" s="623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5.75" customHeight="1">
      <c r="A43" s="87"/>
      <c r="B43" s="87"/>
      <c r="C43" s="87"/>
      <c r="D43" s="87"/>
      <c r="E43" s="87"/>
      <c r="F43" s="623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623"/>
      <c r="AH43" s="87"/>
      <c r="AI43" s="87"/>
      <c r="AJ43" s="87"/>
      <c r="AK43" s="623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3"/>
      <c r="BB43" s="3"/>
      <c r="BC43" s="3"/>
    </row>
    <row r="44" spans="1:55" ht="15.75" customHeight="1">
      <c r="A44" s="87"/>
      <c r="B44" s="87"/>
      <c r="C44" s="87"/>
      <c r="D44" s="87"/>
      <c r="E44" s="87"/>
      <c r="F44" s="623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623"/>
      <c r="AH44" s="87"/>
      <c r="AI44" s="87"/>
      <c r="AJ44" s="87"/>
      <c r="AK44" s="623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3"/>
      <c r="BB44" s="3"/>
      <c r="BC44" s="3"/>
    </row>
    <row r="45" spans="1:55" ht="15.75" customHeight="1">
      <c r="A45" s="87"/>
      <c r="B45" s="87"/>
      <c r="C45" s="87"/>
      <c r="D45" s="87"/>
      <c r="E45" s="87"/>
      <c r="F45" s="623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623"/>
      <c r="AH45" s="87"/>
      <c r="AI45" s="87"/>
      <c r="AJ45" s="87"/>
      <c r="AK45" s="623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3"/>
      <c r="BB45" s="3"/>
      <c r="BC45" s="3"/>
    </row>
    <row r="46" spans="1:55" ht="15.75" customHeight="1">
      <c r="A46" s="87"/>
      <c r="B46" s="87"/>
      <c r="C46" s="87"/>
      <c r="D46" s="87"/>
      <c r="E46" s="87"/>
      <c r="F46" s="623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623"/>
      <c r="AH46" s="87"/>
      <c r="AI46" s="87"/>
      <c r="AJ46" s="87"/>
      <c r="AK46" s="623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3"/>
      <c r="BB46" s="3"/>
      <c r="BC46" s="3"/>
    </row>
    <row r="47" spans="1:55" ht="15.75" customHeight="1">
      <c r="A47" s="87"/>
      <c r="B47" s="87"/>
      <c r="C47" s="87"/>
      <c r="D47" s="87"/>
      <c r="E47" s="87"/>
      <c r="F47" s="623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623"/>
      <c r="AH47" s="87"/>
      <c r="AI47" s="87"/>
      <c r="AJ47" s="87"/>
      <c r="AK47" s="623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3"/>
      <c r="BB47" s="3"/>
      <c r="BC47" s="3"/>
    </row>
    <row r="48" spans="1:55" ht="15.75" customHeight="1">
      <c r="A48" s="87"/>
      <c r="B48" s="87"/>
      <c r="C48" s="87"/>
      <c r="D48" s="87"/>
      <c r="E48" s="87"/>
      <c r="F48" s="623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623"/>
      <c r="AH48" s="87"/>
      <c r="AI48" s="87"/>
      <c r="AJ48" s="87"/>
      <c r="AK48" s="623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3"/>
      <c r="BB48" s="3"/>
      <c r="BC48" s="3"/>
    </row>
    <row r="49" spans="1:55" ht="15.75" customHeight="1">
      <c r="A49" s="3"/>
      <c r="B49" s="3"/>
      <c r="C49" s="3"/>
      <c r="D49" s="3"/>
      <c r="E49" s="3"/>
      <c r="F49" s="61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615"/>
      <c r="AH49" s="3"/>
      <c r="AI49" s="3"/>
      <c r="AJ49" s="3"/>
      <c r="AK49" s="615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87"/>
      <c r="BA49" s="3"/>
      <c r="BB49" s="3"/>
      <c r="BC49" s="3"/>
    </row>
    <row r="50" spans="1:55" ht="15.75" customHeight="1">
      <c r="A50" s="3"/>
      <c r="B50" s="3"/>
      <c r="C50" s="3"/>
      <c r="D50" s="3"/>
      <c r="E50" s="3"/>
      <c r="F50" s="61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615"/>
      <c r="AH50" s="3"/>
      <c r="AI50" s="3"/>
      <c r="AJ50" s="3"/>
      <c r="AK50" s="615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87"/>
      <c r="BA50" s="3"/>
      <c r="BB50" s="3"/>
      <c r="BC50" s="3"/>
    </row>
    <row r="51" spans="1:55" ht="15.75" customHeight="1">
      <c r="A51" s="3"/>
      <c r="B51" s="3"/>
      <c r="C51" s="3"/>
      <c r="D51" s="3"/>
      <c r="E51" s="3"/>
      <c r="F51" s="61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615"/>
      <c r="AH51" s="3"/>
      <c r="AI51" s="3"/>
      <c r="AJ51" s="3"/>
      <c r="AK51" s="615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87"/>
      <c r="BA51" s="3"/>
      <c r="BB51" s="3"/>
      <c r="BC51" s="3"/>
    </row>
    <row r="52" spans="1:55" ht="15.75" customHeight="1">
      <c r="A52" s="3"/>
      <c r="B52" s="3"/>
      <c r="C52" s="3"/>
      <c r="D52" s="3"/>
      <c r="E52" s="3"/>
      <c r="F52" s="61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615"/>
      <c r="AH52" s="3"/>
      <c r="AI52" s="3"/>
      <c r="AJ52" s="3"/>
      <c r="AK52" s="615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87"/>
      <c r="BA52" s="3"/>
      <c r="BB52" s="3"/>
      <c r="BC52" s="3"/>
    </row>
    <row r="53" spans="1:55" ht="15.75" customHeight="1">
      <c r="A53" s="3"/>
      <c r="B53" s="3"/>
      <c r="C53" s="3"/>
      <c r="D53" s="3"/>
      <c r="E53" s="3"/>
      <c r="F53" s="61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615"/>
      <c r="AH53" s="3"/>
      <c r="AI53" s="3"/>
      <c r="AJ53" s="3"/>
      <c r="AK53" s="615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87"/>
      <c r="BA53" s="3"/>
      <c r="BB53" s="3"/>
      <c r="BC53" s="3"/>
    </row>
    <row r="54" spans="1:55" ht="15.75" customHeight="1">
      <c r="A54" s="3"/>
      <c r="B54" s="3"/>
      <c r="C54" s="3"/>
      <c r="D54" s="3"/>
      <c r="E54" s="3"/>
      <c r="F54" s="61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615"/>
      <c r="AH54" s="3"/>
      <c r="AI54" s="3"/>
      <c r="AJ54" s="3"/>
      <c r="AK54" s="615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87"/>
      <c r="BA54" s="3"/>
      <c r="BB54" s="3"/>
      <c r="BC54" s="3"/>
    </row>
    <row r="55" spans="1:55" ht="15.75" customHeight="1">
      <c r="A55" s="3"/>
      <c r="B55" s="3"/>
      <c r="C55" s="3"/>
      <c r="D55" s="3"/>
      <c r="E55" s="3"/>
      <c r="F55" s="61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615"/>
      <c r="AH55" s="3"/>
      <c r="AI55" s="3"/>
      <c r="AJ55" s="3"/>
      <c r="AK55" s="615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87"/>
      <c r="BA55" s="3"/>
      <c r="BB55" s="3"/>
      <c r="BC55" s="3"/>
    </row>
    <row r="56" spans="1:55" ht="15.75" customHeight="1">
      <c r="A56" s="3"/>
      <c r="B56" s="3"/>
      <c r="C56" s="3"/>
      <c r="D56" s="3"/>
      <c r="E56" s="3"/>
      <c r="F56" s="61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615"/>
      <c r="AH56" s="3"/>
      <c r="AI56" s="3"/>
      <c r="AJ56" s="3"/>
      <c r="AK56" s="615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87"/>
      <c r="BA56" s="3"/>
      <c r="BB56" s="3"/>
      <c r="BC56" s="3"/>
    </row>
    <row r="57" spans="1:55" ht="15.75" customHeight="1">
      <c r="A57" s="3"/>
      <c r="B57" s="3"/>
      <c r="C57" s="3"/>
      <c r="D57" s="3"/>
      <c r="E57" s="3"/>
      <c r="F57" s="61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615"/>
      <c r="AH57" s="3"/>
      <c r="AI57" s="3"/>
      <c r="AJ57" s="3"/>
      <c r="AK57" s="615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87"/>
      <c r="BA57" s="3"/>
      <c r="BB57" s="3"/>
      <c r="BC57" s="3"/>
    </row>
    <row r="58" spans="1:55" ht="15.75" customHeight="1">
      <c r="A58" s="3"/>
      <c r="B58" s="3"/>
      <c r="C58" s="3"/>
      <c r="D58" s="3"/>
      <c r="E58" s="3"/>
      <c r="F58" s="61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615"/>
      <c r="AH58" s="3"/>
      <c r="AI58" s="3"/>
      <c r="AJ58" s="3"/>
      <c r="AK58" s="615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87"/>
      <c r="BA58" s="3"/>
      <c r="BB58" s="3"/>
      <c r="BC58" s="3"/>
    </row>
    <row r="59" spans="1:55" ht="15.75" customHeight="1">
      <c r="A59" s="3"/>
      <c r="B59" s="3"/>
      <c r="C59" s="3"/>
      <c r="D59" s="3"/>
      <c r="E59" s="3"/>
      <c r="F59" s="61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615"/>
      <c r="AH59" s="3"/>
      <c r="AI59" s="3"/>
      <c r="AJ59" s="3"/>
      <c r="AK59" s="615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87"/>
      <c r="BA59" s="3"/>
      <c r="BB59" s="3"/>
      <c r="BC59" s="3"/>
    </row>
    <row r="60" spans="1:55" ht="15.75" customHeight="1">
      <c r="A60" s="3"/>
      <c r="B60" s="3"/>
      <c r="C60" s="3"/>
      <c r="D60" s="3"/>
      <c r="E60" s="3"/>
      <c r="F60" s="61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615"/>
      <c r="AH60" s="3"/>
      <c r="AI60" s="3"/>
      <c r="AJ60" s="3"/>
      <c r="AK60" s="615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87"/>
      <c r="BA60" s="3"/>
      <c r="BB60" s="3"/>
      <c r="BC60" s="3"/>
    </row>
    <row r="61" spans="1:55" ht="15.75" customHeight="1">
      <c r="A61" s="3"/>
      <c r="B61" s="3"/>
      <c r="C61" s="3"/>
      <c r="D61" s="3"/>
      <c r="E61" s="3"/>
      <c r="F61" s="61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615"/>
      <c r="AH61" s="3"/>
      <c r="AI61" s="3"/>
      <c r="AJ61" s="3"/>
      <c r="AK61" s="615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87"/>
      <c r="BA61" s="3"/>
      <c r="BB61" s="3"/>
      <c r="BC61" s="3"/>
    </row>
    <row r="62" spans="1:55" ht="15.75" customHeight="1">
      <c r="A62" s="3"/>
      <c r="B62" s="3"/>
      <c r="C62" s="3"/>
      <c r="D62" s="3"/>
      <c r="E62" s="3"/>
      <c r="F62" s="61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615"/>
      <c r="AH62" s="3"/>
      <c r="AI62" s="3"/>
      <c r="AJ62" s="3"/>
      <c r="AK62" s="615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87"/>
      <c r="BA62" s="3"/>
      <c r="BB62" s="3"/>
      <c r="BC62" s="3"/>
    </row>
    <row r="63" spans="1:55" ht="15.75" customHeight="1">
      <c r="A63" s="3"/>
      <c r="B63" s="3"/>
      <c r="C63" s="3"/>
      <c r="D63" s="3"/>
      <c r="E63" s="3"/>
      <c r="F63" s="61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615"/>
      <c r="AH63" s="3"/>
      <c r="AI63" s="3"/>
      <c r="AJ63" s="3"/>
      <c r="AK63" s="615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87"/>
      <c r="BA63" s="3"/>
      <c r="BB63" s="3"/>
      <c r="BC63" s="3"/>
    </row>
    <row r="64" spans="1:55" ht="15.75" customHeight="1">
      <c r="A64" s="3"/>
      <c r="B64" s="3"/>
      <c r="C64" s="3"/>
      <c r="D64" s="3"/>
      <c r="E64" s="3"/>
      <c r="F64" s="61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615"/>
      <c r="AH64" s="3"/>
      <c r="AI64" s="3"/>
      <c r="AJ64" s="3"/>
      <c r="AK64" s="615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87"/>
      <c r="BA64" s="3"/>
      <c r="BB64" s="3"/>
      <c r="BC64" s="3"/>
    </row>
    <row r="65" spans="1:55" ht="15.75" customHeight="1">
      <c r="A65" s="3"/>
      <c r="B65" s="3"/>
      <c r="C65" s="3"/>
      <c r="D65" s="3"/>
      <c r="E65" s="3"/>
      <c r="F65" s="61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615"/>
      <c r="AH65" s="3"/>
      <c r="AI65" s="3"/>
      <c r="AJ65" s="3"/>
      <c r="AK65" s="615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87"/>
      <c r="BA65" s="3"/>
      <c r="BB65" s="3"/>
      <c r="BC65" s="3"/>
    </row>
    <row r="66" spans="1:55" ht="15.75" customHeight="1">
      <c r="A66" s="3"/>
      <c r="B66" s="3"/>
      <c r="C66" s="3"/>
      <c r="D66" s="3"/>
      <c r="E66" s="3"/>
      <c r="F66" s="61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615"/>
      <c r="AH66" s="3"/>
      <c r="AI66" s="3"/>
      <c r="AJ66" s="3"/>
      <c r="AK66" s="615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87"/>
      <c r="BA66" s="3"/>
      <c r="BB66" s="3"/>
      <c r="BC66" s="3"/>
    </row>
    <row r="67" spans="1:55" ht="15.75" customHeight="1">
      <c r="A67" s="3"/>
      <c r="B67" s="3"/>
      <c r="C67" s="3"/>
      <c r="D67" s="3"/>
      <c r="E67" s="3"/>
      <c r="F67" s="61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615"/>
      <c r="AH67" s="3"/>
      <c r="AI67" s="3"/>
      <c r="AJ67" s="3"/>
      <c r="AK67" s="615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87"/>
      <c r="BA67" s="3"/>
      <c r="BB67" s="3"/>
      <c r="BC67" s="3"/>
    </row>
    <row r="68" spans="1:55" ht="15.75" customHeight="1">
      <c r="A68" s="3"/>
      <c r="B68" s="3"/>
      <c r="C68" s="3"/>
      <c r="D68" s="3"/>
      <c r="E68" s="3"/>
      <c r="F68" s="61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615"/>
      <c r="AH68" s="3"/>
      <c r="AI68" s="3"/>
      <c r="AJ68" s="3"/>
      <c r="AK68" s="615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87"/>
      <c r="BA68" s="3"/>
      <c r="BB68" s="3"/>
      <c r="BC68" s="3"/>
    </row>
    <row r="69" spans="1:55" ht="15.75" customHeight="1">
      <c r="A69" s="3"/>
      <c r="B69" s="3"/>
      <c r="C69" s="3"/>
      <c r="D69" s="3"/>
      <c r="E69" s="3"/>
      <c r="F69" s="61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615"/>
      <c r="AH69" s="3"/>
      <c r="AI69" s="3"/>
      <c r="AJ69" s="3"/>
      <c r="AK69" s="615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87"/>
      <c r="BA69" s="3"/>
      <c r="BB69" s="3"/>
      <c r="BC69" s="3"/>
    </row>
    <row r="70" spans="1:55" ht="15.75" customHeight="1">
      <c r="A70" s="3"/>
      <c r="B70" s="3"/>
      <c r="C70" s="3"/>
      <c r="D70" s="3"/>
      <c r="E70" s="3"/>
      <c r="F70" s="61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615"/>
      <c r="AH70" s="3"/>
      <c r="AI70" s="3"/>
      <c r="AJ70" s="3"/>
      <c r="AK70" s="615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87"/>
      <c r="BA70" s="3"/>
      <c r="BB70" s="3"/>
      <c r="BC70" s="3"/>
    </row>
    <row r="71" spans="1:55" ht="15.75" customHeight="1">
      <c r="A71" s="3"/>
      <c r="B71" s="3"/>
      <c r="C71" s="3"/>
      <c r="D71" s="3"/>
      <c r="E71" s="3"/>
      <c r="F71" s="61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615"/>
      <c r="AH71" s="3"/>
      <c r="AI71" s="3"/>
      <c r="AJ71" s="3"/>
      <c r="AK71" s="615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87"/>
      <c r="BA71" s="3"/>
      <c r="BB71" s="3"/>
      <c r="BC71" s="3"/>
    </row>
    <row r="72" spans="1:55" ht="15.75" customHeight="1">
      <c r="A72" s="3"/>
      <c r="B72" s="3"/>
      <c r="C72" s="3"/>
      <c r="D72" s="3"/>
      <c r="E72" s="3"/>
      <c r="F72" s="61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615"/>
      <c r="AH72" s="3"/>
      <c r="AI72" s="3"/>
      <c r="AJ72" s="3"/>
      <c r="AK72" s="615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87"/>
      <c r="BA72" s="3"/>
      <c r="BB72" s="3"/>
      <c r="BC72" s="3"/>
    </row>
    <row r="73" spans="1:55" ht="15.75" customHeight="1">
      <c r="A73" s="3"/>
      <c r="B73" s="3"/>
      <c r="C73" s="3"/>
      <c r="D73" s="3"/>
      <c r="E73" s="3"/>
      <c r="F73" s="61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615"/>
      <c r="AH73" s="3"/>
      <c r="AI73" s="3"/>
      <c r="AJ73" s="3"/>
      <c r="AK73" s="615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87"/>
      <c r="BA73" s="3"/>
      <c r="BB73" s="3"/>
      <c r="BC73" s="3"/>
    </row>
    <row r="74" spans="1:55" ht="15.75" customHeight="1">
      <c r="A74" s="3"/>
      <c r="B74" s="3"/>
      <c r="C74" s="3"/>
      <c r="D74" s="3"/>
      <c r="E74" s="3"/>
      <c r="F74" s="61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615"/>
      <c r="AH74" s="3"/>
      <c r="AI74" s="3"/>
      <c r="AJ74" s="3"/>
      <c r="AK74" s="615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87"/>
      <c r="BA74" s="3"/>
      <c r="BB74" s="3"/>
      <c r="BC74" s="3"/>
    </row>
    <row r="75" spans="1:55" ht="15.75" customHeight="1">
      <c r="A75" s="3"/>
      <c r="B75" s="3"/>
      <c r="C75" s="3"/>
      <c r="D75" s="3"/>
      <c r="E75" s="3"/>
      <c r="F75" s="61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615"/>
      <c r="AH75" s="3"/>
      <c r="AI75" s="3"/>
      <c r="AJ75" s="3"/>
      <c r="AK75" s="615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87"/>
      <c r="BA75" s="3"/>
      <c r="BB75" s="3"/>
      <c r="BC75" s="3"/>
    </row>
    <row r="76" spans="1:55" ht="15.75" customHeight="1">
      <c r="A76" s="3"/>
      <c r="B76" s="3"/>
      <c r="C76" s="3"/>
      <c r="D76" s="3"/>
      <c r="E76" s="3"/>
      <c r="F76" s="61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615"/>
      <c r="AH76" s="3"/>
      <c r="AI76" s="3"/>
      <c r="AJ76" s="3"/>
      <c r="AK76" s="615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87"/>
      <c r="BA76" s="3"/>
      <c r="BB76" s="3"/>
      <c r="BC76" s="3"/>
    </row>
    <row r="77" spans="1:55" ht="15.75" customHeight="1">
      <c r="A77" s="3"/>
      <c r="B77" s="3"/>
      <c r="C77" s="3"/>
      <c r="D77" s="3"/>
      <c r="E77" s="3"/>
      <c r="F77" s="61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615"/>
      <c r="AH77" s="3"/>
      <c r="AI77" s="3"/>
      <c r="AJ77" s="3"/>
      <c r="AK77" s="615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87"/>
      <c r="BA77" s="3"/>
      <c r="BB77" s="3"/>
      <c r="BC77" s="3"/>
    </row>
    <row r="78" spans="1:55" ht="15.75" customHeight="1">
      <c r="A78" s="3"/>
      <c r="B78" s="3"/>
      <c r="C78" s="3"/>
      <c r="D78" s="3"/>
      <c r="E78" s="3"/>
      <c r="F78" s="61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615"/>
      <c r="AH78" s="3"/>
      <c r="AI78" s="3"/>
      <c r="AJ78" s="3"/>
      <c r="AK78" s="615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87"/>
      <c r="BA78" s="3"/>
      <c r="BB78" s="3"/>
      <c r="BC78" s="3"/>
    </row>
    <row r="79" spans="1:55" ht="15.75" customHeight="1">
      <c r="A79" s="3"/>
      <c r="B79" s="3"/>
      <c r="C79" s="3"/>
      <c r="D79" s="3"/>
      <c r="E79" s="3"/>
      <c r="F79" s="61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615"/>
      <c r="AH79" s="3"/>
      <c r="AI79" s="3"/>
      <c r="AJ79" s="3"/>
      <c r="AK79" s="615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87"/>
      <c r="BA79" s="3"/>
      <c r="BB79" s="3"/>
      <c r="BC79" s="3"/>
    </row>
    <row r="80" spans="1:55" ht="15.75" customHeight="1">
      <c r="A80" s="3"/>
      <c r="B80" s="3"/>
      <c r="C80" s="3"/>
      <c r="D80" s="3"/>
      <c r="E80" s="3"/>
      <c r="F80" s="61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615"/>
      <c r="AH80" s="3"/>
      <c r="AI80" s="3"/>
      <c r="AJ80" s="3"/>
      <c r="AK80" s="615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87"/>
      <c r="BA80" s="3"/>
      <c r="BB80" s="3"/>
      <c r="BC80" s="3"/>
    </row>
    <row r="81" spans="1:55" ht="15.75" customHeight="1">
      <c r="A81" s="3"/>
      <c r="B81" s="3"/>
      <c r="C81" s="3"/>
      <c r="D81" s="3"/>
      <c r="E81" s="3"/>
      <c r="F81" s="61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615"/>
      <c r="AH81" s="3"/>
      <c r="AI81" s="3"/>
      <c r="AJ81" s="3"/>
      <c r="AK81" s="615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87"/>
      <c r="BA81" s="3"/>
      <c r="BB81" s="3"/>
      <c r="BC81" s="3"/>
    </row>
    <row r="82" spans="1:55" ht="15.75" customHeight="1">
      <c r="A82" s="3"/>
      <c r="B82" s="3"/>
      <c r="C82" s="3"/>
      <c r="D82" s="3"/>
      <c r="E82" s="3"/>
      <c r="F82" s="61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615"/>
      <c r="AH82" s="3"/>
      <c r="AI82" s="3"/>
      <c r="AJ82" s="3"/>
      <c r="AK82" s="615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87"/>
      <c r="BA82" s="3"/>
      <c r="BB82" s="3"/>
      <c r="BC82" s="3"/>
    </row>
    <row r="83" spans="1:55" ht="15.75" customHeight="1">
      <c r="A83" s="3"/>
      <c r="B83" s="3"/>
      <c r="C83" s="3"/>
      <c r="D83" s="3"/>
      <c r="E83" s="3"/>
      <c r="F83" s="61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615"/>
      <c r="AH83" s="3"/>
      <c r="AI83" s="3"/>
      <c r="AJ83" s="3"/>
      <c r="AK83" s="615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87"/>
      <c r="BA83" s="3"/>
      <c r="BB83" s="3"/>
      <c r="BC83" s="3"/>
    </row>
    <row r="84" spans="1:55" ht="15.75" customHeight="1">
      <c r="A84" s="3"/>
      <c r="B84" s="3"/>
      <c r="C84" s="3"/>
      <c r="D84" s="3"/>
      <c r="E84" s="3"/>
      <c r="F84" s="61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615"/>
      <c r="AH84" s="3"/>
      <c r="AI84" s="3"/>
      <c r="AJ84" s="3"/>
      <c r="AK84" s="615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87"/>
      <c r="BA84" s="3"/>
      <c r="BB84" s="3"/>
      <c r="BC84" s="3"/>
    </row>
    <row r="85" spans="1:55" ht="15.75" customHeight="1">
      <c r="A85" s="3"/>
      <c r="B85" s="3"/>
      <c r="C85" s="3"/>
      <c r="D85" s="3"/>
      <c r="E85" s="3"/>
      <c r="F85" s="61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615"/>
      <c r="AH85" s="3"/>
      <c r="AI85" s="3"/>
      <c r="AJ85" s="3"/>
      <c r="AK85" s="615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87"/>
      <c r="BA85" s="3"/>
      <c r="BB85" s="3"/>
      <c r="BC85" s="3"/>
    </row>
    <row r="86" spans="1:55" ht="15.75" customHeight="1">
      <c r="A86" s="3"/>
      <c r="B86" s="3"/>
      <c r="C86" s="3"/>
      <c r="D86" s="3"/>
      <c r="E86" s="3"/>
      <c r="F86" s="61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615"/>
      <c r="AH86" s="3"/>
      <c r="AI86" s="3"/>
      <c r="AJ86" s="3"/>
      <c r="AK86" s="615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87"/>
      <c r="BA86" s="3"/>
      <c r="BB86" s="3"/>
      <c r="BC86" s="3"/>
    </row>
    <row r="87" spans="1:55" ht="15.75" customHeight="1">
      <c r="A87" s="3"/>
      <c r="B87" s="3"/>
      <c r="C87" s="3"/>
      <c r="D87" s="3"/>
      <c r="E87" s="3"/>
      <c r="F87" s="61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615"/>
      <c r="AH87" s="3"/>
      <c r="AI87" s="3"/>
      <c r="AJ87" s="3"/>
      <c r="AK87" s="615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87"/>
      <c r="BA87" s="3"/>
      <c r="BB87" s="3"/>
      <c r="BC87" s="3"/>
    </row>
    <row r="88" spans="1:55" ht="15.75" customHeight="1">
      <c r="A88" s="3"/>
      <c r="B88" s="3"/>
      <c r="C88" s="3"/>
      <c r="D88" s="3"/>
      <c r="E88" s="3"/>
      <c r="F88" s="61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615"/>
      <c r="AH88" s="3"/>
      <c r="AI88" s="3"/>
      <c r="AJ88" s="3"/>
      <c r="AK88" s="615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87"/>
      <c r="BA88" s="3"/>
      <c r="BB88" s="3"/>
      <c r="BC88" s="3"/>
    </row>
    <row r="89" spans="1:55" ht="15.75" customHeight="1">
      <c r="A89" s="3"/>
      <c r="B89" s="3"/>
      <c r="C89" s="3"/>
      <c r="D89" s="3"/>
      <c r="E89" s="3"/>
      <c r="F89" s="61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615"/>
      <c r="AH89" s="3"/>
      <c r="AI89" s="3"/>
      <c r="AJ89" s="3"/>
      <c r="AK89" s="615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87"/>
      <c r="BA89" s="3"/>
      <c r="BB89" s="3"/>
      <c r="BC89" s="3"/>
    </row>
    <row r="90" spans="1:55" ht="15.75" customHeight="1">
      <c r="A90" s="3"/>
      <c r="B90" s="3"/>
      <c r="C90" s="3"/>
      <c r="D90" s="3"/>
      <c r="E90" s="3"/>
      <c r="F90" s="61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615"/>
      <c r="AH90" s="3"/>
      <c r="AI90" s="3"/>
      <c r="AJ90" s="3"/>
      <c r="AK90" s="615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87"/>
      <c r="BA90" s="3"/>
      <c r="BB90" s="3"/>
      <c r="BC90" s="3"/>
    </row>
    <row r="91" spans="1:55" ht="15.75" customHeight="1">
      <c r="A91" s="3"/>
      <c r="B91" s="3"/>
      <c r="C91" s="3"/>
      <c r="D91" s="3"/>
      <c r="E91" s="3"/>
      <c r="F91" s="61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615"/>
      <c r="AH91" s="3"/>
      <c r="AI91" s="3"/>
      <c r="AJ91" s="3"/>
      <c r="AK91" s="615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87"/>
      <c r="BA91" s="3"/>
      <c r="BB91" s="3"/>
      <c r="BC91" s="3"/>
    </row>
    <row r="92" spans="1:55" ht="15.75" customHeight="1">
      <c r="A92" s="3"/>
      <c r="B92" s="3"/>
      <c r="C92" s="3"/>
      <c r="D92" s="3"/>
      <c r="E92" s="3"/>
      <c r="F92" s="61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615"/>
      <c r="AH92" s="3"/>
      <c r="AI92" s="3"/>
      <c r="AJ92" s="3"/>
      <c r="AK92" s="615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87"/>
      <c r="BA92" s="3"/>
      <c r="BB92" s="3"/>
      <c r="BC92" s="3"/>
    </row>
    <row r="93" spans="1:55" ht="15.75" customHeight="1">
      <c r="A93" s="3"/>
      <c r="B93" s="3"/>
      <c r="C93" s="3"/>
      <c r="D93" s="3"/>
      <c r="E93" s="3"/>
      <c r="F93" s="61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615"/>
      <c r="AH93" s="3"/>
      <c r="AI93" s="3"/>
      <c r="AJ93" s="3"/>
      <c r="AK93" s="615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87"/>
      <c r="BA93" s="3"/>
      <c r="BB93" s="3"/>
      <c r="BC93" s="3"/>
    </row>
    <row r="94" spans="1:55" ht="15.75" customHeight="1">
      <c r="A94" s="3"/>
      <c r="B94" s="3"/>
      <c r="C94" s="3"/>
      <c r="D94" s="3"/>
      <c r="E94" s="3"/>
      <c r="F94" s="61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615"/>
      <c r="AH94" s="3"/>
      <c r="AI94" s="3"/>
      <c r="AJ94" s="3"/>
      <c r="AK94" s="615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87"/>
      <c r="BA94" s="3"/>
      <c r="BB94" s="3"/>
      <c r="BC94" s="3"/>
    </row>
    <row r="95" spans="1:55" ht="15.75" customHeight="1">
      <c r="A95" s="3"/>
      <c r="B95" s="3"/>
      <c r="C95" s="3"/>
      <c r="D95" s="3"/>
      <c r="E95" s="3"/>
      <c r="F95" s="61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615"/>
      <c r="AH95" s="3"/>
      <c r="AI95" s="3"/>
      <c r="AJ95" s="3"/>
      <c r="AK95" s="615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87"/>
      <c r="BA95" s="3"/>
      <c r="BB95" s="3"/>
      <c r="BC95" s="3"/>
    </row>
    <row r="96" spans="1:55" ht="15.75" customHeight="1">
      <c r="A96" s="3"/>
      <c r="B96" s="3"/>
      <c r="C96" s="3"/>
      <c r="D96" s="3"/>
      <c r="E96" s="3"/>
      <c r="F96" s="61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615"/>
      <c r="AH96" s="3"/>
      <c r="AI96" s="3"/>
      <c r="AJ96" s="3"/>
      <c r="AK96" s="615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87"/>
      <c r="BA96" s="3"/>
      <c r="BB96" s="3"/>
      <c r="BC96" s="3"/>
    </row>
    <row r="97" spans="1:55" ht="15.75" customHeight="1">
      <c r="A97" s="3"/>
      <c r="B97" s="3"/>
      <c r="C97" s="3"/>
      <c r="D97" s="3"/>
      <c r="E97" s="3"/>
      <c r="F97" s="61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615"/>
      <c r="AH97" s="3"/>
      <c r="AI97" s="3"/>
      <c r="AJ97" s="3"/>
      <c r="AK97" s="615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87"/>
      <c r="BA97" s="3"/>
      <c r="BB97" s="3"/>
      <c r="BC97" s="3"/>
    </row>
    <row r="98" spans="1:55" ht="15.75" customHeight="1">
      <c r="A98" s="3"/>
      <c r="B98" s="3"/>
      <c r="C98" s="3"/>
      <c r="D98" s="3"/>
      <c r="E98" s="3"/>
      <c r="F98" s="61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615"/>
      <c r="AH98" s="3"/>
      <c r="AI98" s="3"/>
      <c r="AJ98" s="3"/>
      <c r="AK98" s="615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87"/>
      <c r="BA98" s="3"/>
      <c r="BB98" s="3"/>
      <c r="BC98" s="3"/>
    </row>
    <row r="99" spans="1:55" ht="15.75" customHeight="1">
      <c r="A99" s="3"/>
      <c r="B99" s="3"/>
      <c r="C99" s="3"/>
      <c r="D99" s="3"/>
      <c r="E99" s="3"/>
      <c r="F99" s="61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615"/>
      <c r="AH99" s="3"/>
      <c r="AI99" s="3"/>
      <c r="AJ99" s="3"/>
      <c r="AK99" s="615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87"/>
      <c r="BA99" s="3"/>
      <c r="BB99" s="3"/>
      <c r="BC99" s="3"/>
    </row>
    <row r="100" spans="1:55" ht="15.75" customHeight="1">
      <c r="A100" s="3"/>
      <c r="B100" s="3"/>
      <c r="C100" s="3"/>
      <c r="D100" s="3"/>
      <c r="E100" s="3"/>
      <c r="F100" s="61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615"/>
      <c r="AH100" s="3"/>
      <c r="AI100" s="3"/>
      <c r="AJ100" s="3"/>
      <c r="AK100" s="615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87"/>
      <c r="BA100" s="3"/>
      <c r="BB100" s="3"/>
      <c r="BC100" s="3"/>
    </row>
    <row r="101" spans="1:55" ht="15.75" customHeight="1">
      <c r="A101" s="3"/>
      <c r="B101" s="3"/>
      <c r="C101" s="3"/>
      <c r="D101" s="3"/>
      <c r="E101" s="3"/>
      <c r="F101" s="61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615"/>
      <c r="AH101" s="3"/>
      <c r="AI101" s="3"/>
      <c r="AJ101" s="3"/>
      <c r="AK101" s="615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87"/>
      <c r="BA101" s="3"/>
      <c r="BB101" s="3"/>
      <c r="BC101" s="3"/>
    </row>
    <row r="102" spans="1:55" ht="15.75" customHeight="1">
      <c r="A102" s="3"/>
      <c r="B102" s="3"/>
      <c r="C102" s="3"/>
      <c r="D102" s="3"/>
      <c r="E102" s="3"/>
      <c r="F102" s="61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615"/>
      <c r="AH102" s="3"/>
      <c r="AI102" s="3"/>
      <c r="AJ102" s="3"/>
      <c r="AK102" s="615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87"/>
      <c r="BA102" s="3"/>
      <c r="BB102" s="3"/>
      <c r="BC102" s="3"/>
    </row>
    <row r="103" spans="1:55" ht="15.75" customHeight="1">
      <c r="A103" s="3"/>
      <c r="B103" s="3"/>
      <c r="C103" s="3"/>
      <c r="D103" s="3"/>
      <c r="E103" s="3"/>
      <c r="F103" s="61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615"/>
      <c r="AH103" s="3"/>
      <c r="AI103" s="3"/>
      <c r="AJ103" s="3"/>
      <c r="AK103" s="615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87"/>
      <c r="BA103" s="3"/>
      <c r="BB103" s="3"/>
      <c r="BC103" s="3"/>
    </row>
    <row r="104" spans="1:55" ht="15.75" customHeight="1">
      <c r="A104" s="3"/>
      <c r="B104" s="3"/>
      <c r="C104" s="3"/>
      <c r="D104" s="3"/>
      <c r="E104" s="3"/>
      <c r="F104" s="61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615"/>
      <c r="AH104" s="3"/>
      <c r="AI104" s="3"/>
      <c r="AJ104" s="3"/>
      <c r="AK104" s="615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87"/>
      <c r="BA104" s="3"/>
      <c r="BB104" s="3"/>
      <c r="BC104" s="3"/>
    </row>
    <row r="105" spans="1:55" ht="15.75" customHeight="1">
      <c r="A105" s="3"/>
      <c r="B105" s="3"/>
      <c r="C105" s="3"/>
      <c r="D105" s="3"/>
      <c r="E105" s="3"/>
      <c r="F105" s="61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615"/>
      <c r="AH105" s="3"/>
      <c r="AI105" s="3"/>
      <c r="AJ105" s="3"/>
      <c r="AK105" s="615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87"/>
      <c r="BA105" s="3"/>
      <c r="BB105" s="3"/>
      <c r="BC105" s="3"/>
    </row>
    <row r="106" spans="1:55" ht="15.75" customHeight="1">
      <c r="A106" s="3"/>
      <c r="B106" s="3"/>
      <c r="C106" s="3"/>
      <c r="D106" s="3"/>
      <c r="E106" s="3"/>
      <c r="F106" s="61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615"/>
      <c r="AH106" s="3"/>
      <c r="AI106" s="3"/>
      <c r="AJ106" s="3"/>
      <c r="AK106" s="615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87"/>
      <c r="BA106" s="3"/>
      <c r="BB106" s="3"/>
      <c r="BC106" s="3"/>
    </row>
    <row r="107" spans="1:55" ht="15.75" customHeight="1">
      <c r="A107" s="3"/>
      <c r="B107" s="3"/>
      <c r="C107" s="3"/>
      <c r="D107" s="3"/>
      <c r="E107" s="3"/>
      <c r="F107" s="61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615"/>
      <c r="AH107" s="3"/>
      <c r="AI107" s="3"/>
      <c r="AJ107" s="3"/>
      <c r="AK107" s="615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87"/>
      <c r="BA107" s="3"/>
      <c r="BB107" s="3"/>
      <c r="BC107" s="3"/>
    </row>
    <row r="108" spans="1:55" ht="15.75" customHeight="1">
      <c r="A108" s="3"/>
      <c r="B108" s="3"/>
      <c r="C108" s="3"/>
      <c r="D108" s="3"/>
      <c r="E108" s="3"/>
      <c r="F108" s="61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615"/>
      <c r="AH108" s="3"/>
      <c r="AI108" s="3"/>
      <c r="AJ108" s="3"/>
      <c r="AK108" s="615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87"/>
      <c r="BA108" s="3"/>
      <c r="BB108" s="3"/>
      <c r="BC108" s="3"/>
    </row>
    <row r="109" spans="1:55" ht="15.75" customHeight="1">
      <c r="A109" s="3"/>
      <c r="B109" s="3"/>
      <c r="C109" s="3"/>
      <c r="D109" s="3"/>
      <c r="E109" s="3"/>
      <c r="F109" s="61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615"/>
      <c r="AH109" s="3"/>
      <c r="AI109" s="3"/>
      <c r="AJ109" s="3"/>
      <c r="AK109" s="615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87"/>
      <c r="BA109" s="3"/>
      <c r="BB109" s="3"/>
      <c r="BC109" s="3"/>
    </row>
    <row r="110" spans="1:55" ht="15.75" customHeight="1">
      <c r="A110" s="3"/>
      <c r="B110" s="3"/>
      <c r="C110" s="3"/>
      <c r="D110" s="3"/>
      <c r="E110" s="3"/>
      <c r="F110" s="61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615"/>
      <c r="AH110" s="3"/>
      <c r="AI110" s="3"/>
      <c r="AJ110" s="3"/>
      <c r="AK110" s="615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87"/>
      <c r="BA110" s="3"/>
      <c r="BB110" s="3"/>
      <c r="BC110" s="3"/>
    </row>
    <row r="111" spans="1:55" ht="15.75" customHeight="1">
      <c r="A111" s="3"/>
      <c r="B111" s="3"/>
      <c r="C111" s="3"/>
      <c r="D111" s="3"/>
      <c r="E111" s="3"/>
      <c r="F111" s="61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615"/>
      <c r="AH111" s="3"/>
      <c r="AI111" s="3"/>
      <c r="AJ111" s="3"/>
      <c r="AK111" s="615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87"/>
      <c r="BA111" s="3"/>
      <c r="BB111" s="3"/>
      <c r="BC111" s="3"/>
    </row>
    <row r="112" spans="1:55" ht="15.75" customHeight="1">
      <c r="A112" s="3"/>
      <c r="B112" s="3"/>
      <c r="C112" s="3"/>
      <c r="D112" s="3"/>
      <c r="E112" s="3"/>
      <c r="F112" s="61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615"/>
      <c r="AH112" s="3"/>
      <c r="AI112" s="3"/>
      <c r="AJ112" s="3"/>
      <c r="AK112" s="615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87"/>
      <c r="BA112" s="3"/>
      <c r="BB112" s="3"/>
      <c r="BC112" s="3"/>
    </row>
    <row r="113" spans="1:55" ht="15.75" customHeight="1">
      <c r="A113" s="3"/>
      <c r="B113" s="3"/>
      <c r="C113" s="3"/>
      <c r="D113" s="3"/>
      <c r="E113" s="3"/>
      <c r="F113" s="61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615"/>
      <c r="AH113" s="3"/>
      <c r="AI113" s="3"/>
      <c r="AJ113" s="3"/>
      <c r="AK113" s="615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87"/>
      <c r="BA113" s="3"/>
      <c r="BB113" s="3"/>
      <c r="BC113" s="3"/>
    </row>
    <row r="114" spans="1:55" ht="15.75" customHeight="1">
      <c r="A114" s="3"/>
      <c r="B114" s="3"/>
      <c r="C114" s="3"/>
      <c r="D114" s="3"/>
      <c r="E114" s="3"/>
      <c r="F114" s="61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615"/>
      <c r="AH114" s="3"/>
      <c r="AI114" s="3"/>
      <c r="AJ114" s="3"/>
      <c r="AK114" s="615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87"/>
      <c r="BA114" s="3"/>
      <c r="BB114" s="3"/>
      <c r="BC114" s="3"/>
    </row>
    <row r="115" spans="1:55" ht="15.75" customHeight="1">
      <c r="A115" s="3"/>
      <c r="B115" s="3"/>
      <c r="C115" s="3"/>
      <c r="D115" s="3"/>
      <c r="E115" s="3"/>
      <c r="F115" s="61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615"/>
      <c r="AH115" s="3"/>
      <c r="AI115" s="3"/>
      <c r="AJ115" s="3"/>
      <c r="AK115" s="615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87"/>
      <c r="BA115" s="3"/>
      <c r="BB115" s="3"/>
      <c r="BC115" s="3"/>
    </row>
    <row r="116" spans="1:55" ht="15.75" customHeight="1">
      <c r="A116" s="3"/>
      <c r="B116" s="3"/>
      <c r="C116" s="3"/>
      <c r="D116" s="3"/>
      <c r="E116" s="3"/>
      <c r="F116" s="61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615"/>
      <c r="AH116" s="3"/>
      <c r="AI116" s="3"/>
      <c r="AJ116" s="3"/>
      <c r="AK116" s="615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87"/>
      <c r="BA116" s="3"/>
      <c r="BB116" s="3"/>
      <c r="BC116" s="3"/>
    </row>
    <row r="117" spans="1:55" ht="15.75" customHeight="1">
      <c r="A117" s="3"/>
      <c r="B117" s="3"/>
      <c r="C117" s="3"/>
      <c r="D117" s="3"/>
      <c r="E117" s="3"/>
      <c r="F117" s="61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615"/>
      <c r="AH117" s="3"/>
      <c r="AI117" s="3"/>
      <c r="AJ117" s="3"/>
      <c r="AK117" s="615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87"/>
      <c r="BA117" s="3"/>
      <c r="BB117" s="3"/>
      <c r="BC117" s="3"/>
    </row>
    <row r="118" spans="1:55" ht="15.75" customHeight="1">
      <c r="A118" s="3"/>
      <c r="B118" s="3"/>
      <c r="C118" s="3"/>
      <c r="D118" s="3"/>
      <c r="E118" s="3"/>
      <c r="F118" s="61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615"/>
      <c r="AH118" s="3"/>
      <c r="AI118" s="3"/>
      <c r="AJ118" s="3"/>
      <c r="AK118" s="615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87"/>
      <c r="BA118" s="3"/>
      <c r="BB118" s="3"/>
      <c r="BC118" s="3"/>
    </row>
    <row r="119" spans="1:55" ht="15.75" customHeight="1">
      <c r="A119" s="3"/>
      <c r="B119" s="3"/>
      <c r="C119" s="3"/>
      <c r="D119" s="3"/>
      <c r="E119" s="3"/>
      <c r="F119" s="61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615"/>
      <c r="AH119" s="3"/>
      <c r="AI119" s="3"/>
      <c r="AJ119" s="3"/>
      <c r="AK119" s="615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87"/>
      <c r="BA119" s="3"/>
      <c r="BB119" s="3"/>
      <c r="BC119" s="3"/>
    </row>
    <row r="120" spans="1:55" ht="15.75" customHeight="1">
      <c r="A120" s="3"/>
      <c r="B120" s="3"/>
      <c r="C120" s="3"/>
      <c r="D120" s="3"/>
      <c r="E120" s="3"/>
      <c r="F120" s="61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615"/>
      <c r="AH120" s="3"/>
      <c r="AI120" s="3"/>
      <c r="AJ120" s="3"/>
      <c r="AK120" s="615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87"/>
      <c r="BA120" s="3"/>
      <c r="BB120" s="3"/>
      <c r="BC120" s="3"/>
    </row>
    <row r="121" spans="1:55" ht="15.75" customHeight="1">
      <c r="A121" s="3"/>
      <c r="B121" s="3"/>
      <c r="C121" s="3"/>
      <c r="D121" s="3"/>
      <c r="E121" s="3"/>
      <c r="F121" s="61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615"/>
      <c r="AH121" s="3"/>
      <c r="AI121" s="3"/>
      <c r="AJ121" s="3"/>
      <c r="AK121" s="615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87"/>
      <c r="BA121" s="3"/>
      <c r="BB121" s="3"/>
      <c r="BC121" s="3"/>
    </row>
    <row r="122" spans="1:55" ht="15.75" customHeight="1">
      <c r="A122" s="3"/>
      <c r="B122" s="3"/>
      <c r="C122" s="3"/>
      <c r="D122" s="3"/>
      <c r="E122" s="3"/>
      <c r="F122" s="61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615"/>
      <c r="AH122" s="3"/>
      <c r="AI122" s="3"/>
      <c r="AJ122" s="3"/>
      <c r="AK122" s="615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87"/>
      <c r="BA122" s="3"/>
      <c r="BB122" s="3"/>
      <c r="BC122" s="3"/>
    </row>
    <row r="123" spans="1:55" ht="15.75" customHeight="1">
      <c r="A123" s="3"/>
      <c r="B123" s="3"/>
      <c r="C123" s="3"/>
      <c r="D123" s="3"/>
      <c r="E123" s="3"/>
      <c r="F123" s="61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615"/>
      <c r="AH123" s="3"/>
      <c r="AI123" s="3"/>
      <c r="AJ123" s="3"/>
      <c r="AK123" s="615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87"/>
      <c r="BA123" s="3"/>
      <c r="BB123" s="3"/>
      <c r="BC123" s="3"/>
    </row>
    <row r="124" spans="1:55" ht="15.75" customHeight="1">
      <c r="A124" s="3"/>
      <c r="B124" s="3"/>
      <c r="C124" s="3"/>
      <c r="D124" s="3"/>
      <c r="E124" s="3"/>
      <c r="F124" s="61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615"/>
      <c r="AH124" s="3"/>
      <c r="AI124" s="3"/>
      <c r="AJ124" s="3"/>
      <c r="AK124" s="615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87"/>
      <c r="BA124" s="3"/>
      <c r="BB124" s="3"/>
      <c r="BC124" s="3"/>
    </row>
    <row r="125" spans="1:55" ht="15.75" customHeight="1">
      <c r="A125" s="3"/>
      <c r="B125" s="3"/>
      <c r="C125" s="3"/>
      <c r="D125" s="3"/>
      <c r="E125" s="3"/>
      <c r="F125" s="61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615"/>
      <c r="AH125" s="3"/>
      <c r="AI125" s="3"/>
      <c r="AJ125" s="3"/>
      <c r="AK125" s="615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87"/>
      <c r="BA125" s="3"/>
      <c r="BB125" s="3"/>
      <c r="BC125" s="3"/>
    </row>
    <row r="126" spans="1:55" ht="15.75" customHeight="1">
      <c r="A126" s="3"/>
      <c r="B126" s="3"/>
      <c r="C126" s="3"/>
      <c r="D126" s="3"/>
      <c r="E126" s="3"/>
      <c r="F126" s="61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615"/>
      <c r="AH126" s="3"/>
      <c r="AI126" s="3"/>
      <c r="AJ126" s="3"/>
      <c r="AK126" s="615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87"/>
      <c r="BA126" s="3"/>
      <c r="BB126" s="3"/>
      <c r="BC126" s="3"/>
    </row>
    <row r="127" spans="1:55" ht="15.75" customHeight="1">
      <c r="A127" s="3"/>
      <c r="B127" s="3"/>
      <c r="C127" s="3"/>
      <c r="D127" s="3"/>
      <c r="E127" s="3"/>
      <c r="F127" s="61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615"/>
      <c r="AH127" s="3"/>
      <c r="AI127" s="3"/>
      <c r="AJ127" s="3"/>
      <c r="AK127" s="615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87"/>
      <c r="BA127" s="3"/>
      <c r="BB127" s="3"/>
      <c r="BC127" s="3"/>
    </row>
    <row r="128" spans="1:55" ht="15.75" customHeight="1">
      <c r="A128" s="3"/>
      <c r="B128" s="3"/>
      <c r="C128" s="3"/>
      <c r="D128" s="3"/>
      <c r="E128" s="3"/>
      <c r="F128" s="61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615"/>
      <c r="AH128" s="3"/>
      <c r="AI128" s="3"/>
      <c r="AJ128" s="3"/>
      <c r="AK128" s="615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87"/>
      <c r="BA128" s="3"/>
      <c r="BB128" s="3"/>
      <c r="BC128" s="3"/>
    </row>
    <row r="129" spans="1:55" ht="15.75" customHeight="1">
      <c r="A129" s="3"/>
      <c r="B129" s="3"/>
      <c r="C129" s="3"/>
      <c r="D129" s="3"/>
      <c r="E129" s="3"/>
      <c r="F129" s="61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615"/>
      <c r="AH129" s="3"/>
      <c r="AI129" s="3"/>
      <c r="AJ129" s="3"/>
      <c r="AK129" s="615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87"/>
      <c r="BA129" s="3"/>
      <c r="BB129" s="3"/>
      <c r="BC129" s="3"/>
    </row>
    <row r="130" spans="1:55" ht="15.75" customHeight="1">
      <c r="A130" s="3"/>
      <c r="B130" s="3"/>
      <c r="C130" s="3"/>
      <c r="D130" s="3"/>
      <c r="E130" s="3"/>
      <c r="F130" s="61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615"/>
      <c r="AH130" s="3"/>
      <c r="AI130" s="3"/>
      <c r="AJ130" s="3"/>
      <c r="AK130" s="615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87"/>
      <c r="BA130" s="3"/>
      <c r="BB130" s="3"/>
      <c r="BC130" s="3"/>
    </row>
    <row r="131" spans="1:55" ht="15.75" customHeight="1">
      <c r="A131" s="3"/>
      <c r="B131" s="3"/>
      <c r="C131" s="3"/>
      <c r="D131" s="3"/>
      <c r="E131" s="3"/>
      <c r="F131" s="61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615"/>
      <c r="AH131" s="3"/>
      <c r="AI131" s="3"/>
      <c r="AJ131" s="3"/>
      <c r="AK131" s="615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87"/>
      <c r="BA131" s="3"/>
      <c r="BB131" s="3"/>
      <c r="BC131" s="3"/>
    </row>
    <row r="132" spans="1:55" ht="15.75" customHeight="1">
      <c r="A132" s="3"/>
      <c r="B132" s="3"/>
      <c r="C132" s="3"/>
      <c r="D132" s="3"/>
      <c r="E132" s="3"/>
      <c r="F132" s="61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615"/>
      <c r="AH132" s="3"/>
      <c r="AI132" s="3"/>
      <c r="AJ132" s="3"/>
      <c r="AK132" s="615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87"/>
      <c r="BA132" s="3"/>
      <c r="BB132" s="3"/>
      <c r="BC132" s="3"/>
    </row>
    <row r="133" spans="1:55" ht="15.75" customHeight="1">
      <c r="A133" s="3"/>
      <c r="B133" s="3"/>
      <c r="C133" s="3"/>
      <c r="D133" s="3"/>
      <c r="E133" s="3"/>
      <c r="F133" s="61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615"/>
      <c r="AH133" s="3"/>
      <c r="AI133" s="3"/>
      <c r="AJ133" s="3"/>
      <c r="AK133" s="615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87"/>
      <c r="BA133" s="3"/>
      <c r="BB133" s="3"/>
      <c r="BC133" s="3"/>
    </row>
    <row r="134" spans="1:55" ht="15.75" customHeight="1">
      <c r="A134" s="3"/>
      <c r="B134" s="3"/>
      <c r="C134" s="3"/>
      <c r="D134" s="3"/>
      <c r="E134" s="3"/>
      <c r="F134" s="61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615"/>
      <c r="AH134" s="3"/>
      <c r="AI134" s="3"/>
      <c r="AJ134" s="3"/>
      <c r="AK134" s="615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87"/>
      <c r="BA134" s="3"/>
      <c r="BB134" s="3"/>
      <c r="BC134" s="3"/>
    </row>
    <row r="135" spans="1:55" ht="15.75" customHeight="1">
      <c r="A135" s="3"/>
      <c r="B135" s="3"/>
      <c r="C135" s="3"/>
      <c r="D135" s="3"/>
      <c r="E135" s="3"/>
      <c r="F135" s="61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615"/>
      <c r="AH135" s="3"/>
      <c r="AI135" s="3"/>
      <c r="AJ135" s="3"/>
      <c r="AK135" s="615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87"/>
      <c r="BA135" s="3"/>
      <c r="BB135" s="3"/>
      <c r="BC135" s="3"/>
    </row>
    <row r="136" spans="1:55" ht="15.75" customHeight="1">
      <c r="A136" s="3"/>
      <c r="B136" s="3"/>
      <c r="C136" s="3"/>
      <c r="D136" s="3"/>
      <c r="E136" s="3"/>
      <c r="F136" s="61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615"/>
      <c r="AH136" s="3"/>
      <c r="AI136" s="3"/>
      <c r="AJ136" s="3"/>
      <c r="AK136" s="615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87"/>
      <c r="BA136" s="3"/>
      <c r="BB136" s="3"/>
      <c r="BC136" s="3"/>
    </row>
    <row r="137" spans="1:55" ht="15.75" customHeight="1">
      <c r="A137" s="3"/>
      <c r="B137" s="3"/>
      <c r="C137" s="3"/>
      <c r="D137" s="3"/>
      <c r="E137" s="3"/>
      <c r="F137" s="61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615"/>
      <c r="AH137" s="3"/>
      <c r="AI137" s="3"/>
      <c r="AJ137" s="3"/>
      <c r="AK137" s="615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87"/>
      <c r="BA137" s="3"/>
      <c r="BB137" s="3"/>
      <c r="BC137" s="3"/>
    </row>
    <row r="138" spans="1:55" ht="15.75" customHeight="1">
      <c r="A138" s="3"/>
      <c r="B138" s="3"/>
      <c r="C138" s="3"/>
      <c r="D138" s="3"/>
      <c r="E138" s="3"/>
      <c r="F138" s="61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615"/>
      <c r="AH138" s="3"/>
      <c r="AI138" s="3"/>
      <c r="AJ138" s="3"/>
      <c r="AK138" s="615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87"/>
      <c r="BA138" s="3"/>
      <c r="BB138" s="3"/>
      <c r="BC138" s="3"/>
    </row>
    <row r="139" spans="1:55" ht="15.75" customHeight="1">
      <c r="A139" s="3"/>
      <c r="B139" s="3"/>
      <c r="C139" s="3"/>
      <c r="D139" s="3"/>
      <c r="E139" s="3"/>
      <c r="F139" s="61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615"/>
      <c r="AH139" s="3"/>
      <c r="AI139" s="3"/>
      <c r="AJ139" s="3"/>
      <c r="AK139" s="615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87"/>
      <c r="BA139" s="3"/>
      <c r="BB139" s="3"/>
      <c r="BC139" s="3"/>
    </row>
    <row r="140" spans="1:55" ht="15.75" customHeight="1">
      <c r="A140" s="3"/>
      <c r="B140" s="3"/>
      <c r="C140" s="3"/>
      <c r="D140" s="3"/>
      <c r="E140" s="3"/>
      <c r="F140" s="61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615"/>
      <c r="AH140" s="3"/>
      <c r="AI140" s="3"/>
      <c r="AJ140" s="3"/>
      <c r="AK140" s="615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87"/>
      <c r="BA140" s="3"/>
      <c r="BB140" s="3"/>
      <c r="BC140" s="3"/>
    </row>
    <row r="141" spans="1:55" ht="15.75" customHeight="1">
      <c r="A141" s="3"/>
      <c r="B141" s="3"/>
      <c r="C141" s="3"/>
      <c r="D141" s="3"/>
      <c r="E141" s="3"/>
      <c r="F141" s="61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615"/>
      <c r="AH141" s="3"/>
      <c r="AI141" s="3"/>
      <c r="AJ141" s="3"/>
      <c r="AK141" s="615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87"/>
      <c r="BA141" s="3"/>
      <c r="BB141" s="3"/>
      <c r="BC141" s="3"/>
    </row>
    <row r="142" spans="1:55" ht="15.75" customHeight="1">
      <c r="A142" s="3"/>
      <c r="B142" s="3"/>
      <c r="C142" s="3"/>
      <c r="D142" s="3"/>
      <c r="E142" s="3"/>
      <c r="F142" s="61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615"/>
      <c r="AH142" s="3"/>
      <c r="AI142" s="3"/>
      <c r="AJ142" s="3"/>
      <c r="AK142" s="615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87"/>
      <c r="BA142" s="3"/>
      <c r="BB142" s="3"/>
      <c r="BC142" s="3"/>
    </row>
    <row r="143" spans="1:55" ht="15.75" customHeight="1">
      <c r="A143" s="3"/>
      <c r="B143" s="3"/>
      <c r="C143" s="3"/>
      <c r="D143" s="3"/>
      <c r="E143" s="3"/>
      <c r="F143" s="61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615"/>
      <c r="AH143" s="3"/>
      <c r="AI143" s="3"/>
      <c r="AJ143" s="3"/>
      <c r="AK143" s="615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87"/>
      <c r="BA143" s="3"/>
      <c r="BB143" s="3"/>
      <c r="BC143" s="3"/>
    </row>
    <row r="144" spans="1:55" ht="15.75" customHeight="1">
      <c r="A144" s="3"/>
      <c r="B144" s="3"/>
      <c r="C144" s="3"/>
      <c r="D144" s="3"/>
      <c r="E144" s="3"/>
      <c r="F144" s="61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615"/>
      <c r="AH144" s="3"/>
      <c r="AI144" s="3"/>
      <c r="AJ144" s="3"/>
      <c r="AK144" s="615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87"/>
      <c r="BA144" s="3"/>
      <c r="BB144" s="3"/>
      <c r="BC144" s="3"/>
    </row>
    <row r="145" spans="1:55" ht="15.75" customHeight="1">
      <c r="A145" s="3"/>
      <c r="B145" s="3"/>
      <c r="C145" s="3"/>
      <c r="D145" s="3"/>
      <c r="E145" s="3"/>
      <c r="F145" s="61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615"/>
      <c r="AH145" s="3"/>
      <c r="AI145" s="3"/>
      <c r="AJ145" s="3"/>
      <c r="AK145" s="615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87"/>
      <c r="BA145" s="3"/>
      <c r="BB145" s="3"/>
      <c r="BC145" s="3"/>
    </row>
    <row r="146" spans="1:55" ht="15.75" customHeight="1">
      <c r="A146" s="3"/>
      <c r="B146" s="3"/>
      <c r="C146" s="3"/>
      <c r="D146" s="3"/>
      <c r="E146" s="3"/>
      <c r="F146" s="61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615"/>
      <c r="AH146" s="3"/>
      <c r="AI146" s="3"/>
      <c r="AJ146" s="3"/>
      <c r="AK146" s="615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87"/>
      <c r="BA146" s="3"/>
      <c r="BB146" s="3"/>
      <c r="BC146" s="3"/>
    </row>
    <row r="147" spans="1:55" ht="15.75" customHeight="1">
      <c r="A147" s="3"/>
      <c r="B147" s="3"/>
      <c r="C147" s="3"/>
      <c r="D147" s="3"/>
      <c r="E147" s="3"/>
      <c r="F147" s="61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615"/>
      <c r="AH147" s="3"/>
      <c r="AI147" s="3"/>
      <c r="AJ147" s="3"/>
      <c r="AK147" s="615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87"/>
      <c r="BA147" s="3"/>
      <c r="BB147" s="3"/>
      <c r="BC147" s="3"/>
    </row>
    <row r="148" spans="1:55" ht="15.75" customHeight="1">
      <c r="A148" s="3"/>
      <c r="B148" s="3"/>
      <c r="C148" s="3"/>
      <c r="D148" s="3"/>
      <c r="E148" s="3"/>
      <c r="F148" s="61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615"/>
      <c r="AH148" s="3"/>
      <c r="AI148" s="3"/>
      <c r="AJ148" s="3"/>
      <c r="AK148" s="615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87"/>
      <c r="BA148" s="3"/>
      <c r="BB148" s="3"/>
      <c r="BC148" s="3"/>
    </row>
    <row r="149" spans="1:55" ht="15.75" customHeight="1">
      <c r="A149" s="3"/>
      <c r="B149" s="3"/>
      <c r="C149" s="3"/>
      <c r="D149" s="3"/>
      <c r="E149" s="3"/>
      <c r="F149" s="61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615"/>
      <c r="AH149" s="3"/>
      <c r="AI149" s="3"/>
      <c r="AJ149" s="3"/>
      <c r="AK149" s="615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87"/>
      <c r="BA149" s="3"/>
      <c r="BB149" s="3"/>
      <c r="BC149" s="3"/>
    </row>
    <row r="150" spans="1:55" ht="15.75" customHeight="1">
      <c r="A150" s="3"/>
      <c r="B150" s="3"/>
      <c r="C150" s="3"/>
      <c r="D150" s="3"/>
      <c r="E150" s="3"/>
      <c r="F150" s="61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615"/>
      <c r="AH150" s="3"/>
      <c r="AI150" s="3"/>
      <c r="AJ150" s="3"/>
      <c r="AK150" s="615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87"/>
      <c r="BA150" s="3"/>
      <c r="BB150" s="3"/>
      <c r="BC150" s="3"/>
    </row>
    <row r="151" spans="1:55" ht="15.75" customHeight="1">
      <c r="A151" s="3"/>
      <c r="B151" s="3"/>
      <c r="C151" s="3"/>
      <c r="D151" s="3"/>
      <c r="E151" s="3"/>
      <c r="F151" s="61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615"/>
      <c r="AH151" s="3"/>
      <c r="AI151" s="3"/>
      <c r="AJ151" s="3"/>
      <c r="AK151" s="615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87"/>
      <c r="BA151" s="3"/>
      <c r="BB151" s="3"/>
      <c r="BC151" s="3"/>
    </row>
    <row r="152" spans="1:55" ht="15.75" customHeight="1">
      <c r="A152" s="3"/>
      <c r="B152" s="3"/>
      <c r="C152" s="3"/>
      <c r="D152" s="3"/>
      <c r="E152" s="3"/>
      <c r="F152" s="61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615"/>
      <c r="AH152" s="3"/>
      <c r="AI152" s="3"/>
      <c r="AJ152" s="3"/>
      <c r="AK152" s="615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87"/>
      <c r="BA152" s="3"/>
      <c r="BB152" s="3"/>
      <c r="BC152" s="3"/>
    </row>
    <row r="153" spans="1:55" ht="15.75" customHeight="1">
      <c r="A153" s="3"/>
      <c r="B153" s="3"/>
      <c r="C153" s="3"/>
      <c r="D153" s="3"/>
      <c r="E153" s="3"/>
      <c r="F153" s="61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615"/>
      <c r="AH153" s="3"/>
      <c r="AI153" s="3"/>
      <c r="AJ153" s="3"/>
      <c r="AK153" s="615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87"/>
      <c r="BA153" s="3"/>
      <c r="BB153" s="3"/>
      <c r="BC153" s="3"/>
    </row>
    <row r="154" spans="1:55" ht="15.75" customHeight="1">
      <c r="A154" s="3"/>
      <c r="B154" s="3"/>
      <c r="C154" s="3"/>
      <c r="D154" s="3"/>
      <c r="E154" s="3"/>
      <c r="F154" s="61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615"/>
      <c r="AH154" s="3"/>
      <c r="AI154" s="3"/>
      <c r="AJ154" s="3"/>
      <c r="AK154" s="615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87"/>
      <c r="BA154" s="3"/>
      <c r="BB154" s="3"/>
      <c r="BC154" s="3"/>
    </row>
    <row r="155" spans="1:55" ht="15.75" customHeight="1">
      <c r="A155" s="3"/>
      <c r="B155" s="3"/>
      <c r="C155" s="3"/>
      <c r="D155" s="3"/>
      <c r="E155" s="3"/>
      <c r="F155" s="61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615"/>
      <c r="AH155" s="3"/>
      <c r="AI155" s="3"/>
      <c r="AJ155" s="3"/>
      <c r="AK155" s="615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87"/>
      <c r="BA155" s="3"/>
      <c r="BB155" s="3"/>
      <c r="BC155" s="3"/>
    </row>
    <row r="156" spans="1:55" ht="15.75" customHeight="1">
      <c r="A156" s="3"/>
      <c r="B156" s="3"/>
      <c r="C156" s="3"/>
      <c r="D156" s="3"/>
      <c r="E156" s="3"/>
      <c r="F156" s="61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615"/>
      <c r="AH156" s="3"/>
      <c r="AI156" s="3"/>
      <c r="AJ156" s="3"/>
      <c r="AK156" s="615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87"/>
      <c r="BA156" s="3"/>
      <c r="BB156" s="3"/>
      <c r="BC156" s="3"/>
    </row>
    <row r="157" spans="1:55" ht="15.75" customHeight="1">
      <c r="A157" s="3"/>
      <c r="B157" s="3"/>
      <c r="C157" s="3"/>
      <c r="D157" s="3"/>
      <c r="E157" s="3"/>
      <c r="F157" s="61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615"/>
      <c r="AH157" s="3"/>
      <c r="AI157" s="3"/>
      <c r="AJ157" s="3"/>
      <c r="AK157" s="615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87"/>
      <c r="BA157" s="3"/>
      <c r="BB157" s="3"/>
      <c r="BC157" s="3"/>
    </row>
    <row r="158" spans="1:55" ht="15.75" customHeight="1">
      <c r="A158" s="3"/>
      <c r="B158" s="3"/>
      <c r="C158" s="3"/>
      <c r="D158" s="3"/>
      <c r="E158" s="3"/>
      <c r="F158" s="61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615"/>
      <c r="AH158" s="3"/>
      <c r="AI158" s="3"/>
      <c r="AJ158" s="3"/>
      <c r="AK158" s="615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87"/>
      <c r="BA158" s="3"/>
      <c r="BB158" s="3"/>
      <c r="BC158" s="3"/>
    </row>
    <row r="159" spans="1:55" ht="15.75" customHeight="1">
      <c r="A159" s="3"/>
      <c r="B159" s="3"/>
      <c r="C159" s="3"/>
      <c r="D159" s="3"/>
      <c r="E159" s="3"/>
      <c r="F159" s="61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615"/>
      <c r="AH159" s="3"/>
      <c r="AI159" s="3"/>
      <c r="AJ159" s="3"/>
      <c r="AK159" s="615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87"/>
      <c r="BA159" s="3"/>
      <c r="BB159" s="3"/>
      <c r="BC159" s="3"/>
    </row>
    <row r="160" spans="1:55" ht="15.75" customHeight="1">
      <c r="A160" s="3"/>
      <c r="B160" s="3"/>
      <c r="C160" s="3"/>
      <c r="D160" s="3"/>
      <c r="E160" s="3"/>
      <c r="F160" s="61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615"/>
      <c r="AH160" s="3"/>
      <c r="AI160" s="3"/>
      <c r="AJ160" s="3"/>
      <c r="AK160" s="615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87"/>
      <c r="BA160" s="3"/>
      <c r="BB160" s="3"/>
      <c r="BC160" s="3"/>
    </row>
    <row r="161" spans="1:55" ht="15.75" customHeight="1">
      <c r="A161" s="3"/>
      <c r="B161" s="3"/>
      <c r="C161" s="3"/>
      <c r="D161" s="3"/>
      <c r="E161" s="3"/>
      <c r="F161" s="61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615"/>
      <c r="AH161" s="3"/>
      <c r="AI161" s="3"/>
      <c r="AJ161" s="3"/>
      <c r="AK161" s="615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87"/>
      <c r="BA161" s="3"/>
      <c r="BB161" s="3"/>
      <c r="BC161" s="3"/>
    </row>
    <row r="162" spans="1:55" ht="15.75" customHeight="1">
      <c r="A162" s="3"/>
      <c r="B162" s="3"/>
      <c r="C162" s="3"/>
      <c r="D162" s="3"/>
      <c r="E162" s="3"/>
      <c r="F162" s="61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615"/>
      <c r="AH162" s="3"/>
      <c r="AI162" s="3"/>
      <c r="AJ162" s="3"/>
      <c r="AK162" s="615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87"/>
      <c r="BA162" s="3"/>
      <c r="BB162" s="3"/>
      <c r="BC162" s="3"/>
    </row>
    <row r="163" spans="1:55" ht="15.75" customHeight="1">
      <c r="A163" s="3"/>
      <c r="B163" s="3"/>
      <c r="C163" s="3"/>
      <c r="D163" s="3"/>
      <c r="E163" s="3"/>
      <c r="F163" s="61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615"/>
      <c r="AH163" s="3"/>
      <c r="AI163" s="3"/>
      <c r="AJ163" s="3"/>
      <c r="AK163" s="615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87"/>
      <c r="BA163" s="3"/>
      <c r="BB163" s="3"/>
      <c r="BC163" s="3"/>
    </row>
    <row r="164" spans="1:55" ht="15.75" customHeight="1">
      <c r="A164" s="3"/>
      <c r="B164" s="3"/>
      <c r="C164" s="3"/>
      <c r="D164" s="3"/>
      <c r="E164" s="3"/>
      <c r="F164" s="61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615"/>
      <c r="AH164" s="3"/>
      <c r="AI164" s="3"/>
      <c r="AJ164" s="3"/>
      <c r="AK164" s="615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87"/>
      <c r="BA164" s="3"/>
      <c r="BB164" s="3"/>
      <c r="BC164" s="3"/>
    </row>
    <row r="165" spans="1:55" ht="15.75" customHeight="1">
      <c r="A165" s="3"/>
      <c r="B165" s="3"/>
      <c r="C165" s="3"/>
      <c r="D165" s="3"/>
      <c r="E165" s="3"/>
      <c r="F165" s="61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615"/>
      <c r="AH165" s="3"/>
      <c r="AI165" s="3"/>
      <c r="AJ165" s="3"/>
      <c r="AK165" s="615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87"/>
      <c r="BA165" s="3"/>
      <c r="BB165" s="3"/>
      <c r="BC165" s="3"/>
    </row>
    <row r="166" spans="1:55" ht="15.75" customHeight="1">
      <c r="A166" s="3"/>
      <c r="B166" s="3"/>
      <c r="C166" s="3"/>
      <c r="D166" s="3"/>
      <c r="E166" s="3"/>
      <c r="F166" s="61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615"/>
      <c r="AH166" s="3"/>
      <c r="AI166" s="3"/>
      <c r="AJ166" s="3"/>
      <c r="AK166" s="615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87"/>
      <c r="BA166" s="3"/>
      <c r="BB166" s="3"/>
      <c r="BC166" s="3"/>
    </row>
    <row r="167" spans="1:55" ht="15.75" customHeight="1">
      <c r="A167" s="3"/>
      <c r="B167" s="3"/>
      <c r="C167" s="3"/>
      <c r="D167" s="3"/>
      <c r="E167" s="3"/>
      <c r="F167" s="61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615"/>
      <c r="AH167" s="3"/>
      <c r="AI167" s="3"/>
      <c r="AJ167" s="3"/>
      <c r="AK167" s="615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87"/>
      <c r="BA167" s="3"/>
      <c r="BB167" s="3"/>
      <c r="BC167" s="3"/>
    </row>
    <row r="168" spans="1:55" ht="15.75" customHeight="1">
      <c r="A168" s="3"/>
      <c r="B168" s="3"/>
      <c r="C168" s="3"/>
      <c r="D168" s="3"/>
      <c r="E168" s="3"/>
      <c r="F168" s="61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615"/>
      <c r="AH168" s="3"/>
      <c r="AI168" s="3"/>
      <c r="AJ168" s="3"/>
      <c r="AK168" s="615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87"/>
      <c r="BA168" s="3"/>
      <c r="BB168" s="3"/>
      <c r="BC168" s="3"/>
    </row>
    <row r="169" spans="1:55" ht="15.75" customHeight="1">
      <c r="A169" s="3"/>
      <c r="B169" s="3"/>
      <c r="C169" s="3"/>
      <c r="D169" s="3"/>
      <c r="E169" s="3"/>
      <c r="F169" s="61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615"/>
      <c r="AH169" s="3"/>
      <c r="AI169" s="3"/>
      <c r="AJ169" s="3"/>
      <c r="AK169" s="615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87"/>
      <c r="BA169" s="3"/>
      <c r="BB169" s="3"/>
      <c r="BC169" s="3"/>
    </row>
    <row r="170" spans="1:55" ht="15.75" customHeight="1">
      <c r="A170" s="3"/>
      <c r="B170" s="3"/>
      <c r="C170" s="3"/>
      <c r="D170" s="3"/>
      <c r="E170" s="3"/>
      <c r="F170" s="61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615"/>
      <c r="AH170" s="3"/>
      <c r="AI170" s="3"/>
      <c r="AJ170" s="3"/>
      <c r="AK170" s="615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87"/>
      <c r="BA170" s="3"/>
      <c r="BB170" s="3"/>
      <c r="BC170" s="3"/>
    </row>
    <row r="171" spans="1:55" ht="15.75" customHeight="1">
      <c r="A171" s="3"/>
      <c r="B171" s="3"/>
      <c r="C171" s="3"/>
      <c r="D171" s="3"/>
      <c r="E171" s="3"/>
      <c r="F171" s="61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615"/>
      <c r="AH171" s="3"/>
      <c r="AI171" s="3"/>
      <c r="AJ171" s="3"/>
      <c r="AK171" s="615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87"/>
      <c r="BA171" s="3"/>
      <c r="BB171" s="3"/>
      <c r="BC171" s="3"/>
    </row>
    <row r="172" spans="1:55" ht="15.75" customHeight="1">
      <c r="A172" s="3"/>
      <c r="B172" s="3"/>
      <c r="C172" s="3"/>
      <c r="D172" s="3"/>
      <c r="E172" s="3"/>
      <c r="F172" s="61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615"/>
      <c r="AH172" s="3"/>
      <c r="AI172" s="3"/>
      <c r="AJ172" s="3"/>
      <c r="AK172" s="615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87"/>
      <c r="BA172" s="3"/>
      <c r="BB172" s="3"/>
      <c r="BC172" s="3"/>
    </row>
    <row r="173" spans="1:55" ht="15.75" customHeight="1">
      <c r="A173" s="3"/>
      <c r="B173" s="3"/>
      <c r="C173" s="3"/>
      <c r="D173" s="3"/>
      <c r="E173" s="3"/>
      <c r="F173" s="61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615"/>
      <c r="AH173" s="3"/>
      <c r="AI173" s="3"/>
      <c r="AJ173" s="3"/>
      <c r="AK173" s="615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87"/>
      <c r="BA173" s="3"/>
      <c r="BB173" s="3"/>
      <c r="BC173" s="3"/>
    </row>
    <row r="174" spans="1:55" ht="15.75" customHeight="1">
      <c r="A174" s="3"/>
      <c r="B174" s="3"/>
      <c r="C174" s="3"/>
      <c r="D174" s="3"/>
      <c r="E174" s="3"/>
      <c r="F174" s="61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615"/>
      <c r="AH174" s="3"/>
      <c r="AI174" s="3"/>
      <c r="AJ174" s="3"/>
      <c r="AK174" s="615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87"/>
      <c r="BA174" s="3"/>
      <c r="BB174" s="3"/>
      <c r="BC174" s="3"/>
    </row>
    <row r="175" spans="1:55" ht="15.75" customHeight="1">
      <c r="A175" s="3"/>
      <c r="B175" s="3"/>
      <c r="C175" s="3"/>
      <c r="D175" s="3"/>
      <c r="E175" s="3"/>
      <c r="F175" s="61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615"/>
      <c r="AH175" s="3"/>
      <c r="AI175" s="3"/>
      <c r="AJ175" s="3"/>
      <c r="AK175" s="615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87"/>
      <c r="BA175" s="3"/>
      <c r="BB175" s="3"/>
      <c r="BC175" s="3"/>
    </row>
    <row r="176" spans="1:55" ht="15.75" customHeight="1">
      <c r="A176" s="3"/>
      <c r="B176" s="3"/>
      <c r="C176" s="3"/>
      <c r="D176" s="3"/>
      <c r="E176" s="3"/>
      <c r="F176" s="61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615"/>
      <c r="AH176" s="3"/>
      <c r="AI176" s="3"/>
      <c r="AJ176" s="3"/>
      <c r="AK176" s="615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87"/>
      <c r="BA176" s="3"/>
      <c r="BB176" s="3"/>
      <c r="BC176" s="3"/>
    </row>
    <row r="177" spans="1:55" ht="15.75" customHeight="1">
      <c r="A177" s="3"/>
      <c r="B177" s="3"/>
      <c r="C177" s="3"/>
      <c r="D177" s="3"/>
      <c r="E177" s="3"/>
      <c r="F177" s="61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615"/>
      <c r="AH177" s="3"/>
      <c r="AI177" s="3"/>
      <c r="AJ177" s="3"/>
      <c r="AK177" s="615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87"/>
      <c r="BA177" s="3"/>
      <c r="BB177" s="3"/>
      <c r="BC177" s="3"/>
    </row>
    <row r="178" spans="1:55" ht="15.75" customHeight="1">
      <c r="A178" s="3"/>
      <c r="B178" s="3"/>
      <c r="C178" s="3"/>
      <c r="D178" s="3"/>
      <c r="E178" s="3"/>
      <c r="F178" s="61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615"/>
      <c r="AH178" s="3"/>
      <c r="AI178" s="3"/>
      <c r="AJ178" s="3"/>
      <c r="AK178" s="615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87"/>
      <c r="BA178" s="3"/>
      <c r="BB178" s="3"/>
      <c r="BC178" s="3"/>
    </row>
    <row r="179" spans="1:55" ht="15.75" customHeight="1">
      <c r="A179" s="3"/>
      <c r="B179" s="3"/>
      <c r="C179" s="3"/>
      <c r="D179" s="3"/>
      <c r="E179" s="3"/>
      <c r="F179" s="61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615"/>
      <c r="AH179" s="3"/>
      <c r="AI179" s="3"/>
      <c r="AJ179" s="3"/>
      <c r="AK179" s="615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87"/>
      <c r="BA179" s="3"/>
      <c r="BB179" s="3"/>
      <c r="BC179" s="3"/>
    </row>
    <row r="180" spans="1:55" ht="15.75" customHeight="1">
      <c r="A180" s="3"/>
      <c r="B180" s="3"/>
      <c r="C180" s="3"/>
      <c r="D180" s="3"/>
      <c r="E180" s="3"/>
      <c r="F180" s="61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615"/>
      <c r="AH180" s="3"/>
      <c r="AI180" s="3"/>
      <c r="AJ180" s="3"/>
      <c r="AK180" s="615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87"/>
      <c r="BA180" s="3"/>
      <c r="BB180" s="3"/>
      <c r="BC180" s="3"/>
    </row>
    <row r="181" spans="1:55" ht="15.75" customHeight="1">
      <c r="A181" s="3"/>
      <c r="B181" s="3"/>
      <c r="C181" s="3"/>
      <c r="D181" s="3"/>
      <c r="E181" s="3"/>
      <c r="F181" s="61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615"/>
      <c r="AH181" s="3"/>
      <c r="AI181" s="3"/>
      <c r="AJ181" s="3"/>
      <c r="AK181" s="615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87"/>
      <c r="BA181" s="3"/>
      <c r="BB181" s="3"/>
      <c r="BC181" s="3"/>
    </row>
    <row r="182" spans="1:55" ht="15.75" customHeight="1">
      <c r="A182" s="3"/>
      <c r="B182" s="3"/>
      <c r="C182" s="3"/>
      <c r="D182" s="3"/>
      <c r="E182" s="3"/>
      <c r="F182" s="61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615"/>
      <c r="AH182" s="3"/>
      <c r="AI182" s="3"/>
      <c r="AJ182" s="3"/>
      <c r="AK182" s="615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87"/>
      <c r="BA182" s="3"/>
      <c r="BB182" s="3"/>
      <c r="BC182" s="3"/>
    </row>
    <row r="183" spans="1:55" ht="15.75" customHeight="1">
      <c r="A183" s="3"/>
      <c r="B183" s="3"/>
      <c r="C183" s="3"/>
      <c r="D183" s="3"/>
      <c r="E183" s="3"/>
      <c r="F183" s="61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615"/>
      <c r="AH183" s="3"/>
      <c r="AI183" s="3"/>
      <c r="AJ183" s="3"/>
      <c r="AK183" s="615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87"/>
      <c r="BA183" s="3"/>
      <c r="BB183" s="3"/>
      <c r="BC183" s="3"/>
    </row>
    <row r="184" spans="1:55" ht="15.75" customHeight="1">
      <c r="A184" s="3"/>
      <c r="B184" s="3"/>
      <c r="C184" s="3"/>
      <c r="D184" s="3"/>
      <c r="E184" s="3"/>
      <c r="F184" s="61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615"/>
      <c r="AH184" s="3"/>
      <c r="AI184" s="3"/>
      <c r="AJ184" s="3"/>
      <c r="AK184" s="615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87"/>
      <c r="BA184" s="3"/>
      <c r="BB184" s="3"/>
      <c r="BC184" s="3"/>
    </row>
    <row r="185" spans="1:55" ht="15.75" customHeight="1">
      <c r="A185" s="3"/>
      <c r="B185" s="3"/>
      <c r="C185" s="3"/>
      <c r="D185" s="3"/>
      <c r="E185" s="3"/>
      <c r="F185" s="61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615"/>
      <c r="AH185" s="3"/>
      <c r="AI185" s="3"/>
      <c r="AJ185" s="3"/>
      <c r="AK185" s="615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87"/>
      <c r="BA185" s="3"/>
      <c r="BB185" s="3"/>
      <c r="BC185" s="3"/>
    </row>
    <row r="186" spans="1:55" ht="15.75" customHeight="1">
      <c r="A186" s="3"/>
      <c r="B186" s="3"/>
      <c r="C186" s="3"/>
      <c r="D186" s="3"/>
      <c r="E186" s="3"/>
      <c r="F186" s="61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615"/>
      <c r="AH186" s="3"/>
      <c r="AI186" s="3"/>
      <c r="AJ186" s="3"/>
      <c r="AK186" s="615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87"/>
      <c r="BA186" s="3"/>
      <c r="BB186" s="3"/>
      <c r="BC186" s="3"/>
    </row>
    <row r="187" spans="1:55" ht="15.75" customHeight="1">
      <c r="A187" s="3"/>
      <c r="B187" s="3"/>
      <c r="C187" s="3"/>
      <c r="D187" s="3"/>
      <c r="E187" s="3"/>
      <c r="F187" s="61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615"/>
      <c r="AH187" s="3"/>
      <c r="AI187" s="3"/>
      <c r="AJ187" s="3"/>
      <c r="AK187" s="615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87"/>
      <c r="BA187" s="3"/>
      <c r="BB187" s="3"/>
      <c r="BC187" s="3"/>
    </row>
    <row r="188" spans="1:55" ht="15.75" customHeight="1">
      <c r="A188" s="3"/>
      <c r="B188" s="3"/>
      <c r="C188" s="3"/>
      <c r="D188" s="3"/>
      <c r="E188" s="3"/>
      <c r="F188" s="61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615"/>
      <c r="AH188" s="3"/>
      <c r="AI188" s="3"/>
      <c r="AJ188" s="3"/>
      <c r="AK188" s="615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87"/>
      <c r="BA188" s="3"/>
      <c r="BB188" s="3"/>
      <c r="BC188" s="3"/>
    </row>
    <row r="189" spans="1:55" ht="15.75" customHeight="1">
      <c r="A189" s="3"/>
      <c r="B189" s="3"/>
      <c r="C189" s="3"/>
      <c r="D189" s="3"/>
      <c r="E189" s="3"/>
      <c r="F189" s="61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615"/>
      <c r="AH189" s="3"/>
      <c r="AI189" s="3"/>
      <c r="AJ189" s="3"/>
      <c r="AK189" s="615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87"/>
      <c r="BA189" s="3"/>
      <c r="BB189" s="3"/>
      <c r="BC189" s="3"/>
    </row>
    <row r="190" spans="1:55" ht="15.75" customHeight="1">
      <c r="A190" s="3"/>
      <c r="B190" s="3"/>
      <c r="C190" s="3"/>
      <c r="D190" s="3"/>
      <c r="E190" s="3"/>
      <c r="F190" s="61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615"/>
      <c r="AH190" s="3"/>
      <c r="AI190" s="3"/>
      <c r="AJ190" s="3"/>
      <c r="AK190" s="615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87"/>
      <c r="BA190" s="3"/>
      <c r="BB190" s="3"/>
      <c r="BC190" s="3"/>
    </row>
    <row r="191" spans="1:55" ht="15.75" customHeight="1">
      <c r="A191" s="3"/>
      <c r="B191" s="3"/>
      <c r="C191" s="3"/>
      <c r="D191" s="3"/>
      <c r="E191" s="3"/>
      <c r="F191" s="61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615"/>
      <c r="AH191" s="3"/>
      <c r="AI191" s="3"/>
      <c r="AJ191" s="3"/>
      <c r="AK191" s="615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87"/>
      <c r="BA191" s="3"/>
      <c r="BB191" s="3"/>
      <c r="BC191" s="3"/>
    </row>
    <row r="192" spans="1:55" ht="15.75" customHeight="1">
      <c r="A192" s="3"/>
      <c r="B192" s="3"/>
      <c r="C192" s="3"/>
      <c r="D192" s="3"/>
      <c r="E192" s="3"/>
      <c r="F192" s="61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615"/>
      <c r="AH192" s="3"/>
      <c r="AI192" s="3"/>
      <c r="AJ192" s="3"/>
      <c r="AK192" s="615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87"/>
      <c r="BA192" s="3"/>
      <c r="BB192" s="3"/>
      <c r="BC192" s="3"/>
    </row>
    <row r="193" spans="1:55" ht="15.75" customHeight="1">
      <c r="A193" s="3"/>
      <c r="B193" s="3"/>
      <c r="C193" s="3"/>
      <c r="D193" s="3"/>
      <c r="E193" s="3"/>
      <c r="F193" s="61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615"/>
      <c r="AH193" s="3"/>
      <c r="AI193" s="3"/>
      <c r="AJ193" s="3"/>
      <c r="AK193" s="615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87"/>
      <c r="BA193" s="3"/>
      <c r="BB193" s="3"/>
      <c r="BC193" s="3"/>
    </row>
    <row r="194" spans="1:55" ht="15.75" customHeight="1">
      <c r="A194" s="3"/>
      <c r="B194" s="3"/>
      <c r="C194" s="3"/>
      <c r="D194" s="3"/>
      <c r="E194" s="3"/>
      <c r="F194" s="61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615"/>
      <c r="AH194" s="3"/>
      <c r="AI194" s="3"/>
      <c r="AJ194" s="3"/>
      <c r="AK194" s="615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87"/>
      <c r="BA194" s="3"/>
      <c r="BB194" s="3"/>
      <c r="BC194" s="3"/>
    </row>
    <row r="195" spans="1:55" ht="15.75" customHeight="1">
      <c r="A195" s="3"/>
      <c r="B195" s="3"/>
      <c r="C195" s="3"/>
      <c r="D195" s="3"/>
      <c r="E195" s="3"/>
      <c r="F195" s="61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615"/>
      <c r="AH195" s="3"/>
      <c r="AI195" s="3"/>
      <c r="AJ195" s="3"/>
      <c r="AK195" s="615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87"/>
      <c r="BA195" s="3"/>
      <c r="BB195" s="3"/>
      <c r="BC195" s="3"/>
    </row>
    <row r="196" spans="1:55" ht="15.75" customHeight="1">
      <c r="A196" s="3"/>
      <c r="B196" s="3"/>
      <c r="C196" s="3"/>
      <c r="D196" s="3"/>
      <c r="E196" s="3"/>
      <c r="F196" s="61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615"/>
      <c r="AH196" s="3"/>
      <c r="AI196" s="3"/>
      <c r="AJ196" s="3"/>
      <c r="AK196" s="615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87"/>
      <c r="BA196" s="3"/>
      <c r="BB196" s="3"/>
      <c r="BC196" s="3"/>
    </row>
    <row r="197" spans="1:55" ht="15.75" customHeight="1">
      <c r="A197" s="3"/>
      <c r="B197" s="3"/>
      <c r="C197" s="3"/>
      <c r="D197" s="3"/>
      <c r="E197" s="3"/>
      <c r="F197" s="61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615"/>
      <c r="AH197" s="3"/>
      <c r="AI197" s="3"/>
      <c r="AJ197" s="3"/>
      <c r="AK197" s="615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87"/>
      <c r="BA197" s="3"/>
      <c r="BB197" s="3"/>
      <c r="BC197" s="3"/>
    </row>
    <row r="198" spans="1:55" ht="15.75" customHeight="1">
      <c r="A198" s="3"/>
      <c r="B198" s="3"/>
      <c r="C198" s="3"/>
      <c r="D198" s="3"/>
      <c r="E198" s="3"/>
      <c r="F198" s="61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615"/>
      <c r="AH198" s="3"/>
      <c r="AI198" s="3"/>
      <c r="AJ198" s="3"/>
      <c r="AK198" s="615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87"/>
      <c r="BA198" s="3"/>
      <c r="BB198" s="3"/>
      <c r="BC198" s="3"/>
    </row>
    <row r="199" spans="1:55" ht="15.75" customHeight="1">
      <c r="A199" s="3"/>
      <c r="B199" s="3"/>
      <c r="C199" s="3"/>
      <c r="D199" s="3"/>
      <c r="E199" s="3"/>
      <c r="F199" s="61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615"/>
      <c r="AH199" s="3"/>
      <c r="AI199" s="3"/>
      <c r="AJ199" s="3"/>
      <c r="AK199" s="615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87"/>
      <c r="BA199" s="3"/>
      <c r="BB199" s="3"/>
      <c r="BC199" s="3"/>
    </row>
    <row r="200" spans="1:55" ht="15.75" customHeight="1">
      <c r="A200" s="3"/>
      <c r="B200" s="3"/>
      <c r="C200" s="3"/>
      <c r="D200" s="3"/>
      <c r="E200" s="3"/>
      <c r="F200" s="61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615"/>
      <c r="AH200" s="3"/>
      <c r="AI200" s="3"/>
      <c r="AJ200" s="3"/>
      <c r="AK200" s="615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87"/>
      <c r="BA200" s="3"/>
      <c r="BB200" s="3"/>
      <c r="BC200" s="3"/>
    </row>
    <row r="201" spans="1:55" ht="15.75" customHeight="1">
      <c r="A201" s="3"/>
      <c r="B201" s="3"/>
      <c r="C201" s="3"/>
      <c r="D201" s="3"/>
      <c r="E201" s="3"/>
      <c r="F201" s="61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615"/>
      <c r="AH201" s="3"/>
      <c r="AI201" s="3"/>
      <c r="AJ201" s="3"/>
      <c r="AK201" s="615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87"/>
      <c r="BA201" s="3"/>
      <c r="BB201" s="3"/>
      <c r="BC201" s="3"/>
    </row>
    <row r="202" spans="1:55" ht="15.75" customHeight="1">
      <c r="A202" s="3"/>
      <c r="B202" s="3"/>
      <c r="C202" s="3"/>
      <c r="D202" s="3"/>
      <c r="E202" s="3"/>
      <c r="F202" s="61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615"/>
      <c r="AH202" s="3"/>
      <c r="AI202" s="3"/>
      <c r="AJ202" s="3"/>
      <c r="AK202" s="615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87"/>
      <c r="BA202" s="3"/>
      <c r="BB202" s="3"/>
      <c r="BC202" s="3"/>
    </row>
    <row r="203" spans="1:55" ht="15.75" customHeight="1">
      <c r="A203" s="3"/>
      <c r="B203" s="3"/>
      <c r="C203" s="3"/>
      <c r="D203" s="3"/>
      <c r="E203" s="3"/>
      <c r="F203" s="61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615"/>
      <c r="AH203" s="3"/>
      <c r="AI203" s="3"/>
      <c r="AJ203" s="3"/>
      <c r="AK203" s="615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87"/>
      <c r="BA203" s="3"/>
      <c r="BB203" s="3"/>
      <c r="BC203" s="3"/>
    </row>
    <row r="204" spans="1:55" ht="15.75" customHeight="1">
      <c r="A204" s="3"/>
      <c r="B204" s="3"/>
      <c r="C204" s="3"/>
      <c r="D204" s="3"/>
      <c r="E204" s="3"/>
      <c r="F204" s="61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615"/>
      <c r="AH204" s="3"/>
      <c r="AI204" s="3"/>
      <c r="AJ204" s="3"/>
      <c r="AK204" s="615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87"/>
      <c r="BA204" s="3"/>
      <c r="BB204" s="3"/>
      <c r="BC204" s="3"/>
    </row>
    <row r="205" spans="1:55" ht="15.75" customHeight="1">
      <c r="A205" s="3"/>
      <c r="B205" s="3"/>
      <c r="C205" s="3"/>
      <c r="D205" s="3"/>
      <c r="E205" s="3"/>
      <c r="F205" s="61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615"/>
      <c r="AH205" s="3"/>
      <c r="AI205" s="3"/>
      <c r="AJ205" s="3"/>
      <c r="AK205" s="615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87"/>
      <c r="BA205" s="3"/>
      <c r="BB205" s="3"/>
      <c r="BC205" s="3"/>
    </row>
    <row r="206" spans="1:55" ht="15.75" customHeight="1">
      <c r="A206" s="3"/>
      <c r="B206" s="3"/>
      <c r="C206" s="3"/>
      <c r="D206" s="3"/>
      <c r="E206" s="3"/>
      <c r="F206" s="61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615"/>
      <c r="AH206" s="3"/>
      <c r="AI206" s="3"/>
      <c r="AJ206" s="3"/>
      <c r="AK206" s="615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87"/>
      <c r="BA206" s="3"/>
      <c r="BB206" s="3"/>
      <c r="BC206" s="3"/>
    </row>
    <row r="207" spans="1:55" ht="15.75" customHeight="1">
      <c r="A207" s="3"/>
      <c r="B207" s="3"/>
      <c r="C207" s="3"/>
      <c r="D207" s="3"/>
      <c r="E207" s="3"/>
      <c r="F207" s="61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615"/>
      <c r="AH207" s="3"/>
      <c r="AI207" s="3"/>
      <c r="AJ207" s="3"/>
      <c r="AK207" s="615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87"/>
      <c r="BA207" s="3"/>
      <c r="BB207" s="3"/>
      <c r="BC207" s="3"/>
    </row>
    <row r="208" spans="1:55" ht="15.75" customHeight="1">
      <c r="A208" s="3"/>
      <c r="B208" s="3"/>
      <c r="C208" s="3"/>
      <c r="D208" s="3"/>
      <c r="E208" s="3"/>
      <c r="F208" s="61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615"/>
      <c r="AH208" s="3"/>
      <c r="AI208" s="3"/>
      <c r="AJ208" s="3"/>
      <c r="AK208" s="615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87"/>
      <c r="BA208" s="3"/>
      <c r="BB208" s="3"/>
      <c r="BC208" s="3"/>
    </row>
    <row r="209" spans="1:55" ht="15.75" customHeight="1">
      <c r="A209" s="3"/>
      <c r="B209" s="3"/>
      <c r="C209" s="3"/>
      <c r="D209" s="3"/>
      <c r="E209" s="3"/>
      <c r="F209" s="61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615"/>
      <c r="AH209" s="3"/>
      <c r="AI209" s="3"/>
      <c r="AJ209" s="3"/>
      <c r="AK209" s="615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87"/>
      <c r="BA209" s="3"/>
      <c r="BB209" s="3"/>
      <c r="BC209" s="3"/>
    </row>
    <row r="210" spans="1:55" ht="15.75" customHeight="1">
      <c r="A210" s="3"/>
      <c r="B210" s="3"/>
      <c r="C210" s="3"/>
      <c r="D210" s="3"/>
      <c r="E210" s="3"/>
      <c r="F210" s="61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615"/>
      <c r="AH210" s="3"/>
      <c r="AI210" s="3"/>
      <c r="AJ210" s="3"/>
      <c r="AK210" s="615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87"/>
      <c r="BA210" s="3"/>
      <c r="BB210" s="3"/>
      <c r="BC210" s="3"/>
    </row>
    <row r="211" spans="1:55" ht="15.75" customHeight="1">
      <c r="A211" s="3"/>
      <c r="B211" s="3"/>
      <c r="C211" s="3"/>
      <c r="D211" s="3"/>
      <c r="E211" s="3"/>
      <c r="F211" s="61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615"/>
      <c r="AH211" s="3"/>
      <c r="AI211" s="3"/>
      <c r="AJ211" s="3"/>
      <c r="AK211" s="615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87"/>
      <c r="BA211" s="3"/>
      <c r="BB211" s="3"/>
      <c r="BC211" s="3"/>
    </row>
    <row r="212" spans="1:55" ht="15.75" customHeight="1">
      <c r="A212" s="3"/>
      <c r="B212" s="3"/>
      <c r="C212" s="3"/>
      <c r="D212" s="3"/>
      <c r="E212" s="3"/>
      <c r="F212" s="61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615"/>
      <c r="AH212" s="3"/>
      <c r="AI212" s="3"/>
      <c r="AJ212" s="3"/>
      <c r="AK212" s="615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87"/>
      <c r="BA212" s="3"/>
      <c r="BB212" s="3"/>
      <c r="BC212" s="3"/>
    </row>
    <row r="213" spans="1:55" ht="15.75" customHeight="1">
      <c r="A213" s="3"/>
      <c r="B213" s="3"/>
      <c r="C213" s="3"/>
      <c r="D213" s="3"/>
      <c r="E213" s="3"/>
      <c r="F213" s="61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615"/>
      <c r="AH213" s="3"/>
      <c r="AI213" s="3"/>
      <c r="AJ213" s="3"/>
      <c r="AK213" s="615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87"/>
      <c r="BA213" s="3"/>
      <c r="BB213" s="3"/>
      <c r="BC213" s="3"/>
    </row>
    <row r="214" spans="1:55" ht="15.75" customHeight="1">
      <c r="A214" s="3"/>
      <c r="B214" s="3"/>
      <c r="C214" s="3"/>
      <c r="D214" s="3"/>
      <c r="E214" s="3"/>
      <c r="F214" s="61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615"/>
      <c r="AH214" s="3"/>
      <c r="AI214" s="3"/>
      <c r="AJ214" s="3"/>
      <c r="AK214" s="615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87"/>
      <c r="BA214" s="3"/>
      <c r="BB214" s="3"/>
      <c r="BC214" s="3"/>
    </row>
    <row r="215" spans="1:55" ht="15.75" customHeight="1">
      <c r="A215" s="3"/>
      <c r="B215" s="3"/>
      <c r="C215" s="3"/>
      <c r="D215" s="3"/>
      <c r="E215" s="3"/>
      <c r="F215" s="61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615"/>
      <c r="AH215" s="3"/>
      <c r="AI215" s="3"/>
      <c r="AJ215" s="3"/>
      <c r="AK215" s="615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87"/>
      <c r="BA215" s="3"/>
      <c r="BB215" s="3"/>
      <c r="BC215" s="3"/>
    </row>
    <row r="216" spans="1:55" ht="15.75" customHeight="1">
      <c r="A216" s="3"/>
      <c r="B216" s="3"/>
      <c r="C216" s="3"/>
      <c r="D216" s="3"/>
      <c r="E216" s="3"/>
      <c r="F216" s="61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615"/>
      <c r="AH216" s="3"/>
      <c r="AI216" s="3"/>
      <c r="AJ216" s="3"/>
      <c r="AK216" s="615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87"/>
      <c r="BA216" s="3"/>
      <c r="BB216" s="3"/>
      <c r="BC216" s="3"/>
    </row>
    <row r="217" spans="1:55" ht="15.75" customHeight="1">
      <c r="A217" s="3"/>
      <c r="B217" s="3"/>
      <c r="C217" s="3"/>
      <c r="D217" s="3"/>
      <c r="E217" s="3"/>
      <c r="F217" s="61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615"/>
      <c r="AH217" s="3"/>
      <c r="AI217" s="3"/>
      <c r="AJ217" s="3"/>
      <c r="AK217" s="615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87"/>
      <c r="BA217" s="3"/>
      <c r="BB217" s="3"/>
      <c r="BC217" s="3"/>
    </row>
    <row r="218" spans="1:55" ht="15.75" customHeight="1">
      <c r="A218" s="3"/>
      <c r="B218" s="3"/>
      <c r="C218" s="3"/>
      <c r="D218" s="3"/>
      <c r="E218" s="3"/>
      <c r="F218" s="61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615"/>
      <c r="AH218" s="3"/>
      <c r="AI218" s="3"/>
      <c r="AJ218" s="3"/>
      <c r="AK218" s="615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87"/>
      <c r="BA218" s="3"/>
      <c r="BB218" s="3"/>
      <c r="BC218" s="3"/>
    </row>
    <row r="219" spans="1:55" ht="15.75" customHeight="1">
      <c r="A219" s="3"/>
      <c r="B219" s="3"/>
      <c r="C219" s="3"/>
      <c r="D219" s="3"/>
      <c r="E219" s="3"/>
      <c r="F219" s="61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615"/>
      <c r="AH219" s="3"/>
      <c r="AI219" s="3"/>
      <c r="AJ219" s="3"/>
      <c r="AK219" s="615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87"/>
      <c r="BA219" s="3"/>
      <c r="BB219" s="3"/>
      <c r="BC219" s="3"/>
    </row>
    <row r="220" spans="1:55" ht="15.75" customHeight="1">
      <c r="A220" s="3"/>
      <c r="B220" s="3"/>
      <c r="C220" s="3"/>
      <c r="D220" s="3"/>
      <c r="E220" s="3"/>
      <c r="F220" s="61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615"/>
      <c r="AH220" s="3"/>
      <c r="AI220" s="3"/>
      <c r="AJ220" s="3"/>
      <c r="AK220" s="615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87"/>
      <c r="BA220" s="3"/>
      <c r="BB220" s="3"/>
      <c r="BC220" s="3"/>
    </row>
    <row r="221" spans="1:55" ht="15.75" customHeight="1">
      <c r="A221" s="3"/>
      <c r="B221" s="3"/>
      <c r="C221" s="3"/>
      <c r="D221" s="3"/>
      <c r="E221" s="3"/>
      <c r="F221" s="61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615"/>
      <c r="AH221" s="3"/>
      <c r="AI221" s="3"/>
      <c r="AJ221" s="3"/>
      <c r="AK221" s="615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87"/>
    </row>
    <row r="222" spans="1:55" ht="15.75" customHeight="1">
      <c r="A222" s="3"/>
      <c r="B222" s="3"/>
      <c r="C222" s="3"/>
      <c r="D222" s="3"/>
      <c r="E222" s="3"/>
      <c r="F222" s="61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615"/>
      <c r="AH222" s="3"/>
      <c r="AI222" s="3"/>
      <c r="AJ222" s="3"/>
      <c r="AK222" s="615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87"/>
    </row>
    <row r="223" spans="1:55" ht="15.75" customHeight="1">
      <c r="A223" s="3"/>
      <c r="B223" s="3"/>
      <c r="C223" s="3"/>
      <c r="D223" s="3"/>
      <c r="E223" s="3"/>
      <c r="F223" s="61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615"/>
      <c r="AH223" s="3"/>
      <c r="AI223" s="3"/>
      <c r="AJ223" s="3"/>
      <c r="AK223" s="615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87"/>
    </row>
    <row r="224" spans="1:55" ht="15.75" customHeight="1">
      <c r="A224" s="3"/>
      <c r="B224" s="3"/>
      <c r="C224" s="3"/>
      <c r="D224" s="3"/>
      <c r="E224" s="3"/>
      <c r="F224" s="61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615"/>
      <c r="AH224" s="3"/>
      <c r="AI224" s="3"/>
      <c r="AJ224" s="3"/>
      <c r="AK224" s="615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87"/>
    </row>
    <row r="225" spans="1:52" ht="15.75" customHeight="1">
      <c r="A225" s="3"/>
      <c r="B225" s="3"/>
      <c r="C225" s="3"/>
      <c r="D225" s="3"/>
      <c r="E225" s="3"/>
      <c r="F225" s="61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615"/>
      <c r="AH225" s="3"/>
      <c r="AI225" s="3"/>
      <c r="AJ225" s="3"/>
      <c r="AK225" s="615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87"/>
    </row>
    <row r="226" spans="1:52" ht="15.75" customHeight="1">
      <c r="A226" s="3"/>
      <c r="B226" s="3"/>
      <c r="C226" s="3"/>
      <c r="D226" s="3"/>
      <c r="E226" s="3"/>
      <c r="F226" s="61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615"/>
      <c r="AH226" s="3"/>
      <c r="AI226" s="3"/>
      <c r="AJ226" s="3"/>
      <c r="AK226" s="615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87"/>
    </row>
    <row r="227" spans="1:52" ht="15.75" customHeight="1">
      <c r="X227" s="3"/>
      <c r="AB227" s="3"/>
      <c r="AZ227" s="87"/>
    </row>
    <row r="228" spans="1:52" ht="15.75" customHeight="1">
      <c r="AZ228" s="87"/>
    </row>
    <row r="229" spans="1:52" ht="15.75" customHeight="1">
      <c r="AZ229" s="87"/>
    </row>
    <row r="230" spans="1:52" ht="15.75" customHeight="1">
      <c r="AZ230" s="87"/>
    </row>
    <row r="231" spans="1:52" ht="15.75" customHeight="1">
      <c r="AZ231" s="87"/>
    </row>
    <row r="232" spans="1:52" ht="15.75" customHeight="1">
      <c r="AZ232" s="87"/>
    </row>
    <row r="233" spans="1:52" ht="15.75" customHeight="1">
      <c r="AZ233" s="87"/>
    </row>
    <row r="234" spans="1:52" ht="15.75" customHeight="1">
      <c r="AZ234" s="87"/>
    </row>
    <row r="235" spans="1:52" ht="15.75" customHeight="1">
      <c r="AZ235" s="87"/>
    </row>
    <row r="236" spans="1:52" ht="15.75" customHeight="1">
      <c r="AZ236" s="87"/>
    </row>
    <row r="237" spans="1:52" ht="15.75" customHeight="1">
      <c r="AZ237" s="87"/>
    </row>
    <row r="238" spans="1:52" ht="15.75" customHeight="1">
      <c r="AZ238" s="87"/>
    </row>
    <row r="239" spans="1:52" ht="15.75" customHeight="1">
      <c r="AZ239" s="87"/>
    </row>
    <row r="240" spans="1:52" ht="15.75" customHeight="1">
      <c r="AZ240" s="87"/>
    </row>
    <row r="241" spans="52:52" ht="15.75" customHeight="1">
      <c r="AZ241" s="87"/>
    </row>
    <row r="242" spans="52:52" ht="15.75" customHeight="1">
      <c r="AZ242" s="87"/>
    </row>
    <row r="243" spans="52:52" ht="15.75" customHeight="1">
      <c r="AZ243" s="87"/>
    </row>
    <row r="244" spans="52:52" ht="15.75" customHeight="1">
      <c r="AZ244" s="87"/>
    </row>
    <row r="245" spans="52:52" ht="15.75" customHeight="1">
      <c r="AZ245" s="87"/>
    </row>
    <row r="246" spans="52:52" ht="15.75" customHeight="1">
      <c r="AZ246" s="87"/>
    </row>
    <row r="247" spans="52:52" ht="15.75" customHeight="1">
      <c r="AZ247" s="87"/>
    </row>
    <row r="248" spans="52:52" ht="15.75" customHeight="1">
      <c r="AZ248" s="87"/>
    </row>
    <row r="249" spans="52:52" ht="15.75" customHeight="1">
      <c r="AZ249" s="87"/>
    </row>
    <row r="250" spans="52:52" ht="15.75" customHeight="1">
      <c r="AZ250" s="87"/>
    </row>
    <row r="251" spans="52:52" ht="15.75" customHeight="1">
      <c r="AZ251" s="87"/>
    </row>
    <row r="252" spans="52:52" ht="15.75" customHeight="1">
      <c r="AZ252" s="87"/>
    </row>
    <row r="253" spans="52:52" ht="15.75" customHeight="1">
      <c r="AZ253" s="87"/>
    </row>
    <row r="254" spans="52:52" ht="15.75" customHeight="1">
      <c r="AZ254" s="87"/>
    </row>
    <row r="255" spans="52:52" ht="15.75" customHeight="1">
      <c r="AZ255" s="87"/>
    </row>
    <row r="256" spans="52:52" ht="15.75" customHeight="1">
      <c r="AZ256" s="87"/>
    </row>
    <row r="257" spans="52:52" ht="15.75" customHeight="1">
      <c r="AZ257" s="87"/>
    </row>
    <row r="258" spans="52:52" ht="15.75" customHeight="1">
      <c r="AZ258" s="87"/>
    </row>
    <row r="259" spans="52:52" ht="15.75" customHeight="1">
      <c r="AZ259" s="87"/>
    </row>
    <row r="260" spans="52:52" ht="15.75" customHeight="1">
      <c r="AZ260" s="87"/>
    </row>
    <row r="261" spans="52:52" ht="15.75" customHeight="1">
      <c r="AZ261" s="87"/>
    </row>
    <row r="262" spans="52:52" ht="15.75" customHeight="1">
      <c r="AZ262" s="87"/>
    </row>
    <row r="263" spans="52:52" ht="15.75" customHeight="1">
      <c r="AZ263" s="87"/>
    </row>
    <row r="264" spans="52:52" ht="15.75" customHeight="1">
      <c r="AZ264" s="87"/>
    </row>
    <row r="265" spans="52:52" ht="15.75" customHeight="1">
      <c r="AZ265" s="87"/>
    </row>
    <row r="266" spans="52:52" ht="15.75" customHeight="1">
      <c r="AZ266" s="87"/>
    </row>
    <row r="267" spans="52:52" ht="15.75" customHeight="1">
      <c r="AZ267" s="87"/>
    </row>
    <row r="268" spans="52:52" ht="15.75" customHeight="1">
      <c r="AZ268" s="87"/>
    </row>
    <row r="269" spans="52:52" ht="15.75" customHeight="1">
      <c r="AZ269" s="87"/>
    </row>
    <row r="270" spans="52:52" ht="15.75" customHeight="1">
      <c r="AZ270" s="87"/>
    </row>
    <row r="271" spans="52:52" ht="15.75" customHeight="1">
      <c r="AZ271" s="87"/>
    </row>
    <row r="272" spans="52:52" ht="15.75" customHeight="1">
      <c r="AZ272" s="87"/>
    </row>
    <row r="273" spans="52:52" ht="15.75" customHeight="1">
      <c r="AZ273" s="87"/>
    </row>
    <row r="274" spans="52:52" ht="15.75" customHeight="1">
      <c r="AZ274" s="87"/>
    </row>
    <row r="275" spans="52:52" ht="15.75" customHeight="1">
      <c r="AZ275" s="87"/>
    </row>
    <row r="276" spans="52:52" ht="15.75" customHeight="1">
      <c r="AZ276" s="87"/>
    </row>
    <row r="277" spans="52:52" ht="15.75" customHeight="1">
      <c r="AZ277" s="87"/>
    </row>
    <row r="278" spans="52:52" ht="15.75" customHeight="1">
      <c r="AZ278" s="87"/>
    </row>
    <row r="279" spans="52:52" ht="15.75" customHeight="1">
      <c r="AZ279" s="87"/>
    </row>
    <row r="280" spans="52:52" ht="15.75" customHeight="1">
      <c r="AZ280" s="87"/>
    </row>
    <row r="281" spans="52:52" ht="15.75" customHeight="1">
      <c r="AZ281" s="87"/>
    </row>
    <row r="282" spans="52:52" ht="15.75" customHeight="1">
      <c r="AZ282" s="87"/>
    </row>
    <row r="283" spans="52:52" ht="15.75" customHeight="1">
      <c r="AZ283" s="87"/>
    </row>
    <row r="284" spans="52:52" ht="15.75" customHeight="1">
      <c r="AZ284" s="87"/>
    </row>
    <row r="285" spans="52:52" ht="15.75" customHeight="1">
      <c r="AZ285" s="87"/>
    </row>
    <row r="286" spans="52:52" ht="15.75" customHeight="1">
      <c r="AZ286" s="87"/>
    </row>
    <row r="287" spans="52:52" ht="15.75" customHeight="1">
      <c r="AZ287" s="87"/>
    </row>
    <row r="288" spans="52:52" ht="15.75" customHeight="1">
      <c r="AZ288" s="87"/>
    </row>
    <row r="289" spans="52:52" ht="15.75" customHeight="1">
      <c r="AZ289" s="87"/>
    </row>
    <row r="290" spans="52:52" ht="15.75" customHeight="1">
      <c r="AZ290" s="87"/>
    </row>
    <row r="291" spans="52:52" ht="15.75" customHeight="1">
      <c r="AZ291" s="87"/>
    </row>
    <row r="292" spans="52:52" ht="15.75" customHeight="1">
      <c r="AZ292" s="87"/>
    </row>
    <row r="293" spans="52:52" ht="15.75" customHeight="1">
      <c r="AZ293" s="87"/>
    </row>
    <row r="294" spans="52:52" ht="15.75" customHeight="1">
      <c r="AZ294" s="87"/>
    </row>
    <row r="295" spans="52:52" ht="15.75" customHeight="1">
      <c r="AZ295" s="87"/>
    </row>
    <row r="296" spans="52:52" ht="15.75" customHeight="1">
      <c r="AZ296" s="87"/>
    </row>
    <row r="297" spans="52:52" ht="15.75" customHeight="1">
      <c r="AZ297" s="87"/>
    </row>
    <row r="298" spans="52:52" ht="15.75" customHeight="1">
      <c r="AZ298" s="87"/>
    </row>
    <row r="299" spans="52:52" ht="15.75" customHeight="1">
      <c r="AZ299" s="87"/>
    </row>
    <row r="300" spans="52:52" ht="15.75" customHeight="1">
      <c r="AZ300" s="87"/>
    </row>
    <row r="301" spans="52:52" ht="15.75" customHeight="1">
      <c r="AZ301" s="87"/>
    </row>
    <row r="302" spans="52:52" ht="15.75" customHeight="1">
      <c r="AZ302" s="87"/>
    </row>
    <row r="303" spans="52:52" ht="15.75" customHeight="1">
      <c r="AZ303" s="87"/>
    </row>
    <row r="304" spans="52:52" ht="15.75" customHeight="1">
      <c r="AZ304" s="87"/>
    </row>
    <row r="305" spans="52:52" ht="15.75" customHeight="1">
      <c r="AZ305" s="87"/>
    </row>
    <row r="306" spans="52:52" ht="15.75" customHeight="1">
      <c r="AZ306" s="87"/>
    </row>
    <row r="307" spans="52:52" ht="15.75" customHeight="1">
      <c r="AZ307" s="87"/>
    </row>
    <row r="308" spans="52:52" ht="15.75" customHeight="1">
      <c r="AZ308" s="87"/>
    </row>
    <row r="309" spans="52:52" ht="15.75" customHeight="1">
      <c r="AZ309" s="87"/>
    </row>
    <row r="310" spans="52:52" ht="15.75" customHeight="1">
      <c r="AZ310" s="87"/>
    </row>
    <row r="311" spans="52:52" ht="15.75" customHeight="1">
      <c r="AZ311" s="87"/>
    </row>
    <row r="312" spans="52:52" ht="15.75" customHeight="1">
      <c r="AZ312" s="87"/>
    </row>
    <row r="313" spans="52:52" ht="15.75" customHeight="1">
      <c r="AZ313" s="87"/>
    </row>
    <row r="314" spans="52:52" ht="15.75" customHeight="1">
      <c r="AZ314" s="87"/>
    </row>
    <row r="315" spans="52:52" ht="15.75" customHeight="1">
      <c r="AZ315" s="87"/>
    </row>
    <row r="316" spans="52:52" ht="15.75" customHeight="1">
      <c r="AZ316" s="87"/>
    </row>
    <row r="317" spans="52:52" ht="15.75" customHeight="1">
      <c r="AZ317" s="87"/>
    </row>
    <row r="318" spans="52:52" ht="15.75" customHeight="1">
      <c r="AZ318" s="87"/>
    </row>
    <row r="319" spans="52:52" ht="15.75" customHeight="1">
      <c r="AZ319" s="87"/>
    </row>
    <row r="320" spans="52:52" ht="15.75" customHeight="1">
      <c r="AZ320" s="87"/>
    </row>
    <row r="321" spans="52:52" ht="15.75" customHeight="1">
      <c r="AZ321" s="87"/>
    </row>
    <row r="322" spans="52:52" ht="15.75" customHeight="1">
      <c r="AZ322" s="87"/>
    </row>
    <row r="323" spans="52:52" ht="15.75" customHeight="1">
      <c r="AZ323" s="87"/>
    </row>
    <row r="324" spans="52:52" ht="15.75" customHeight="1">
      <c r="AZ324" s="87"/>
    </row>
    <row r="325" spans="52:52" ht="15.75" customHeight="1">
      <c r="AZ325" s="87"/>
    </row>
    <row r="326" spans="52:52" ht="15.75" customHeight="1">
      <c r="AZ326" s="87"/>
    </row>
    <row r="327" spans="52:52" ht="15.75" customHeight="1">
      <c r="AZ327" s="87"/>
    </row>
    <row r="328" spans="52:52" ht="15.75" customHeight="1">
      <c r="AZ328" s="87"/>
    </row>
    <row r="329" spans="52:52" ht="15.75" customHeight="1">
      <c r="AZ329" s="87"/>
    </row>
    <row r="330" spans="52:52" ht="15.75" customHeight="1">
      <c r="AZ330" s="87"/>
    </row>
    <row r="331" spans="52:52" ht="15.75" customHeight="1">
      <c r="AZ331" s="87"/>
    </row>
    <row r="332" spans="52:52" ht="15.75" customHeight="1">
      <c r="AZ332" s="87"/>
    </row>
    <row r="333" spans="52:52" ht="15.75" customHeight="1">
      <c r="AZ333" s="87"/>
    </row>
    <row r="334" spans="52:52" ht="15.75" customHeight="1">
      <c r="AZ334" s="87"/>
    </row>
    <row r="335" spans="52:52" ht="15.75" customHeight="1">
      <c r="AZ335" s="87"/>
    </row>
    <row r="336" spans="52:52" ht="15.75" customHeight="1">
      <c r="AZ336" s="87"/>
    </row>
    <row r="337" spans="52:52" ht="15.75" customHeight="1">
      <c r="AZ337" s="87"/>
    </row>
    <row r="338" spans="52:52" ht="15.75" customHeight="1">
      <c r="AZ338" s="87"/>
    </row>
    <row r="339" spans="52:52" ht="15.75" customHeight="1">
      <c r="AZ339" s="87"/>
    </row>
    <row r="340" spans="52:52" ht="15.75" customHeight="1">
      <c r="AZ340" s="87"/>
    </row>
    <row r="341" spans="52:52" ht="15.75" customHeight="1">
      <c r="AZ341" s="87"/>
    </row>
    <row r="342" spans="52:52" ht="15.75" customHeight="1">
      <c r="AZ342" s="87"/>
    </row>
    <row r="343" spans="52:52" ht="15.75" customHeight="1">
      <c r="AZ343" s="87"/>
    </row>
    <row r="344" spans="52:52" ht="15.75" customHeight="1">
      <c r="AZ344" s="87"/>
    </row>
    <row r="345" spans="52:52" ht="15.75" customHeight="1">
      <c r="AZ345" s="87"/>
    </row>
    <row r="346" spans="52:52" ht="15.75" customHeight="1">
      <c r="AZ346" s="87"/>
    </row>
    <row r="347" spans="52:52" ht="15.75" customHeight="1">
      <c r="AZ347" s="87"/>
    </row>
    <row r="348" spans="52:52" ht="15.75" customHeight="1">
      <c r="AZ348" s="87"/>
    </row>
    <row r="349" spans="52:52" ht="15.75" customHeight="1">
      <c r="AZ349" s="87"/>
    </row>
    <row r="350" spans="52:52" ht="15.75" customHeight="1">
      <c r="AZ350" s="87"/>
    </row>
    <row r="351" spans="52:52" ht="15.75" customHeight="1">
      <c r="AZ351" s="87"/>
    </row>
    <row r="352" spans="52:52" ht="15.75" customHeight="1">
      <c r="AZ352" s="87"/>
    </row>
    <row r="353" spans="52:52" ht="15.75" customHeight="1">
      <c r="AZ353" s="87"/>
    </row>
    <row r="354" spans="52:52" ht="15.75" customHeight="1">
      <c r="AZ354" s="87"/>
    </row>
    <row r="355" spans="52:52" ht="15.75" customHeight="1">
      <c r="AZ355" s="87"/>
    </row>
    <row r="356" spans="52:52" ht="15.75" customHeight="1">
      <c r="AZ356" s="87"/>
    </row>
    <row r="357" spans="52:52" ht="15.75" customHeight="1">
      <c r="AZ357" s="87"/>
    </row>
    <row r="358" spans="52:52" ht="15.75" customHeight="1">
      <c r="AZ358" s="87"/>
    </row>
    <row r="359" spans="52:52" ht="15.75" customHeight="1">
      <c r="AZ359" s="87"/>
    </row>
    <row r="360" spans="52:52" ht="15.75" customHeight="1">
      <c r="AZ360" s="87"/>
    </row>
    <row r="361" spans="52:52" ht="15.75" customHeight="1">
      <c r="AZ361" s="87"/>
    </row>
    <row r="362" spans="52:52" ht="15.75" customHeight="1">
      <c r="AZ362" s="87"/>
    </row>
    <row r="363" spans="52:52" ht="15.75" customHeight="1">
      <c r="AZ363" s="87"/>
    </row>
    <row r="364" spans="52:52" ht="15.75" customHeight="1">
      <c r="AZ364" s="87"/>
    </row>
    <row r="365" spans="52:52" ht="15.75" customHeight="1">
      <c r="AZ365" s="87"/>
    </row>
    <row r="366" spans="52:52" ht="15.75" customHeight="1">
      <c r="AZ366" s="87"/>
    </row>
    <row r="367" spans="52:52" ht="15.75" customHeight="1">
      <c r="AZ367" s="87"/>
    </row>
    <row r="368" spans="52:52" ht="15.75" customHeight="1">
      <c r="AZ368" s="87"/>
    </row>
    <row r="369" spans="52:52" ht="15.75" customHeight="1">
      <c r="AZ369" s="87"/>
    </row>
    <row r="370" spans="52:52" ht="15.75" customHeight="1">
      <c r="AZ370" s="87"/>
    </row>
    <row r="371" spans="52:52" ht="15.75" customHeight="1">
      <c r="AZ371" s="87"/>
    </row>
    <row r="372" spans="52:52" ht="15.75" customHeight="1">
      <c r="AZ372" s="87"/>
    </row>
    <row r="373" spans="52:52" ht="15.75" customHeight="1">
      <c r="AZ373" s="87"/>
    </row>
    <row r="374" spans="52:52" ht="15.75" customHeight="1">
      <c r="AZ374" s="87"/>
    </row>
    <row r="375" spans="52:52" ht="15.75" customHeight="1">
      <c r="AZ375" s="87"/>
    </row>
    <row r="376" spans="52:52" ht="15.75" customHeight="1">
      <c r="AZ376" s="87"/>
    </row>
    <row r="377" spans="52:52" ht="15.75" customHeight="1">
      <c r="AZ377" s="87"/>
    </row>
    <row r="378" spans="52:52" ht="15.75" customHeight="1">
      <c r="AZ378" s="87"/>
    </row>
    <row r="379" spans="52:52" ht="15.75" customHeight="1">
      <c r="AZ379" s="87"/>
    </row>
    <row r="380" spans="52:52" ht="15.75" customHeight="1">
      <c r="AZ380" s="87"/>
    </row>
    <row r="381" spans="52:52" ht="15.75" customHeight="1">
      <c r="AZ381" s="87"/>
    </row>
    <row r="382" spans="52:52" ht="15.75" customHeight="1">
      <c r="AZ382" s="87"/>
    </row>
    <row r="383" spans="52:52" ht="15.75" customHeight="1">
      <c r="AZ383" s="87"/>
    </row>
    <row r="384" spans="52:52" ht="15.75" customHeight="1">
      <c r="AZ384" s="87"/>
    </row>
    <row r="385" spans="52:52" ht="15.75" customHeight="1">
      <c r="AZ385" s="87"/>
    </row>
    <row r="386" spans="52:52" ht="15.75" customHeight="1">
      <c r="AZ386" s="87"/>
    </row>
    <row r="387" spans="52:52" ht="15.75" customHeight="1">
      <c r="AZ387" s="87"/>
    </row>
    <row r="388" spans="52:52" ht="15.75" customHeight="1">
      <c r="AZ388" s="87"/>
    </row>
    <row r="389" spans="52:52" ht="15.75" customHeight="1">
      <c r="AZ389" s="87"/>
    </row>
    <row r="390" spans="52:52" ht="15.75" customHeight="1">
      <c r="AZ390" s="87"/>
    </row>
    <row r="391" spans="52:52" ht="15.75" customHeight="1">
      <c r="AZ391" s="87"/>
    </row>
    <row r="392" spans="52:52" ht="15.75" customHeight="1">
      <c r="AZ392" s="87"/>
    </row>
    <row r="393" spans="52:52" ht="15.75" customHeight="1">
      <c r="AZ393" s="87"/>
    </row>
    <row r="394" spans="52:52" ht="15.75" customHeight="1">
      <c r="AZ394" s="87"/>
    </row>
    <row r="395" spans="52:52" ht="15.75" customHeight="1">
      <c r="AZ395" s="87"/>
    </row>
    <row r="396" spans="52:52" ht="15.75" customHeight="1">
      <c r="AZ396" s="87"/>
    </row>
    <row r="397" spans="52:52" ht="15.75" customHeight="1">
      <c r="AZ397" s="87"/>
    </row>
    <row r="398" spans="52:52" ht="15.75" customHeight="1">
      <c r="AZ398" s="87"/>
    </row>
    <row r="399" spans="52:52" ht="15.75" customHeight="1">
      <c r="AZ399" s="87"/>
    </row>
    <row r="400" spans="52:52" ht="15.75" customHeight="1">
      <c r="AZ400" s="87"/>
    </row>
    <row r="401" spans="52:52" ht="15.75" customHeight="1">
      <c r="AZ401" s="87"/>
    </row>
    <row r="402" spans="52:52" ht="15.75" customHeight="1">
      <c r="AZ402" s="87"/>
    </row>
    <row r="403" spans="52:52" ht="15.75" customHeight="1">
      <c r="AZ403" s="87"/>
    </row>
    <row r="404" spans="52:52" ht="15.75" customHeight="1">
      <c r="AZ404" s="87"/>
    </row>
    <row r="405" spans="52:52" ht="15.75" customHeight="1">
      <c r="AZ405" s="87"/>
    </row>
    <row r="406" spans="52:52" ht="15.75" customHeight="1">
      <c r="AZ406" s="87"/>
    </row>
    <row r="407" spans="52:52" ht="15.75" customHeight="1">
      <c r="AZ407" s="87"/>
    </row>
    <row r="408" spans="52:52" ht="15.75" customHeight="1">
      <c r="AZ408" s="87"/>
    </row>
    <row r="409" spans="52:52" ht="15.75" customHeight="1">
      <c r="AZ409" s="87"/>
    </row>
    <row r="410" spans="52:52" ht="15.75" customHeight="1">
      <c r="AZ410" s="87"/>
    </row>
    <row r="411" spans="52:52" ht="15.75" customHeight="1">
      <c r="AZ411" s="87"/>
    </row>
    <row r="412" spans="52:52" ht="15.75" customHeight="1">
      <c r="AZ412" s="87"/>
    </row>
    <row r="413" spans="52:52" ht="15.75" customHeight="1">
      <c r="AZ413" s="87"/>
    </row>
    <row r="414" spans="52:52" ht="15.75" customHeight="1">
      <c r="AZ414" s="87"/>
    </row>
    <row r="415" spans="52:52" ht="15.75" customHeight="1">
      <c r="AZ415" s="87"/>
    </row>
    <row r="416" spans="52:52" ht="15.75" customHeight="1">
      <c r="AZ416" s="87"/>
    </row>
    <row r="417" spans="52:52" ht="15.75" customHeight="1">
      <c r="AZ417" s="87"/>
    </row>
    <row r="418" spans="52:52" ht="15.75" customHeight="1">
      <c r="AZ418" s="87"/>
    </row>
    <row r="419" spans="52:52" ht="15.75" customHeight="1">
      <c r="AZ419" s="87"/>
    </row>
    <row r="420" spans="52:52" ht="15.75" customHeight="1">
      <c r="AZ420" s="87"/>
    </row>
    <row r="421" spans="52:52" ht="15.75" customHeight="1">
      <c r="AZ421" s="87"/>
    </row>
    <row r="422" spans="52:52" ht="15.75" customHeight="1">
      <c r="AZ422" s="87"/>
    </row>
    <row r="423" spans="52:52" ht="15.75" customHeight="1">
      <c r="AZ423" s="87"/>
    </row>
    <row r="424" spans="52:52" ht="15.75" customHeight="1">
      <c r="AZ424" s="87"/>
    </row>
    <row r="425" spans="52:52" ht="15.75" customHeight="1">
      <c r="AZ425" s="87"/>
    </row>
    <row r="426" spans="52:52" ht="15.75" customHeight="1">
      <c r="AZ426" s="87"/>
    </row>
    <row r="427" spans="52:52" ht="15.75" customHeight="1">
      <c r="AZ427" s="87"/>
    </row>
    <row r="428" spans="52:52" ht="15.75" customHeight="1">
      <c r="AZ428" s="87"/>
    </row>
    <row r="429" spans="52:52" ht="15.75" customHeight="1">
      <c r="AZ429" s="87"/>
    </row>
    <row r="430" spans="52:52" ht="15.75" customHeight="1">
      <c r="AZ430" s="87"/>
    </row>
    <row r="431" spans="52:52" ht="15.75" customHeight="1">
      <c r="AZ431" s="87"/>
    </row>
    <row r="432" spans="52:52" ht="15.75" customHeight="1">
      <c r="AZ432" s="87"/>
    </row>
    <row r="433" spans="52:52" ht="15.75" customHeight="1">
      <c r="AZ433" s="87"/>
    </row>
    <row r="434" spans="52:52" ht="15.75" customHeight="1">
      <c r="AZ434" s="87"/>
    </row>
    <row r="435" spans="52:52" ht="15.75" customHeight="1">
      <c r="AZ435" s="87"/>
    </row>
    <row r="436" spans="52:52" ht="15.75" customHeight="1">
      <c r="AZ436" s="87"/>
    </row>
    <row r="437" spans="52:52" ht="15.75" customHeight="1">
      <c r="AZ437" s="87"/>
    </row>
    <row r="438" spans="52:52" ht="15.75" customHeight="1">
      <c r="AZ438" s="87"/>
    </row>
    <row r="439" spans="52:52" ht="15.75" customHeight="1">
      <c r="AZ439" s="87"/>
    </row>
    <row r="440" spans="52:52" ht="15.75" customHeight="1">
      <c r="AZ440" s="87"/>
    </row>
    <row r="441" spans="52:52" ht="15.75" customHeight="1">
      <c r="AZ441" s="87"/>
    </row>
    <row r="442" spans="52:52" ht="15.75" customHeight="1">
      <c r="AZ442" s="87"/>
    </row>
    <row r="443" spans="52:52" ht="15.75" customHeight="1">
      <c r="AZ443" s="87"/>
    </row>
    <row r="444" spans="52:52" ht="15.75" customHeight="1">
      <c r="AZ444" s="87"/>
    </row>
    <row r="445" spans="52:52" ht="15.75" customHeight="1">
      <c r="AZ445" s="87"/>
    </row>
    <row r="446" spans="52:52" ht="15.75" customHeight="1">
      <c r="AZ446" s="87"/>
    </row>
    <row r="447" spans="52:52" ht="15.75" customHeight="1">
      <c r="AZ447" s="87"/>
    </row>
    <row r="448" spans="52:52" ht="15.75" customHeight="1">
      <c r="AZ448" s="87"/>
    </row>
    <row r="449" spans="52:52" ht="15.75" customHeight="1">
      <c r="AZ449" s="87"/>
    </row>
    <row r="450" spans="52:52" ht="15.75" customHeight="1">
      <c r="AZ450" s="87"/>
    </row>
    <row r="451" spans="52:52" ht="15.75" customHeight="1">
      <c r="AZ451" s="87"/>
    </row>
    <row r="452" spans="52:52" ht="15.75" customHeight="1">
      <c r="AZ452" s="87"/>
    </row>
    <row r="453" spans="52:52" ht="15.75" customHeight="1">
      <c r="AZ453" s="87"/>
    </row>
    <row r="454" spans="52:52" ht="15.75" customHeight="1">
      <c r="AZ454" s="87"/>
    </row>
    <row r="455" spans="52:52" ht="15.75" customHeight="1">
      <c r="AZ455" s="87"/>
    </row>
    <row r="456" spans="52:52" ht="15.75" customHeight="1">
      <c r="AZ456" s="87"/>
    </row>
    <row r="457" spans="52:52" ht="15.75" customHeight="1">
      <c r="AZ457" s="87"/>
    </row>
    <row r="458" spans="52:52" ht="15.75" customHeight="1">
      <c r="AZ458" s="87"/>
    </row>
    <row r="459" spans="52:52" ht="15.75" customHeight="1">
      <c r="AZ459" s="87"/>
    </row>
    <row r="460" spans="52:52" ht="15.75" customHeight="1">
      <c r="AZ460" s="87"/>
    </row>
    <row r="461" spans="52:52" ht="15.75" customHeight="1">
      <c r="AZ461" s="87"/>
    </row>
    <row r="462" spans="52:52" ht="15.75" customHeight="1">
      <c r="AZ462" s="87"/>
    </row>
    <row r="463" spans="52:52" ht="15.75" customHeight="1">
      <c r="AZ463" s="87"/>
    </row>
    <row r="464" spans="52:52" ht="15.75" customHeight="1">
      <c r="AZ464" s="87"/>
    </row>
    <row r="465" spans="52:52" ht="15.75" customHeight="1">
      <c r="AZ465" s="87"/>
    </row>
    <row r="466" spans="52:52" ht="15.75" customHeight="1">
      <c r="AZ466" s="87"/>
    </row>
    <row r="467" spans="52:52" ht="15.75" customHeight="1">
      <c r="AZ467" s="87"/>
    </row>
    <row r="468" spans="52:52" ht="15.75" customHeight="1">
      <c r="AZ468" s="87"/>
    </row>
    <row r="469" spans="52:52" ht="15.75" customHeight="1">
      <c r="AZ469" s="87"/>
    </row>
    <row r="470" spans="52:52" ht="15.75" customHeight="1">
      <c r="AZ470" s="87"/>
    </row>
    <row r="471" spans="52:52" ht="15.75" customHeight="1">
      <c r="AZ471" s="87"/>
    </row>
    <row r="472" spans="52:52" ht="15.75" customHeight="1">
      <c r="AZ472" s="87"/>
    </row>
    <row r="473" spans="52:52" ht="15.75" customHeight="1">
      <c r="AZ473" s="87"/>
    </row>
    <row r="474" spans="52:52" ht="15.75" customHeight="1">
      <c r="AZ474" s="87"/>
    </row>
    <row r="475" spans="52:52" ht="15.75" customHeight="1">
      <c r="AZ475" s="87"/>
    </row>
    <row r="476" spans="52:52" ht="15.75" customHeight="1">
      <c r="AZ476" s="87"/>
    </row>
    <row r="477" spans="52:52" ht="15.75" customHeight="1">
      <c r="AZ477" s="87"/>
    </row>
    <row r="478" spans="52:52" ht="15.75" customHeight="1">
      <c r="AZ478" s="87"/>
    </row>
    <row r="479" spans="52:52" ht="15.75" customHeight="1">
      <c r="AZ479" s="87"/>
    </row>
    <row r="480" spans="52:52" ht="15.75" customHeight="1">
      <c r="AZ480" s="87"/>
    </row>
    <row r="481" spans="52:52" ht="15.75" customHeight="1">
      <c r="AZ481" s="87"/>
    </row>
    <row r="482" spans="52:52" ht="15.75" customHeight="1">
      <c r="AZ482" s="87"/>
    </row>
    <row r="483" spans="52:52" ht="15.75" customHeight="1">
      <c r="AZ483" s="87"/>
    </row>
    <row r="484" spans="52:52" ht="15.75" customHeight="1">
      <c r="AZ484" s="87"/>
    </row>
    <row r="485" spans="52:52" ht="15.75" customHeight="1">
      <c r="AZ485" s="87"/>
    </row>
    <row r="486" spans="52:52" ht="15.75" customHeight="1">
      <c r="AZ486" s="87"/>
    </row>
    <row r="487" spans="52:52" ht="15.75" customHeight="1">
      <c r="AZ487" s="87"/>
    </row>
    <row r="488" spans="52:52" ht="15.75" customHeight="1">
      <c r="AZ488" s="87"/>
    </row>
    <row r="489" spans="52:52" ht="15.75" customHeight="1">
      <c r="AZ489" s="87"/>
    </row>
    <row r="490" spans="52:52" ht="15.75" customHeight="1">
      <c r="AZ490" s="87"/>
    </row>
    <row r="491" spans="52:52" ht="15.75" customHeight="1">
      <c r="AZ491" s="87"/>
    </row>
    <row r="492" spans="52:52" ht="15.75" customHeight="1">
      <c r="AZ492" s="87"/>
    </row>
    <row r="493" spans="52:52" ht="15.75" customHeight="1">
      <c r="AZ493" s="87"/>
    </row>
    <row r="494" spans="52:52" ht="15.75" customHeight="1">
      <c r="AZ494" s="87"/>
    </row>
    <row r="495" spans="52:52" ht="15.75" customHeight="1">
      <c r="AZ495" s="87"/>
    </row>
    <row r="496" spans="52:52" ht="15.75" customHeight="1">
      <c r="AZ496" s="87"/>
    </row>
    <row r="497" spans="52:52" ht="15.75" customHeight="1">
      <c r="AZ497" s="87"/>
    </row>
    <row r="498" spans="52:52" ht="15.75" customHeight="1">
      <c r="AZ498" s="87"/>
    </row>
    <row r="499" spans="52:52" ht="15.75" customHeight="1">
      <c r="AZ499" s="87"/>
    </row>
    <row r="500" spans="52:52" ht="15.75" customHeight="1">
      <c r="AZ500" s="87"/>
    </row>
    <row r="501" spans="52:52" ht="15.75" customHeight="1">
      <c r="AZ501" s="87"/>
    </row>
    <row r="502" spans="52:52" ht="15.75" customHeight="1">
      <c r="AZ502" s="87"/>
    </row>
    <row r="503" spans="52:52" ht="15.75" customHeight="1">
      <c r="AZ503" s="87"/>
    </row>
    <row r="504" spans="52:52" ht="15.75" customHeight="1">
      <c r="AZ504" s="87"/>
    </row>
    <row r="505" spans="52:52" ht="15.75" customHeight="1">
      <c r="AZ505" s="87"/>
    </row>
    <row r="506" spans="52:52" ht="15.75" customHeight="1">
      <c r="AZ506" s="87"/>
    </row>
    <row r="507" spans="52:52" ht="15.75" customHeight="1">
      <c r="AZ507" s="87"/>
    </row>
    <row r="508" spans="52:52" ht="15.75" customHeight="1">
      <c r="AZ508" s="87"/>
    </row>
    <row r="509" spans="52:52" ht="15.75" customHeight="1">
      <c r="AZ509" s="87"/>
    </row>
    <row r="510" spans="52:52" ht="15.75" customHeight="1">
      <c r="AZ510" s="87"/>
    </row>
    <row r="511" spans="52:52" ht="15.75" customHeight="1">
      <c r="AZ511" s="87"/>
    </row>
    <row r="512" spans="52:52" ht="15.75" customHeight="1">
      <c r="AZ512" s="87"/>
    </row>
    <row r="513" spans="52:52" ht="15.75" customHeight="1">
      <c r="AZ513" s="87"/>
    </row>
    <row r="514" spans="52:52" ht="15.75" customHeight="1">
      <c r="AZ514" s="87"/>
    </row>
    <row r="515" spans="52:52" ht="15.75" customHeight="1">
      <c r="AZ515" s="87"/>
    </row>
    <row r="516" spans="52:52" ht="15.75" customHeight="1">
      <c r="AZ516" s="87"/>
    </row>
    <row r="517" spans="52:52" ht="15.75" customHeight="1">
      <c r="AZ517" s="87"/>
    </row>
    <row r="518" spans="52:52" ht="15.75" customHeight="1">
      <c r="AZ518" s="87"/>
    </row>
    <row r="519" spans="52:52" ht="15.75" customHeight="1">
      <c r="AZ519" s="87"/>
    </row>
    <row r="520" spans="52:52" ht="15.75" customHeight="1">
      <c r="AZ520" s="87"/>
    </row>
    <row r="521" spans="52:52" ht="15.75" customHeight="1">
      <c r="AZ521" s="87"/>
    </row>
    <row r="522" spans="52:52" ht="15.75" customHeight="1">
      <c r="AZ522" s="87"/>
    </row>
    <row r="523" spans="52:52" ht="15.75" customHeight="1">
      <c r="AZ523" s="87"/>
    </row>
    <row r="524" spans="52:52" ht="15.75" customHeight="1">
      <c r="AZ524" s="87"/>
    </row>
    <row r="525" spans="52:52" ht="15.75" customHeight="1">
      <c r="AZ525" s="87"/>
    </row>
    <row r="526" spans="52:52" ht="15.75" customHeight="1">
      <c r="AZ526" s="87"/>
    </row>
    <row r="527" spans="52:52" ht="15.75" customHeight="1">
      <c r="AZ527" s="87"/>
    </row>
    <row r="528" spans="52:52" ht="15.75" customHeight="1">
      <c r="AZ528" s="87"/>
    </row>
    <row r="529" spans="52:52" ht="15.75" customHeight="1">
      <c r="AZ529" s="87"/>
    </row>
    <row r="530" spans="52:52" ht="15.75" customHeight="1">
      <c r="AZ530" s="87"/>
    </row>
    <row r="531" spans="52:52" ht="15.75" customHeight="1">
      <c r="AZ531" s="87"/>
    </row>
    <row r="532" spans="52:52" ht="15.75" customHeight="1">
      <c r="AZ532" s="87"/>
    </row>
    <row r="533" spans="52:52" ht="15.75" customHeight="1">
      <c r="AZ533" s="87"/>
    </row>
    <row r="534" spans="52:52" ht="15.75" customHeight="1">
      <c r="AZ534" s="87"/>
    </row>
    <row r="535" spans="52:52" ht="15.75" customHeight="1">
      <c r="AZ535" s="87"/>
    </row>
    <row r="536" spans="52:52" ht="15.75" customHeight="1">
      <c r="AZ536" s="87"/>
    </row>
    <row r="537" spans="52:52" ht="15.75" customHeight="1">
      <c r="AZ537" s="87"/>
    </row>
    <row r="538" spans="52:52" ht="15.75" customHeight="1">
      <c r="AZ538" s="87"/>
    </row>
    <row r="539" spans="52:52" ht="15.75" customHeight="1">
      <c r="AZ539" s="87"/>
    </row>
    <row r="540" spans="52:52" ht="15.75" customHeight="1">
      <c r="AZ540" s="87"/>
    </row>
    <row r="541" spans="52:52" ht="15.75" customHeight="1">
      <c r="AZ541" s="87"/>
    </row>
    <row r="542" spans="52:52" ht="15.75" customHeight="1">
      <c r="AZ542" s="87"/>
    </row>
    <row r="543" spans="52:52" ht="15.75" customHeight="1">
      <c r="AZ543" s="87"/>
    </row>
    <row r="544" spans="52:52" ht="15.75" customHeight="1">
      <c r="AZ544" s="87"/>
    </row>
    <row r="545" spans="52:52" ht="15.75" customHeight="1">
      <c r="AZ545" s="87"/>
    </row>
    <row r="546" spans="52:52" ht="15.75" customHeight="1">
      <c r="AZ546" s="87"/>
    </row>
    <row r="547" spans="52:52" ht="15.75" customHeight="1">
      <c r="AZ547" s="87"/>
    </row>
    <row r="548" spans="52:52" ht="15.75" customHeight="1">
      <c r="AZ548" s="87"/>
    </row>
    <row r="549" spans="52:52" ht="15.75" customHeight="1">
      <c r="AZ549" s="87"/>
    </row>
    <row r="550" spans="52:52" ht="15.75" customHeight="1">
      <c r="AZ550" s="87"/>
    </row>
    <row r="551" spans="52:52" ht="15.75" customHeight="1">
      <c r="AZ551" s="87"/>
    </row>
    <row r="552" spans="52:52" ht="15.75" customHeight="1">
      <c r="AZ552" s="87"/>
    </row>
    <row r="553" spans="52:52" ht="15.75" customHeight="1">
      <c r="AZ553" s="87"/>
    </row>
    <row r="554" spans="52:52" ht="15.75" customHeight="1">
      <c r="AZ554" s="87"/>
    </row>
    <row r="555" spans="52:52" ht="15.75" customHeight="1">
      <c r="AZ555" s="87"/>
    </row>
    <row r="556" spans="52:52" ht="15.75" customHeight="1">
      <c r="AZ556" s="87"/>
    </row>
    <row r="557" spans="52:52" ht="15.75" customHeight="1">
      <c r="AZ557" s="87"/>
    </row>
    <row r="558" spans="52:52" ht="15.75" customHeight="1">
      <c r="AZ558" s="87"/>
    </row>
    <row r="559" spans="52:52" ht="15.75" customHeight="1">
      <c r="AZ559" s="87"/>
    </row>
    <row r="560" spans="52:52" ht="15.75" customHeight="1">
      <c r="AZ560" s="87"/>
    </row>
    <row r="561" spans="52:52" ht="15.75" customHeight="1">
      <c r="AZ561" s="87"/>
    </row>
    <row r="562" spans="52:52" ht="15.75" customHeight="1">
      <c r="AZ562" s="87"/>
    </row>
    <row r="563" spans="52:52" ht="15.75" customHeight="1">
      <c r="AZ563" s="87"/>
    </row>
    <row r="564" spans="52:52" ht="15.75" customHeight="1">
      <c r="AZ564" s="87"/>
    </row>
    <row r="565" spans="52:52" ht="15.75" customHeight="1">
      <c r="AZ565" s="87"/>
    </row>
    <row r="566" spans="52:52" ht="15.75" customHeight="1">
      <c r="AZ566" s="87"/>
    </row>
    <row r="567" spans="52:52" ht="15.75" customHeight="1">
      <c r="AZ567" s="87"/>
    </row>
    <row r="568" spans="52:52" ht="15.75" customHeight="1">
      <c r="AZ568" s="87"/>
    </row>
    <row r="569" spans="52:52" ht="15.75" customHeight="1">
      <c r="AZ569" s="87"/>
    </row>
    <row r="570" spans="52:52" ht="15.75" customHeight="1">
      <c r="AZ570" s="87"/>
    </row>
    <row r="571" spans="52:52" ht="15.75" customHeight="1">
      <c r="AZ571" s="87"/>
    </row>
    <row r="572" spans="52:52" ht="15.75" customHeight="1">
      <c r="AZ572" s="87"/>
    </row>
    <row r="573" spans="52:52" ht="15.75" customHeight="1">
      <c r="AZ573" s="87"/>
    </row>
    <row r="574" spans="52:52" ht="15.75" customHeight="1">
      <c r="AZ574" s="87"/>
    </row>
    <row r="575" spans="52:52" ht="15.75" customHeight="1">
      <c r="AZ575" s="87"/>
    </row>
    <row r="576" spans="52:52" ht="15.75" customHeight="1">
      <c r="AZ576" s="87"/>
    </row>
    <row r="577" spans="52:52" ht="15.75" customHeight="1">
      <c r="AZ577" s="87"/>
    </row>
    <row r="578" spans="52:52" ht="15.75" customHeight="1">
      <c r="AZ578" s="87"/>
    </row>
    <row r="579" spans="52:52" ht="15.75" customHeight="1">
      <c r="AZ579" s="87"/>
    </row>
    <row r="580" spans="52:52" ht="15.75" customHeight="1">
      <c r="AZ580" s="87"/>
    </row>
    <row r="581" spans="52:52" ht="15.75" customHeight="1">
      <c r="AZ581" s="87"/>
    </row>
    <row r="582" spans="52:52" ht="15.75" customHeight="1">
      <c r="AZ582" s="87"/>
    </row>
    <row r="583" spans="52:52" ht="15.75" customHeight="1">
      <c r="AZ583" s="87"/>
    </row>
    <row r="584" spans="52:52" ht="15.75" customHeight="1">
      <c r="AZ584" s="87"/>
    </row>
    <row r="585" spans="52:52" ht="15.75" customHeight="1">
      <c r="AZ585" s="87"/>
    </row>
    <row r="586" spans="52:52" ht="15.75" customHeight="1">
      <c r="AZ586" s="87"/>
    </row>
    <row r="587" spans="52:52" ht="15.75" customHeight="1">
      <c r="AZ587" s="87"/>
    </row>
    <row r="588" spans="52:52" ht="15.75" customHeight="1">
      <c r="AZ588" s="87"/>
    </row>
    <row r="589" spans="52:52" ht="15.75" customHeight="1">
      <c r="AZ589" s="87"/>
    </row>
    <row r="590" spans="52:52" ht="15.75" customHeight="1">
      <c r="AZ590" s="87"/>
    </row>
    <row r="591" spans="52:52" ht="15.75" customHeight="1">
      <c r="AZ591" s="87"/>
    </row>
    <row r="592" spans="52:52" ht="15.75" customHeight="1">
      <c r="AZ592" s="87"/>
    </row>
    <row r="593" spans="52:52" ht="15.75" customHeight="1">
      <c r="AZ593" s="87"/>
    </row>
    <row r="594" spans="52:52" ht="15.75" customHeight="1">
      <c r="AZ594" s="87"/>
    </row>
    <row r="595" spans="52:52" ht="15.75" customHeight="1">
      <c r="AZ595" s="87"/>
    </row>
    <row r="596" spans="52:52" ht="15.75" customHeight="1">
      <c r="AZ596" s="87"/>
    </row>
    <row r="597" spans="52:52" ht="15.75" customHeight="1">
      <c r="AZ597" s="87"/>
    </row>
    <row r="598" spans="52:52" ht="15.75" customHeight="1">
      <c r="AZ598" s="87"/>
    </row>
    <row r="599" spans="52:52" ht="15.75" customHeight="1">
      <c r="AZ599" s="87"/>
    </row>
    <row r="600" spans="52:52" ht="15.75" customHeight="1">
      <c r="AZ600" s="87"/>
    </row>
    <row r="601" spans="52:52" ht="15.75" customHeight="1">
      <c r="AZ601" s="87"/>
    </row>
    <row r="602" spans="52:52" ht="15.75" customHeight="1">
      <c r="AZ602" s="87"/>
    </row>
    <row r="603" spans="52:52" ht="15.75" customHeight="1">
      <c r="AZ603" s="87"/>
    </row>
    <row r="604" spans="52:52" ht="15.75" customHeight="1">
      <c r="AZ604" s="87"/>
    </row>
    <row r="605" spans="52:52" ht="15.75" customHeight="1">
      <c r="AZ605" s="87"/>
    </row>
    <row r="606" spans="52:52" ht="15.75" customHeight="1">
      <c r="AZ606" s="87"/>
    </row>
    <row r="607" spans="52:52" ht="15.75" customHeight="1">
      <c r="AZ607" s="87"/>
    </row>
    <row r="608" spans="52:52" ht="15.75" customHeight="1">
      <c r="AZ608" s="87"/>
    </row>
    <row r="609" spans="52:52" ht="15.75" customHeight="1">
      <c r="AZ609" s="87"/>
    </row>
    <row r="610" spans="52:52" ht="15.75" customHeight="1">
      <c r="AZ610" s="87"/>
    </row>
    <row r="611" spans="52:52" ht="15.75" customHeight="1">
      <c r="AZ611" s="87"/>
    </row>
    <row r="612" spans="52:52" ht="15.75" customHeight="1">
      <c r="AZ612" s="87"/>
    </row>
    <row r="613" spans="52:52" ht="15.75" customHeight="1">
      <c r="AZ613" s="87"/>
    </row>
    <row r="614" spans="52:52" ht="15.75" customHeight="1">
      <c r="AZ614" s="87"/>
    </row>
    <row r="615" spans="52:52" ht="15.75" customHeight="1">
      <c r="AZ615" s="87"/>
    </row>
    <row r="616" spans="52:52" ht="15.75" customHeight="1">
      <c r="AZ616" s="87"/>
    </row>
    <row r="617" spans="52:52" ht="15.75" customHeight="1">
      <c r="AZ617" s="87"/>
    </row>
    <row r="618" spans="52:52" ht="15.75" customHeight="1">
      <c r="AZ618" s="87"/>
    </row>
    <row r="619" spans="52:52" ht="15.75" customHeight="1">
      <c r="AZ619" s="87"/>
    </row>
    <row r="620" spans="52:52" ht="15.75" customHeight="1">
      <c r="AZ620" s="87"/>
    </row>
    <row r="621" spans="52:52" ht="15.75" customHeight="1">
      <c r="AZ621" s="87"/>
    </row>
    <row r="622" spans="52:52" ht="15.75" customHeight="1">
      <c r="AZ622" s="87"/>
    </row>
    <row r="623" spans="52:52" ht="15.75" customHeight="1">
      <c r="AZ623" s="87"/>
    </row>
    <row r="624" spans="52:52" ht="15.75" customHeight="1">
      <c r="AZ624" s="87"/>
    </row>
    <row r="625" spans="52:52" ht="15.75" customHeight="1">
      <c r="AZ625" s="87"/>
    </row>
    <row r="626" spans="52:52" ht="15.75" customHeight="1">
      <c r="AZ626" s="87"/>
    </row>
    <row r="627" spans="52:52" ht="15.75" customHeight="1">
      <c r="AZ627" s="87"/>
    </row>
    <row r="628" spans="52:52" ht="15.75" customHeight="1">
      <c r="AZ628" s="87"/>
    </row>
    <row r="629" spans="52:52" ht="15.75" customHeight="1">
      <c r="AZ629" s="87"/>
    </row>
    <row r="630" spans="52:52" ht="15.75" customHeight="1">
      <c r="AZ630" s="87"/>
    </row>
    <row r="631" spans="52:52" ht="15.75" customHeight="1">
      <c r="AZ631" s="87"/>
    </row>
    <row r="632" spans="52:52" ht="15.75" customHeight="1">
      <c r="AZ632" s="87"/>
    </row>
    <row r="633" spans="52:52" ht="15.75" customHeight="1">
      <c r="AZ633" s="87"/>
    </row>
    <row r="634" spans="52:52" ht="15.75" customHeight="1">
      <c r="AZ634" s="87"/>
    </row>
    <row r="635" spans="52:52" ht="15.75" customHeight="1">
      <c r="AZ635" s="87"/>
    </row>
    <row r="636" spans="52:52" ht="15.75" customHeight="1">
      <c r="AZ636" s="87"/>
    </row>
    <row r="637" spans="52:52" ht="15.75" customHeight="1">
      <c r="AZ637" s="87"/>
    </row>
    <row r="638" spans="52:52" ht="15.75" customHeight="1">
      <c r="AZ638" s="87"/>
    </row>
    <row r="639" spans="52:52" ht="15.75" customHeight="1">
      <c r="AZ639" s="87"/>
    </row>
    <row r="640" spans="52:52" ht="15.75" customHeight="1">
      <c r="AZ640" s="87"/>
    </row>
    <row r="641" spans="52:52" ht="15.75" customHeight="1">
      <c r="AZ641" s="87"/>
    </row>
    <row r="642" spans="52:52" ht="15.75" customHeight="1">
      <c r="AZ642" s="87"/>
    </row>
    <row r="643" spans="52:52" ht="15.75" customHeight="1">
      <c r="AZ643" s="87"/>
    </row>
    <row r="644" spans="52:52" ht="15.75" customHeight="1">
      <c r="AZ644" s="87"/>
    </row>
    <row r="645" spans="52:52" ht="15.75" customHeight="1">
      <c r="AZ645" s="87"/>
    </row>
    <row r="646" spans="52:52" ht="15.75" customHeight="1">
      <c r="AZ646" s="87"/>
    </row>
    <row r="647" spans="52:52" ht="15.75" customHeight="1">
      <c r="AZ647" s="87"/>
    </row>
    <row r="648" spans="52:52" ht="15.75" customHeight="1">
      <c r="AZ648" s="87"/>
    </row>
    <row r="649" spans="52:52" ht="15.75" customHeight="1">
      <c r="AZ649" s="87"/>
    </row>
    <row r="650" spans="52:52" ht="15.75" customHeight="1">
      <c r="AZ650" s="87"/>
    </row>
    <row r="651" spans="52:52" ht="15.75" customHeight="1">
      <c r="AZ651" s="87"/>
    </row>
    <row r="652" spans="52:52" ht="15.75" customHeight="1">
      <c r="AZ652" s="87"/>
    </row>
    <row r="653" spans="52:52" ht="15.75" customHeight="1">
      <c r="AZ653" s="87"/>
    </row>
    <row r="654" spans="52:52" ht="15.75" customHeight="1">
      <c r="AZ654" s="87"/>
    </row>
    <row r="655" spans="52:52" ht="15.75" customHeight="1">
      <c r="AZ655" s="87"/>
    </row>
    <row r="656" spans="52:52" ht="15.75" customHeight="1">
      <c r="AZ656" s="87"/>
    </row>
    <row r="657" spans="52:52" ht="15.75" customHeight="1">
      <c r="AZ657" s="87"/>
    </row>
    <row r="658" spans="52:52" ht="15.75" customHeight="1">
      <c r="AZ658" s="87"/>
    </row>
    <row r="659" spans="52:52" ht="15.75" customHeight="1">
      <c r="AZ659" s="87"/>
    </row>
    <row r="660" spans="52:52" ht="15.75" customHeight="1">
      <c r="AZ660" s="87"/>
    </row>
    <row r="661" spans="52:52" ht="15.75" customHeight="1">
      <c r="AZ661" s="87"/>
    </row>
    <row r="662" spans="52:52" ht="15.75" customHeight="1">
      <c r="AZ662" s="87"/>
    </row>
    <row r="663" spans="52:52" ht="15.75" customHeight="1">
      <c r="AZ663" s="87"/>
    </row>
    <row r="664" spans="52:52" ht="15.75" customHeight="1">
      <c r="AZ664" s="87"/>
    </row>
    <row r="665" spans="52:52" ht="15.75" customHeight="1">
      <c r="AZ665" s="87"/>
    </row>
    <row r="666" spans="52:52" ht="15.75" customHeight="1">
      <c r="AZ666" s="87"/>
    </row>
    <row r="667" spans="52:52" ht="15.75" customHeight="1">
      <c r="AZ667" s="87"/>
    </row>
    <row r="668" spans="52:52" ht="15.75" customHeight="1">
      <c r="AZ668" s="87"/>
    </row>
    <row r="669" spans="52:52" ht="15.75" customHeight="1">
      <c r="AZ669" s="87"/>
    </row>
    <row r="670" spans="52:52" ht="15.75" customHeight="1">
      <c r="AZ670" s="87"/>
    </row>
    <row r="671" spans="52:52" ht="15.75" customHeight="1">
      <c r="AZ671" s="87"/>
    </row>
    <row r="672" spans="52:52" ht="15.75" customHeight="1">
      <c r="AZ672" s="87"/>
    </row>
    <row r="673" spans="52:52" ht="15.75" customHeight="1">
      <c r="AZ673" s="87"/>
    </row>
    <row r="674" spans="52:52" ht="15.75" customHeight="1">
      <c r="AZ674" s="87"/>
    </row>
    <row r="675" spans="52:52" ht="15.75" customHeight="1">
      <c r="AZ675" s="87"/>
    </row>
    <row r="676" spans="52:52" ht="15.75" customHeight="1">
      <c r="AZ676" s="87"/>
    </row>
    <row r="677" spans="52:52" ht="15.75" customHeight="1">
      <c r="AZ677" s="87"/>
    </row>
    <row r="678" spans="52:52" ht="15.75" customHeight="1">
      <c r="AZ678" s="87"/>
    </row>
    <row r="679" spans="52:52" ht="15.75" customHeight="1">
      <c r="AZ679" s="87"/>
    </row>
    <row r="680" spans="52:52" ht="15.75" customHeight="1">
      <c r="AZ680" s="87"/>
    </row>
    <row r="681" spans="52:52" ht="15.75" customHeight="1">
      <c r="AZ681" s="87"/>
    </row>
    <row r="682" spans="52:52" ht="15.75" customHeight="1">
      <c r="AZ682" s="87"/>
    </row>
    <row r="683" spans="52:52" ht="15.75" customHeight="1">
      <c r="AZ683" s="87"/>
    </row>
    <row r="684" spans="52:52" ht="15.75" customHeight="1">
      <c r="AZ684" s="87"/>
    </row>
    <row r="685" spans="52:52" ht="15.75" customHeight="1">
      <c r="AZ685" s="87"/>
    </row>
    <row r="686" spans="52:52" ht="15.75" customHeight="1">
      <c r="AZ686" s="87"/>
    </row>
    <row r="687" spans="52:52" ht="15.75" customHeight="1">
      <c r="AZ687" s="87"/>
    </row>
    <row r="688" spans="52:52" ht="15.75" customHeight="1">
      <c r="AZ688" s="87"/>
    </row>
    <row r="689" spans="52:52" ht="15.75" customHeight="1">
      <c r="AZ689" s="87"/>
    </row>
    <row r="690" spans="52:52" ht="15.75" customHeight="1">
      <c r="AZ690" s="87"/>
    </row>
    <row r="691" spans="52:52" ht="15.75" customHeight="1">
      <c r="AZ691" s="87"/>
    </row>
    <row r="692" spans="52:52" ht="15.75" customHeight="1">
      <c r="AZ692" s="87"/>
    </row>
    <row r="693" spans="52:52" ht="15.75" customHeight="1">
      <c r="AZ693" s="87"/>
    </row>
    <row r="694" spans="52:52" ht="15.75" customHeight="1">
      <c r="AZ694" s="87"/>
    </row>
    <row r="695" spans="52:52" ht="15.75" customHeight="1">
      <c r="AZ695" s="87"/>
    </row>
    <row r="696" spans="52:52" ht="15.75" customHeight="1">
      <c r="AZ696" s="87"/>
    </row>
    <row r="697" spans="52:52" ht="15.75" customHeight="1">
      <c r="AZ697" s="87"/>
    </row>
    <row r="698" spans="52:52" ht="15.75" customHeight="1">
      <c r="AZ698" s="87"/>
    </row>
    <row r="699" spans="52:52" ht="15.75" customHeight="1">
      <c r="AZ699" s="87"/>
    </row>
    <row r="700" spans="52:52" ht="15.75" customHeight="1">
      <c r="AZ700" s="87"/>
    </row>
    <row r="701" spans="52:52" ht="15.75" customHeight="1">
      <c r="AZ701" s="87"/>
    </row>
    <row r="702" spans="52:52" ht="15.75" customHeight="1">
      <c r="AZ702" s="87"/>
    </row>
    <row r="703" spans="52:52" ht="15.75" customHeight="1">
      <c r="AZ703" s="87"/>
    </row>
    <row r="704" spans="52:52" ht="15.75" customHeight="1">
      <c r="AZ704" s="87"/>
    </row>
    <row r="705" spans="52:52" ht="15.75" customHeight="1">
      <c r="AZ705" s="87"/>
    </row>
    <row r="706" spans="52:52" ht="15.75" customHeight="1">
      <c r="AZ706" s="87"/>
    </row>
    <row r="707" spans="52:52" ht="15.75" customHeight="1">
      <c r="AZ707" s="87"/>
    </row>
    <row r="708" spans="52:52" ht="15.75" customHeight="1">
      <c r="AZ708" s="87"/>
    </row>
    <row r="709" spans="52:52" ht="15.75" customHeight="1">
      <c r="AZ709" s="87"/>
    </row>
    <row r="710" spans="52:52" ht="15.75" customHeight="1">
      <c r="AZ710" s="87"/>
    </row>
    <row r="711" spans="52:52" ht="15.75" customHeight="1">
      <c r="AZ711" s="87"/>
    </row>
    <row r="712" spans="52:52" ht="15.75" customHeight="1">
      <c r="AZ712" s="87"/>
    </row>
    <row r="713" spans="52:52" ht="15.75" customHeight="1">
      <c r="AZ713" s="87"/>
    </row>
    <row r="714" spans="52:52" ht="15.75" customHeight="1">
      <c r="AZ714" s="87"/>
    </row>
    <row r="715" spans="52:52" ht="15.75" customHeight="1">
      <c r="AZ715" s="87"/>
    </row>
    <row r="716" spans="52:52" ht="15.75" customHeight="1">
      <c r="AZ716" s="87"/>
    </row>
    <row r="717" spans="52:52" ht="15.75" customHeight="1">
      <c r="AZ717" s="87"/>
    </row>
    <row r="718" spans="52:52" ht="15.75" customHeight="1">
      <c r="AZ718" s="87"/>
    </row>
    <row r="719" spans="52:52" ht="15.75" customHeight="1">
      <c r="AZ719" s="87"/>
    </row>
    <row r="720" spans="52:52" ht="15.75" customHeight="1">
      <c r="AZ720" s="87"/>
    </row>
    <row r="721" spans="52:52" ht="15.75" customHeight="1">
      <c r="AZ721" s="87"/>
    </row>
    <row r="722" spans="52:52" ht="15.75" customHeight="1">
      <c r="AZ722" s="87"/>
    </row>
    <row r="723" spans="52:52" ht="15.75" customHeight="1">
      <c r="AZ723" s="87"/>
    </row>
    <row r="724" spans="52:52" ht="15.75" customHeight="1">
      <c r="AZ724" s="87"/>
    </row>
    <row r="725" spans="52:52" ht="15.75" customHeight="1">
      <c r="AZ725" s="87"/>
    </row>
    <row r="726" spans="52:52" ht="15.75" customHeight="1">
      <c r="AZ726" s="87"/>
    </row>
    <row r="727" spans="52:52" ht="15.75" customHeight="1">
      <c r="AZ727" s="87"/>
    </row>
    <row r="728" spans="52:52" ht="15.75" customHeight="1">
      <c r="AZ728" s="87"/>
    </row>
    <row r="729" spans="52:52" ht="15.75" customHeight="1">
      <c r="AZ729" s="87"/>
    </row>
    <row r="730" spans="52:52" ht="15.75" customHeight="1">
      <c r="AZ730" s="87"/>
    </row>
    <row r="731" spans="52:52" ht="15.75" customHeight="1">
      <c r="AZ731" s="87"/>
    </row>
    <row r="732" spans="52:52" ht="15.75" customHeight="1">
      <c r="AZ732" s="87"/>
    </row>
    <row r="733" spans="52:52" ht="15.75" customHeight="1">
      <c r="AZ733" s="87"/>
    </row>
    <row r="734" spans="52:52" ht="15.75" customHeight="1">
      <c r="AZ734" s="87"/>
    </row>
    <row r="735" spans="52:52" ht="15.75" customHeight="1">
      <c r="AZ735" s="87"/>
    </row>
    <row r="736" spans="52:52" ht="15.75" customHeight="1">
      <c r="AZ736" s="87"/>
    </row>
    <row r="737" spans="52:52" ht="15.75" customHeight="1">
      <c r="AZ737" s="87"/>
    </row>
    <row r="738" spans="52:52" ht="15.75" customHeight="1">
      <c r="AZ738" s="87"/>
    </row>
    <row r="739" spans="52:52" ht="15.75" customHeight="1">
      <c r="AZ739" s="87"/>
    </row>
    <row r="740" spans="52:52" ht="15.75" customHeight="1">
      <c r="AZ740" s="87"/>
    </row>
    <row r="741" spans="52:52" ht="15.75" customHeight="1">
      <c r="AZ741" s="87"/>
    </row>
    <row r="742" spans="52:52" ht="15.75" customHeight="1">
      <c r="AZ742" s="87"/>
    </row>
    <row r="743" spans="52:52" ht="15.75" customHeight="1">
      <c r="AZ743" s="87"/>
    </row>
    <row r="744" spans="52:52" ht="15.75" customHeight="1">
      <c r="AZ744" s="87"/>
    </row>
    <row r="745" spans="52:52" ht="15.75" customHeight="1">
      <c r="AZ745" s="87"/>
    </row>
    <row r="746" spans="52:52" ht="15.75" customHeight="1">
      <c r="AZ746" s="87"/>
    </row>
    <row r="747" spans="52:52" ht="15.75" customHeight="1">
      <c r="AZ747" s="87"/>
    </row>
    <row r="748" spans="52:52" ht="15.75" customHeight="1">
      <c r="AZ748" s="87"/>
    </row>
    <row r="749" spans="52:52" ht="15.75" customHeight="1">
      <c r="AZ749" s="87"/>
    </row>
    <row r="750" spans="52:52" ht="15.75" customHeight="1">
      <c r="AZ750" s="87"/>
    </row>
    <row r="751" spans="52:52" ht="15.75" customHeight="1">
      <c r="AZ751" s="87"/>
    </row>
    <row r="752" spans="52:52" ht="15.75" customHeight="1">
      <c r="AZ752" s="87"/>
    </row>
    <row r="753" spans="52:52" ht="15.75" customHeight="1">
      <c r="AZ753" s="87"/>
    </row>
    <row r="754" spans="52:52" ht="15.75" customHeight="1">
      <c r="AZ754" s="87"/>
    </row>
    <row r="755" spans="52:52" ht="15.75" customHeight="1">
      <c r="AZ755" s="87"/>
    </row>
    <row r="756" spans="52:52" ht="15.75" customHeight="1">
      <c r="AZ756" s="87"/>
    </row>
    <row r="757" spans="52:52" ht="15.75" customHeight="1">
      <c r="AZ757" s="87"/>
    </row>
    <row r="758" spans="52:52" ht="15.75" customHeight="1">
      <c r="AZ758" s="87"/>
    </row>
    <row r="759" spans="52:52" ht="15.75" customHeight="1">
      <c r="AZ759" s="87"/>
    </row>
    <row r="760" spans="52:52" ht="15.75" customHeight="1">
      <c r="AZ760" s="87"/>
    </row>
    <row r="761" spans="52:52" ht="15.75" customHeight="1">
      <c r="AZ761" s="87"/>
    </row>
    <row r="762" spans="52:52" ht="15.75" customHeight="1">
      <c r="AZ762" s="87"/>
    </row>
    <row r="763" spans="52:52" ht="15.75" customHeight="1">
      <c r="AZ763" s="87"/>
    </row>
    <row r="764" spans="52:52" ht="15.75" customHeight="1">
      <c r="AZ764" s="87"/>
    </row>
    <row r="765" spans="52:52" ht="15.75" customHeight="1">
      <c r="AZ765" s="87"/>
    </row>
    <row r="766" spans="52:52" ht="15.75" customHeight="1">
      <c r="AZ766" s="87"/>
    </row>
    <row r="767" spans="52:52" ht="15.75" customHeight="1">
      <c r="AZ767" s="87"/>
    </row>
    <row r="768" spans="52:52" ht="15.75" customHeight="1">
      <c r="AZ768" s="87"/>
    </row>
    <row r="769" spans="52:52" ht="15.75" customHeight="1">
      <c r="AZ769" s="87"/>
    </row>
    <row r="770" spans="52:52" ht="15.75" customHeight="1">
      <c r="AZ770" s="87"/>
    </row>
    <row r="771" spans="52:52" ht="15.75" customHeight="1">
      <c r="AZ771" s="87"/>
    </row>
    <row r="772" spans="52:52" ht="15.75" customHeight="1">
      <c r="AZ772" s="87"/>
    </row>
    <row r="773" spans="52:52" ht="15.75" customHeight="1">
      <c r="AZ773" s="87"/>
    </row>
    <row r="774" spans="52:52" ht="15.75" customHeight="1">
      <c r="AZ774" s="87"/>
    </row>
    <row r="775" spans="52:52" ht="15.75" customHeight="1">
      <c r="AZ775" s="87"/>
    </row>
    <row r="776" spans="52:52" ht="15.75" customHeight="1">
      <c r="AZ776" s="87"/>
    </row>
    <row r="777" spans="52:52" ht="15.75" customHeight="1">
      <c r="AZ777" s="87"/>
    </row>
    <row r="778" spans="52:52" ht="15.75" customHeight="1">
      <c r="AZ778" s="87"/>
    </row>
    <row r="779" spans="52:52" ht="15.75" customHeight="1">
      <c r="AZ779" s="87"/>
    </row>
    <row r="780" spans="52:52" ht="15.75" customHeight="1">
      <c r="AZ780" s="87"/>
    </row>
    <row r="781" spans="52:52" ht="15.75" customHeight="1">
      <c r="AZ781" s="87"/>
    </row>
    <row r="782" spans="52:52" ht="15.75" customHeight="1">
      <c r="AZ782" s="87"/>
    </row>
    <row r="783" spans="52:52" ht="15.75" customHeight="1">
      <c r="AZ783" s="87"/>
    </row>
    <row r="784" spans="52:52" ht="15.75" customHeight="1">
      <c r="AZ784" s="87"/>
    </row>
    <row r="785" spans="52:52" ht="15.75" customHeight="1">
      <c r="AZ785" s="87"/>
    </row>
    <row r="786" spans="52:52" ht="15.75" customHeight="1">
      <c r="AZ786" s="87"/>
    </row>
    <row r="787" spans="52:52" ht="15.75" customHeight="1">
      <c r="AZ787" s="87"/>
    </row>
    <row r="788" spans="52:52" ht="15.75" customHeight="1">
      <c r="AZ788" s="87"/>
    </row>
    <row r="789" spans="52:52" ht="15.75" customHeight="1">
      <c r="AZ789" s="87"/>
    </row>
    <row r="790" spans="52:52" ht="15.75" customHeight="1">
      <c r="AZ790" s="87"/>
    </row>
    <row r="791" spans="52:52" ht="15.75" customHeight="1">
      <c r="AZ791" s="87"/>
    </row>
    <row r="792" spans="52:52" ht="15.75" customHeight="1">
      <c r="AZ792" s="87"/>
    </row>
    <row r="793" spans="52:52" ht="15.75" customHeight="1">
      <c r="AZ793" s="87"/>
    </row>
    <row r="794" spans="52:52" ht="15.75" customHeight="1">
      <c r="AZ794" s="87"/>
    </row>
    <row r="795" spans="52:52" ht="15.75" customHeight="1">
      <c r="AZ795" s="87"/>
    </row>
    <row r="796" spans="52:52" ht="15.75" customHeight="1">
      <c r="AZ796" s="87"/>
    </row>
    <row r="797" spans="52:52" ht="15.75" customHeight="1">
      <c r="AZ797" s="87"/>
    </row>
    <row r="798" spans="52:52" ht="15.75" customHeight="1">
      <c r="AZ798" s="87"/>
    </row>
    <row r="799" spans="52:52" ht="15.75" customHeight="1">
      <c r="AZ799" s="87"/>
    </row>
    <row r="800" spans="52:52" ht="15.75" customHeight="1">
      <c r="AZ800" s="87"/>
    </row>
    <row r="801" spans="52:52" ht="15.75" customHeight="1">
      <c r="AZ801" s="87"/>
    </row>
    <row r="802" spans="52:52" ht="15.75" customHeight="1">
      <c r="AZ802" s="87"/>
    </row>
    <row r="803" spans="52:52" ht="15.75" customHeight="1">
      <c r="AZ803" s="87"/>
    </row>
    <row r="804" spans="52:52" ht="15.75" customHeight="1">
      <c r="AZ804" s="87"/>
    </row>
    <row r="805" spans="52:52" ht="15.75" customHeight="1">
      <c r="AZ805" s="87"/>
    </row>
    <row r="806" spans="52:52" ht="15.75" customHeight="1">
      <c r="AZ806" s="87"/>
    </row>
    <row r="807" spans="52:52" ht="15.75" customHeight="1">
      <c r="AZ807" s="87"/>
    </row>
    <row r="808" spans="52:52" ht="15.75" customHeight="1">
      <c r="AZ808" s="87"/>
    </row>
    <row r="809" spans="52:52" ht="15.75" customHeight="1">
      <c r="AZ809" s="87"/>
    </row>
    <row r="810" spans="52:52" ht="15.75" customHeight="1">
      <c r="AZ810" s="87"/>
    </row>
    <row r="811" spans="52:52" ht="15.75" customHeight="1">
      <c r="AZ811" s="87"/>
    </row>
    <row r="812" spans="52:52" ht="15.75" customHeight="1">
      <c r="AZ812" s="87"/>
    </row>
    <row r="813" spans="52:52" ht="15.75" customHeight="1">
      <c r="AZ813" s="87"/>
    </row>
    <row r="814" spans="52:52" ht="15.75" customHeight="1">
      <c r="AZ814" s="87"/>
    </row>
    <row r="815" spans="52:52" ht="15.75" customHeight="1">
      <c r="AZ815" s="87"/>
    </row>
    <row r="816" spans="52:52" ht="15.75" customHeight="1">
      <c r="AZ816" s="87"/>
    </row>
    <row r="817" spans="52:52" ht="15.75" customHeight="1">
      <c r="AZ817" s="87"/>
    </row>
    <row r="818" spans="52:52" ht="15.75" customHeight="1">
      <c r="AZ818" s="87"/>
    </row>
    <row r="819" spans="52:52" ht="15.75" customHeight="1">
      <c r="AZ819" s="87"/>
    </row>
    <row r="820" spans="52:52" ht="15.75" customHeight="1">
      <c r="AZ820" s="87"/>
    </row>
    <row r="821" spans="52:52" ht="15.75" customHeight="1">
      <c r="AZ821" s="87"/>
    </row>
    <row r="822" spans="52:52" ht="15.75" customHeight="1">
      <c r="AZ822" s="87"/>
    </row>
    <row r="823" spans="52:52" ht="15.75" customHeight="1">
      <c r="AZ823" s="87"/>
    </row>
    <row r="824" spans="52:52" ht="15.75" customHeight="1">
      <c r="AZ824" s="87"/>
    </row>
    <row r="825" spans="52:52" ht="15.75" customHeight="1">
      <c r="AZ825" s="87"/>
    </row>
    <row r="826" spans="52:52" ht="15.75" customHeight="1">
      <c r="AZ826" s="87"/>
    </row>
    <row r="827" spans="52:52" ht="15.75" customHeight="1">
      <c r="AZ827" s="87"/>
    </row>
    <row r="828" spans="52:52" ht="15.75" customHeight="1">
      <c r="AZ828" s="87"/>
    </row>
    <row r="829" spans="52:52" ht="15.75" customHeight="1">
      <c r="AZ829" s="87"/>
    </row>
    <row r="830" spans="52:52" ht="15.75" customHeight="1">
      <c r="AZ830" s="87"/>
    </row>
    <row r="831" spans="52:52" ht="15.75" customHeight="1">
      <c r="AZ831" s="87"/>
    </row>
    <row r="832" spans="52:52" ht="15.75" customHeight="1">
      <c r="AZ832" s="87"/>
    </row>
    <row r="833" spans="52:52" ht="15.75" customHeight="1">
      <c r="AZ833" s="87"/>
    </row>
    <row r="834" spans="52:52" ht="15.75" customHeight="1">
      <c r="AZ834" s="87"/>
    </row>
    <row r="835" spans="52:52" ht="15.75" customHeight="1">
      <c r="AZ835" s="87"/>
    </row>
    <row r="836" spans="52:52" ht="15.75" customHeight="1">
      <c r="AZ836" s="87"/>
    </row>
    <row r="837" spans="52:52" ht="15.75" customHeight="1">
      <c r="AZ837" s="87"/>
    </row>
    <row r="838" spans="52:52" ht="15.75" customHeight="1">
      <c r="AZ838" s="87"/>
    </row>
    <row r="839" spans="52:52" ht="15.75" customHeight="1">
      <c r="AZ839" s="87"/>
    </row>
    <row r="840" spans="52:52" ht="15.75" customHeight="1">
      <c r="AZ840" s="87"/>
    </row>
    <row r="841" spans="52:52" ht="15.75" customHeight="1">
      <c r="AZ841" s="87"/>
    </row>
    <row r="842" spans="52:52" ht="15.75" customHeight="1">
      <c r="AZ842" s="87"/>
    </row>
    <row r="843" spans="52:52" ht="15.75" customHeight="1">
      <c r="AZ843" s="87"/>
    </row>
    <row r="844" spans="52:52" ht="15.75" customHeight="1">
      <c r="AZ844" s="87"/>
    </row>
    <row r="845" spans="52:52" ht="15.75" customHeight="1">
      <c r="AZ845" s="87"/>
    </row>
    <row r="846" spans="52:52" ht="15.75" customHeight="1">
      <c r="AZ846" s="87"/>
    </row>
    <row r="847" spans="52:52" ht="15.75" customHeight="1">
      <c r="AZ847" s="87"/>
    </row>
    <row r="848" spans="52:52" ht="15.75" customHeight="1">
      <c r="AZ848" s="87"/>
    </row>
    <row r="849" spans="52:52" ht="15.75" customHeight="1">
      <c r="AZ849" s="87"/>
    </row>
    <row r="850" spans="52:52" ht="15.75" customHeight="1">
      <c r="AZ850" s="87"/>
    </row>
    <row r="851" spans="52:52" ht="15.75" customHeight="1">
      <c r="AZ851" s="87"/>
    </row>
    <row r="852" spans="52:52" ht="15.75" customHeight="1">
      <c r="AZ852" s="87"/>
    </row>
    <row r="853" spans="52:52" ht="15.75" customHeight="1">
      <c r="AZ853" s="87"/>
    </row>
    <row r="854" spans="52:52" ht="15.75" customHeight="1">
      <c r="AZ854" s="87"/>
    </row>
    <row r="855" spans="52:52" ht="15.75" customHeight="1">
      <c r="AZ855" s="87"/>
    </row>
    <row r="856" spans="52:52" ht="15.75" customHeight="1">
      <c r="AZ856" s="87"/>
    </row>
    <row r="857" spans="52:52" ht="15.75" customHeight="1">
      <c r="AZ857" s="87"/>
    </row>
    <row r="858" spans="52:52" ht="15.75" customHeight="1">
      <c r="AZ858" s="87"/>
    </row>
    <row r="859" spans="52:52" ht="15.75" customHeight="1">
      <c r="AZ859" s="87"/>
    </row>
    <row r="860" spans="52:52" ht="15.75" customHeight="1">
      <c r="AZ860" s="87"/>
    </row>
    <row r="861" spans="52:52" ht="15.75" customHeight="1">
      <c r="AZ861" s="87"/>
    </row>
    <row r="862" spans="52:52" ht="15.75" customHeight="1">
      <c r="AZ862" s="87"/>
    </row>
    <row r="863" spans="52:52" ht="15.75" customHeight="1">
      <c r="AZ863" s="87"/>
    </row>
    <row r="864" spans="52:52" ht="15.75" customHeight="1">
      <c r="AZ864" s="87"/>
    </row>
    <row r="865" spans="52:52" ht="15.75" customHeight="1">
      <c r="AZ865" s="87"/>
    </row>
    <row r="866" spans="52:52" ht="15.75" customHeight="1">
      <c r="AZ866" s="87"/>
    </row>
    <row r="867" spans="52:52" ht="15.75" customHeight="1">
      <c r="AZ867" s="87"/>
    </row>
    <row r="868" spans="52:52" ht="15.75" customHeight="1">
      <c r="AZ868" s="87"/>
    </row>
    <row r="869" spans="52:52" ht="15.75" customHeight="1">
      <c r="AZ869" s="87"/>
    </row>
    <row r="870" spans="52:52" ht="15.75" customHeight="1">
      <c r="AZ870" s="87"/>
    </row>
    <row r="871" spans="52:52" ht="15.75" customHeight="1">
      <c r="AZ871" s="87"/>
    </row>
    <row r="872" spans="52:52" ht="15.75" customHeight="1">
      <c r="AZ872" s="87"/>
    </row>
    <row r="873" spans="52:52" ht="15.75" customHeight="1">
      <c r="AZ873" s="87"/>
    </row>
    <row r="874" spans="52:52" ht="15.75" customHeight="1">
      <c r="AZ874" s="87"/>
    </row>
    <row r="875" spans="52:52" ht="15.75" customHeight="1">
      <c r="AZ875" s="87"/>
    </row>
    <row r="876" spans="52:52" ht="15.75" customHeight="1">
      <c r="AZ876" s="87"/>
    </row>
    <row r="877" spans="52:52" ht="15.75" customHeight="1">
      <c r="AZ877" s="87"/>
    </row>
    <row r="878" spans="52:52" ht="15.75" customHeight="1">
      <c r="AZ878" s="87"/>
    </row>
    <row r="879" spans="52:52" ht="15.75" customHeight="1">
      <c r="AZ879" s="87"/>
    </row>
    <row r="880" spans="52:52" ht="15.75" customHeight="1">
      <c r="AZ880" s="87"/>
    </row>
    <row r="881" spans="52:52" ht="15.75" customHeight="1">
      <c r="AZ881" s="87"/>
    </row>
    <row r="882" spans="52:52" ht="15.75" customHeight="1">
      <c r="AZ882" s="87"/>
    </row>
    <row r="883" spans="52:52" ht="15.75" customHeight="1">
      <c r="AZ883" s="87"/>
    </row>
    <row r="884" spans="52:52" ht="15.75" customHeight="1">
      <c r="AZ884" s="87"/>
    </row>
    <row r="885" spans="52:52" ht="15.75" customHeight="1">
      <c r="AZ885" s="87"/>
    </row>
    <row r="886" spans="52:52" ht="15.75" customHeight="1">
      <c r="AZ886" s="87"/>
    </row>
    <row r="887" spans="52:52" ht="15.75" customHeight="1">
      <c r="AZ887" s="87"/>
    </row>
    <row r="888" spans="52:52" ht="15.75" customHeight="1">
      <c r="AZ888" s="87"/>
    </row>
    <row r="889" spans="52:52" ht="15.75" customHeight="1">
      <c r="AZ889" s="87"/>
    </row>
    <row r="890" spans="52:52" ht="15.75" customHeight="1">
      <c r="AZ890" s="87"/>
    </row>
    <row r="891" spans="52:52" ht="15.75" customHeight="1">
      <c r="AZ891" s="87"/>
    </row>
    <row r="892" spans="52:52" ht="15.75" customHeight="1">
      <c r="AZ892" s="87"/>
    </row>
    <row r="893" spans="52:52" ht="15.75" customHeight="1">
      <c r="AZ893" s="87"/>
    </row>
    <row r="894" spans="52:52" ht="15.75" customHeight="1">
      <c r="AZ894" s="87"/>
    </row>
    <row r="895" spans="52:52" ht="15.75" customHeight="1">
      <c r="AZ895" s="87"/>
    </row>
    <row r="896" spans="52:52" ht="15.75" customHeight="1">
      <c r="AZ896" s="87"/>
    </row>
    <row r="897" spans="52:52" ht="15.75" customHeight="1">
      <c r="AZ897" s="87"/>
    </row>
    <row r="898" spans="52:52" ht="15.75" customHeight="1">
      <c r="AZ898" s="87"/>
    </row>
    <row r="899" spans="52:52" ht="15.75" customHeight="1">
      <c r="AZ899" s="87"/>
    </row>
    <row r="900" spans="52:52" ht="15.75" customHeight="1">
      <c r="AZ900" s="87"/>
    </row>
    <row r="901" spans="52:52" ht="15.75" customHeight="1">
      <c r="AZ901" s="87"/>
    </row>
    <row r="902" spans="52:52" ht="15.75" customHeight="1">
      <c r="AZ902" s="87"/>
    </row>
    <row r="903" spans="52:52" ht="15.75" customHeight="1">
      <c r="AZ903" s="87"/>
    </row>
    <row r="904" spans="52:52" ht="15.75" customHeight="1">
      <c r="AZ904" s="87"/>
    </row>
    <row r="905" spans="52:52" ht="15.75" customHeight="1">
      <c r="AZ905" s="87"/>
    </row>
    <row r="906" spans="52:52" ht="15.75" customHeight="1">
      <c r="AZ906" s="87"/>
    </row>
    <row r="907" spans="52:52" ht="15.75" customHeight="1">
      <c r="AZ907" s="87"/>
    </row>
    <row r="908" spans="52:52" ht="15.75" customHeight="1">
      <c r="AZ908" s="87"/>
    </row>
    <row r="909" spans="52:52" ht="15.75" customHeight="1">
      <c r="AZ909" s="87"/>
    </row>
    <row r="910" spans="52:52" ht="15.75" customHeight="1">
      <c r="AZ910" s="87"/>
    </row>
    <row r="911" spans="52:52" ht="15.75" customHeight="1">
      <c r="AZ911" s="87"/>
    </row>
    <row r="912" spans="52:52" ht="15.75" customHeight="1">
      <c r="AZ912" s="87"/>
    </row>
    <row r="913" spans="52:52" ht="15.75" customHeight="1">
      <c r="AZ913" s="87"/>
    </row>
    <row r="914" spans="52:52" ht="15.75" customHeight="1">
      <c r="AZ914" s="87"/>
    </row>
    <row r="915" spans="52:52" ht="15.75" customHeight="1">
      <c r="AZ915" s="87"/>
    </row>
    <row r="916" spans="52:52" ht="15.75" customHeight="1">
      <c r="AZ916" s="87"/>
    </row>
    <row r="917" spans="52:52" ht="15.75" customHeight="1">
      <c r="AZ917" s="87"/>
    </row>
    <row r="918" spans="52:52" ht="15.75" customHeight="1">
      <c r="AZ918" s="87"/>
    </row>
    <row r="919" spans="52:52" ht="15.75" customHeight="1">
      <c r="AZ919" s="87"/>
    </row>
    <row r="920" spans="52:52" ht="15.75" customHeight="1">
      <c r="AZ920" s="87"/>
    </row>
    <row r="921" spans="52:52" ht="15.75" customHeight="1">
      <c r="AZ921" s="87"/>
    </row>
    <row r="922" spans="52:52" ht="15.75" customHeight="1">
      <c r="AZ922" s="87"/>
    </row>
    <row r="923" spans="52:52" ht="15.75" customHeight="1">
      <c r="AZ923" s="87"/>
    </row>
    <row r="924" spans="52:52" ht="15.75" customHeight="1">
      <c r="AZ924" s="87"/>
    </row>
    <row r="925" spans="52:52" ht="15.75" customHeight="1">
      <c r="AZ925" s="87"/>
    </row>
    <row r="926" spans="52:52" ht="15.75" customHeight="1">
      <c r="AZ926" s="87"/>
    </row>
    <row r="927" spans="52:52" ht="15.75" customHeight="1">
      <c r="AZ927" s="87"/>
    </row>
    <row r="928" spans="52:52" ht="15.75" customHeight="1">
      <c r="AZ928" s="87"/>
    </row>
    <row r="929" spans="52:52" ht="15.75" customHeight="1">
      <c r="AZ929" s="87"/>
    </row>
    <row r="930" spans="52:52" ht="15.75" customHeight="1">
      <c r="AZ930" s="87"/>
    </row>
    <row r="931" spans="52:52" ht="15.75" customHeight="1">
      <c r="AZ931" s="87"/>
    </row>
    <row r="932" spans="52:52" ht="15.75" customHeight="1">
      <c r="AZ932" s="87"/>
    </row>
    <row r="933" spans="52:52" ht="15.75" customHeight="1">
      <c r="AZ933" s="87"/>
    </row>
    <row r="934" spans="52:52" ht="15.75" customHeight="1">
      <c r="AZ934" s="87"/>
    </row>
    <row r="935" spans="52:52" ht="15.75" customHeight="1">
      <c r="AZ935" s="87"/>
    </row>
    <row r="936" spans="52:52" ht="15.75" customHeight="1">
      <c r="AZ936" s="87"/>
    </row>
    <row r="937" spans="52:52" ht="15.75" customHeight="1">
      <c r="AZ937" s="87"/>
    </row>
    <row r="938" spans="52:52" ht="15.75" customHeight="1">
      <c r="AZ938" s="87"/>
    </row>
    <row r="939" spans="52:52" ht="15.75" customHeight="1">
      <c r="AZ939" s="87"/>
    </row>
    <row r="940" spans="52:52" ht="15.75" customHeight="1">
      <c r="AZ940" s="87"/>
    </row>
    <row r="941" spans="52:52" ht="15.75" customHeight="1">
      <c r="AZ941" s="87"/>
    </row>
    <row r="942" spans="52:52" ht="15.75" customHeight="1">
      <c r="AZ942" s="87"/>
    </row>
    <row r="943" spans="52:52" ht="15.75" customHeight="1">
      <c r="AZ943" s="87"/>
    </row>
    <row r="944" spans="52:52" ht="15.75" customHeight="1">
      <c r="AZ944" s="87"/>
    </row>
    <row r="945" spans="52:52" ht="15.75" customHeight="1">
      <c r="AZ945" s="87"/>
    </row>
    <row r="946" spans="52:52" ht="15.75" customHeight="1">
      <c r="AZ946" s="87"/>
    </row>
    <row r="947" spans="52:52" ht="15.75" customHeight="1">
      <c r="AZ947" s="87"/>
    </row>
    <row r="948" spans="52:52" ht="15.75" customHeight="1">
      <c r="AZ948" s="87"/>
    </row>
    <row r="949" spans="52:52" ht="15.75" customHeight="1">
      <c r="AZ949" s="87"/>
    </row>
    <row r="950" spans="52:52" ht="15.75" customHeight="1">
      <c r="AZ950" s="87"/>
    </row>
    <row r="951" spans="52:52" ht="15.75" customHeight="1">
      <c r="AZ951" s="87"/>
    </row>
    <row r="952" spans="52:52" ht="15.75" customHeight="1">
      <c r="AZ952" s="87"/>
    </row>
    <row r="953" spans="52:52" ht="15.75" customHeight="1">
      <c r="AZ953" s="87"/>
    </row>
    <row r="954" spans="52:52" ht="15.75" customHeight="1">
      <c r="AZ954" s="87"/>
    </row>
    <row r="955" spans="52:52" ht="15.75" customHeight="1">
      <c r="AZ955" s="87"/>
    </row>
    <row r="956" spans="52:52" ht="15.75" customHeight="1">
      <c r="AZ956" s="87"/>
    </row>
    <row r="957" spans="52:52" ht="15.75" customHeight="1">
      <c r="AZ957" s="87"/>
    </row>
    <row r="958" spans="52:52" ht="15.75" customHeight="1">
      <c r="AZ958" s="87"/>
    </row>
    <row r="959" spans="52:52" ht="15.75" customHeight="1">
      <c r="AZ959" s="87"/>
    </row>
    <row r="960" spans="52:52" ht="15.75" customHeight="1">
      <c r="AZ960" s="87"/>
    </row>
    <row r="961" spans="52:52" ht="15.75" customHeight="1">
      <c r="AZ961" s="87"/>
    </row>
    <row r="962" spans="52:52" ht="15.75" customHeight="1">
      <c r="AZ962" s="87"/>
    </row>
    <row r="963" spans="52:52" ht="15.75" customHeight="1">
      <c r="AZ963" s="87"/>
    </row>
    <row r="964" spans="52:52" ht="15.75" customHeight="1">
      <c r="AZ964" s="87"/>
    </row>
    <row r="965" spans="52:52" ht="15.75" customHeight="1">
      <c r="AZ965" s="87"/>
    </row>
    <row r="966" spans="52:52" ht="15.75" customHeight="1">
      <c r="AZ966" s="87"/>
    </row>
    <row r="967" spans="52:52" ht="15.75" customHeight="1">
      <c r="AZ967" s="87"/>
    </row>
    <row r="968" spans="52:52" ht="15.75" customHeight="1">
      <c r="AZ968" s="87"/>
    </row>
    <row r="969" spans="52:52" ht="15.75" customHeight="1">
      <c r="AZ969" s="87"/>
    </row>
    <row r="970" spans="52:52" ht="15.75" customHeight="1">
      <c r="AZ970" s="87"/>
    </row>
    <row r="971" spans="52:52" ht="15.75" customHeight="1">
      <c r="AZ971" s="87"/>
    </row>
    <row r="972" spans="52:52" ht="15.75" customHeight="1">
      <c r="AZ972" s="87"/>
    </row>
    <row r="973" spans="52:52" ht="15.75" customHeight="1">
      <c r="AZ973" s="87"/>
    </row>
    <row r="974" spans="52:52" ht="15.75" customHeight="1">
      <c r="AZ974" s="87"/>
    </row>
    <row r="975" spans="52:52" ht="15.75" customHeight="1">
      <c r="AZ975" s="87"/>
    </row>
    <row r="976" spans="52:52" ht="15.75" customHeight="1">
      <c r="AZ976" s="87"/>
    </row>
    <row r="977" spans="52:52" ht="15.75" customHeight="1">
      <c r="AZ977" s="87"/>
    </row>
    <row r="978" spans="52:52" ht="15.75" customHeight="1">
      <c r="AZ978" s="87"/>
    </row>
    <row r="979" spans="52:52" ht="15.75" customHeight="1">
      <c r="AZ979" s="87"/>
    </row>
    <row r="980" spans="52:52" ht="15.75" customHeight="1">
      <c r="AZ980" s="87"/>
    </row>
    <row r="981" spans="52:52" ht="15.75" customHeight="1">
      <c r="AZ981" s="87"/>
    </row>
    <row r="982" spans="52:52" ht="15.75" customHeight="1">
      <c r="AZ982" s="87"/>
    </row>
    <row r="983" spans="52:52" ht="15.75" customHeight="1">
      <c r="AZ983" s="87"/>
    </row>
    <row r="984" spans="52:52" ht="15.75" customHeight="1">
      <c r="AZ984" s="87"/>
    </row>
    <row r="985" spans="52:52" ht="15.75" customHeight="1">
      <c r="AZ985" s="87"/>
    </row>
    <row r="986" spans="52:52" ht="15.75" customHeight="1">
      <c r="AZ986" s="87"/>
    </row>
    <row r="987" spans="52:52" ht="15.75" customHeight="1">
      <c r="AZ987" s="87"/>
    </row>
    <row r="988" spans="52:52" ht="15.75" customHeight="1">
      <c r="AZ988" s="87"/>
    </row>
    <row r="989" spans="52:52" ht="15.75" customHeight="1">
      <c r="AZ989" s="87"/>
    </row>
    <row r="990" spans="52:52" ht="15.75" customHeight="1">
      <c r="AZ990" s="87"/>
    </row>
    <row r="991" spans="52:52" ht="15.75" customHeight="1">
      <c r="AZ991" s="87"/>
    </row>
    <row r="992" spans="52:52" ht="15.75" customHeight="1">
      <c r="AZ992" s="87"/>
    </row>
    <row r="993" spans="52:52" ht="15.75" customHeight="1">
      <c r="AZ993" s="87"/>
    </row>
    <row r="994" spans="52:52" ht="15.75" customHeight="1">
      <c r="AZ994" s="87"/>
    </row>
    <row r="995" spans="52:52" ht="15.75" customHeight="1">
      <c r="AZ995" s="87"/>
    </row>
    <row r="996" spans="52:52" ht="15.75" customHeight="1">
      <c r="AZ996" s="87"/>
    </row>
    <row r="997" spans="52:52" ht="15.75" customHeight="1">
      <c r="AZ997" s="87"/>
    </row>
    <row r="998" spans="52:52" ht="15.75" customHeight="1">
      <c r="AZ998" s="87"/>
    </row>
    <row r="999" spans="52:52" ht="15.75" customHeight="1">
      <c r="AZ999" s="87"/>
    </row>
    <row r="1000" spans="52:52" ht="15.75" customHeight="1">
      <c r="AZ1000" s="87"/>
    </row>
  </sheetData>
  <mergeCells count="9">
    <mergeCell ref="AF3:AY3"/>
    <mergeCell ref="BA3:BC3"/>
    <mergeCell ref="C3:C4"/>
    <mergeCell ref="B17:C17"/>
    <mergeCell ref="A3:A4"/>
    <mergeCell ref="B3:B4"/>
    <mergeCell ref="D3:V3"/>
    <mergeCell ref="Y3:AA3"/>
    <mergeCell ref="AC3:AD3"/>
  </mergeCells>
  <pageMargins left="0.511811024" right="0.511811024" top="0.78740157499999996" bottom="0.78740157499999996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36C09"/>
  </sheetPr>
  <dimension ref="A1:AX1000"/>
  <sheetViews>
    <sheetView workbookViewId="0">
      <pane xSplit="1" ySplit="4" topLeftCell="G5" activePane="bottomRight" state="frozen"/>
      <selection pane="topRight" activeCell="B1" sqref="B1"/>
      <selection pane="bottomLeft" activeCell="A5" sqref="A5"/>
      <selection pane="bottomRight" activeCell="Y15" sqref="Y15"/>
    </sheetView>
  </sheetViews>
  <sheetFormatPr defaultColWidth="12.5703125" defaultRowHeight="15" customHeight="1"/>
  <cols>
    <col min="1" max="1" width="35.85546875" customWidth="1"/>
    <col min="2" max="6" width="6.140625" customWidth="1"/>
    <col min="7" max="7" width="4" customWidth="1"/>
    <col min="8" max="16" width="6.140625" customWidth="1"/>
    <col min="17" max="17" width="4.140625" customWidth="1"/>
    <col min="18" max="21" width="6.140625" hidden="1" customWidth="1"/>
    <col min="22" max="22" width="1" customWidth="1"/>
    <col min="23" max="23" width="7.85546875" bestFit="1" customWidth="1"/>
    <col min="24" max="24" width="7.28515625" customWidth="1"/>
    <col min="25" max="25" width="7.85546875" bestFit="1" customWidth="1"/>
    <col min="26" max="26" width="1" customWidth="1"/>
    <col min="27" max="28" width="7.5703125" customWidth="1"/>
    <col min="29" max="29" width="1" customWidth="1"/>
    <col min="30" max="37" width="6.42578125" customWidth="1"/>
    <col min="38" max="38" width="3.28515625" customWidth="1"/>
    <col min="39" max="40" width="6.42578125" customWidth="1"/>
    <col min="41" max="41" width="3.5703125" customWidth="1"/>
    <col min="42" max="42" width="2.7109375" customWidth="1"/>
    <col min="43" max="44" width="6.42578125" customWidth="1"/>
    <col min="45" max="49" width="7" hidden="1" customWidth="1"/>
    <col min="50" max="50" width="14.42578125" customWidth="1"/>
  </cols>
  <sheetData>
    <row r="1" spans="1:50" ht="12.75" customHeight="1">
      <c r="A1" s="2" t="s">
        <v>120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  <c r="AM1" s="3"/>
      <c r="AN1" s="3"/>
      <c r="AO1" s="3"/>
      <c r="AP1" s="2"/>
      <c r="AQ1" s="3"/>
      <c r="AR1" s="3"/>
      <c r="AS1" s="3"/>
      <c r="AT1" s="3"/>
      <c r="AU1" s="3"/>
      <c r="AV1" s="3"/>
      <c r="AW1" s="3"/>
    </row>
    <row r="2" spans="1:50" ht="12.75" customHeight="1">
      <c r="A2" s="2" t="s">
        <v>95</v>
      </c>
      <c r="B2" s="2" t="s">
        <v>75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3"/>
      <c r="AM2" s="3"/>
      <c r="AN2" s="3"/>
      <c r="AO2" s="3"/>
      <c r="AP2" s="2"/>
      <c r="AQ2" s="3"/>
      <c r="AR2" s="3"/>
      <c r="AS2" s="3"/>
      <c r="AT2" s="3"/>
      <c r="AU2" s="3"/>
      <c r="AV2" s="3"/>
      <c r="AW2" s="3"/>
    </row>
    <row r="3" spans="1:50" ht="12.75" customHeight="1">
      <c r="A3" s="718" t="s">
        <v>8</v>
      </c>
      <c r="B3" s="719" t="s">
        <v>52</v>
      </c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  <c r="S3" s="699"/>
      <c r="T3" s="699"/>
      <c r="U3" s="173"/>
      <c r="V3" s="119"/>
      <c r="W3" s="719" t="s">
        <v>76</v>
      </c>
      <c r="X3" s="699"/>
      <c r="Y3" s="700"/>
      <c r="Z3" s="119"/>
      <c r="AA3" s="719" t="s">
        <v>31</v>
      </c>
      <c r="AB3" s="699"/>
      <c r="AC3" s="119"/>
      <c r="AD3" s="719" t="s">
        <v>53</v>
      </c>
      <c r="AE3" s="699"/>
      <c r="AF3" s="699"/>
      <c r="AG3" s="699"/>
      <c r="AH3" s="699"/>
      <c r="AI3" s="699"/>
      <c r="AJ3" s="699"/>
      <c r="AK3" s="699"/>
      <c r="AL3" s="699"/>
      <c r="AM3" s="699"/>
      <c r="AN3" s="699"/>
      <c r="AO3" s="699"/>
      <c r="AP3" s="699"/>
      <c r="AQ3" s="699"/>
      <c r="AR3" s="699"/>
      <c r="AS3" s="699"/>
      <c r="AT3" s="699"/>
      <c r="AU3" s="699"/>
      <c r="AV3" s="699"/>
      <c r="AW3" s="700"/>
    </row>
    <row r="4" spans="1:50" ht="12.75" customHeight="1">
      <c r="A4" s="697"/>
      <c r="B4" s="176">
        <v>3</v>
      </c>
      <c r="C4" s="176">
        <v>5</v>
      </c>
      <c r="D4" s="176">
        <v>6</v>
      </c>
      <c r="E4" s="176">
        <v>9</v>
      </c>
      <c r="F4" s="176">
        <v>11</v>
      </c>
      <c r="G4" s="645">
        <v>13</v>
      </c>
      <c r="H4" s="176">
        <v>15</v>
      </c>
      <c r="I4" s="176">
        <v>17</v>
      </c>
      <c r="J4" s="176">
        <v>19</v>
      </c>
      <c r="K4" s="176">
        <v>21</v>
      </c>
      <c r="L4" s="176">
        <v>23</v>
      </c>
      <c r="M4" s="176">
        <v>25</v>
      </c>
      <c r="N4" s="176">
        <v>27</v>
      </c>
      <c r="O4" s="176">
        <v>29</v>
      </c>
      <c r="P4" s="176">
        <v>31</v>
      </c>
      <c r="Q4" s="645">
        <v>33</v>
      </c>
      <c r="R4" s="176">
        <v>35</v>
      </c>
      <c r="S4" s="176">
        <v>37</v>
      </c>
      <c r="T4" s="176">
        <v>39</v>
      </c>
      <c r="U4" s="176">
        <v>41</v>
      </c>
      <c r="V4" s="252"/>
      <c r="W4" s="177" t="s">
        <v>121</v>
      </c>
      <c r="X4" s="253" t="s">
        <v>31</v>
      </c>
      <c r="Y4" s="177" t="s">
        <v>122</v>
      </c>
      <c r="Z4" s="252"/>
      <c r="AA4" s="179">
        <v>1</v>
      </c>
      <c r="AB4" s="179">
        <v>2</v>
      </c>
      <c r="AC4" s="252"/>
      <c r="AD4" s="176">
        <v>4</v>
      </c>
      <c r="AE4" s="176">
        <v>5</v>
      </c>
      <c r="AF4" s="176">
        <v>8</v>
      </c>
      <c r="AG4" s="176">
        <v>10</v>
      </c>
      <c r="AH4" s="176">
        <v>12</v>
      </c>
      <c r="AI4" s="176">
        <v>13</v>
      </c>
      <c r="AJ4" s="176">
        <v>16</v>
      </c>
      <c r="AK4" s="176">
        <v>18</v>
      </c>
      <c r="AL4" s="645">
        <v>20</v>
      </c>
      <c r="AM4" s="176">
        <v>22</v>
      </c>
      <c r="AN4" s="176">
        <v>24</v>
      </c>
      <c r="AO4" s="645">
        <v>26</v>
      </c>
      <c r="AP4" s="645">
        <v>28</v>
      </c>
      <c r="AQ4" s="176">
        <v>30</v>
      </c>
      <c r="AR4" s="176">
        <v>32</v>
      </c>
      <c r="AS4" s="176">
        <v>34</v>
      </c>
      <c r="AT4" s="176">
        <v>36</v>
      </c>
      <c r="AU4" s="176">
        <v>38</v>
      </c>
      <c r="AV4" s="176">
        <v>40</v>
      </c>
      <c r="AW4" s="176">
        <v>42</v>
      </c>
    </row>
    <row r="5" spans="1:50" ht="26.25" customHeight="1">
      <c r="A5" s="254" t="s">
        <v>98</v>
      </c>
      <c r="B5" s="143">
        <f>'custo obra$'!D5/'custo obra$'!D$17</f>
        <v>1.8181016016880984E-2</v>
      </c>
      <c r="C5" s="143">
        <f>'custo obra$'!E5/'custo obra$'!E$17</f>
        <v>9.2393268104842136E-3</v>
      </c>
      <c r="D5" s="143">
        <f>'custo obra$'!F5/'custo obra$'!F$17</f>
        <v>1.2623024835221095E-2</v>
      </c>
      <c r="E5" s="143">
        <f>'custo obra$'!G5/'custo obra$'!G$17</f>
        <v>2.8480628941699418E-3</v>
      </c>
      <c r="F5" s="143">
        <f>'custo obra$'!H5/'custo obra$'!H$17</f>
        <v>1.1250537281474182E-3</v>
      </c>
      <c r="G5" s="646">
        <f>'custo obra$'!I5/'custo obra$'!I$17</f>
        <v>0.79365079365079361</v>
      </c>
      <c r="H5" s="143">
        <f>'custo obra$'!J5/'custo obra$'!J$17</f>
        <v>4.425276497291207E-3</v>
      </c>
      <c r="I5" s="143">
        <f>'custo obra$'!K5/'custo obra$'!K$17</f>
        <v>7.1587369508960431E-3</v>
      </c>
      <c r="J5" s="143">
        <f>'custo obra$'!L5/'custo obra$'!L$17</f>
        <v>4.5058973411452293E-3</v>
      </c>
      <c r="K5" s="143">
        <f>'custo obra$'!M5/'custo obra$'!M$17</f>
        <v>2.1182521181199905E-2</v>
      </c>
      <c r="L5" s="143">
        <f>'custo obra$'!N5/'custo obra$'!N$17</f>
        <v>6.7540945911092739E-3</v>
      </c>
      <c r="M5" s="143">
        <f>'custo obra$'!O5/'custo obra$'!O$17</f>
        <v>6.5567586888543375E-3</v>
      </c>
      <c r="N5" s="143">
        <f>'custo obra$'!P5/'custo obra$'!P$17</f>
        <v>3.4749672994454424E-2</v>
      </c>
      <c r="O5" s="143">
        <f>'custo obra$'!Q5/'custo obra$'!Q$17</f>
        <v>4.3911318936709163E-3</v>
      </c>
      <c r="P5" s="143">
        <f>'custo obra$'!R5/'custo obra$'!R$17</f>
        <v>1.3158798019564433E-2</v>
      </c>
      <c r="Q5" s="646">
        <f>'custo obra$'!S5/'custo obra$'!S$17</f>
        <v>2.3884258235717304E-3</v>
      </c>
      <c r="R5" s="143" t="e">
        <f>'custo obra$'!T5/'custo obra$'!T$17</f>
        <v>#REF!</v>
      </c>
      <c r="S5" s="143" t="e">
        <f>'custo obra$'!U5/'custo obra$'!U$17</f>
        <v>#REF!</v>
      </c>
      <c r="T5" s="143" t="e">
        <f>'custo obra$'!V5/'custo obra$'!V$17</f>
        <v>#REF!</v>
      </c>
      <c r="U5" s="143" t="e">
        <f>'custo obra$'!W5/'custo obra$'!W$17</f>
        <v>#REF!</v>
      </c>
      <c r="V5" s="255"/>
      <c r="W5" s="256">
        <f>'custo obra$'!Y5/'custo obra$'!$Y$17</f>
        <v>6.2448593359516183E-3</v>
      </c>
      <c r="X5" s="257">
        <f>AVERAGE(AA5:AB5)</f>
        <v>0.10092539177931062</v>
      </c>
      <c r="Y5" s="256">
        <f>'custo obra$'!AA5/'custo obra$'!$AA$17</f>
        <v>1.7597560111011452E-2</v>
      </c>
      <c r="Z5" s="255"/>
      <c r="AA5" s="257">
        <f>'custo obra$'!AC5/'custo obra$'!AC$17</f>
        <v>0.15921421625137941</v>
      </c>
      <c r="AB5" s="257">
        <f>'custo obra$'!AD5/'custo obra$'!AD$17</f>
        <v>4.2636567307241829E-2</v>
      </c>
      <c r="AC5" s="255"/>
      <c r="AD5" s="143">
        <f>'custo obra$'!AF5/'custo obra$'!AF$17</f>
        <v>1.8889263854642402E-2</v>
      </c>
      <c r="AE5" s="143">
        <f>'custo obra$'!AG5/'custo obra$'!AG$17</f>
        <v>8.6507611372117436E-3</v>
      </c>
      <c r="AF5" s="143">
        <f>'custo obra$'!AH5/'custo obra$'!AH$17</f>
        <v>1.8929303050446402E-2</v>
      </c>
      <c r="AG5" s="143">
        <f>'custo obra$'!AI5/'custo obra$'!AI$17</f>
        <v>1.6697033848684609E-2</v>
      </c>
      <c r="AH5" s="143">
        <f>'custo obra$'!AJ5/'custo obra$'!AJ$17</f>
        <v>4.0099177803228636E-2</v>
      </c>
      <c r="AI5" s="143">
        <f>'custo obra$'!AK5/'custo obra$'!AK$17</f>
        <v>5.3218830985274105E-3</v>
      </c>
      <c r="AJ5" s="143">
        <f>'custo obra$'!AL5/'custo obra$'!AL$17</f>
        <v>3.7271407372217361E-2</v>
      </c>
      <c r="AK5" s="143">
        <f>'custo obra$'!AM5/'custo obra$'!AM$17</f>
        <v>3.3209761777004222E-2</v>
      </c>
      <c r="AL5" s="646">
        <f>'custo obra$'!AN5/'custo obra$'!AN$17</f>
        <v>2.6632318754328206E-2</v>
      </c>
      <c r="AM5" s="143">
        <f>'custo obra$'!AO5/'custo obra$'!AO$17</f>
        <v>1.0923111102674535E-2</v>
      </c>
      <c r="AN5" s="143">
        <f>'custo obra$'!AP5/'custo obra$'!AP$17</f>
        <v>2.0094748629230032E-2</v>
      </c>
      <c r="AO5" s="646">
        <f>'custo obra$'!AQ5/'custo obra$'!AQ$17</f>
        <v>2.0459668386695273E-2</v>
      </c>
      <c r="AP5" s="646">
        <f>'custo obra$'!AR5/'custo obra$'!AR$17</f>
        <v>4.6673487234618442E-2</v>
      </c>
      <c r="AQ5" s="143">
        <f>'custo obra$'!AS5/'custo obra$'!AS$17</f>
        <v>1.2652979696607149E-2</v>
      </c>
      <c r="AR5" s="143">
        <f>'custo obra$'!AT5/'custo obra$'!AT$17</f>
        <v>9.6489608384122145E-3</v>
      </c>
      <c r="AS5" s="143" t="e">
        <f>'custo obra$'!AU5/'custo obra$'!#REF!</f>
        <v>#REF!</v>
      </c>
      <c r="AT5" s="143" t="e">
        <f>'custo obra$'!AV5/'custo obra$'!#REF!</f>
        <v>#REF!</v>
      </c>
      <c r="AU5" s="143" t="e">
        <f>'custo obra$'!AW5/'custo obra$'!#REF!</f>
        <v>#REF!</v>
      </c>
      <c r="AV5" s="143" t="e">
        <f>'custo obra$'!AX5/'custo obra$'!#REF!</f>
        <v>#REF!</v>
      </c>
      <c r="AW5" s="143" t="e">
        <f>'custo obra$'!AY5/'custo obra$'!#REF!</f>
        <v>#REF!</v>
      </c>
    </row>
    <row r="6" spans="1:50" ht="12.75" customHeight="1">
      <c r="A6" s="15" t="s">
        <v>123</v>
      </c>
      <c r="B6" s="258"/>
      <c r="C6" s="258"/>
      <c r="D6" s="258"/>
      <c r="E6" s="258"/>
      <c r="F6" s="258"/>
      <c r="G6" s="647"/>
      <c r="H6" s="258"/>
      <c r="I6" s="258"/>
      <c r="J6" s="258"/>
      <c r="K6" s="258"/>
      <c r="L6" s="258"/>
      <c r="M6" s="258"/>
      <c r="N6" s="258"/>
      <c r="O6" s="258"/>
      <c r="P6" s="258"/>
      <c r="Q6" s="647"/>
      <c r="R6" s="258"/>
      <c r="S6" s="258"/>
      <c r="T6" s="258"/>
      <c r="U6" s="258"/>
      <c r="V6" s="171"/>
      <c r="W6" s="258"/>
      <c r="X6" s="259">
        <f t="shared" ref="X6" si="0">AVERAGE(AA6:AB6)</f>
        <v>0.69272540187148302</v>
      </c>
      <c r="Y6" s="260"/>
      <c r="Z6" s="261"/>
      <c r="AA6" s="257">
        <f>'custo obra$'!AC6/'custo obra$'!AC$17</f>
        <v>0.63443657739941417</v>
      </c>
      <c r="AB6" s="257">
        <f>'custo obra$'!AD6/'custo obra$'!AD$17</f>
        <v>0.75101422634355186</v>
      </c>
      <c r="AC6" s="262"/>
      <c r="AD6" s="263"/>
      <c r="AE6" s="263"/>
      <c r="AF6" s="263"/>
      <c r="AG6" s="263"/>
      <c r="AH6" s="263"/>
      <c r="AI6" s="263"/>
      <c r="AJ6" s="263"/>
      <c r="AK6" s="263"/>
      <c r="AL6" s="652"/>
      <c r="AM6" s="263"/>
      <c r="AN6" s="263"/>
      <c r="AO6" s="652"/>
      <c r="AP6" s="652"/>
      <c r="AQ6" s="263"/>
      <c r="AR6" s="263"/>
      <c r="AS6" s="143"/>
      <c r="AT6" s="143"/>
      <c r="AU6" s="143"/>
      <c r="AV6" s="143"/>
      <c r="AW6" s="143"/>
    </row>
    <row r="7" spans="1:50" ht="12.75" customHeight="1">
      <c r="A7" s="264" t="s">
        <v>101</v>
      </c>
      <c r="B7" s="143">
        <f>'custo obra$'!D8/'custo obra$'!D$17</f>
        <v>0.73132183137542728</v>
      </c>
      <c r="C7" s="143">
        <f>'custo obra$'!E8/'custo obra$'!E$17</f>
        <v>0.73917602209681654</v>
      </c>
      <c r="D7" s="143">
        <f>'custo obra$'!F8/'custo obra$'!F$17</f>
        <v>0.74142709233678505</v>
      </c>
      <c r="E7" s="143">
        <f>'custo obra$'!G8/'custo obra$'!G$17</f>
        <v>0.75757793293380393</v>
      </c>
      <c r="F7" s="143">
        <f>'custo obra$'!H8/'custo obra$'!H$17</f>
        <v>0.76631163383870282</v>
      </c>
      <c r="G7" s="646">
        <f>'custo obra$'!I8/'custo obra$'!I$17</f>
        <v>0</v>
      </c>
      <c r="H7" s="143">
        <f>'custo obra$'!J8/'custo obra$'!$J$17</f>
        <v>0.74429444862955685</v>
      </c>
      <c r="I7" s="143">
        <f>'custo obra$'!K8/'custo obra$'!K17</f>
        <v>0.74171660567219233</v>
      </c>
      <c r="J7" s="143">
        <f>'custo obra$'!L8/'custo obra$'!L17</f>
        <v>0.75959411011305422</v>
      </c>
      <c r="K7" s="143">
        <f>'custo obra$'!M8/'custo obra$'!M17</f>
        <v>0.7239120111408418</v>
      </c>
      <c r="L7" s="143">
        <f>'custo obra$'!N8/'custo obra$'!N17</f>
        <v>0.74209821150667665</v>
      </c>
      <c r="M7" s="143">
        <f>'custo obra$'!O8/'custo obra$'!O17</f>
        <v>0.73761841892177626</v>
      </c>
      <c r="N7" s="143">
        <f>'custo obra$'!P8/'custo obra$'!P17</f>
        <v>0.71569643769310809</v>
      </c>
      <c r="O7" s="143">
        <f>'custo obra$'!Q8/'custo obra$'!Q17</f>
        <v>0.75386396373541842</v>
      </c>
      <c r="P7" s="143">
        <f>'custo obra$'!R8/'custo obra$'!R17</f>
        <v>0.73143137443094453</v>
      </c>
      <c r="Q7" s="646">
        <f>'custo obra$'!S8/'custo obra$'!S17</f>
        <v>0.75901871130919019</v>
      </c>
      <c r="R7" s="143" t="e">
        <f>'custo obra$'!T8/'custo obra$'!T17</f>
        <v>#REF!</v>
      </c>
      <c r="S7" s="143" t="e">
        <f>'custo obra$'!U8/'custo obra$'!U17</f>
        <v>#REF!</v>
      </c>
      <c r="T7" s="143" t="e">
        <f>'custo obra$'!V8/'custo obra$'!V17</f>
        <v>#REF!</v>
      </c>
      <c r="U7" s="143" t="e">
        <f>'custo obra$'!W8/'custo obra$'!W17</f>
        <v>#REF!</v>
      </c>
      <c r="V7" s="255"/>
      <c r="W7" s="256">
        <f>'custo obra$'!Y8/'custo obra$'!$Y$17</f>
        <v>0.75030404488716618</v>
      </c>
      <c r="X7" s="265"/>
      <c r="Y7" s="266"/>
      <c r="Z7" s="171"/>
      <c r="AA7" s="263"/>
      <c r="AB7" s="263"/>
      <c r="AC7" s="171"/>
      <c r="AD7" s="267"/>
      <c r="AE7" s="267"/>
      <c r="AF7" s="267"/>
      <c r="AG7" s="267"/>
      <c r="AH7" s="267"/>
      <c r="AI7" s="267"/>
      <c r="AJ7" s="267"/>
      <c r="AK7" s="267"/>
      <c r="AL7" s="653"/>
      <c r="AM7" s="267"/>
      <c r="AN7" s="267"/>
      <c r="AO7" s="653"/>
      <c r="AP7" s="653"/>
      <c r="AQ7" s="267"/>
      <c r="AR7" s="267"/>
      <c r="AS7" s="143"/>
      <c r="AT7" s="143"/>
      <c r="AU7" s="143"/>
      <c r="AV7" s="143"/>
      <c r="AW7" s="143"/>
    </row>
    <row r="8" spans="1:50" ht="12.75" customHeight="1">
      <c r="A8" s="268" t="s">
        <v>100</v>
      </c>
      <c r="B8" s="258"/>
      <c r="C8" s="258"/>
      <c r="D8" s="258"/>
      <c r="E8" s="258"/>
      <c r="F8" s="258"/>
      <c r="G8" s="647"/>
      <c r="H8" s="258"/>
      <c r="I8" s="258"/>
      <c r="J8" s="258"/>
      <c r="K8" s="258"/>
      <c r="L8" s="258"/>
      <c r="M8" s="258"/>
      <c r="N8" s="258"/>
      <c r="O8" s="258"/>
      <c r="P8" s="258"/>
      <c r="Q8" s="647"/>
      <c r="R8" s="258"/>
      <c r="S8" s="258"/>
      <c r="T8" s="258"/>
      <c r="U8" s="258"/>
      <c r="V8" s="171"/>
      <c r="W8" s="258"/>
      <c r="X8" s="261"/>
      <c r="Y8" s="256">
        <f>'custo obra$'!AA7/'custo obra$'!$AA$17</f>
        <v>0.77605323353978217</v>
      </c>
      <c r="Z8" s="262"/>
      <c r="AA8" s="171"/>
      <c r="AB8" s="171"/>
      <c r="AC8" s="261"/>
      <c r="AD8" s="143">
        <f>'custo obra$'!AF7/'custo obra$'!AF$17</f>
        <v>0.7747615297961512</v>
      </c>
      <c r="AE8" s="143">
        <f>'custo obra$'!AG7/'custo obra$'!AG$17</f>
        <v>0.78500003251358186</v>
      </c>
      <c r="AF8" s="143">
        <f>'custo obra$'!AH7/'custo obra$'!AH$17</f>
        <v>0.77472149060034734</v>
      </c>
      <c r="AG8" s="143">
        <f>'custo obra$'!AI7/'custo obra$'!AI$17</f>
        <v>0.77695375980210901</v>
      </c>
      <c r="AH8" s="143">
        <f>'custo obra$'!AJ7/'custo obra$'!AJ$17</f>
        <v>0.75355161584756503</v>
      </c>
      <c r="AI8" s="143">
        <f>'custo obra$'!AK7/'custo obra$'!AK$17</f>
        <v>0.78832891055226628</v>
      </c>
      <c r="AJ8" s="143">
        <f>'custo obra$'!AL7/'custo obra$'!AL$17</f>
        <v>0.75637938627857626</v>
      </c>
      <c r="AK8" s="143">
        <f>'custo obra$'!AM7/'custo obra$'!AM$17</f>
        <v>0.76044103187378942</v>
      </c>
      <c r="AL8" s="646">
        <f>'custo obra$'!AN7/'custo obra$'!AN$17</f>
        <v>0.76701847489646569</v>
      </c>
      <c r="AM8" s="143">
        <f>'custo obra$'!AO7/'custo obra$'!AO$17</f>
        <v>0.78272768254811909</v>
      </c>
      <c r="AN8" s="143">
        <f>'custo obra$'!AP7/'custo obra$'!AP$17</f>
        <v>0.77355604502156361</v>
      </c>
      <c r="AO8" s="646">
        <f>'custo obra$'!AQ7/'custo obra$'!AQ$17</f>
        <v>0.77319112526409828</v>
      </c>
      <c r="AP8" s="646">
        <f>'custo obra$'!AR7/'custo obra$'!AR$17</f>
        <v>0.7469773064161751</v>
      </c>
      <c r="AQ8" s="143">
        <f>'custo obra$'!AS7/'custo obra$'!AS$17</f>
        <v>0.78099781395418655</v>
      </c>
      <c r="AR8" s="143">
        <f>'custo obra$'!AT7/'custo obra$'!AT$17</f>
        <v>0.78400183281238145</v>
      </c>
      <c r="AS8" s="143" t="e">
        <f>'custo obra$'!AU7/'custo obra$'!#REF!</f>
        <v>#REF!</v>
      </c>
      <c r="AT8" s="143" t="e">
        <f>'custo obra$'!AV7/'custo obra$'!#REF!</f>
        <v>#REF!</v>
      </c>
      <c r="AU8" s="143" t="e">
        <f>'custo obra$'!AW7/'custo obra$'!#REF!</f>
        <v>#REF!</v>
      </c>
      <c r="AV8" s="143" t="e">
        <f>'custo obra$'!AX7/'custo obra$'!#REF!</f>
        <v>#REF!</v>
      </c>
      <c r="AW8" s="143" t="e">
        <f>'custo obra$'!AY7/'custo obra$'!#REF!</f>
        <v>#REF!</v>
      </c>
    </row>
    <row r="9" spans="1:50" ht="12.75" customHeight="1">
      <c r="A9" s="176" t="s">
        <v>102</v>
      </c>
      <c r="B9" s="143">
        <f>'custo obra$'!D9/'custo obra$'!D$17</f>
        <v>4.4147946258485407E-2</v>
      </c>
      <c r="C9" s="143">
        <f>'custo obra$'!E9/'custo obra$'!E$17</f>
        <v>4.5235444743492954E-2</v>
      </c>
      <c r="D9" s="143">
        <f>'custo obra$'!F9/'custo obra$'!F$17</f>
        <v>3.9600676478787372E-2</v>
      </c>
      <c r="E9" s="143">
        <f>'custo obra$'!G9/'custo obra$'!G$17</f>
        <v>3.3224797822819868E-2</v>
      </c>
      <c r="F9" s="143">
        <f>'custo obra$'!H9/'custo obra$'!H$17</f>
        <v>2.6214106083943298E-2</v>
      </c>
      <c r="G9" s="646">
        <f>'custo obra$'!I9/'custo obra$'!I$17</f>
        <v>0</v>
      </c>
      <c r="H9" s="143">
        <f>'custo obra$'!J9/'custo obra$'!J$17</f>
        <v>4.4931068523945586E-2</v>
      </c>
      <c r="I9" s="143">
        <f>'custo obra$'!K9/'custo obra$'!K$17</f>
        <v>4.4775451027705242E-2</v>
      </c>
      <c r="J9" s="143">
        <f>'custo obra$'!L9/'custo obra$'!L$17</f>
        <v>2.9550786196594143E-2</v>
      </c>
      <c r="K9" s="143">
        <f>'custo obra$'!M9/'custo obra$'!M$17</f>
        <v>4.8556261328751842E-2</v>
      </c>
      <c r="L9" s="143">
        <f>'custo obra$'!N9/'custo obra$'!N$17</f>
        <v>4.4798487553007728E-2</v>
      </c>
      <c r="M9" s="143">
        <f>'custo obra$'!O9/'custo obra$'!O$17</f>
        <v>4.947561604016304E-2</v>
      </c>
      <c r="N9" s="143">
        <f>'custo obra$'!P9/'custo obra$'!P$17</f>
        <v>4.3204682963230955E-2</v>
      </c>
      <c r="O9" s="143">
        <f>'custo obra$'!Q9/'custo obra$'!Q$17</f>
        <v>3.539569802170444E-2</v>
      </c>
      <c r="P9" s="143">
        <f>'custo obra$'!R9/'custo obra$'!R$17</f>
        <v>4.9060621200284649E-2</v>
      </c>
      <c r="Q9" s="646">
        <f>'custo obra$'!S9/'custo obra$'!S$17</f>
        <v>3.2243656518031849E-2</v>
      </c>
      <c r="R9" s="143" t="e">
        <f>'custo obra$'!T9/'custo obra$'!T$17</f>
        <v>#REF!</v>
      </c>
      <c r="S9" s="143" t="e">
        <f>'custo obra$'!U9/'custo obra$'!U$17</f>
        <v>#REF!</v>
      </c>
      <c r="T9" s="143" t="e">
        <f>'custo obra$'!V9/'custo obra$'!V$17</f>
        <v>#REF!</v>
      </c>
      <c r="U9" s="143" t="e">
        <f>'custo obra$'!W9/'custo obra$'!W$17</f>
        <v>#REF!</v>
      </c>
      <c r="V9" s="255"/>
      <c r="W9" s="256">
        <f>'custo obra$'!Y9/'custo obra$'!$Y$17</f>
        <v>3.7101889427675713E-2</v>
      </c>
      <c r="X9" s="269"/>
      <c r="Y9" s="270"/>
      <c r="Z9" s="171"/>
      <c r="AA9" s="267"/>
      <c r="AB9" s="267"/>
      <c r="AC9" s="171"/>
      <c r="AD9" s="258"/>
      <c r="AE9" s="258"/>
      <c r="AF9" s="258"/>
      <c r="AG9" s="258"/>
      <c r="AH9" s="258"/>
      <c r="AI9" s="258"/>
      <c r="AJ9" s="258"/>
      <c r="AK9" s="258"/>
      <c r="AL9" s="647"/>
      <c r="AM9" s="258"/>
      <c r="AN9" s="258"/>
      <c r="AO9" s="647"/>
      <c r="AP9" s="647"/>
      <c r="AQ9" s="258"/>
      <c r="AR9" s="258"/>
      <c r="AS9" s="258"/>
      <c r="AT9" s="258"/>
      <c r="AU9" s="258"/>
      <c r="AV9" s="258"/>
      <c r="AW9" s="258"/>
      <c r="AX9" s="3"/>
    </row>
    <row r="10" spans="1:50" ht="12.75" customHeight="1">
      <c r="A10" s="252" t="s">
        <v>124</v>
      </c>
      <c r="B10" s="143">
        <f>(SUM('custo obra$'!D14:D15))/'custo obra$'!D17</f>
        <v>0.20634920634920637</v>
      </c>
      <c r="C10" s="143">
        <f>(SUM('custo obra$'!E14:E15))/'custo obra$'!E17</f>
        <v>0.20634920634920634</v>
      </c>
      <c r="D10" s="143">
        <f>(SUM('custo obra$'!F14:F15))/'custo obra$'!F17</f>
        <v>0.20634920634920634</v>
      </c>
      <c r="E10" s="143">
        <f>(SUM('custo obra$'!G14:G15))/'custo obra$'!G17</f>
        <v>0.20634920634920634</v>
      </c>
      <c r="F10" s="143">
        <f>(SUM('custo obra$'!H14:H15))/'custo obra$'!H17</f>
        <v>0.20634920634920634</v>
      </c>
      <c r="G10" s="646">
        <f>(SUM('custo obra$'!I14:I15))/'custo obra$'!I17</f>
        <v>0.20634920634920634</v>
      </c>
      <c r="H10" s="143">
        <f>(SUM('custo obra$'!J14:J15))/'custo obra$'!J17</f>
        <v>0.20634920634920631</v>
      </c>
      <c r="I10" s="143">
        <f>(SUM('custo obra$'!K14:K15))/'custo obra$'!K17</f>
        <v>0.20634920634920631</v>
      </c>
      <c r="J10" s="143">
        <f>(SUM('custo obra$'!L14:L15))/'custo obra$'!L17</f>
        <v>0.20634920634920637</v>
      </c>
      <c r="K10" s="143">
        <f>(SUM('custo obra$'!M14:M15))/'custo obra$'!M17</f>
        <v>0.20634920634920634</v>
      </c>
      <c r="L10" s="143">
        <f>(SUM('custo obra$'!N14:N15))/'custo obra$'!N17</f>
        <v>0.20634920634920634</v>
      </c>
      <c r="M10" s="143">
        <f>(SUM('custo obra$'!O14:O15))/'custo obra$'!O17</f>
        <v>0.20634920634920637</v>
      </c>
      <c r="N10" s="143">
        <f>(SUM('custo obra$'!P14:P15))/'custo obra$'!P17</f>
        <v>0.20634920634920634</v>
      </c>
      <c r="O10" s="143">
        <f>(SUM('custo obra$'!Q14:Q15))/'custo obra$'!Q17</f>
        <v>0.20634920634920637</v>
      </c>
      <c r="P10" s="143">
        <f>(SUM('custo obra$'!R14:R15))/'custo obra$'!R17</f>
        <v>0.20634920634920637</v>
      </c>
      <c r="Q10" s="646">
        <f>(SUM('custo obra$'!S14:S15))/'custo obra$'!S17</f>
        <v>0.20634920634920639</v>
      </c>
      <c r="R10" s="143" t="e">
        <f>(SUM('custo obra$'!T14:T15))/'custo obra$'!T17</f>
        <v>#REF!</v>
      </c>
      <c r="S10" s="143" t="e">
        <f>(SUM('custo obra$'!U14:U15))/'custo obra$'!U17</f>
        <v>#REF!</v>
      </c>
      <c r="T10" s="143" t="e">
        <f>(SUM('custo obra$'!V14:V15))/'custo obra$'!V17</f>
        <v>#REF!</v>
      </c>
      <c r="U10" s="143" t="e">
        <f>(SUM('custo obra$'!W14:W15))/'custo obra$'!W17</f>
        <v>#REF!</v>
      </c>
      <c r="V10" s="255"/>
      <c r="W10" s="256">
        <f>('custo obra$'!Y14+'custo obra$'!Y15)/'custo obra$'!$Y$17</f>
        <v>0.20634920634920625</v>
      </c>
      <c r="X10" s="257">
        <f>AVERAGE(AA10:AB10)</f>
        <v>0.20634920634920634</v>
      </c>
      <c r="Y10" s="256">
        <f>('custo obra$'!AA14+'custo obra$'!AA15)/'custo obra$'!$AA$17</f>
        <v>0.20634920634920634</v>
      </c>
      <c r="Z10" s="255"/>
      <c r="AA10" s="257">
        <f>(SUM('custo obra$'!AC14:AC15))/'custo obra$'!AC17</f>
        <v>0.20634920634920634</v>
      </c>
      <c r="AB10" s="257">
        <f>(SUM('custo obra$'!AD14:AD15))/'custo obra$'!AD17</f>
        <v>0.20634920634920634</v>
      </c>
      <c r="AC10" s="255"/>
      <c r="AD10" s="143">
        <f>(SUM('custo obra$'!AF14:AF15))/'custo obra$'!AF17</f>
        <v>0.20634920634920637</v>
      </c>
      <c r="AE10" s="143">
        <f>(SUM('custo obra$'!AG14:AG15))/'custo obra$'!AG17</f>
        <v>0.20634920634920637</v>
      </c>
      <c r="AF10" s="143">
        <f>(SUM('custo obra$'!AH14:AH15))/'custo obra$'!AH17</f>
        <v>0.20634920634920637</v>
      </c>
      <c r="AG10" s="143">
        <f>(SUM('custo obra$'!AI14:AI15))/'custo obra$'!AI17</f>
        <v>0.20634920634920634</v>
      </c>
      <c r="AH10" s="143">
        <f>(SUM('custo obra$'!AJ14:AJ15))/'custo obra$'!AJ17</f>
        <v>0.20634920634920634</v>
      </c>
      <c r="AI10" s="143">
        <f>(SUM('custo obra$'!AK14:AK15))/'custo obra$'!AK17</f>
        <v>0.20634920634920637</v>
      </c>
      <c r="AJ10" s="143">
        <f>(SUM('custo obra$'!AL14:AL15))/'custo obra$'!AL17</f>
        <v>0.20634920634920637</v>
      </c>
      <c r="AK10" s="143">
        <f>(SUM('custo obra$'!AM14:AM15))/'custo obra$'!AM17</f>
        <v>0.20634920634920634</v>
      </c>
      <c r="AL10" s="646">
        <f>(SUM('custo obra$'!AN14:AN15))/'custo obra$'!AN17</f>
        <v>0.20634920634920639</v>
      </c>
      <c r="AM10" s="143">
        <f>(SUM('custo obra$'!AO14:AO15))/'custo obra$'!AO17</f>
        <v>0.20634920634920634</v>
      </c>
      <c r="AN10" s="143">
        <f>(SUM('custo obra$'!AP14:AP15))/'custo obra$'!AP17</f>
        <v>0.20634920634920634</v>
      </c>
      <c r="AO10" s="646">
        <f>(SUM('custo obra$'!AQ14:AQ15))/'custo obra$'!AQ17</f>
        <v>0.20634920634920631</v>
      </c>
      <c r="AP10" s="646">
        <f>(SUM('custo obra$'!AR14:AR15))/'custo obra$'!AR17</f>
        <v>0.20634920634920637</v>
      </c>
      <c r="AQ10" s="143">
        <f>(SUM('custo obra$'!AS14:AS15))/'custo obra$'!AS17</f>
        <v>0.20634920634920637</v>
      </c>
      <c r="AR10" s="143">
        <f>(SUM('custo obra$'!AT14:AT15))/'custo obra$'!AT17</f>
        <v>0.20634920634920631</v>
      </c>
      <c r="AS10" s="143" t="e">
        <f>(SUM('custo obra$'!AU14:AU15))/'custo obra$'!AU17</f>
        <v>#DIV/0!</v>
      </c>
      <c r="AT10" s="143" t="e">
        <f>(SUM('custo obra$'!AV14:AV15))/'custo obra$'!AV17</f>
        <v>#DIV/0!</v>
      </c>
      <c r="AU10" s="143" t="e">
        <f>(SUM('custo obra$'!AW14:AW15))/'custo obra$'!AW17</f>
        <v>#DIV/0!</v>
      </c>
      <c r="AV10" s="143" t="e">
        <f>(SUM('custo obra$'!AX14:AX15))/'custo obra$'!AX17</f>
        <v>#DIV/0!</v>
      </c>
      <c r="AW10" s="143" t="e">
        <f>(SUM('custo obra$'!AY14:AY15))/'custo obra$'!AY17</f>
        <v>#DIV/0!</v>
      </c>
    </row>
    <row r="11" spans="1:50" ht="12.75" customHeight="1">
      <c r="A11" s="271" t="s">
        <v>125</v>
      </c>
      <c r="B11" s="272">
        <f t="shared" ref="B11:I11" si="1">SUM(B5:B10)</f>
        <v>1</v>
      </c>
      <c r="C11" s="272">
        <f t="shared" si="1"/>
        <v>1</v>
      </c>
      <c r="D11" s="272">
        <f t="shared" ref="D11" si="2">SUM(D5:D10)</f>
        <v>0.99999999999999978</v>
      </c>
      <c r="E11" s="272">
        <f t="shared" si="1"/>
        <v>1</v>
      </c>
      <c r="F11" s="272">
        <f t="shared" si="1"/>
        <v>0.99999999999999978</v>
      </c>
      <c r="G11" s="648">
        <f t="shared" si="1"/>
        <v>1</v>
      </c>
      <c r="H11" s="272">
        <f t="shared" si="1"/>
        <v>0.99999999999999989</v>
      </c>
      <c r="I11" s="272">
        <f t="shared" si="1"/>
        <v>0.99999999999999989</v>
      </c>
      <c r="J11" s="272">
        <f t="shared" ref="J11:L11" si="3">SUM(J5:J10)</f>
        <v>1</v>
      </c>
      <c r="K11" s="272">
        <f t="shared" si="3"/>
        <v>0.99999999999999978</v>
      </c>
      <c r="L11" s="272">
        <f t="shared" si="3"/>
        <v>1</v>
      </c>
      <c r="M11" s="272">
        <f t="shared" ref="M11:Q11" si="4">SUM(M5:M10)</f>
        <v>1</v>
      </c>
      <c r="N11" s="272">
        <f t="shared" si="4"/>
        <v>0.99999999999999978</v>
      </c>
      <c r="O11" s="272">
        <f t="shared" si="4"/>
        <v>1</v>
      </c>
      <c r="P11" s="272">
        <f t="shared" si="4"/>
        <v>1</v>
      </c>
      <c r="Q11" s="648">
        <f t="shared" si="4"/>
        <v>1</v>
      </c>
      <c r="R11" s="273" t="e">
        <f>'custo obra$'!#REF!/'custo obra$'!#REF!</f>
        <v>#REF!</v>
      </c>
      <c r="S11" s="273" t="e">
        <f>'custo obra$'!#REF!/'custo obra$'!#REF!</f>
        <v>#REF!</v>
      </c>
      <c r="T11" s="273" t="e">
        <f>'custo obra$'!#REF!/'custo obra$'!#REF!</f>
        <v>#REF!</v>
      </c>
      <c r="U11" s="273" t="e">
        <f>'custo obra$'!#REF!/'custo obra$'!#REF!</f>
        <v>#REF!</v>
      </c>
      <c r="V11" s="274"/>
      <c r="W11" s="224">
        <f>AVERAGE(B11:F11,H11:L11)</f>
        <v>1</v>
      </c>
      <c r="X11" s="224">
        <f t="shared" ref="X11:Y11" si="5">SUM(X5:X10)</f>
        <v>1</v>
      </c>
      <c r="Y11" s="224">
        <f t="shared" si="5"/>
        <v>1</v>
      </c>
      <c r="Z11" s="274"/>
      <c r="AA11" s="224">
        <f t="shared" ref="AA11:AB11" si="6">SUM(AA5:AA10)</f>
        <v>1</v>
      </c>
      <c r="AB11" s="224">
        <f t="shared" si="6"/>
        <v>1</v>
      </c>
      <c r="AC11" s="274"/>
      <c r="AD11" s="272">
        <f t="shared" ref="AD11:AW11" si="7">SUM(AD5:AD10)</f>
        <v>1</v>
      </c>
      <c r="AE11" s="272">
        <f t="shared" ref="AE11" si="8">SUM(AE5:AE10)</f>
        <v>1</v>
      </c>
      <c r="AF11" s="272">
        <f t="shared" si="7"/>
        <v>1</v>
      </c>
      <c r="AG11" s="272">
        <f t="shared" si="7"/>
        <v>1</v>
      </c>
      <c r="AH11" s="272">
        <f t="shared" si="7"/>
        <v>1</v>
      </c>
      <c r="AI11" s="272">
        <f t="shared" ref="AI11" si="9">SUM(AI5:AI10)</f>
        <v>1</v>
      </c>
      <c r="AJ11" s="272">
        <f t="shared" si="7"/>
        <v>1</v>
      </c>
      <c r="AK11" s="272">
        <f t="shared" si="7"/>
        <v>1</v>
      </c>
      <c r="AL11" s="648">
        <f t="shared" si="7"/>
        <v>1.0000000000000004</v>
      </c>
      <c r="AM11" s="272">
        <f t="shared" si="7"/>
        <v>1</v>
      </c>
      <c r="AN11" s="272">
        <f t="shared" si="7"/>
        <v>1</v>
      </c>
      <c r="AO11" s="648">
        <f t="shared" si="7"/>
        <v>0.99999999999999978</v>
      </c>
      <c r="AP11" s="648">
        <f t="shared" si="7"/>
        <v>0.99999999999999989</v>
      </c>
      <c r="AQ11" s="272">
        <f t="shared" ref="AQ11:AR11" si="10">SUM(AQ5:AQ10)</f>
        <v>1</v>
      </c>
      <c r="AR11" s="272">
        <f t="shared" si="10"/>
        <v>1</v>
      </c>
      <c r="AS11" s="272" t="e">
        <f t="shared" si="7"/>
        <v>#REF!</v>
      </c>
      <c r="AT11" s="272" t="e">
        <f t="shared" si="7"/>
        <v>#REF!</v>
      </c>
      <c r="AU11" s="272" t="e">
        <f t="shared" si="7"/>
        <v>#REF!</v>
      </c>
      <c r="AV11" s="272" t="e">
        <f t="shared" si="7"/>
        <v>#REF!</v>
      </c>
      <c r="AW11" s="272" t="e">
        <f t="shared" si="7"/>
        <v>#REF!</v>
      </c>
    </row>
    <row r="12" spans="1:50" ht="12.75" customHeight="1">
      <c r="A12" s="275"/>
      <c r="B12" s="276"/>
      <c r="C12" s="276"/>
      <c r="D12" s="276"/>
      <c r="E12" s="276"/>
      <c r="F12" s="276"/>
      <c r="G12" s="649"/>
      <c r="H12" s="276"/>
      <c r="I12" s="276"/>
      <c r="J12" s="276"/>
      <c r="K12" s="276"/>
      <c r="L12" s="276"/>
      <c r="M12" s="276"/>
      <c r="N12" s="276"/>
      <c r="O12" s="276"/>
      <c r="P12" s="276"/>
      <c r="Q12" s="649"/>
      <c r="R12" s="43"/>
      <c r="S12" s="43"/>
      <c r="T12" s="43"/>
      <c r="U12" s="43"/>
      <c r="V12" s="43"/>
      <c r="W12" s="277"/>
      <c r="X12" s="278"/>
      <c r="Y12" s="277"/>
      <c r="Z12" s="43"/>
      <c r="AA12" s="278"/>
      <c r="AB12" s="278"/>
      <c r="AC12" s="43"/>
      <c r="AD12" s="276"/>
      <c r="AE12" s="276"/>
      <c r="AF12" s="276"/>
      <c r="AG12" s="276"/>
      <c r="AH12" s="276"/>
      <c r="AI12" s="276"/>
      <c r="AJ12" s="276"/>
      <c r="AK12" s="276"/>
      <c r="AL12" s="649"/>
      <c r="AM12" s="276"/>
      <c r="AN12" s="276"/>
      <c r="AO12" s="649"/>
      <c r="AP12" s="649"/>
      <c r="AQ12" s="276"/>
      <c r="AR12" s="276"/>
      <c r="AS12" s="276"/>
      <c r="AT12" s="276"/>
      <c r="AU12" s="276"/>
      <c r="AV12" s="276"/>
      <c r="AW12" s="276"/>
      <c r="AX12" s="3"/>
    </row>
    <row r="13" spans="1:50" ht="12.75" customHeight="1">
      <c r="A13" s="2"/>
      <c r="B13" s="2"/>
      <c r="C13" s="2"/>
      <c r="D13" s="2"/>
      <c r="E13" s="2"/>
      <c r="F13" s="2"/>
      <c r="G13" s="650"/>
      <c r="H13" s="2"/>
      <c r="I13" s="2"/>
      <c r="J13" s="2"/>
      <c r="K13" s="2"/>
      <c r="L13" s="2"/>
      <c r="M13" s="2"/>
      <c r="N13" s="2"/>
      <c r="O13" s="2"/>
      <c r="P13" s="2"/>
      <c r="Q13" s="650"/>
      <c r="R13" s="2"/>
      <c r="S13" s="2"/>
      <c r="T13" s="2"/>
      <c r="U13" s="2"/>
      <c r="V13" s="2"/>
      <c r="W13" s="267"/>
      <c r="X13" s="2"/>
      <c r="Y13" s="266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654"/>
      <c r="AM13" s="3"/>
      <c r="AN13" s="3"/>
      <c r="AO13" s="654"/>
      <c r="AP13" s="654"/>
      <c r="AQ13" s="2"/>
      <c r="AR13" s="2"/>
      <c r="AS13" s="3"/>
      <c r="AT13" s="3"/>
      <c r="AU13" s="3"/>
      <c r="AV13" s="3"/>
      <c r="AW13" s="3"/>
      <c r="AX13" s="3"/>
    </row>
    <row r="14" spans="1:50" ht="12.75" customHeight="1">
      <c r="A14" s="176" t="s">
        <v>67</v>
      </c>
      <c r="B14" s="109">
        <f>+Entrada!C17</f>
        <v>480</v>
      </c>
      <c r="C14" s="109">
        <f>+Entrada!D17</f>
        <v>504.4</v>
      </c>
      <c r="D14" s="109">
        <f>+Entrada!E17</f>
        <v>432</v>
      </c>
      <c r="E14" s="109">
        <f>+Entrada!F17</f>
        <v>2704</v>
      </c>
      <c r="F14" s="109">
        <f>+Entrada!G17</f>
        <v>3200</v>
      </c>
      <c r="G14" s="651">
        <f>+Entrada!H17</f>
        <v>0</v>
      </c>
      <c r="H14" s="109">
        <f>+Entrada!I17</f>
        <v>1520</v>
      </c>
      <c r="I14" s="109">
        <f>+Entrada!J17</f>
        <v>560</v>
      </c>
      <c r="J14" s="109">
        <f>+Entrada!K17</f>
        <v>800</v>
      </c>
      <c r="K14" s="109">
        <f>+Entrada!L17</f>
        <v>480</v>
      </c>
      <c r="L14" s="109">
        <f>+Entrada!M17</f>
        <v>840</v>
      </c>
      <c r="M14" s="109">
        <f>+Entrada!N17</f>
        <v>608</v>
      </c>
      <c r="N14" s="109">
        <f>+Entrada!O17</f>
        <v>320</v>
      </c>
      <c r="O14" s="109">
        <f>+Entrada!P17</f>
        <v>1200</v>
      </c>
      <c r="P14" s="109">
        <f>+Entrada!Q17</f>
        <v>448</v>
      </c>
      <c r="Q14" s="651">
        <f>+Entrada!R17</f>
        <v>2400</v>
      </c>
      <c r="R14" s="109">
        <f>+Entrada!S17</f>
        <v>0</v>
      </c>
      <c r="S14" s="109">
        <f>+Entrada!V17</f>
        <v>0</v>
      </c>
      <c r="T14" s="109">
        <f>+Entrada!W17</f>
        <v>68</v>
      </c>
      <c r="U14" s="109">
        <f>+Entrada!X17</f>
        <v>216</v>
      </c>
      <c r="V14" s="279"/>
      <c r="W14" s="280">
        <f>AVERAGE(B14:F14,H14:P14)</f>
        <v>1006.8857142857142</v>
      </c>
      <c r="X14" s="281">
        <f>AVERAGE(AA14:AB14)</f>
        <v>142</v>
      </c>
      <c r="Y14" s="282">
        <f>AVERAGE(AD14:AK14,AM14:AN14,AQ14:AR14)</f>
        <v>457.33333333333331</v>
      </c>
      <c r="Z14" s="279"/>
      <c r="AA14" s="188">
        <f>Entrada!Z17</f>
        <v>68</v>
      </c>
      <c r="AB14" s="188">
        <f>+Entrada!AA17</f>
        <v>216</v>
      </c>
      <c r="AC14" s="279"/>
      <c r="AD14" s="109">
        <f>+Entrada!AC17</f>
        <v>360</v>
      </c>
      <c r="AE14" s="109">
        <f>+Entrada!AD17</f>
        <v>560</v>
      </c>
      <c r="AF14" s="109">
        <f>+Entrada!AE17</f>
        <v>352</v>
      </c>
      <c r="AG14" s="109">
        <f>+Entrada!AF17</f>
        <v>200</v>
      </c>
      <c r="AH14" s="109">
        <f>+Entrada!AG17</f>
        <v>380</v>
      </c>
      <c r="AI14" s="109">
        <f>+Entrada!AH17</f>
        <v>640</v>
      </c>
      <c r="AJ14" s="109">
        <f>+Entrada!AI17</f>
        <v>360</v>
      </c>
      <c r="AK14" s="109">
        <f>+Entrada!AJ17</f>
        <v>440</v>
      </c>
      <c r="AL14" s="651">
        <f>+Entrada!AK17</f>
        <v>156</v>
      </c>
      <c r="AM14" s="109">
        <f>+Entrada!AL17</f>
        <v>600</v>
      </c>
      <c r="AN14" s="109">
        <f>+Entrada!AM17</f>
        <v>336</v>
      </c>
      <c r="AO14" s="651">
        <f>+Entrada!AN17</f>
        <v>352</v>
      </c>
      <c r="AP14" s="651">
        <f>+Entrada!AO17</f>
        <v>220</v>
      </c>
      <c r="AQ14" s="109">
        <f>+Entrada!AP17</f>
        <v>640</v>
      </c>
      <c r="AR14" s="109">
        <f>+Entrada!AQ17</f>
        <v>620</v>
      </c>
      <c r="AS14" s="109">
        <f>+Entrada!AR17</f>
        <v>0</v>
      </c>
      <c r="AT14" s="109">
        <f>+Entrada!AS17</f>
        <v>0</v>
      </c>
      <c r="AU14" s="109">
        <f>+Entrada!AV17</f>
        <v>0</v>
      </c>
      <c r="AV14" s="109">
        <f>+Entrada!AW17</f>
        <v>0</v>
      </c>
      <c r="AW14" s="109">
        <f>+Entrada!AX17</f>
        <v>0</v>
      </c>
    </row>
    <row r="15" spans="1:50" ht="12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83"/>
      <c r="W15" s="2"/>
      <c r="X15" s="2"/>
      <c r="Y15" s="283"/>
      <c r="Z15" s="283"/>
      <c r="AA15" s="2"/>
      <c r="AB15" s="283"/>
      <c r="AC15" s="283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2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83"/>
      <c r="W16" s="2"/>
      <c r="X16" s="2"/>
      <c r="Y16" s="283"/>
      <c r="Z16" s="283"/>
      <c r="AA16" s="2"/>
      <c r="AB16" s="283"/>
      <c r="AC16" s="283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2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</row>
    <row r="22" spans="1:50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:50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</row>
    <row r="24" spans="1:50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</row>
    <row r="25" spans="1:50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6" spans="1:50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</row>
    <row r="27" spans="1:50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</row>
    <row r="28" spans="1:50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spans="1:50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</row>
    <row r="30" spans="1:5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</row>
    <row r="31" spans="1:50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spans="1:50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spans="1:49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</row>
    <row r="34" spans="1:49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</row>
    <row r="35" spans="1:49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</row>
    <row r="36" spans="1:49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</row>
    <row r="37" spans="1:49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</row>
    <row r="38" spans="1:49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spans="1:4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spans="1:49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spans="1:49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</row>
    <row r="44" spans="1:49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</row>
    <row r="45" spans="1:49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</row>
    <row r="46" spans="1:49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</row>
    <row r="47" spans="1:49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spans="1:49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49" spans="1: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</row>
    <row r="50" spans="1:49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</row>
    <row r="51" spans="1:49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</row>
    <row r="52" spans="1:49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</row>
    <row r="53" spans="1:49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</row>
    <row r="54" spans="1:49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</row>
    <row r="55" spans="1:49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</row>
    <row r="56" spans="1:49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</row>
    <row r="57" spans="1:49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</row>
    <row r="58" spans="1:49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</row>
    <row r="59" spans="1:4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</row>
    <row r="60" spans="1:49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</row>
    <row r="61" spans="1:49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</row>
    <row r="62" spans="1:49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</row>
    <row r="63" spans="1:49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</row>
    <row r="64" spans="1:49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</row>
    <row r="65" spans="1:49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</row>
    <row r="66" spans="1:49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</row>
    <row r="67" spans="1:49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1:49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spans="1:49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49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</row>
    <row r="84" spans="1:49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</row>
    <row r="85" spans="1:49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</row>
    <row r="86" spans="1:49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</row>
    <row r="87" spans="1:49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</row>
    <row r="88" spans="1:49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49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49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49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1:49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:49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49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spans="1:49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spans="1:4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1:49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1:49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spans="1:49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spans="1:49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spans="1:49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spans="1:49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1:49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1:49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1:49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1:4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1:49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</row>
    <row r="111" spans="1:49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</row>
    <row r="112" spans="1:49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spans="1:49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spans="1:49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1:49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1:49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spans="1:49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1:49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1:4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1:49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1:49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:49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1:49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spans="1:49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</row>
    <row r="125" spans="1:49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</row>
    <row r="126" spans="1:49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</row>
    <row r="127" spans="1:49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</row>
    <row r="128" spans="1:49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</row>
    <row r="129" spans="1:4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</row>
    <row r="130" spans="1:49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</row>
    <row r="131" spans="1:49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</row>
    <row r="132" spans="1:49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</row>
    <row r="133" spans="1:49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</row>
    <row r="134" spans="1:49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</row>
    <row r="135" spans="1:49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</row>
    <row r="136" spans="1:49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</row>
    <row r="137" spans="1:49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</row>
    <row r="138" spans="1:49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</row>
    <row r="139" spans="1:4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</row>
    <row r="140" spans="1:49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</row>
    <row r="141" spans="1:49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</row>
    <row r="142" spans="1:49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</row>
    <row r="143" spans="1:49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</row>
    <row r="144" spans="1:49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</row>
    <row r="145" spans="1:49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spans="1:49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</row>
    <row r="147" spans="1:49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spans="1:49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</row>
    <row r="149" spans="1: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</row>
    <row r="150" spans="1:49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</row>
    <row r="151" spans="1:49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</row>
    <row r="152" spans="1:49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</row>
    <row r="153" spans="1:49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</row>
    <row r="154" spans="1:49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</row>
    <row r="155" spans="1:49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</row>
    <row r="156" spans="1:49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</row>
    <row r="157" spans="1:49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</row>
    <row r="158" spans="1:49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</row>
    <row r="159" spans="1:4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</row>
    <row r="160" spans="1:49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</row>
    <row r="161" spans="1:49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</row>
    <row r="162" spans="1:49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</row>
    <row r="163" spans="1:49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</row>
    <row r="164" spans="1:49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</row>
    <row r="165" spans="1:49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</row>
    <row r="166" spans="1:49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</row>
    <row r="167" spans="1:49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</row>
    <row r="168" spans="1:49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spans="1:4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</row>
    <row r="170" spans="1:49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spans="1:49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spans="1:49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spans="1:49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spans="1:49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spans="1:49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</row>
    <row r="176" spans="1:49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</row>
    <row r="177" spans="1:49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</row>
    <row r="178" spans="1:49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</row>
    <row r="179" spans="1:4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</row>
    <row r="180" spans="1:49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</row>
    <row r="181" spans="1:49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</row>
    <row r="182" spans="1:49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</row>
    <row r="183" spans="1:49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</row>
    <row r="184" spans="1:49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</row>
    <row r="185" spans="1:49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</row>
    <row r="186" spans="1:49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</row>
    <row r="187" spans="1:49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</row>
    <row r="188" spans="1:49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</row>
    <row r="189" spans="1:4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</row>
    <row r="190" spans="1:49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</row>
    <row r="191" spans="1:49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</row>
    <row r="192" spans="1:49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</row>
    <row r="193" spans="1:49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</row>
    <row r="194" spans="1:49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</row>
    <row r="195" spans="1:49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</row>
    <row r="196" spans="1:49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</row>
    <row r="197" spans="1:49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</row>
    <row r="198" spans="1:49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</row>
    <row r="199" spans="1:4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</row>
    <row r="200" spans="1:49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</row>
    <row r="201" spans="1:49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</row>
    <row r="202" spans="1:49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</row>
    <row r="203" spans="1:49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</row>
    <row r="204" spans="1:49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</row>
    <row r="205" spans="1:49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</row>
    <row r="206" spans="1:49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</row>
    <row r="207" spans="1:49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</row>
    <row r="208" spans="1:49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</row>
    <row r="209" spans="1:4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</row>
    <row r="210" spans="1:49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spans="1:49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spans="1:49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</row>
    <row r="213" spans="1:49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</row>
    <row r="214" spans="1:49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</row>
    <row r="215" spans="1:49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</row>
    <row r="216" spans="1:49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</row>
    <row r="217" spans="1:49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</row>
    <row r="218" spans="1:49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</row>
    <row r="219" spans="1:4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</row>
    <row r="220" spans="1:49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</row>
    <row r="221" spans="1:49" ht="15.75" customHeight="1"/>
    <row r="222" spans="1:49" ht="15.75" customHeight="1"/>
    <row r="223" spans="1:49" ht="15.75" customHeight="1"/>
    <row r="224" spans="1:4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3:A4"/>
    <mergeCell ref="B3:T3"/>
    <mergeCell ref="W3:Y3"/>
    <mergeCell ref="AA3:AB3"/>
    <mergeCell ref="AD3:AW3"/>
  </mergeCells>
  <pageMargins left="0.511811024" right="0.511811024" top="0.78740157499999996" bottom="0.78740157499999996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BK1000"/>
  <sheetViews>
    <sheetView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Z22" sqref="Z22"/>
    </sheetView>
  </sheetViews>
  <sheetFormatPr defaultColWidth="12.5703125" defaultRowHeight="15" customHeight="1"/>
  <cols>
    <col min="1" max="1" width="34.140625" customWidth="1"/>
    <col min="2" max="2" width="14" customWidth="1"/>
    <col min="3" max="3" width="6.85546875" customWidth="1"/>
    <col min="4" max="8" width="12" customWidth="1"/>
    <col min="9" max="9" width="3" customWidth="1"/>
    <col min="10" max="18" width="12" customWidth="1"/>
    <col min="19" max="19" width="4.140625" customWidth="1"/>
    <col min="20" max="23" width="14" hidden="1" customWidth="1"/>
    <col min="24" max="24" width="1" hidden="1" customWidth="1"/>
    <col min="25" max="25" width="1" customWidth="1"/>
    <col min="26" max="26" width="14" customWidth="1"/>
    <col min="27" max="28" width="14.5703125" customWidth="1"/>
    <col min="29" max="29" width="1" customWidth="1"/>
    <col min="30" max="31" width="14" customWidth="1"/>
    <col min="32" max="32" width="1.140625" customWidth="1"/>
    <col min="33" max="40" width="12" customWidth="1"/>
    <col min="41" max="41" width="4.7109375" customWidth="1"/>
    <col min="42" max="43" width="12" customWidth="1"/>
    <col min="44" max="45" width="5.140625" customWidth="1"/>
    <col min="46" max="47" width="12" customWidth="1"/>
    <col min="48" max="52" width="14" hidden="1" customWidth="1"/>
    <col min="53" max="53" width="1.85546875" customWidth="1"/>
    <col min="54" max="55" width="14.5703125" customWidth="1"/>
    <col min="56" max="56" width="14.7109375" customWidth="1"/>
    <col min="57" max="57" width="3.7109375" customWidth="1"/>
    <col min="58" max="58" width="11.42578125" customWidth="1"/>
    <col min="59" max="59" width="10.5703125" customWidth="1"/>
    <col min="60" max="63" width="9.140625" customWidth="1"/>
  </cols>
  <sheetData>
    <row r="1" spans="1:63" ht="12.75" customHeight="1">
      <c r="A1" s="2" t="s">
        <v>126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</row>
    <row r="2" spans="1:63" ht="12.75" customHeight="1">
      <c r="A2" s="284" t="s">
        <v>127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562"/>
      <c r="BF2" s="2"/>
      <c r="BG2" s="2"/>
      <c r="BH2" s="2"/>
      <c r="BI2" s="2"/>
      <c r="BJ2" s="2"/>
      <c r="BK2" s="2"/>
    </row>
    <row r="3" spans="1:63" ht="12.75" customHeight="1">
      <c r="A3" s="718" t="s">
        <v>8</v>
      </c>
      <c r="B3" s="718" t="s">
        <v>9</v>
      </c>
      <c r="C3" s="718" t="s">
        <v>10</v>
      </c>
      <c r="D3" s="719" t="s">
        <v>52</v>
      </c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  <c r="S3" s="699"/>
      <c r="T3" s="699"/>
      <c r="U3" s="699"/>
      <c r="V3" s="699"/>
      <c r="W3" s="699"/>
      <c r="X3" s="174"/>
      <c r="Y3" s="119"/>
      <c r="Z3" s="731" t="s">
        <v>76</v>
      </c>
      <c r="AA3" s="699"/>
      <c r="AB3" s="700"/>
      <c r="AC3" s="119"/>
      <c r="AD3" s="719" t="s">
        <v>31</v>
      </c>
      <c r="AE3" s="700"/>
      <c r="AF3" s="285"/>
      <c r="AG3" s="705" t="s">
        <v>53</v>
      </c>
      <c r="AH3" s="699"/>
      <c r="AI3" s="699"/>
      <c r="AJ3" s="699"/>
      <c r="AK3" s="699"/>
      <c r="AL3" s="699"/>
      <c r="AM3" s="699"/>
      <c r="AN3" s="699"/>
      <c r="AO3" s="699"/>
      <c r="AP3" s="699"/>
      <c r="AQ3" s="699"/>
      <c r="AR3" s="699"/>
      <c r="AS3" s="699"/>
      <c r="AT3" s="699"/>
      <c r="AU3" s="699"/>
      <c r="AV3" s="699"/>
      <c r="AW3" s="699"/>
      <c r="AX3" s="699"/>
      <c r="AY3" s="699"/>
      <c r="AZ3" s="700"/>
      <c r="BA3" s="50"/>
      <c r="BB3" s="726" t="s">
        <v>76</v>
      </c>
      <c r="BC3" s="727"/>
      <c r="BD3" s="727"/>
      <c r="BE3" s="558"/>
      <c r="BF3" s="568" t="s">
        <v>404</v>
      </c>
      <c r="BG3" s="50"/>
      <c r="BH3" s="50"/>
      <c r="BI3" s="50"/>
      <c r="BJ3" s="50"/>
      <c r="BK3" s="50"/>
    </row>
    <row r="4" spans="1:63" ht="12.75" customHeight="1">
      <c r="A4" s="697"/>
      <c r="B4" s="697"/>
      <c r="C4" s="697"/>
      <c r="D4" s="176">
        <v>3</v>
      </c>
      <c r="E4" s="109">
        <v>5</v>
      </c>
      <c r="F4" s="176">
        <v>7</v>
      </c>
      <c r="G4" s="176">
        <v>9</v>
      </c>
      <c r="H4" s="176">
        <v>11</v>
      </c>
      <c r="I4" s="645">
        <v>13</v>
      </c>
      <c r="J4" s="185">
        <v>15</v>
      </c>
      <c r="K4" s="175">
        <v>17</v>
      </c>
      <c r="L4" s="185">
        <v>19</v>
      </c>
      <c r="M4" s="175">
        <v>21</v>
      </c>
      <c r="N4" s="185">
        <v>23</v>
      </c>
      <c r="O4" s="175">
        <v>25</v>
      </c>
      <c r="P4" s="185">
        <v>27</v>
      </c>
      <c r="Q4" s="175">
        <v>29</v>
      </c>
      <c r="R4" s="185">
        <v>31</v>
      </c>
      <c r="S4" s="645">
        <v>33</v>
      </c>
      <c r="T4" s="176">
        <v>33</v>
      </c>
      <c r="U4" s="176">
        <v>35</v>
      </c>
      <c r="V4" s="176">
        <v>37</v>
      </c>
      <c r="W4" s="176">
        <v>39</v>
      </c>
      <c r="X4" s="176">
        <v>41</v>
      </c>
      <c r="Y4" s="252"/>
      <c r="Z4" s="177" t="s">
        <v>96</v>
      </c>
      <c r="AA4" s="178" t="s">
        <v>31</v>
      </c>
      <c r="AB4" s="177" t="s">
        <v>97</v>
      </c>
      <c r="AC4" s="252"/>
      <c r="AD4" s="286">
        <v>1</v>
      </c>
      <c r="AE4" s="286">
        <v>2</v>
      </c>
      <c r="AF4" s="287"/>
      <c r="AG4" s="176">
        <v>4</v>
      </c>
      <c r="AH4" s="176">
        <v>6</v>
      </c>
      <c r="AI4" s="176">
        <v>8</v>
      </c>
      <c r="AJ4" s="176">
        <v>10</v>
      </c>
      <c r="AK4" s="176">
        <v>12</v>
      </c>
      <c r="AL4" s="176">
        <v>14</v>
      </c>
      <c r="AM4" s="176">
        <v>16</v>
      </c>
      <c r="AN4" s="176">
        <v>18</v>
      </c>
      <c r="AO4" s="645">
        <v>20</v>
      </c>
      <c r="AP4" s="176">
        <v>22</v>
      </c>
      <c r="AQ4" s="176">
        <v>24</v>
      </c>
      <c r="AR4" s="645">
        <v>26</v>
      </c>
      <c r="AS4" s="645">
        <v>28</v>
      </c>
      <c r="AT4" s="176">
        <v>30</v>
      </c>
      <c r="AU4" s="176">
        <v>32</v>
      </c>
      <c r="AV4" s="176">
        <v>34</v>
      </c>
      <c r="AW4" s="176">
        <v>36</v>
      </c>
      <c r="AX4" s="176">
        <v>38</v>
      </c>
      <c r="AY4" s="176">
        <v>40</v>
      </c>
      <c r="AZ4" s="176">
        <v>42</v>
      </c>
      <c r="BA4" s="2"/>
      <c r="BB4" s="567" t="s">
        <v>96</v>
      </c>
      <c r="BC4" s="567" t="s">
        <v>31</v>
      </c>
      <c r="BD4" s="567" t="s">
        <v>97</v>
      </c>
      <c r="BE4" s="563"/>
      <c r="BF4" s="568"/>
      <c r="BG4" s="2"/>
      <c r="BH4" s="2"/>
      <c r="BI4" s="2"/>
      <c r="BJ4" s="2"/>
      <c r="BK4" s="2"/>
    </row>
    <row r="5" spans="1:63" ht="12.75" customHeight="1">
      <c r="A5" s="254" t="s">
        <v>98</v>
      </c>
      <c r="B5" s="288"/>
      <c r="C5" s="289"/>
      <c r="D5" s="109">
        <f>'custo obra$'!D5</f>
        <v>1165967.8165285802</v>
      </c>
      <c r="E5" s="109">
        <f>'custo obra$'!E5</f>
        <v>616031.96960760001</v>
      </c>
      <c r="F5" s="109">
        <f>'custo obra$'!F5</f>
        <v>718645.06308738003</v>
      </c>
      <c r="G5" s="109">
        <f>'custo obra$'!G5</f>
        <v>993263.92300824006</v>
      </c>
      <c r="H5" s="109">
        <f>'custo obra$'!H5</f>
        <v>459043.1773527601</v>
      </c>
      <c r="I5" s="651">
        <f>'custo obra$'!I5</f>
        <v>409027.15183200006</v>
      </c>
      <c r="J5" s="109">
        <f>'custo UrbanizR$'!J8</f>
        <v>883028.93299487105</v>
      </c>
      <c r="K5" s="109">
        <f>'custo UrbanizR$'!K8</f>
        <v>528107.26709995023</v>
      </c>
      <c r="L5" s="109">
        <f>'custo UrbanizR$'!L8</f>
        <v>463687.51844141225</v>
      </c>
      <c r="M5" s="109">
        <f>'custo UrbanizR$'!M8</f>
        <v>1372362.4248882208</v>
      </c>
      <c r="N5" s="109">
        <f>'custo UrbanizR$'!N8</f>
        <v>747000.26206163282</v>
      </c>
      <c r="O5" s="109">
        <f>'custo UrbanizR$'!O8</f>
        <v>528076.37830800482</v>
      </c>
      <c r="P5" s="109">
        <f>'custo UrbanizR$'!P8</f>
        <v>1518125.0947231494</v>
      </c>
      <c r="Q5" s="109">
        <f>'custo UrbanizR$'!Q8</f>
        <v>682968.16222361999</v>
      </c>
      <c r="R5" s="109">
        <f>'custo UrbanizR$'!R8</f>
        <v>787510.51974816003</v>
      </c>
      <c r="S5" s="651">
        <f>'custo UrbanizR$'!S8</f>
        <v>737914.81887138612</v>
      </c>
      <c r="T5" s="109">
        <f>'custo UrbanizR$'!T8</f>
        <v>682968.16222361999</v>
      </c>
      <c r="U5" s="109">
        <f>'custo UrbanizR$'!T8</f>
        <v>682968.16222361999</v>
      </c>
      <c r="V5" s="109">
        <f>'custo UrbanizR$'!U8</f>
        <v>787510.51974816003</v>
      </c>
      <c r="W5" s="109">
        <f>'custo UrbanizR$'!V8</f>
        <v>737914.81887138612</v>
      </c>
      <c r="X5" s="109">
        <f>'custo UrbanizR$'!W8</f>
        <v>0</v>
      </c>
      <c r="Y5" s="255"/>
      <c r="Z5" s="290">
        <f>AVERAGE(D5:H5,J5:R5)</f>
        <v>818844.17929097044</v>
      </c>
      <c r="AA5" s="188">
        <f t="shared" ref="AA5:AA6" si="0">AVERAGE(AD5:AE5)</f>
        <v>1194718.4856640801</v>
      </c>
      <c r="AB5" s="290">
        <f>AVERAGE(AG5:AN5,AP5:AQ5,AT5:AU5)</f>
        <v>953585.64354305726</v>
      </c>
      <c r="AC5" s="255"/>
      <c r="AD5" s="188">
        <f>'custo obra$'!AC5</f>
        <v>1390341.8042927403</v>
      </c>
      <c r="AE5" s="188">
        <f>'custo obra$'!AD5</f>
        <v>999095.16703542008</v>
      </c>
      <c r="AF5" s="279"/>
      <c r="AG5" s="109">
        <f>'custo obra$'!AF5</f>
        <v>807077.77615888801</v>
      </c>
      <c r="AH5" s="109">
        <f>'custo obra$'!AG5</f>
        <v>567464.34051683999</v>
      </c>
      <c r="AI5" s="109">
        <f>'custo obra$'!AH5</f>
        <v>790856.31550145999</v>
      </c>
      <c r="AJ5" s="109">
        <f>'custo obra$'!AI5</f>
        <v>395221.03706124006</v>
      </c>
      <c r="AK5" s="109">
        <f>'custo obra$'!AJ5</f>
        <v>1859396.2977696601</v>
      </c>
      <c r="AL5" s="109">
        <f>'custo obra$'!AK5</f>
        <v>397286.45037042</v>
      </c>
      <c r="AM5" s="109">
        <f>'custo obra$'!AL5</f>
        <v>1631189.8530517202</v>
      </c>
      <c r="AN5" s="109">
        <f>'custo obra$'!AM5</f>
        <v>1766927.7728856001</v>
      </c>
      <c r="AO5" s="651">
        <f>'custo obra$'!AN5</f>
        <v>498073.75324639922</v>
      </c>
      <c r="AP5" s="109">
        <f>'custo obra$'!AO5</f>
        <v>769932.78067368013</v>
      </c>
      <c r="AQ5" s="109">
        <f>'custo obra$'!AP5</f>
        <v>802594.12017017999</v>
      </c>
      <c r="AR5" s="651">
        <f>'custo obra$'!AQ5</f>
        <v>856486.05453762005</v>
      </c>
      <c r="AS5" s="651">
        <f>'custo obra$'!AR5</f>
        <v>1264012.6676681403</v>
      </c>
      <c r="AT5" s="109">
        <f>'custo obra$'!AS5</f>
        <v>953430.12439037999</v>
      </c>
      <c r="AU5" s="109">
        <f>'custo obra$'!AT5</f>
        <v>701650.85396661842</v>
      </c>
      <c r="AV5" s="109">
        <f>'custo obra$'!AU5</f>
        <v>0</v>
      </c>
      <c r="AW5" s="109">
        <f>'custo obra$'!AV5</f>
        <v>0</v>
      </c>
      <c r="AX5" s="109">
        <f>'custo obra$'!AW5</f>
        <v>0</v>
      </c>
      <c r="AY5" s="109">
        <f>'custo obra$'!AX5</f>
        <v>0</v>
      </c>
      <c r="AZ5" s="109">
        <f>'custo obra$'!AY5</f>
        <v>0</v>
      </c>
      <c r="BA5" s="2"/>
      <c r="BB5" s="256">
        <f>Z5/$Z$29</f>
        <v>2.710814702116282E-3</v>
      </c>
      <c r="BC5" s="256">
        <f>AA5/$AA$29</f>
        <v>2.8045034874743666E-2</v>
      </c>
      <c r="BD5" s="256">
        <f>AB5/$AB$29</f>
        <v>6.9503326788852571E-3</v>
      </c>
      <c r="BE5" s="255"/>
      <c r="BF5" s="569">
        <f>D5/$D$29</f>
        <v>8.096998725892918E-3</v>
      </c>
      <c r="BG5" s="2"/>
      <c r="BH5" s="2"/>
      <c r="BI5" s="2"/>
      <c r="BJ5" s="2"/>
      <c r="BK5" s="2"/>
    </row>
    <row r="6" spans="1:63" ht="12.75" customHeight="1">
      <c r="A6" s="15" t="s">
        <v>128</v>
      </c>
      <c r="B6" s="291"/>
      <c r="C6" s="173"/>
      <c r="D6" s="529"/>
      <c r="E6" s="529"/>
      <c r="F6" s="529"/>
      <c r="G6" s="529"/>
      <c r="H6" s="529"/>
      <c r="I6" s="655"/>
      <c r="J6" s="529"/>
      <c r="K6" s="529"/>
      <c r="L6" s="529"/>
      <c r="M6" s="529"/>
      <c r="N6" s="529"/>
      <c r="O6" s="529"/>
      <c r="P6" s="529"/>
      <c r="Q6" s="529"/>
      <c r="R6" s="529"/>
      <c r="S6" s="655"/>
      <c r="T6" s="529"/>
      <c r="U6" s="529"/>
      <c r="V6" s="529"/>
      <c r="W6" s="529"/>
      <c r="X6" s="529"/>
      <c r="Y6" s="526"/>
      <c r="Z6" s="533"/>
      <c r="AA6" s="188">
        <f t="shared" si="0"/>
        <v>11569308</v>
      </c>
      <c r="AB6" s="294"/>
      <c r="AC6" s="171"/>
      <c r="AD6" s="188">
        <f>'custo obra$'!AC6</f>
        <v>5540232</v>
      </c>
      <c r="AE6" s="188">
        <f>'custo obra$'!AD6</f>
        <v>17598384</v>
      </c>
      <c r="AF6" s="37"/>
      <c r="AG6" s="195"/>
      <c r="AH6" s="195"/>
      <c r="AI6" s="195"/>
      <c r="AJ6" s="195"/>
      <c r="AK6" s="195"/>
      <c r="AL6" s="195"/>
      <c r="AM6" s="195"/>
      <c r="AN6" s="195"/>
      <c r="AO6" s="672"/>
      <c r="AP6" s="195"/>
      <c r="AQ6" s="195"/>
      <c r="AR6" s="672"/>
      <c r="AS6" s="672"/>
      <c r="AT6" s="195"/>
      <c r="AU6" s="195"/>
      <c r="AV6" s="195"/>
      <c r="AW6" s="195"/>
      <c r="AX6" s="195"/>
      <c r="AY6" s="195"/>
      <c r="AZ6" s="293"/>
      <c r="BA6" s="2"/>
      <c r="BB6" s="295"/>
      <c r="BC6" s="256">
        <f>AA6/$AA$29</f>
        <v>0.27157999999999999</v>
      </c>
      <c r="BD6" s="265"/>
      <c r="BE6" s="526"/>
      <c r="BF6" s="532"/>
      <c r="BG6" s="562"/>
      <c r="BH6" s="2"/>
      <c r="BI6" s="2"/>
      <c r="BJ6" s="2"/>
      <c r="BK6" s="2"/>
    </row>
    <row r="7" spans="1:63" ht="12.75" customHeight="1">
      <c r="A7" s="268" t="s">
        <v>100</v>
      </c>
      <c r="B7" s="61" t="s">
        <v>21</v>
      </c>
      <c r="C7" s="296">
        <f>Parâmetros!C20</f>
        <v>1532.55</v>
      </c>
      <c r="D7" s="534"/>
      <c r="E7" s="527"/>
      <c r="F7" s="527"/>
      <c r="G7" s="527"/>
      <c r="H7" s="527"/>
      <c r="I7" s="656"/>
      <c r="J7" s="527"/>
      <c r="K7" s="527"/>
      <c r="L7" s="527"/>
      <c r="M7" s="527"/>
      <c r="N7" s="527"/>
      <c r="O7" s="527"/>
      <c r="P7" s="527"/>
      <c r="Q7" s="527"/>
      <c r="R7" s="527"/>
      <c r="S7" s="656"/>
      <c r="T7" s="527"/>
      <c r="U7" s="527"/>
      <c r="V7" s="527"/>
      <c r="W7" s="527"/>
      <c r="X7" s="527"/>
      <c r="Y7" s="526"/>
      <c r="Z7" s="527"/>
      <c r="AA7" s="530"/>
      <c r="AB7" s="290">
        <f>AVERAGE(AG7:AN7,AP7:AQ7,AT7:AU7)</f>
        <v>42053172</v>
      </c>
      <c r="AC7" s="171"/>
      <c r="AD7" s="529"/>
      <c r="AE7" s="529"/>
      <c r="AF7" s="298"/>
      <c r="AG7" s="109">
        <f>'custo obra$'!AF7</f>
        <v>33103080</v>
      </c>
      <c r="AH7" s="109">
        <f>'custo obra$'!AG7</f>
        <v>51493680</v>
      </c>
      <c r="AI7" s="109">
        <f>'custo obra$'!AH7</f>
        <v>32367456</v>
      </c>
      <c r="AJ7" s="109">
        <f>'custo obra$'!AI7</f>
        <v>18390600</v>
      </c>
      <c r="AK7" s="109">
        <f>'custo obra$'!AJ7</f>
        <v>34942140</v>
      </c>
      <c r="AL7" s="109">
        <f>'custo obra$'!AK7</f>
        <v>58849920</v>
      </c>
      <c r="AM7" s="109">
        <f>'custo obra$'!AL7</f>
        <v>33103080</v>
      </c>
      <c r="AN7" s="109">
        <f>'custo obra$'!AM7</f>
        <v>40459320</v>
      </c>
      <c r="AO7" s="651">
        <f>'custo obra$'!AN7</f>
        <v>14344668</v>
      </c>
      <c r="AP7" s="109">
        <f>'custo obra$'!AO7</f>
        <v>55171800</v>
      </c>
      <c r="AQ7" s="109">
        <f>'custo obra$'!AP7</f>
        <v>30896208</v>
      </c>
      <c r="AR7" s="651">
        <f>'custo obra$'!AQ7</f>
        <v>32367456</v>
      </c>
      <c r="AS7" s="651">
        <f>'custo obra$'!AR7</f>
        <v>20229660</v>
      </c>
      <c r="AT7" s="109">
        <f>'custo obra$'!AS7</f>
        <v>58849920</v>
      </c>
      <c r="AU7" s="109">
        <f>'custo obra$'!AT7</f>
        <v>57010860</v>
      </c>
      <c r="AV7" s="109">
        <f>'custo obra$'!AU7</f>
        <v>0</v>
      </c>
      <c r="AW7" s="109">
        <f>'custo obra$'!AV7</f>
        <v>0</v>
      </c>
      <c r="AX7" s="109">
        <f>'custo obra$'!AW7</f>
        <v>0</v>
      </c>
      <c r="AY7" s="109">
        <f>'custo obra$'!AX7</f>
        <v>0</v>
      </c>
      <c r="AZ7" s="109">
        <f>'custo obra$'!AY7</f>
        <v>0</v>
      </c>
      <c r="BA7" s="2"/>
      <c r="BB7" s="267"/>
      <c r="BC7" s="261"/>
      <c r="BD7" s="256">
        <f>AB7/$AB$29</f>
        <v>0.30651</v>
      </c>
      <c r="BE7" s="526"/>
      <c r="BF7" s="267"/>
      <c r="BG7" s="2"/>
      <c r="BH7" s="2"/>
      <c r="BI7" s="2"/>
      <c r="BJ7" s="2"/>
      <c r="BK7" s="2"/>
    </row>
    <row r="8" spans="1:63" ht="12.75" customHeight="1">
      <c r="A8" s="264" t="s">
        <v>101</v>
      </c>
      <c r="B8" s="61" t="s">
        <v>21</v>
      </c>
      <c r="C8" s="296">
        <f>Parâmetros!C21</f>
        <v>1628.4876299999999</v>
      </c>
      <c r="D8" s="109">
        <f>'custo obra$'!D8</f>
        <v>46900443.743999995</v>
      </c>
      <c r="E8" s="109">
        <f>'custo obra$'!E8</f>
        <v>49284549.634319998</v>
      </c>
      <c r="F8" s="109">
        <f>'custo obra$'!F8</f>
        <v>42210399.369599998</v>
      </c>
      <c r="G8" s="109">
        <f>'custo obra$'!G8</f>
        <v>264205833.09119996</v>
      </c>
      <c r="H8" s="109">
        <f>'custo obra$'!H8</f>
        <v>312669624.95999998</v>
      </c>
      <c r="I8" s="651">
        <f>'custo obra$'!I8</f>
        <v>0</v>
      </c>
      <c r="J8" s="109">
        <f>'custo obra$'!J8</f>
        <v>148518071.85599998</v>
      </c>
      <c r="K8" s="109">
        <f>'custo obra$'!K8</f>
        <v>54717184.367999993</v>
      </c>
      <c r="L8" s="109">
        <f>'custo obra$'!L8</f>
        <v>78167406.239999995</v>
      </c>
      <c r="M8" s="109">
        <f>'custo obra$'!M8</f>
        <v>46900443.743999995</v>
      </c>
      <c r="N8" s="109">
        <f>'custo obra$'!N8</f>
        <v>82075776.551999986</v>
      </c>
      <c r="O8" s="109">
        <f>'custo obra$'!O8</f>
        <v>59407228.742399998</v>
      </c>
      <c r="P8" s="109">
        <f>'custo obra$'!P8</f>
        <v>31266962.495999996</v>
      </c>
      <c r="Q8" s="109">
        <f>'custo obra$'!Q8</f>
        <v>117251109.35999998</v>
      </c>
      <c r="R8" s="109">
        <f>'custo obra$'!R8</f>
        <v>43773747.494399995</v>
      </c>
      <c r="S8" s="651">
        <f>'custo obra$'!S8</f>
        <v>234502218.71999997</v>
      </c>
      <c r="T8" s="109">
        <f>'custo obra$'!T8</f>
        <v>0</v>
      </c>
      <c r="U8" s="109">
        <f>'custo obra$'!T8</f>
        <v>0</v>
      </c>
      <c r="V8" s="109">
        <f>'custo obra$'!U8</f>
        <v>0</v>
      </c>
      <c r="W8" s="109">
        <f>'custo obra$'!V8</f>
        <v>6644229.5303999996</v>
      </c>
      <c r="X8" s="109">
        <f>'custo obra$'!W8</f>
        <v>21105199.684799999</v>
      </c>
      <c r="Y8" s="255"/>
      <c r="Z8" s="290">
        <f>AVERAGE(D8:H8,J8:R8)</f>
        <v>98382055.832279995</v>
      </c>
      <c r="AA8" s="531"/>
      <c r="AB8" s="529"/>
      <c r="AC8" s="171"/>
      <c r="AD8" s="528"/>
      <c r="AE8" s="528"/>
      <c r="AF8" s="37"/>
      <c r="AG8" s="529"/>
      <c r="AH8" s="529"/>
      <c r="AI8" s="529"/>
      <c r="AJ8" s="529"/>
      <c r="AK8" s="529"/>
      <c r="AL8" s="529"/>
      <c r="AM8" s="529"/>
      <c r="AN8" s="529"/>
      <c r="AO8" s="655"/>
      <c r="AP8" s="529"/>
      <c r="AQ8" s="529"/>
      <c r="AR8" s="655"/>
      <c r="AS8" s="655"/>
      <c r="AT8" s="529"/>
      <c r="AU8" s="529"/>
      <c r="AV8" s="202"/>
      <c r="AW8" s="202"/>
      <c r="AX8" s="202"/>
      <c r="AY8" s="202"/>
      <c r="AZ8" s="297"/>
      <c r="BA8" s="2"/>
      <c r="BB8" s="256">
        <f>Z8/$Z$29</f>
        <v>0.32569752600000001</v>
      </c>
      <c r="BC8" s="263"/>
      <c r="BD8" s="532"/>
      <c r="BE8" s="526"/>
      <c r="BF8" s="569">
        <f>D8/$D$29</f>
        <v>0.32569752599999996</v>
      </c>
      <c r="BG8" s="2"/>
      <c r="BH8" s="2"/>
      <c r="BI8" s="2"/>
      <c r="BJ8" s="2"/>
      <c r="BK8" s="2"/>
    </row>
    <row r="9" spans="1:63" ht="12.75" customHeight="1">
      <c r="A9" s="176" t="s">
        <v>102</v>
      </c>
      <c r="B9" s="129" t="s">
        <v>103</v>
      </c>
      <c r="C9" s="296"/>
      <c r="D9" s="109">
        <f>'custo obra$'!D9</f>
        <v>2831254.5600000005</v>
      </c>
      <c r="E9" s="109">
        <f>'custo obra$'!E9</f>
        <v>3016072.5660000001</v>
      </c>
      <c r="F9" s="109">
        <f>'custo obra$'!F9</f>
        <v>2254517.5200000005</v>
      </c>
      <c r="G9" s="109">
        <f>'custo obra$'!G9</f>
        <v>11587171.440000001</v>
      </c>
      <c r="H9" s="109">
        <f>'custo obra$'!H9</f>
        <v>10695850.560000001</v>
      </c>
      <c r="I9" s="651">
        <f>'custo obra$'!I9</f>
        <v>0</v>
      </c>
      <c r="J9" s="109">
        <f>'custo obra$'!J9</f>
        <v>8965639.4400000013</v>
      </c>
      <c r="K9" s="109">
        <f>'custo obra$'!K9</f>
        <v>3303130.3200000003</v>
      </c>
      <c r="L9" s="109">
        <f>'custo obra$'!L9</f>
        <v>3040977.12</v>
      </c>
      <c r="M9" s="109">
        <f>'custo obra$'!M9</f>
        <v>3145838.4000000004</v>
      </c>
      <c r="N9" s="109">
        <f>'custo obra$'!N9</f>
        <v>4954695.4800000004</v>
      </c>
      <c r="O9" s="109">
        <f>'custo obra$'!O9</f>
        <v>3984728.64</v>
      </c>
      <c r="P9" s="109">
        <f>'custo obra$'!P9</f>
        <v>1887503.04</v>
      </c>
      <c r="Q9" s="109">
        <f>'custo obra$'!Q9</f>
        <v>5505217.2000000011</v>
      </c>
      <c r="R9" s="109">
        <f>'custo obra$'!R9</f>
        <v>2936115.8400000003</v>
      </c>
      <c r="S9" s="651">
        <f>'custo obra$'!S9</f>
        <v>9961821.6000000015</v>
      </c>
      <c r="T9" s="109">
        <f>'custo obra$'!T9</f>
        <v>0</v>
      </c>
      <c r="U9" s="109">
        <f>'custo obra$'!T9</f>
        <v>0</v>
      </c>
      <c r="V9" s="109">
        <f>'custo obra$'!U9</f>
        <v>0</v>
      </c>
      <c r="W9" s="109">
        <f>'custo obra$'!V9</f>
        <v>2005471.9800000002</v>
      </c>
      <c r="X9" s="109" t="e">
        <f>'custo obra$'!W9</f>
        <v>#REF!</v>
      </c>
      <c r="Y9" s="255"/>
      <c r="Z9" s="290">
        <f>AVERAGE(D9:H9,J9:R9)</f>
        <v>4864908.0090000005</v>
      </c>
      <c r="AA9" s="2"/>
      <c r="AB9" s="528">
        <f>SUM(AG9:AN9)/Entrada!$BB$4</f>
        <v>0</v>
      </c>
      <c r="AC9" s="171"/>
      <c r="AD9" s="528">
        <f>'custo obra$'!AC9</f>
        <v>0</v>
      </c>
      <c r="AE9" s="528">
        <f>'custo obra$'!AD9</f>
        <v>0</v>
      </c>
      <c r="AF9" s="37"/>
      <c r="AG9" s="528">
        <f>'custo obra$'!AF9</f>
        <v>0</v>
      </c>
      <c r="AH9" s="528">
        <f>'custo obra$'!AG9</f>
        <v>0</v>
      </c>
      <c r="AI9" s="528">
        <f>'custo obra$'!AH9</f>
        <v>0</v>
      </c>
      <c r="AJ9" s="528">
        <f>'custo obra$'!AI9</f>
        <v>0</v>
      </c>
      <c r="AK9" s="528">
        <f>'custo obra$'!AJ9</f>
        <v>0</v>
      </c>
      <c r="AL9" s="528">
        <f>'custo obra$'!AK9</f>
        <v>0</v>
      </c>
      <c r="AM9" s="528">
        <f>'custo obra$'!AL9</f>
        <v>0</v>
      </c>
      <c r="AN9" s="528">
        <f>'custo obra$'!AM9</f>
        <v>0</v>
      </c>
      <c r="AO9" s="673">
        <f>'custo obra$'!AN9</f>
        <v>0</v>
      </c>
      <c r="AP9" s="528">
        <f>'custo obra$'!AO9</f>
        <v>0</v>
      </c>
      <c r="AQ9" s="528">
        <f>'custo obra$'!AP9</f>
        <v>0</v>
      </c>
      <c r="AR9" s="673">
        <f>'custo obra$'!AQ9</f>
        <v>0</v>
      </c>
      <c r="AS9" s="673">
        <f>'custo obra$'!AR9</f>
        <v>0</v>
      </c>
      <c r="AT9" s="528">
        <f>'custo obra$'!AS9</f>
        <v>0</v>
      </c>
      <c r="AU9" s="528">
        <f>'custo obra$'!AT9</f>
        <v>0</v>
      </c>
      <c r="AV9" s="195">
        <f>'custo obra$'!AU9</f>
        <v>0</v>
      </c>
      <c r="AW9" s="195">
        <f>'custo obra$'!AV9</f>
        <v>0</v>
      </c>
      <c r="AX9" s="195">
        <f>'custo obra$'!AW9</f>
        <v>0</v>
      </c>
      <c r="AY9" s="195">
        <f>'custo obra$'!AX9</f>
        <v>0</v>
      </c>
      <c r="AZ9" s="195">
        <f>'custo obra$'!AY9</f>
        <v>0</v>
      </c>
      <c r="BA9" s="2"/>
      <c r="BB9" s="256">
        <f>Z9/$Z$29</f>
        <v>1.6105462417354787E-2</v>
      </c>
      <c r="BC9" s="262"/>
      <c r="BD9" s="526"/>
      <c r="BE9" s="526"/>
      <c r="BF9" s="569">
        <f>D9/$D$29</f>
        <v>1.9661490000000004E-2</v>
      </c>
      <c r="BG9" s="2"/>
      <c r="BH9" s="2"/>
      <c r="BI9" s="2"/>
      <c r="BJ9" s="2"/>
      <c r="BK9" s="2"/>
    </row>
    <row r="10" spans="1:63" ht="12.75" customHeight="1">
      <c r="A10" s="2"/>
      <c r="B10" s="129"/>
      <c r="C10" s="296"/>
      <c r="D10" s="37"/>
      <c r="E10" s="37"/>
      <c r="F10" s="37"/>
      <c r="G10" s="37"/>
      <c r="H10" s="37"/>
      <c r="I10" s="657"/>
      <c r="J10" s="37"/>
      <c r="K10" s="37"/>
      <c r="L10" s="37"/>
      <c r="M10" s="37"/>
      <c r="N10" s="37"/>
      <c r="O10" s="37"/>
      <c r="P10" s="37"/>
      <c r="Q10" s="37"/>
      <c r="R10" s="37"/>
      <c r="S10" s="657"/>
      <c r="T10" s="37"/>
      <c r="U10" s="37"/>
      <c r="V10" s="37"/>
      <c r="W10" s="37"/>
      <c r="X10" s="37"/>
      <c r="Y10" s="171"/>
      <c r="Z10" s="37"/>
      <c r="AA10" s="2"/>
      <c r="AB10" s="37"/>
      <c r="AC10" s="171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674"/>
      <c r="AP10" s="37"/>
      <c r="AQ10" s="37"/>
      <c r="AR10" s="674"/>
      <c r="AS10" s="674"/>
      <c r="AT10" s="37"/>
      <c r="AU10" s="37"/>
      <c r="AV10" s="37"/>
      <c r="AW10" s="37"/>
      <c r="AX10" s="37"/>
      <c r="AY10" s="37"/>
      <c r="AZ10" s="37"/>
      <c r="BA10" s="2"/>
      <c r="BB10" s="258"/>
      <c r="BC10" s="267"/>
      <c r="BD10" s="267"/>
      <c r="BE10" s="526"/>
      <c r="BF10" s="267"/>
      <c r="BG10" s="2"/>
      <c r="BH10" s="2"/>
      <c r="BI10" s="2"/>
      <c r="BJ10" s="2"/>
      <c r="BK10" s="2"/>
    </row>
    <row r="11" spans="1:63" ht="15.75">
      <c r="A11" s="299" t="s">
        <v>129</v>
      </c>
      <c r="B11" s="300"/>
      <c r="C11" s="301"/>
      <c r="D11" s="302">
        <f t="shared" ref="D11:P11" si="1">SUM(D5:D9)</f>
        <v>50897666.120528579</v>
      </c>
      <c r="E11" s="302">
        <f t="shared" ref="E11" si="2">SUM(E5:E9)</f>
        <v>52916654.169927597</v>
      </c>
      <c r="F11" s="302">
        <f t="shared" ref="F11" si="3">SUM(F5:F9)</f>
        <v>45183561.952687383</v>
      </c>
      <c r="G11" s="302">
        <f t="shared" si="1"/>
        <v>276786268.4542082</v>
      </c>
      <c r="H11" s="302">
        <f t="shared" si="1"/>
        <v>323824518.69735277</v>
      </c>
      <c r="I11" s="658">
        <f t="shared" si="1"/>
        <v>409027.15183200006</v>
      </c>
      <c r="J11" s="302">
        <f t="shared" si="1"/>
        <v>158366740.22899485</v>
      </c>
      <c r="K11" s="302">
        <f t="shared" si="1"/>
        <v>58548421.95509994</v>
      </c>
      <c r="L11" s="302">
        <f t="shared" si="1"/>
        <v>81672070.878441408</v>
      </c>
      <c r="M11" s="302">
        <f t="shared" si="1"/>
        <v>51418644.568888217</v>
      </c>
      <c r="N11" s="302">
        <f t="shared" si="1"/>
        <v>87777472.294061616</v>
      </c>
      <c r="O11" s="302">
        <f t="shared" si="1"/>
        <v>63920033.760708004</v>
      </c>
      <c r="P11" s="302">
        <f t="shared" si="1"/>
        <v>34672590.630723149</v>
      </c>
      <c r="Q11" s="302">
        <f t="shared" ref="Q11:T11" si="4">SUM(Q5:Q9)</f>
        <v>123439294.72222361</v>
      </c>
      <c r="R11" s="302">
        <f t="shared" si="4"/>
        <v>47497373.854148157</v>
      </c>
      <c r="S11" s="658">
        <f t="shared" si="4"/>
        <v>245201955.13887134</v>
      </c>
      <c r="T11" s="302">
        <f t="shared" si="4"/>
        <v>682968.16222361999</v>
      </c>
      <c r="U11" s="215"/>
      <c r="V11" s="215"/>
      <c r="W11" s="215"/>
      <c r="X11" s="215"/>
      <c r="Y11" s="262"/>
      <c r="Z11" s="302">
        <f>AVERAGE(D11:H11,J11:R11)</f>
        <v>104065808.02057098</v>
      </c>
      <c r="AA11" s="302">
        <f>AVERAGE(AD11:AE11)</f>
        <v>12764026.485664081</v>
      </c>
      <c r="AB11" s="302">
        <f>AVERAGE(AG11:AN11,AP11:AQ11,AT11:AU11)</f>
        <v>43006757.643543057</v>
      </c>
      <c r="AC11" s="303"/>
      <c r="AD11" s="302">
        <f>SUM(AD5:AD9)</f>
        <v>6930573.8042927403</v>
      </c>
      <c r="AE11" s="302">
        <f>SUM(AE5:AE9)</f>
        <v>18597479.167035419</v>
      </c>
      <c r="AF11" s="171"/>
      <c r="AG11" s="302">
        <f t="shared" ref="AG11:AT11" si="5">SUM(AG5:AG9)</f>
        <v>33910157.776158892</v>
      </c>
      <c r="AH11" s="302">
        <f t="shared" ref="AH11" si="6">SUM(AH5:AH9)</f>
        <v>52061144.340516843</v>
      </c>
      <c r="AI11" s="302">
        <f t="shared" si="5"/>
        <v>33158312.315501459</v>
      </c>
      <c r="AJ11" s="302">
        <f t="shared" si="5"/>
        <v>18785821.037061241</v>
      </c>
      <c r="AK11" s="302">
        <f t="shared" si="5"/>
        <v>36801536.297769658</v>
      </c>
      <c r="AL11" s="302">
        <f t="shared" ref="AL11" si="7">SUM(AL5:AL9)</f>
        <v>59247206.450370423</v>
      </c>
      <c r="AM11" s="302">
        <f t="shared" si="5"/>
        <v>34734269.853051722</v>
      </c>
      <c r="AN11" s="302">
        <f t="shared" si="5"/>
        <v>42226247.772885598</v>
      </c>
      <c r="AO11" s="658">
        <f t="shared" si="5"/>
        <v>14842741.753246399</v>
      </c>
      <c r="AP11" s="302">
        <f t="shared" si="5"/>
        <v>55941732.780673683</v>
      </c>
      <c r="AQ11" s="302">
        <f t="shared" si="5"/>
        <v>31698802.12017018</v>
      </c>
      <c r="AR11" s="658">
        <f t="shared" si="5"/>
        <v>33223942.05453762</v>
      </c>
      <c r="AS11" s="658">
        <f t="shared" si="5"/>
        <v>21493672.667668141</v>
      </c>
      <c r="AT11" s="302">
        <f t="shared" si="5"/>
        <v>59803350.124390379</v>
      </c>
      <c r="AU11" s="302">
        <f t="shared" ref="AU11" si="8">SUM(AU5:AU9)</f>
        <v>57712510.853966616</v>
      </c>
      <c r="AV11" s="304"/>
      <c r="AW11" s="304"/>
      <c r="AX11" s="304"/>
      <c r="AY11" s="304"/>
      <c r="AZ11" s="304"/>
      <c r="BA11" s="305"/>
      <c r="BB11" s="306">
        <f>Z11/$Z$29</f>
        <v>0.34451380311947111</v>
      </c>
      <c r="BC11" s="306">
        <f>AA11/$AA$29</f>
        <v>0.29962503487474368</v>
      </c>
      <c r="BD11" s="306">
        <f>AB11/$AB$29</f>
        <v>0.31346033267888523</v>
      </c>
      <c r="BE11" s="564"/>
      <c r="BF11" s="306">
        <f>D11/$D$29</f>
        <v>0.35345601472589289</v>
      </c>
      <c r="BG11" s="570"/>
      <c r="BH11" s="305"/>
      <c r="BI11" s="305"/>
      <c r="BJ11" s="305"/>
      <c r="BK11" s="305"/>
    </row>
    <row r="12" spans="1:63" ht="12.75" customHeight="1">
      <c r="A12" s="2"/>
      <c r="B12" s="66" t="s">
        <v>105</v>
      </c>
      <c r="C12" s="66" t="s">
        <v>106</v>
      </c>
      <c r="D12" s="37"/>
      <c r="E12" s="37"/>
      <c r="F12" s="37"/>
      <c r="G12" s="37"/>
      <c r="H12" s="37"/>
      <c r="I12" s="657"/>
      <c r="J12" s="185"/>
      <c r="K12" s="37"/>
      <c r="L12" s="37"/>
      <c r="M12" s="37"/>
      <c r="N12" s="37"/>
      <c r="O12" s="37"/>
      <c r="P12" s="37"/>
      <c r="Q12" s="37"/>
      <c r="R12" s="37"/>
      <c r="S12" s="657"/>
      <c r="T12" s="37"/>
      <c r="U12" s="37"/>
      <c r="V12" s="37"/>
      <c r="W12" s="37"/>
      <c r="X12" s="37"/>
      <c r="Y12" s="43"/>
      <c r="Z12" s="160"/>
      <c r="AA12" s="2"/>
      <c r="AB12" s="160"/>
      <c r="AC12" s="43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674"/>
      <c r="AP12" s="37"/>
      <c r="AQ12" s="37"/>
      <c r="AR12" s="674"/>
      <c r="AS12" s="674"/>
      <c r="AT12" s="37"/>
      <c r="AU12" s="37"/>
      <c r="AV12" s="37"/>
      <c r="AW12" s="37"/>
      <c r="AX12" s="37"/>
      <c r="AY12" s="37"/>
      <c r="AZ12" s="37"/>
      <c r="BA12" s="2"/>
      <c r="BB12" s="258"/>
      <c r="BC12" s="258"/>
      <c r="BD12" s="258"/>
      <c r="BE12" s="526"/>
      <c r="BF12" s="258"/>
      <c r="BG12" s="2"/>
      <c r="BH12" s="2"/>
      <c r="BI12" s="2"/>
      <c r="BJ12" s="2"/>
      <c r="BK12" s="2"/>
    </row>
    <row r="13" spans="1:63" ht="12.75" customHeight="1">
      <c r="A13" s="176" t="s">
        <v>107</v>
      </c>
      <c r="B13" s="61" t="s">
        <v>130</v>
      </c>
      <c r="C13" s="219">
        <v>0.22</v>
      </c>
      <c r="D13" s="109">
        <f>'custo obra$'!D14</f>
        <v>11197486.546516288</v>
      </c>
      <c r="E13" s="109">
        <f>'custo obra$'!E14</f>
        <v>11641663.917384071</v>
      </c>
      <c r="F13" s="109">
        <f>'custo obra$'!F14</f>
        <v>9940383.6295912247</v>
      </c>
      <c r="G13" s="109">
        <f>'custo obra$'!G14</f>
        <v>60892979.059925802</v>
      </c>
      <c r="H13" s="109">
        <f>'custo obra$'!H14</f>
        <v>71241394.113417611</v>
      </c>
      <c r="I13" s="651">
        <f>'custo obra$'!I14</f>
        <v>89985.973403040014</v>
      </c>
      <c r="J13" s="185">
        <f>'custo obra$'!J14</f>
        <v>34840682.850378864</v>
      </c>
      <c r="K13" s="109">
        <f>'custo obra$'!K14</f>
        <v>12880652.830121987</v>
      </c>
      <c r="L13" s="109">
        <f>'custo obra$'!L14</f>
        <v>17967855.593257111</v>
      </c>
      <c r="M13" s="109">
        <f>'custo obra$'!M14</f>
        <v>11312101.805155408</v>
      </c>
      <c r="N13" s="109">
        <f>'custo obra$'!N14</f>
        <v>19311043.904693555</v>
      </c>
      <c r="O13" s="109">
        <f>'custo obra$'!O14</f>
        <v>14062407.427355761</v>
      </c>
      <c r="P13" s="109">
        <f>'custo obra$'!P14</f>
        <v>7627969.9387590932</v>
      </c>
      <c r="Q13" s="109">
        <f>'custo obra$'!Q14</f>
        <v>27156644.838889193</v>
      </c>
      <c r="R13" s="109">
        <f>'custo obra$'!R14</f>
        <v>10449422.247912595</v>
      </c>
      <c r="S13" s="651">
        <f>'custo obra$'!S14</f>
        <v>53944430.130551696</v>
      </c>
      <c r="T13" s="109" t="e">
        <f>'custo obra$'!T14</f>
        <v>#REF!</v>
      </c>
      <c r="U13" s="109" t="e">
        <f t="shared" ref="U13:X13" si="9">#REF!*$C$13</f>
        <v>#REF!</v>
      </c>
      <c r="V13" s="109" t="e">
        <f t="shared" si="9"/>
        <v>#REF!</v>
      </c>
      <c r="W13" s="109" t="e">
        <f t="shared" si="9"/>
        <v>#REF!</v>
      </c>
      <c r="X13" s="109" t="e">
        <f t="shared" si="9"/>
        <v>#REF!</v>
      </c>
      <c r="Y13" s="43"/>
      <c r="Z13" s="290">
        <f>AVERAGE(D13:H13,J13:R13)</f>
        <v>22894477.764525604</v>
      </c>
      <c r="AA13" s="188">
        <f t="shared" ref="AA13:AA14" si="10">AVERAGE(AD13:AE13)</f>
        <v>2808085.8268460976</v>
      </c>
      <c r="AB13" s="290">
        <f>AVERAGE(AG13:AN13,AP13:AQ13,AT13:AU13)</f>
        <v>9461486.6815794725</v>
      </c>
      <c r="AC13" s="43"/>
      <c r="AD13" s="188">
        <f>'custo obra$'!AC14</f>
        <v>1524726.2369444028</v>
      </c>
      <c r="AE13" s="188">
        <f>'custo obra$'!AD14</f>
        <v>4091445.4167477922</v>
      </c>
      <c r="AF13" s="279"/>
      <c r="AG13" s="109">
        <f>'custo obra$'!AF14</f>
        <v>7460234.7107549561</v>
      </c>
      <c r="AH13" s="109">
        <f>'custo obra$'!AG14</f>
        <v>11453451.754913706</v>
      </c>
      <c r="AI13" s="109">
        <f>'custo obra$'!AH14</f>
        <v>7294828.709410321</v>
      </c>
      <c r="AJ13" s="109">
        <f>'custo obra$'!AI14</f>
        <v>4132880.6281534731</v>
      </c>
      <c r="AK13" s="109">
        <f>'custo obra$'!AJ14</f>
        <v>8096337.9855093248</v>
      </c>
      <c r="AL13" s="109">
        <f>'custo obra$'!AK14</f>
        <v>13034385.419081492</v>
      </c>
      <c r="AM13" s="109">
        <f>'custo obra$'!AL14</f>
        <v>7641539.3676713789</v>
      </c>
      <c r="AN13" s="109">
        <f>'custo obra$'!AM14</f>
        <v>9289774.5100348312</v>
      </c>
      <c r="AO13" s="651">
        <f>'custo obra$'!AN14</f>
        <v>3265403.1857142076</v>
      </c>
      <c r="AP13" s="109">
        <f>'custo obra$'!AO14</f>
        <v>12307181.211748211</v>
      </c>
      <c r="AQ13" s="109">
        <f>'custo obra$'!AP14</f>
        <v>6973736.4664374394</v>
      </c>
      <c r="AR13" s="651">
        <f>'custo obra$'!AQ14</f>
        <v>7309267.2519982764</v>
      </c>
      <c r="AS13" s="651">
        <f>'custo obra$'!AR14</f>
        <v>4728607.9868869912</v>
      </c>
      <c r="AT13" s="109">
        <f>'custo obra$'!AS14</f>
        <v>13156737.027365884</v>
      </c>
      <c r="AU13" s="109">
        <f>'custo obra$'!AT14</f>
        <v>12696752.387872655</v>
      </c>
      <c r="AV13" s="109">
        <f>'custo obra$'!AU14</f>
        <v>0</v>
      </c>
      <c r="AW13" s="109">
        <f>'custo obra$'!AV14</f>
        <v>0</v>
      </c>
      <c r="AX13" s="109">
        <f>'custo obra$'!AW14</f>
        <v>0</v>
      </c>
      <c r="AY13" s="109">
        <f>'custo obra$'!AX14</f>
        <v>0</v>
      </c>
      <c r="AZ13" s="109">
        <f>'custo obra$'!AY14</f>
        <v>0</v>
      </c>
      <c r="BA13" s="2"/>
      <c r="BB13" s="256">
        <f t="shared" ref="BB13:BB15" si="11">Z13/$Z$29</f>
        <v>7.5793036686283607E-2</v>
      </c>
      <c r="BC13" s="256">
        <f t="shared" ref="BC13:BC15" si="12">AA13/$AA$29</f>
        <v>6.5917507672443601E-2</v>
      </c>
      <c r="BD13" s="256">
        <f t="shared" ref="BD13:BD15" si="13">AB13/$AB$29</f>
        <v>6.8961273189354758E-2</v>
      </c>
      <c r="BE13" s="255"/>
      <c r="BF13" s="569">
        <f>D13/$D$29</f>
        <v>7.7760323239696449E-2</v>
      </c>
      <c r="BG13" s="2"/>
      <c r="BH13" s="2"/>
      <c r="BI13" s="2"/>
      <c r="BJ13" s="2"/>
      <c r="BK13" s="2"/>
    </row>
    <row r="14" spans="1:63" ht="12.75" customHeight="1">
      <c r="A14" s="176" t="s">
        <v>109</v>
      </c>
      <c r="B14" s="61" t="s">
        <v>131</v>
      </c>
      <c r="C14" s="219">
        <v>0.04</v>
      </c>
      <c r="D14" s="109">
        <f>'custo obra$'!D15</f>
        <v>2035906.6448211432</v>
      </c>
      <c r="E14" s="109">
        <f>'custo obra$'!E15</f>
        <v>2116666.1667971038</v>
      </c>
      <c r="F14" s="109">
        <f>'custo obra$'!F15</f>
        <v>1807342.4781074952</v>
      </c>
      <c r="G14" s="109">
        <f>'custo obra$'!G15</f>
        <v>11071450.738168327</v>
      </c>
      <c r="H14" s="109">
        <f>'custo obra$'!H15</f>
        <v>12952980.74789411</v>
      </c>
      <c r="I14" s="651">
        <f>'custo obra$'!I15</f>
        <v>16361.086073280003</v>
      </c>
      <c r="J14" s="185">
        <f>'custo obra$'!J15</f>
        <v>6334669.6091597937</v>
      </c>
      <c r="K14" s="109">
        <f>'custo obra$'!K15</f>
        <v>2341936.8782039979</v>
      </c>
      <c r="L14" s="109">
        <f>'custo obra$'!L15</f>
        <v>3266882.8351376564</v>
      </c>
      <c r="M14" s="109">
        <f>'custo obra$'!M15</f>
        <v>2056745.7827555288</v>
      </c>
      <c r="N14" s="109">
        <f>'custo obra$'!N15</f>
        <v>3511098.8917624648</v>
      </c>
      <c r="O14" s="109">
        <f>'custo obra$'!O15</f>
        <v>2556801.35042832</v>
      </c>
      <c r="P14" s="109">
        <f>'custo obra$'!P15</f>
        <v>1386903.6252289261</v>
      </c>
      <c r="Q14" s="109">
        <f>'custo obra$'!Q15</f>
        <v>4937571.7888889443</v>
      </c>
      <c r="R14" s="109">
        <f>'custo obra$'!R15</f>
        <v>1899894.9541659262</v>
      </c>
      <c r="S14" s="651">
        <f>'custo obra$'!S15</f>
        <v>9808078.2055548541</v>
      </c>
      <c r="T14" s="109" t="e">
        <f>'custo obra$'!T15</f>
        <v>#REF!</v>
      </c>
      <c r="U14" s="109" t="e">
        <f t="shared" ref="U14:X14" si="14">#REF!*$C$14</f>
        <v>#REF!</v>
      </c>
      <c r="V14" s="109" t="e">
        <f t="shared" si="14"/>
        <v>#REF!</v>
      </c>
      <c r="W14" s="109" t="e">
        <f t="shared" si="14"/>
        <v>#REF!</v>
      </c>
      <c r="X14" s="109" t="e">
        <f t="shared" si="14"/>
        <v>#REF!</v>
      </c>
      <c r="Y14" s="2"/>
      <c r="Z14" s="290">
        <f>AVERAGE(D14:H14,J14:R14)</f>
        <v>4162632.3208228387</v>
      </c>
      <c r="AA14" s="188">
        <f t="shared" si="10"/>
        <v>510561.05942656321</v>
      </c>
      <c r="AB14" s="290">
        <f t="shared" ref="AB14" si="15">AVERAGE(AG14:AN14,AP14:AQ14,AT14:AU14)</f>
        <v>1720270.305741722</v>
      </c>
      <c r="AC14" s="2"/>
      <c r="AD14" s="188">
        <f>'custo obra$'!AC15</f>
        <v>277222.95217170962</v>
      </c>
      <c r="AE14" s="188">
        <f>'custo obra$'!AD15</f>
        <v>743899.1666814168</v>
      </c>
      <c r="AF14" s="279"/>
      <c r="AG14" s="109">
        <f>'custo obra$'!AF15</f>
        <v>1356406.3110463556</v>
      </c>
      <c r="AH14" s="109">
        <f>'custo obra$'!AG15</f>
        <v>2082445.7736206737</v>
      </c>
      <c r="AI14" s="109">
        <f>'custo obra$'!AH15</f>
        <v>1326332.4926200584</v>
      </c>
      <c r="AJ14" s="109">
        <f>'custo obra$'!AI15</f>
        <v>751432.84148244967</v>
      </c>
      <c r="AK14" s="109">
        <f>'custo obra$'!AJ15</f>
        <v>1472061.4519107863</v>
      </c>
      <c r="AL14" s="109">
        <f>'custo obra$'!AK15</f>
        <v>2369888.2580148168</v>
      </c>
      <c r="AM14" s="109">
        <f>'custo obra$'!AL15</f>
        <v>1389370.7941220689</v>
      </c>
      <c r="AN14" s="109">
        <f>'custo obra$'!AM15</f>
        <v>1689049.9109154239</v>
      </c>
      <c r="AO14" s="651">
        <f>'custo obra$'!AN15</f>
        <v>593709.67012985598</v>
      </c>
      <c r="AP14" s="109">
        <f>'custo obra$'!AO15</f>
        <v>2237669.3112269472</v>
      </c>
      <c r="AQ14" s="109">
        <f>'custo obra$'!AP15</f>
        <v>1267952.0848068071</v>
      </c>
      <c r="AR14" s="651">
        <f>'custo obra$'!AQ15</f>
        <v>1328957.6821815048</v>
      </c>
      <c r="AS14" s="651">
        <f>'custo obra$'!AR15</f>
        <v>859746.90670672571</v>
      </c>
      <c r="AT14" s="109">
        <f>'custo obra$'!AS15</f>
        <v>2392134.0049756151</v>
      </c>
      <c r="AU14" s="109">
        <f>'custo obra$'!AT15</f>
        <v>2308500.4341586647</v>
      </c>
      <c r="AV14" s="109">
        <f>'custo obra$'!AU15</f>
        <v>0</v>
      </c>
      <c r="AW14" s="109">
        <f>'custo obra$'!AV15</f>
        <v>0</v>
      </c>
      <c r="AX14" s="109">
        <f>'custo obra$'!AW15</f>
        <v>0</v>
      </c>
      <c r="AY14" s="109">
        <f>'custo obra$'!AX15</f>
        <v>0</v>
      </c>
      <c r="AZ14" s="109">
        <f>'custo obra$'!AY15</f>
        <v>0</v>
      </c>
      <c r="BA14" s="2"/>
      <c r="BB14" s="256">
        <f t="shared" si="11"/>
        <v>1.3780552124778843E-2</v>
      </c>
      <c r="BC14" s="256">
        <f t="shared" si="12"/>
        <v>1.1985001394989746E-2</v>
      </c>
      <c r="BD14" s="256">
        <f t="shared" si="13"/>
        <v>1.2538413307155409E-2</v>
      </c>
      <c r="BE14" s="255"/>
      <c r="BF14" s="569">
        <f>D14/$D$29</f>
        <v>1.4138240589035718E-2</v>
      </c>
      <c r="BG14" s="2"/>
      <c r="BH14" s="2"/>
      <c r="BI14" s="2"/>
      <c r="BJ14" s="2"/>
      <c r="BK14" s="2"/>
    </row>
    <row r="15" spans="1:63" ht="15.75" customHeight="1">
      <c r="A15" s="307" t="s">
        <v>125</v>
      </c>
      <c r="B15" s="729"/>
      <c r="C15" s="700"/>
      <c r="D15" s="308">
        <f t="shared" ref="D15:P15" si="16">SUM(D11,D13:D14)</f>
        <v>64131059.311866008</v>
      </c>
      <c r="E15" s="308">
        <f t="shared" ref="E15" si="17">SUM(E11,E13:E14)</f>
        <v>66674984.254108772</v>
      </c>
      <c r="F15" s="308">
        <f t="shared" ref="F15" si="18">SUM(F11,F13:F14)</f>
        <v>56931288.060386106</v>
      </c>
      <c r="G15" s="308">
        <f t="shared" si="16"/>
        <v>348750698.25230229</v>
      </c>
      <c r="H15" s="308">
        <f t="shared" si="16"/>
        <v>408018893.5586645</v>
      </c>
      <c r="I15" s="659">
        <f t="shared" si="16"/>
        <v>515374.21130832011</v>
      </c>
      <c r="J15" s="308">
        <f t="shared" si="16"/>
        <v>199542092.68853351</v>
      </c>
      <c r="K15" s="308">
        <f t="shared" si="16"/>
        <v>73771011.663425937</v>
      </c>
      <c r="L15" s="308">
        <f t="shared" si="16"/>
        <v>102906809.30683617</v>
      </c>
      <c r="M15" s="308">
        <f t="shared" si="16"/>
        <v>64787492.15679916</v>
      </c>
      <c r="N15" s="308">
        <f t="shared" si="16"/>
        <v>110599615.09051764</v>
      </c>
      <c r="O15" s="308">
        <f t="shared" si="16"/>
        <v>80539242.538492084</v>
      </c>
      <c r="P15" s="308">
        <f t="shared" si="16"/>
        <v>43687464.194711171</v>
      </c>
      <c r="Q15" s="308">
        <f t="shared" ref="Q15:T15" si="19">SUM(Q11,Q13:Q14)</f>
        <v>155533511.35000172</v>
      </c>
      <c r="R15" s="308">
        <f t="shared" si="19"/>
        <v>59846691.056226678</v>
      </c>
      <c r="S15" s="659">
        <f t="shared" si="19"/>
        <v>308954463.47497785</v>
      </c>
      <c r="T15" s="308" t="e">
        <f t="shared" si="19"/>
        <v>#REF!</v>
      </c>
      <c r="U15" s="309" t="e">
        <f t="shared" ref="U15:X15" si="20">SUM(U9:U14)</f>
        <v>#REF!</v>
      </c>
      <c r="V15" s="309" t="e">
        <f t="shared" si="20"/>
        <v>#REF!</v>
      </c>
      <c r="W15" s="309" t="e">
        <f t="shared" si="20"/>
        <v>#REF!</v>
      </c>
      <c r="X15" s="309" t="e">
        <f t="shared" si="20"/>
        <v>#REF!</v>
      </c>
      <c r="Y15" s="310"/>
      <c r="Z15" s="308">
        <f>AVERAGE(D15:H15,J15:R15)</f>
        <v>131122918.10591944</v>
      </c>
      <c r="AA15" s="308">
        <f>AVERAGE(AD15:AE15)</f>
        <v>16082673.371936742</v>
      </c>
      <c r="AB15" s="308">
        <f>AVERAGE(AG15:AN15,AP15:AQ15,AT15:AU15)</f>
        <v>54188514.630864255</v>
      </c>
      <c r="AC15" s="310"/>
      <c r="AD15" s="308">
        <f t="shared" ref="AD15:AE15" si="21">SUM(AD11,AD13:AD14)</f>
        <v>8732522.9934088532</v>
      </c>
      <c r="AE15" s="308">
        <f t="shared" si="21"/>
        <v>23432823.750464629</v>
      </c>
      <c r="AF15" s="311"/>
      <c r="AG15" s="308">
        <f t="shared" ref="AG15:AZ15" si="22">SUM(AG11,AG13:AG14)</f>
        <v>42726798.797960199</v>
      </c>
      <c r="AH15" s="308">
        <f t="shared" ref="AH15" si="23">SUM(AH11,AH13:AH14)</f>
        <v>65597041.869051225</v>
      </c>
      <c r="AI15" s="308">
        <f t="shared" si="22"/>
        <v>41779473.517531835</v>
      </c>
      <c r="AJ15" s="308">
        <f t="shared" si="22"/>
        <v>23670134.506697163</v>
      </c>
      <c r="AK15" s="308">
        <f t="shared" si="22"/>
        <v>46369935.735189773</v>
      </c>
      <c r="AL15" s="308">
        <f t="shared" ref="AL15" si="24">SUM(AL11,AL13:AL14)</f>
        <v>74651480.127466723</v>
      </c>
      <c r="AM15" s="308">
        <f t="shared" si="22"/>
        <v>43765180.01484517</v>
      </c>
      <c r="AN15" s="308">
        <f t="shared" si="22"/>
        <v>53205072.193835855</v>
      </c>
      <c r="AO15" s="659">
        <f t="shared" si="22"/>
        <v>18701854.609090459</v>
      </c>
      <c r="AP15" s="308">
        <f t="shared" si="22"/>
        <v>70486583.303648844</v>
      </c>
      <c r="AQ15" s="308">
        <f t="shared" si="22"/>
        <v>39940490.671414427</v>
      </c>
      <c r="AR15" s="659">
        <f t="shared" si="22"/>
        <v>41862166.988717407</v>
      </c>
      <c r="AS15" s="659">
        <f t="shared" si="22"/>
        <v>27082027.561261859</v>
      </c>
      <c r="AT15" s="308">
        <f t="shared" si="22"/>
        <v>75352221.156731874</v>
      </c>
      <c r="AU15" s="308">
        <f t="shared" ref="AU15" si="25">SUM(AU11,AU13:AU14)</f>
        <v>72717763.675997943</v>
      </c>
      <c r="AV15" s="103">
        <f t="shared" si="22"/>
        <v>0</v>
      </c>
      <c r="AW15" s="103">
        <f t="shared" si="22"/>
        <v>0</v>
      </c>
      <c r="AX15" s="103">
        <f t="shared" si="22"/>
        <v>0</v>
      </c>
      <c r="AY15" s="103">
        <f t="shared" si="22"/>
        <v>0</v>
      </c>
      <c r="AZ15" s="103">
        <f t="shared" si="22"/>
        <v>0</v>
      </c>
      <c r="BA15" s="312"/>
      <c r="BB15" s="313">
        <f t="shared" si="11"/>
        <v>0.43408739193053364</v>
      </c>
      <c r="BC15" s="313">
        <f t="shared" si="12"/>
        <v>0.37752754394217702</v>
      </c>
      <c r="BD15" s="313">
        <f t="shared" si="13"/>
        <v>0.39496001917539547</v>
      </c>
      <c r="BE15" s="565"/>
      <c r="BF15" s="313">
        <f>D15/$D$29</f>
        <v>0.44535457855462507</v>
      </c>
      <c r="BG15" s="571" t="s">
        <v>405</v>
      </c>
      <c r="BH15" s="312"/>
      <c r="BI15" s="312"/>
      <c r="BJ15" s="312"/>
      <c r="BK15" s="312"/>
    </row>
    <row r="16" spans="1:63" ht="15.75" customHeight="1">
      <c r="A16" s="314"/>
      <c r="B16" s="315"/>
      <c r="C16" s="285"/>
      <c r="D16" s="316"/>
      <c r="E16" s="316"/>
      <c r="F16" s="316"/>
      <c r="G16" s="316"/>
      <c r="H16" s="316"/>
      <c r="I16" s="660"/>
      <c r="J16" s="185"/>
      <c r="K16" s="316"/>
      <c r="L16" s="316"/>
      <c r="M16" s="316"/>
      <c r="N16" s="316"/>
      <c r="O16" s="316"/>
      <c r="P16" s="316"/>
      <c r="Q16" s="316"/>
      <c r="R16" s="316"/>
      <c r="S16" s="660"/>
      <c r="T16" s="316"/>
      <c r="U16" s="316"/>
      <c r="V16" s="316"/>
      <c r="W16" s="316"/>
      <c r="X16" s="316"/>
      <c r="Y16" s="283"/>
      <c r="Z16" s="316"/>
      <c r="AA16" s="50"/>
      <c r="AB16" s="316"/>
      <c r="AC16" s="283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662"/>
      <c r="AP16" s="316"/>
      <c r="AQ16" s="316"/>
      <c r="AR16" s="662"/>
      <c r="AS16" s="662"/>
      <c r="AT16" s="316"/>
      <c r="AU16" s="316"/>
      <c r="AV16" s="316"/>
      <c r="AW16" s="316"/>
      <c r="AX16" s="316"/>
      <c r="AY16" s="316"/>
      <c r="AZ16" s="316"/>
      <c r="BA16" s="50"/>
      <c r="BB16" s="258"/>
      <c r="BC16" s="258"/>
      <c r="BD16" s="258"/>
      <c r="BE16" s="526"/>
      <c r="BF16" s="532"/>
      <c r="BG16" s="285"/>
      <c r="BH16" s="50"/>
      <c r="BI16" s="50"/>
      <c r="BJ16" s="50"/>
      <c r="BK16" s="50"/>
    </row>
    <row r="17" spans="1:63" ht="12.75" customHeight="1">
      <c r="A17" s="176" t="s">
        <v>132</v>
      </c>
      <c r="B17" s="61" t="s">
        <v>133</v>
      </c>
      <c r="C17" s="219">
        <v>0.05</v>
      </c>
      <c r="D17" s="109">
        <f t="shared" ref="D17:X17" si="26">$C$17*D29</f>
        <v>7200000</v>
      </c>
      <c r="E17" s="109">
        <f t="shared" ref="E17" si="27">$C$17*E29</f>
        <v>7566000</v>
      </c>
      <c r="F17" s="109">
        <f t="shared" ref="F17" si="28">$C$17*F29</f>
        <v>6480000</v>
      </c>
      <c r="G17" s="109">
        <f t="shared" si="26"/>
        <v>40560000</v>
      </c>
      <c r="H17" s="109">
        <f t="shared" si="26"/>
        <v>48000000</v>
      </c>
      <c r="I17" s="651">
        <f t="shared" si="26"/>
        <v>0</v>
      </c>
      <c r="J17" s="185">
        <f t="shared" si="26"/>
        <v>22800000</v>
      </c>
      <c r="K17" s="109">
        <f t="shared" si="26"/>
        <v>8400000</v>
      </c>
      <c r="L17" s="109">
        <f t="shared" si="26"/>
        <v>12000000</v>
      </c>
      <c r="M17" s="109">
        <f t="shared" si="26"/>
        <v>7200000</v>
      </c>
      <c r="N17" s="109">
        <f t="shared" si="26"/>
        <v>12600000</v>
      </c>
      <c r="O17" s="109">
        <f t="shared" si="26"/>
        <v>9120000</v>
      </c>
      <c r="P17" s="109">
        <f t="shared" si="26"/>
        <v>4800000</v>
      </c>
      <c r="Q17" s="109">
        <f t="shared" ref="Q17:T17" si="29">$C$17*Q29</f>
        <v>18000000</v>
      </c>
      <c r="R17" s="109">
        <f t="shared" si="29"/>
        <v>6720000</v>
      </c>
      <c r="S17" s="651">
        <f t="shared" si="29"/>
        <v>36000000</v>
      </c>
      <c r="T17" s="109">
        <f t="shared" si="29"/>
        <v>0</v>
      </c>
      <c r="U17" s="317">
        <f t="shared" si="26"/>
        <v>0</v>
      </c>
      <c r="V17" s="317">
        <f t="shared" si="26"/>
        <v>0</v>
      </c>
      <c r="W17" s="317">
        <f t="shared" si="26"/>
        <v>1020000</v>
      </c>
      <c r="X17" s="317">
        <f t="shared" si="26"/>
        <v>3240000</v>
      </c>
      <c r="Y17" s="283"/>
      <c r="Z17" s="290">
        <f>AVERAGE(D17:H17,J17:R17)</f>
        <v>15103285.714285715</v>
      </c>
      <c r="AA17" s="188">
        <f t="shared" ref="AA17:AA23" si="30">AVERAGE(AD17:AE17)</f>
        <v>2130000</v>
      </c>
      <c r="AB17" s="290">
        <f>AVERAGE(AG17:AN17,AP17:AQ17,AT17:AU17)</f>
        <v>6860000</v>
      </c>
      <c r="AC17" s="283"/>
      <c r="AD17" s="318">
        <f t="shared" ref="AD17" si="31">$C$17*AD29</f>
        <v>1020000</v>
      </c>
      <c r="AE17" s="318">
        <f>$C$17*AE29</f>
        <v>3240000</v>
      </c>
      <c r="AF17" s="279"/>
      <c r="AG17" s="109">
        <f t="shared" ref="AG17:AZ17" si="32">$C$17*AG29</f>
        <v>5400000</v>
      </c>
      <c r="AH17" s="109">
        <f t="shared" ref="AH17" si="33">$C$17*AH29</f>
        <v>8400000</v>
      </c>
      <c r="AI17" s="109">
        <f t="shared" si="32"/>
        <v>5280000</v>
      </c>
      <c r="AJ17" s="109">
        <f t="shared" si="32"/>
        <v>3000000</v>
      </c>
      <c r="AK17" s="109">
        <f t="shared" si="32"/>
        <v>5700000</v>
      </c>
      <c r="AL17" s="109">
        <f t="shared" ref="AL17" si="34">$C$17*AL29</f>
        <v>9600000</v>
      </c>
      <c r="AM17" s="109">
        <f t="shared" si="32"/>
        <v>5400000</v>
      </c>
      <c r="AN17" s="109">
        <f t="shared" si="32"/>
        <v>6600000</v>
      </c>
      <c r="AO17" s="651">
        <f t="shared" si="32"/>
        <v>2340000</v>
      </c>
      <c r="AP17" s="109">
        <f t="shared" si="32"/>
        <v>9000000</v>
      </c>
      <c r="AQ17" s="109">
        <f t="shared" si="32"/>
        <v>5040000</v>
      </c>
      <c r="AR17" s="651">
        <f t="shared" si="32"/>
        <v>5280000</v>
      </c>
      <c r="AS17" s="651">
        <f t="shared" si="32"/>
        <v>3300000</v>
      </c>
      <c r="AT17" s="109">
        <f t="shared" si="32"/>
        <v>9600000</v>
      </c>
      <c r="AU17" s="109">
        <f t="shared" ref="AU17" si="35">$C$17*AU29</f>
        <v>9300000</v>
      </c>
      <c r="AV17" s="109">
        <f t="shared" si="32"/>
        <v>0</v>
      </c>
      <c r="AW17" s="109">
        <f t="shared" si="32"/>
        <v>0</v>
      </c>
      <c r="AX17" s="109">
        <f t="shared" si="32"/>
        <v>0</v>
      </c>
      <c r="AY17" s="109">
        <f t="shared" si="32"/>
        <v>0</v>
      </c>
      <c r="AZ17" s="109">
        <f t="shared" si="32"/>
        <v>0</v>
      </c>
      <c r="BA17" s="2"/>
      <c r="BB17" s="256">
        <f t="shared" ref="BB17:BB21" si="36">Z17/$Z$29</f>
        <v>0.05</v>
      </c>
      <c r="BC17" s="256">
        <f t="shared" ref="BC17:BC21" si="37">AA17/$AA$29</f>
        <v>0.05</v>
      </c>
      <c r="BD17" s="256">
        <f t="shared" ref="BD17:BD23" si="38">AB17/$AB$29</f>
        <v>0.05</v>
      </c>
      <c r="BE17" s="679"/>
      <c r="BF17" s="680"/>
      <c r="BG17" s="119"/>
      <c r="BH17" s="2"/>
      <c r="BI17" s="2"/>
      <c r="BJ17" s="2"/>
      <c r="BK17" s="2"/>
    </row>
    <row r="18" spans="1:63" ht="12.75" customHeight="1">
      <c r="A18" s="176" t="s">
        <v>134</v>
      </c>
      <c r="B18" s="61" t="s">
        <v>133</v>
      </c>
      <c r="C18" s="219">
        <v>0.05</v>
      </c>
      <c r="D18" s="109">
        <f t="shared" ref="D18:X18" si="39">$C$18*D29</f>
        <v>7200000</v>
      </c>
      <c r="E18" s="109">
        <f t="shared" ref="E18" si="40">$C$18*E29</f>
        <v>7566000</v>
      </c>
      <c r="F18" s="109">
        <f t="shared" ref="F18" si="41">$C$18*F29</f>
        <v>6480000</v>
      </c>
      <c r="G18" s="109">
        <f t="shared" si="39"/>
        <v>40560000</v>
      </c>
      <c r="H18" s="109">
        <f t="shared" si="39"/>
        <v>48000000</v>
      </c>
      <c r="I18" s="651">
        <f t="shared" si="39"/>
        <v>0</v>
      </c>
      <c r="J18" s="185">
        <f t="shared" si="39"/>
        <v>22800000</v>
      </c>
      <c r="K18" s="109">
        <f t="shared" si="39"/>
        <v>8400000</v>
      </c>
      <c r="L18" s="109">
        <f t="shared" si="39"/>
        <v>12000000</v>
      </c>
      <c r="M18" s="109">
        <f t="shared" si="39"/>
        <v>7200000</v>
      </c>
      <c r="N18" s="109">
        <f t="shared" si="39"/>
        <v>12600000</v>
      </c>
      <c r="O18" s="109">
        <f t="shared" si="39"/>
        <v>9120000</v>
      </c>
      <c r="P18" s="109">
        <f t="shared" si="39"/>
        <v>4800000</v>
      </c>
      <c r="Q18" s="109">
        <f t="shared" ref="Q18:T18" si="42">$C$18*Q29</f>
        <v>18000000</v>
      </c>
      <c r="R18" s="109">
        <f t="shared" si="42"/>
        <v>6720000</v>
      </c>
      <c r="S18" s="651">
        <f t="shared" si="42"/>
        <v>36000000</v>
      </c>
      <c r="T18" s="109">
        <f t="shared" si="42"/>
        <v>0</v>
      </c>
      <c r="U18" s="317">
        <f t="shared" si="39"/>
        <v>0</v>
      </c>
      <c r="V18" s="317">
        <f t="shared" si="39"/>
        <v>0</v>
      </c>
      <c r="W18" s="317">
        <f t="shared" si="39"/>
        <v>1020000</v>
      </c>
      <c r="X18" s="317">
        <f t="shared" si="39"/>
        <v>3240000</v>
      </c>
      <c r="Y18" s="2"/>
      <c r="Z18" s="290">
        <f t="shared" ref="Z18:Z21" si="43">AVERAGE(D18:H18,J18:R18)</f>
        <v>15103285.714285715</v>
      </c>
      <c r="AA18" s="188">
        <f t="shared" si="30"/>
        <v>2130000</v>
      </c>
      <c r="AB18" s="290">
        <f t="shared" ref="AB18:AB21" si="44">AVERAGE(AG18:AN18,AP18:AQ18,AT18:AU18)</f>
        <v>6860000</v>
      </c>
      <c r="AC18" s="2"/>
      <c r="AD18" s="318">
        <f t="shared" ref="AD18:AE18" si="45">$C$18*AD29</f>
        <v>1020000</v>
      </c>
      <c r="AE18" s="318">
        <f t="shared" si="45"/>
        <v>3240000</v>
      </c>
      <c r="AF18" s="279"/>
      <c r="AG18" s="109">
        <f t="shared" ref="AG18:AZ18" si="46">$C$18*AG29</f>
        <v>5400000</v>
      </c>
      <c r="AH18" s="109">
        <f t="shared" ref="AH18" si="47">$C$18*AH29</f>
        <v>8400000</v>
      </c>
      <c r="AI18" s="109">
        <f t="shared" si="46"/>
        <v>5280000</v>
      </c>
      <c r="AJ18" s="109">
        <f t="shared" si="46"/>
        <v>3000000</v>
      </c>
      <c r="AK18" s="109">
        <f t="shared" si="46"/>
        <v>5700000</v>
      </c>
      <c r="AL18" s="109">
        <f t="shared" ref="AL18" si="48">$C$18*AL29</f>
        <v>9600000</v>
      </c>
      <c r="AM18" s="109">
        <f t="shared" si="46"/>
        <v>5400000</v>
      </c>
      <c r="AN18" s="109">
        <f t="shared" si="46"/>
        <v>6600000</v>
      </c>
      <c r="AO18" s="651">
        <f t="shared" si="46"/>
        <v>2340000</v>
      </c>
      <c r="AP18" s="109">
        <f t="shared" si="46"/>
        <v>9000000</v>
      </c>
      <c r="AQ18" s="109">
        <f t="shared" si="46"/>
        <v>5040000</v>
      </c>
      <c r="AR18" s="651">
        <f t="shared" si="46"/>
        <v>5280000</v>
      </c>
      <c r="AS18" s="651">
        <f t="shared" si="46"/>
        <v>3300000</v>
      </c>
      <c r="AT18" s="109">
        <f t="shared" si="46"/>
        <v>9600000</v>
      </c>
      <c r="AU18" s="109">
        <f t="shared" ref="AU18" si="49">$C$18*AU29</f>
        <v>9300000</v>
      </c>
      <c r="AV18" s="109">
        <f t="shared" si="46"/>
        <v>0</v>
      </c>
      <c r="AW18" s="109">
        <f t="shared" si="46"/>
        <v>0</v>
      </c>
      <c r="AX18" s="109">
        <f t="shared" si="46"/>
        <v>0</v>
      </c>
      <c r="AY18" s="109">
        <f t="shared" si="46"/>
        <v>0</v>
      </c>
      <c r="AZ18" s="109">
        <f t="shared" si="46"/>
        <v>0</v>
      </c>
      <c r="BA18" s="2"/>
      <c r="BB18" s="256">
        <f t="shared" si="36"/>
        <v>0.05</v>
      </c>
      <c r="BC18" s="256">
        <f t="shared" si="37"/>
        <v>0.05</v>
      </c>
      <c r="BD18" s="256">
        <f t="shared" si="38"/>
        <v>0.05</v>
      </c>
      <c r="BE18" s="679"/>
      <c r="BF18" s="680"/>
      <c r="BG18" s="119"/>
      <c r="BH18" s="2"/>
      <c r="BI18" s="2"/>
      <c r="BJ18" s="2"/>
      <c r="BK18" s="2"/>
    </row>
    <row r="19" spans="1:63" ht="12.75" customHeight="1">
      <c r="A19" s="176" t="s">
        <v>135</v>
      </c>
      <c r="B19" s="61" t="s">
        <v>133</v>
      </c>
      <c r="C19" s="219">
        <v>0.03</v>
      </c>
      <c r="D19" s="109">
        <f t="shared" ref="D19:X19" si="50">$C$19*D29</f>
        <v>4320000</v>
      </c>
      <c r="E19" s="109">
        <f t="shared" ref="E19" si="51">$C$19*E29</f>
        <v>4539600</v>
      </c>
      <c r="F19" s="109">
        <f t="shared" ref="F19" si="52">$C$19*F29</f>
        <v>3888000</v>
      </c>
      <c r="G19" s="109">
        <f t="shared" si="50"/>
        <v>24336000</v>
      </c>
      <c r="H19" s="109">
        <f t="shared" si="50"/>
        <v>28800000</v>
      </c>
      <c r="I19" s="651">
        <f t="shared" si="50"/>
        <v>0</v>
      </c>
      <c r="J19" s="185">
        <f t="shared" si="50"/>
        <v>13680000</v>
      </c>
      <c r="K19" s="109">
        <f t="shared" si="50"/>
        <v>5040000</v>
      </c>
      <c r="L19" s="109">
        <f t="shared" si="50"/>
        <v>7200000</v>
      </c>
      <c r="M19" s="109">
        <f t="shared" si="50"/>
        <v>4320000</v>
      </c>
      <c r="N19" s="109">
        <f t="shared" si="50"/>
        <v>7560000</v>
      </c>
      <c r="O19" s="109">
        <f t="shared" si="50"/>
        <v>5472000</v>
      </c>
      <c r="P19" s="109">
        <f t="shared" si="50"/>
        <v>2880000</v>
      </c>
      <c r="Q19" s="109">
        <f t="shared" ref="Q19:T19" si="53">$C$19*Q29</f>
        <v>10800000</v>
      </c>
      <c r="R19" s="109">
        <f t="shared" si="53"/>
        <v>4032000</v>
      </c>
      <c r="S19" s="651">
        <f t="shared" si="53"/>
        <v>21600000</v>
      </c>
      <c r="T19" s="109">
        <f t="shared" si="53"/>
        <v>0</v>
      </c>
      <c r="U19" s="317">
        <f t="shared" si="50"/>
        <v>0</v>
      </c>
      <c r="V19" s="317">
        <f t="shared" si="50"/>
        <v>0</v>
      </c>
      <c r="W19" s="317">
        <f t="shared" si="50"/>
        <v>612000</v>
      </c>
      <c r="X19" s="317">
        <f t="shared" si="50"/>
        <v>1944000</v>
      </c>
      <c r="Y19" s="2"/>
      <c r="Z19" s="290">
        <f t="shared" si="43"/>
        <v>9061971.4285714291</v>
      </c>
      <c r="AA19" s="188">
        <f t="shared" si="30"/>
        <v>1278000</v>
      </c>
      <c r="AB19" s="290">
        <f t="shared" si="44"/>
        <v>4116000</v>
      </c>
      <c r="AC19" s="2"/>
      <c r="AD19" s="318">
        <f t="shared" ref="AD19:AE19" si="54">$C$19*AD29</f>
        <v>612000</v>
      </c>
      <c r="AE19" s="318">
        <f t="shared" si="54"/>
        <v>1944000</v>
      </c>
      <c r="AF19" s="279"/>
      <c r="AG19" s="109">
        <f t="shared" ref="AG19:AZ19" si="55">$C$19*AG29</f>
        <v>3240000</v>
      </c>
      <c r="AH19" s="109">
        <f t="shared" ref="AH19" si="56">$C$19*AH29</f>
        <v>5040000</v>
      </c>
      <c r="AI19" s="109">
        <f t="shared" si="55"/>
        <v>3168000</v>
      </c>
      <c r="AJ19" s="109">
        <f t="shared" si="55"/>
        <v>1800000</v>
      </c>
      <c r="AK19" s="109">
        <f t="shared" si="55"/>
        <v>3420000</v>
      </c>
      <c r="AL19" s="109">
        <f t="shared" ref="AL19" si="57">$C$19*AL29</f>
        <v>5760000</v>
      </c>
      <c r="AM19" s="109">
        <f t="shared" si="55"/>
        <v>3240000</v>
      </c>
      <c r="AN19" s="109">
        <f t="shared" si="55"/>
        <v>3960000</v>
      </c>
      <c r="AO19" s="651">
        <f t="shared" si="55"/>
        <v>1404000</v>
      </c>
      <c r="AP19" s="109">
        <f t="shared" si="55"/>
        <v>5400000</v>
      </c>
      <c r="AQ19" s="109">
        <f t="shared" si="55"/>
        <v>3024000</v>
      </c>
      <c r="AR19" s="651">
        <f t="shared" si="55"/>
        <v>3168000</v>
      </c>
      <c r="AS19" s="651">
        <f t="shared" si="55"/>
        <v>1980000</v>
      </c>
      <c r="AT19" s="109">
        <f t="shared" si="55"/>
        <v>5760000</v>
      </c>
      <c r="AU19" s="109">
        <f t="shared" ref="AU19" si="58">$C$19*AU29</f>
        <v>5580000</v>
      </c>
      <c r="AV19" s="109">
        <f t="shared" si="55"/>
        <v>0</v>
      </c>
      <c r="AW19" s="109">
        <f t="shared" si="55"/>
        <v>0</v>
      </c>
      <c r="AX19" s="109">
        <f t="shared" si="55"/>
        <v>0</v>
      </c>
      <c r="AY19" s="109">
        <f t="shared" si="55"/>
        <v>0</v>
      </c>
      <c r="AZ19" s="109">
        <f t="shared" si="55"/>
        <v>0</v>
      </c>
      <c r="BA19" s="2"/>
      <c r="BB19" s="256">
        <f t="shared" si="36"/>
        <v>3.0000000000000002E-2</v>
      </c>
      <c r="BC19" s="256">
        <f t="shared" si="37"/>
        <v>0.03</v>
      </c>
      <c r="BD19" s="256">
        <f t="shared" si="38"/>
        <v>0.03</v>
      </c>
      <c r="BE19" s="679"/>
      <c r="BF19" s="680"/>
      <c r="BG19" s="119"/>
      <c r="BH19" s="2"/>
      <c r="BI19" s="2"/>
      <c r="BJ19" s="2"/>
      <c r="BK19" s="2"/>
    </row>
    <row r="20" spans="1:63" ht="12.75" customHeight="1">
      <c r="A20" s="535" t="s">
        <v>401</v>
      </c>
      <c r="B20" s="61" t="s">
        <v>133</v>
      </c>
      <c r="C20" s="219">
        <v>0.06</v>
      </c>
      <c r="D20" s="109">
        <f t="shared" ref="D20:X20" si="59">$C$20*D29</f>
        <v>8640000</v>
      </c>
      <c r="E20" s="109">
        <f t="shared" ref="E20" si="60">$C$20*E29</f>
        <v>9079200</v>
      </c>
      <c r="F20" s="109">
        <f t="shared" ref="F20" si="61">$C$20*F29</f>
        <v>7776000</v>
      </c>
      <c r="G20" s="109">
        <f t="shared" si="59"/>
        <v>48672000</v>
      </c>
      <c r="H20" s="109">
        <f t="shared" si="59"/>
        <v>57600000</v>
      </c>
      <c r="I20" s="651">
        <f t="shared" si="59"/>
        <v>0</v>
      </c>
      <c r="J20" s="185">
        <f t="shared" si="59"/>
        <v>27360000</v>
      </c>
      <c r="K20" s="109">
        <f t="shared" si="59"/>
        <v>10080000</v>
      </c>
      <c r="L20" s="109">
        <f t="shared" si="59"/>
        <v>14400000</v>
      </c>
      <c r="M20" s="109">
        <f t="shared" si="59"/>
        <v>8640000</v>
      </c>
      <c r="N20" s="109">
        <f t="shared" si="59"/>
        <v>15120000</v>
      </c>
      <c r="O20" s="109">
        <f t="shared" si="59"/>
        <v>10944000</v>
      </c>
      <c r="P20" s="109">
        <f t="shared" si="59"/>
        <v>5760000</v>
      </c>
      <c r="Q20" s="109">
        <f t="shared" ref="Q20:T20" si="62">$C$20*Q29</f>
        <v>21600000</v>
      </c>
      <c r="R20" s="109">
        <f t="shared" si="62"/>
        <v>8064000</v>
      </c>
      <c r="S20" s="651">
        <f t="shared" si="62"/>
        <v>43200000</v>
      </c>
      <c r="T20" s="109">
        <f t="shared" si="62"/>
        <v>0</v>
      </c>
      <c r="U20" s="317">
        <f t="shared" si="59"/>
        <v>0</v>
      </c>
      <c r="V20" s="317">
        <f t="shared" si="59"/>
        <v>0</v>
      </c>
      <c r="W20" s="317">
        <f t="shared" si="59"/>
        <v>1224000</v>
      </c>
      <c r="X20" s="317">
        <f t="shared" si="59"/>
        <v>3888000</v>
      </c>
      <c r="Y20" s="2"/>
      <c r="Z20" s="290">
        <f t="shared" si="43"/>
        <v>18123942.857142858</v>
      </c>
      <c r="AA20" s="188">
        <f t="shared" si="30"/>
        <v>2556000</v>
      </c>
      <c r="AB20" s="290">
        <f t="shared" si="44"/>
        <v>8232000</v>
      </c>
      <c r="AC20" s="2"/>
      <c r="AD20" s="318">
        <f t="shared" ref="AD20:AE20" si="63">$C$20*AD29</f>
        <v>1224000</v>
      </c>
      <c r="AE20" s="318">
        <f t="shared" si="63"/>
        <v>3888000</v>
      </c>
      <c r="AF20" s="279"/>
      <c r="AG20" s="109">
        <f t="shared" ref="AG20:AZ20" si="64">$C$20*AG29</f>
        <v>6480000</v>
      </c>
      <c r="AH20" s="109">
        <f t="shared" ref="AH20" si="65">$C$20*AH29</f>
        <v>10080000</v>
      </c>
      <c r="AI20" s="109">
        <f t="shared" si="64"/>
        <v>6336000</v>
      </c>
      <c r="AJ20" s="109">
        <f t="shared" si="64"/>
        <v>3600000</v>
      </c>
      <c r="AK20" s="109">
        <f t="shared" si="64"/>
        <v>6840000</v>
      </c>
      <c r="AL20" s="109">
        <f t="shared" ref="AL20" si="66">$C$20*AL29</f>
        <v>11520000</v>
      </c>
      <c r="AM20" s="109">
        <f t="shared" si="64"/>
        <v>6480000</v>
      </c>
      <c r="AN20" s="109">
        <f t="shared" si="64"/>
        <v>7920000</v>
      </c>
      <c r="AO20" s="651">
        <f t="shared" si="64"/>
        <v>2808000</v>
      </c>
      <c r="AP20" s="109">
        <f t="shared" si="64"/>
        <v>10800000</v>
      </c>
      <c r="AQ20" s="109">
        <f t="shared" si="64"/>
        <v>6048000</v>
      </c>
      <c r="AR20" s="651">
        <f t="shared" si="64"/>
        <v>6336000</v>
      </c>
      <c r="AS20" s="651">
        <f t="shared" si="64"/>
        <v>3960000</v>
      </c>
      <c r="AT20" s="109">
        <f t="shared" si="64"/>
        <v>11520000</v>
      </c>
      <c r="AU20" s="109">
        <f t="shared" ref="AU20" si="67">$C$20*AU29</f>
        <v>11160000</v>
      </c>
      <c r="AV20" s="109">
        <f t="shared" si="64"/>
        <v>0</v>
      </c>
      <c r="AW20" s="109">
        <f t="shared" si="64"/>
        <v>0</v>
      </c>
      <c r="AX20" s="109">
        <f t="shared" si="64"/>
        <v>0</v>
      </c>
      <c r="AY20" s="109">
        <f t="shared" si="64"/>
        <v>0</v>
      </c>
      <c r="AZ20" s="109">
        <f t="shared" si="64"/>
        <v>0</v>
      </c>
      <c r="BA20" s="2"/>
      <c r="BB20" s="256">
        <f t="shared" si="36"/>
        <v>6.0000000000000005E-2</v>
      </c>
      <c r="BC20" s="256">
        <f t="shared" si="37"/>
        <v>0.06</v>
      </c>
      <c r="BD20" s="256">
        <f t="shared" si="38"/>
        <v>0.06</v>
      </c>
      <c r="BE20" s="679"/>
      <c r="BF20" s="680"/>
      <c r="BG20" s="119"/>
      <c r="BH20" s="2"/>
      <c r="BI20" s="2"/>
      <c r="BJ20" s="2"/>
      <c r="BK20" s="2"/>
    </row>
    <row r="21" spans="1:63" ht="12.75" customHeight="1">
      <c r="A21" s="176" t="s">
        <v>137</v>
      </c>
      <c r="B21" s="61" t="s">
        <v>133</v>
      </c>
      <c r="C21" s="219">
        <v>0.02</v>
      </c>
      <c r="D21" s="109">
        <f t="shared" ref="D21:X21" si="68">$C$21*D29</f>
        <v>2880000</v>
      </c>
      <c r="E21" s="109">
        <f t="shared" ref="E21" si="69">$C$21*E29</f>
        <v>3026400</v>
      </c>
      <c r="F21" s="109">
        <f t="shared" ref="F21" si="70">$C$21*F29</f>
        <v>2592000</v>
      </c>
      <c r="G21" s="109">
        <f t="shared" si="68"/>
        <v>16224000</v>
      </c>
      <c r="H21" s="109">
        <f t="shared" si="68"/>
        <v>19200000</v>
      </c>
      <c r="I21" s="651">
        <f t="shared" si="68"/>
        <v>0</v>
      </c>
      <c r="J21" s="185">
        <f t="shared" si="68"/>
        <v>9120000</v>
      </c>
      <c r="K21" s="109">
        <f t="shared" si="68"/>
        <v>3360000</v>
      </c>
      <c r="L21" s="109">
        <f t="shared" si="68"/>
        <v>4800000</v>
      </c>
      <c r="M21" s="109">
        <f t="shared" si="68"/>
        <v>2880000</v>
      </c>
      <c r="N21" s="109">
        <f t="shared" si="68"/>
        <v>5040000</v>
      </c>
      <c r="O21" s="109">
        <f t="shared" si="68"/>
        <v>3648000</v>
      </c>
      <c r="P21" s="109">
        <f t="shared" si="68"/>
        <v>1920000</v>
      </c>
      <c r="Q21" s="109">
        <f t="shared" ref="Q21:T21" si="71">$C$21*Q29</f>
        <v>7200000</v>
      </c>
      <c r="R21" s="109">
        <f t="shared" si="71"/>
        <v>2688000</v>
      </c>
      <c r="S21" s="651">
        <f t="shared" si="71"/>
        <v>14400000</v>
      </c>
      <c r="T21" s="109">
        <f t="shared" si="71"/>
        <v>0</v>
      </c>
      <c r="U21" s="317">
        <f t="shared" si="68"/>
        <v>0</v>
      </c>
      <c r="V21" s="317">
        <f t="shared" si="68"/>
        <v>0</v>
      </c>
      <c r="W21" s="317">
        <f t="shared" si="68"/>
        <v>408000</v>
      </c>
      <c r="X21" s="317">
        <f t="shared" si="68"/>
        <v>1296000</v>
      </c>
      <c r="Y21" s="2"/>
      <c r="Z21" s="290">
        <f>AVERAGE(D21:H21,J21:R21)</f>
        <v>6041314.2857142854</v>
      </c>
      <c r="AA21" s="188">
        <f t="shared" si="30"/>
        <v>852000</v>
      </c>
      <c r="AB21" s="290">
        <f t="shared" si="44"/>
        <v>2744000</v>
      </c>
      <c r="AC21" s="2"/>
      <c r="AD21" s="318">
        <f t="shared" ref="AD21:AE21" si="72">$C$21*AD29</f>
        <v>408000</v>
      </c>
      <c r="AE21" s="318">
        <f t="shared" si="72"/>
        <v>1296000</v>
      </c>
      <c r="AF21" s="279"/>
      <c r="AG21" s="109">
        <f t="shared" ref="AG21:AZ21" si="73">$C$21*AG29</f>
        <v>2160000</v>
      </c>
      <c r="AH21" s="109">
        <f t="shared" ref="AH21" si="74">$C$21*AH29</f>
        <v>3360000</v>
      </c>
      <c r="AI21" s="109">
        <f t="shared" si="73"/>
        <v>2112000</v>
      </c>
      <c r="AJ21" s="109">
        <f t="shared" si="73"/>
        <v>1200000</v>
      </c>
      <c r="AK21" s="109">
        <f t="shared" si="73"/>
        <v>2280000</v>
      </c>
      <c r="AL21" s="109">
        <f t="shared" ref="AL21" si="75">$C$21*AL29</f>
        <v>3840000</v>
      </c>
      <c r="AM21" s="109">
        <f t="shared" si="73"/>
        <v>2160000</v>
      </c>
      <c r="AN21" s="109">
        <f t="shared" si="73"/>
        <v>2640000</v>
      </c>
      <c r="AO21" s="651">
        <f t="shared" si="73"/>
        <v>936000</v>
      </c>
      <c r="AP21" s="109">
        <f t="shared" si="73"/>
        <v>3600000</v>
      </c>
      <c r="AQ21" s="109">
        <f t="shared" si="73"/>
        <v>2016000</v>
      </c>
      <c r="AR21" s="651">
        <f t="shared" si="73"/>
        <v>2112000</v>
      </c>
      <c r="AS21" s="651">
        <f t="shared" si="73"/>
        <v>1320000</v>
      </c>
      <c r="AT21" s="109">
        <f t="shared" si="73"/>
        <v>3840000</v>
      </c>
      <c r="AU21" s="109">
        <f t="shared" ref="AU21" si="76">$C$21*AU29</f>
        <v>3720000</v>
      </c>
      <c r="AV21" s="109">
        <f t="shared" si="73"/>
        <v>0</v>
      </c>
      <c r="AW21" s="109">
        <f t="shared" si="73"/>
        <v>0</v>
      </c>
      <c r="AX21" s="109">
        <f t="shared" si="73"/>
        <v>0</v>
      </c>
      <c r="AY21" s="109">
        <f t="shared" si="73"/>
        <v>0</v>
      </c>
      <c r="AZ21" s="109">
        <f t="shared" si="73"/>
        <v>0</v>
      </c>
      <c r="BA21" s="2"/>
      <c r="BB21" s="256">
        <f t="shared" si="36"/>
        <v>0.02</v>
      </c>
      <c r="BC21" s="256">
        <f t="shared" si="37"/>
        <v>0.02</v>
      </c>
      <c r="BD21" s="256">
        <f t="shared" si="38"/>
        <v>0.02</v>
      </c>
      <c r="BE21" s="679"/>
      <c r="BF21" s="680"/>
      <c r="BG21" s="119"/>
      <c r="BH21" s="2"/>
      <c r="BI21" s="2"/>
      <c r="BJ21" s="2"/>
      <c r="BK21" s="2"/>
    </row>
    <row r="22" spans="1:63" ht="12.75" customHeight="1">
      <c r="A22" s="176" t="s">
        <v>138</v>
      </c>
      <c r="B22" s="61" t="s">
        <v>139</v>
      </c>
      <c r="C22" s="319">
        <v>0</v>
      </c>
      <c r="D22" s="109">
        <f t="shared" ref="D22:X22" si="77">$C$22</f>
        <v>0</v>
      </c>
      <c r="E22" s="109">
        <f t="shared" si="77"/>
        <v>0</v>
      </c>
      <c r="F22" s="109">
        <f t="shared" si="77"/>
        <v>0</v>
      </c>
      <c r="G22" s="109">
        <f t="shared" si="77"/>
        <v>0</v>
      </c>
      <c r="H22" s="109">
        <f t="shared" si="77"/>
        <v>0</v>
      </c>
      <c r="I22" s="651">
        <f t="shared" si="77"/>
        <v>0</v>
      </c>
      <c r="J22" s="185">
        <f t="shared" si="77"/>
        <v>0</v>
      </c>
      <c r="K22" s="109">
        <f t="shared" si="77"/>
        <v>0</v>
      </c>
      <c r="L22" s="109">
        <f t="shared" si="77"/>
        <v>0</v>
      </c>
      <c r="M22" s="109">
        <f t="shared" si="77"/>
        <v>0</v>
      </c>
      <c r="N22" s="109">
        <f t="shared" si="77"/>
        <v>0</v>
      </c>
      <c r="O22" s="109">
        <f t="shared" si="77"/>
        <v>0</v>
      </c>
      <c r="P22" s="109">
        <f t="shared" si="77"/>
        <v>0</v>
      </c>
      <c r="Q22" s="109">
        <f t="shared" si="77"/>
        <v>0</v>
      </c>
      <c r="R22" s="109">
        <f t="shared" si="77"/>
        <v>0</v>
      </c>
      <c r="S22" s="651">
        <f t="shared" si="77"/>
        <v>0</v>
      </c>
      <c r="T22" s="109">
        <f t="shared" si="77"/>
        <v>0</v>
      </c>
      <c r="U22" s="317">
        <f t="shared" si="77"/>
        <v>0</v>
      </c>
      <c r="V22" s="317">
        <f t="shared" si="77"/>
        <v>0</v>
      </c>
      <c r="W22" s="317">
        <f t="shared" si="77"/>
        <v>0</v>
      </c>
      <c r="X22" s="317">
        <f t="shared" si="77"/>
        <v>0</v>
      </c>
      <c r="Y22" s="3"/>
      <c r="Z22" s="109">
        <f>$C$22</f>
        <v>0</v>
      </c>
      <c r="AA22" s="109">
        <f t="shared" si="30"/>
        <v>0</v>
      </c>
      <c r="AB22" s="109">
        <f>AVERAGE(AG22:AQ22,AT22:AV22)</f>
        <v>0</v>
      </c>
      <c r="AC22" s="3"/>
      <c r="AD22" s="109">
        <f t="shared" ref="AD22:AE22" si="78">$C$22</f>
        <v>0</v>
      </c>
      <c r="AE22" s="109">
        <f t="shared" si="78"/>
        <v>0</v>
      </c>
      <c r="AF22" s="279"/>
      <c r="AG22" s="109">
        <f t="shared" ref="AG22:AZ22" si="79">$C$22</f>
        <v>0</v>
      </c>
      <c r="AH22" s="109">
        <f t="shared" si="79"/>
        <v>0</v>
      </c>
      <c r="AI22" s="109">
        <f t="shared" si="79"/>
        <v>0</v>
      </c>
      <c r="AJ22" s="109">
        <f t="shared" si="79"/>
        <v>0</v>
      </c>
      <c r="AK22" s="109">
        <f t="shared" si="79"/>
        <v>0</v>
      </c>
      <c r="AL22" s="109">
        <f t="shared" si="79"/>
        <v>0</v>
      </c>
      <c r="AM22" s="109">
        <f t="shared" si="79"/>
        <v>0</v>
      </c>
      <c r="AN22" s="109">
        <f t="shared" si="79"/>
        <v>0</v>
      </c>
      <c r="AO22" s="651">
        <f t="shared" si="79"/>
        <v>0</v>
      </c>
      <c r="AP22" s="109">
        <f t="shared" si="79"/>
        <v>0</v>
      </c>
      <c r="AQ22" s="109">
        <f t="shared" si="79"/>
        <v>0</v>
      </c>
      <c r="AR22" s="651">
        <f t="shared" si="79"/>
        <v>0</v>
      </c>
      <c r="AS22" s="651">
        <f t="shared" si="79"/>
        <v>0</v>
      </c>
      <c r="AT22" s="109">
        <f t="shared" si="79"/>
        <v>0</v>
      </c>
      <c r="AU22" s="109">
        <f t="shared" si="79"/>
        <v>0</v>
      </c>
      <c r="AV22" s="109">
        <f t="shared" si="79"/>
        <v>0</v>
      </c>
      <c r="AW22" s="109">
        <f t="shared" si="79"/>
        <v>0</v>
      </c>
      <c r="AX22" s="109">
        <f t="shared" si="79"/>
        <v>0</v>
      </c>
      <c r="AY22" s="109">
        <f t="shared" si="79"/>
        <v>0</v>
      </c>
      <c r="AZ22" s="109">
        <f t="shared" si="79"/>
        <v>0</v>
      </c>
      <c r="BA22" s="2"/>
      <c r="BB22" s="256"/>
      <c r="BC22" s="256"/>
      <c r="BD22" s="256">
        <f t="shared" si="38"/>
        <v>0</v>
      </c>
      <c r="BE22" s="679"/>
      <c r="BF22" s="681"/>
      <c r="BG22" s="119"/>
      <c r="BH22" s="2"/>
      <c r="BI22" s="2"/>
      <c r="BJ22" s="2"/>
      <c r="BK22" s="2"/>
    </row>
    <row r="23" spans="1:63" ht="15.75" customHeight="1">
      <c r="A23" s="307" t="s">
        <v>140</v>
      </c>
      <c r="B23" s="320"/>
      <c r="C23" s="321">
        <f t="shared" ref="C23:X23" si="80">SUM(C17:C22)</f>
        <v>0.21</v>
      </c>
      <c r="D23" s="308">
        <f t="shared" si="80"/>
        <v>30240000</v>
      </c>
      <c r="E23" s="308">
        <f t="shared" ref="E23" si="81">SUM(E17:E22)</f>
        <v>31777200</v>
      </c>
      <c r="F23" s="308">
        <f t="shared" ref="F23" si="82">SUM(F17:F22)</f>
        <v>27216000</v>
      </c>
      <c r="G23" s="308">
        <f t="shared" si="80"/>
        <v>170352000</v>
      </c>
      <c r="H23" s="308">
        <f t="shared" si="80"/>
        <v>201600000</v>
      </c>
      <c r="I23" s="659">
        <f t="shared" si="80"/>
        <v>0</v>
      </c>
      <c r="J23" s="308">
        <f t="shared" si="80"/>
        <v>95760000</v>
      </c>
      <c r="K23" s="308">
        <f t="shared" si="80"/>
        <v>35280000</v>
      </c>
      <c r="L23" s="308">
        <f t="shared" si="80"/>
        <v>50400000</v>
      </c>
      <c r="M23" s="308">
        <f t="shared" si="80"/>
        <v>30240000</v>
      </c>
      <c r="N23" s="308">
        <f t="shared" si="80"/>
        <v>52920000</v>
      </c>
      <c r="O23" s="308">
        <f t="shared" si="80"/>
        <v>38304000</v>
      </c>
      <c r="P23" s="308">
        <f t="shared" si="80"/>
        <v>20160000</v>
      </c>
      <c r="Q23" s="308">
        <f t="shared" ref="Q23:T23" si="83">SUM(Q17:Q22)</f>
        <v>75600000</v>
      </c>
      <c r="R23" s="308">
        <f t="shared" si="83"/>
        <v>28224000</v>
      </c>
      <c r="S23" s="659">
        <f t="shared" si="83"/>
        <v>151200000</v>
      </c>
      <c r="T23" s="308">
        <f t="shared" si="83"/>
        <v>0</v>
      </c>
      <c r="U23" s="309">
        <f t="shared" si="80"/>
        <v>0</v>
      </c>
      <c r="V23" s="309">
        <f t="shared" si="80"/>
        <v>0</v>
      </c>
      <c r="W23" s="309">
        <f t="shared" si="80"/>
        <v>4284000</v>
      </c>
      <c r="X23" s="309">
        <f t="shared" si="80"/>
        <v>13608000</v>
      </c>
      <c r="Y23" s="322"/>
      <c r="Z23" s="308">
        <f>AVERAGE(D23:H23,J23:R23)</f>
        <v>63433800</v>
      </c>
      <c r="AA23" s="308">
        <f t="shared" si="30"/>
        <v>8946000</v>
      </c>
      <c r="AB23" s="308">
        <f>AVERAGE(AG23:AN23,AP23:AQ23,AT23:AU23)</f>
        <v>28812000</v>
      </c>
      <c r="AC23" s="322"/>
      <c r="AD23" s="308">
        <f t="shared" ref="AD23:AE23" si="84">SUM(AD17:AD22)</f>
        <v>4284000</v>
      </c>
      <c r="AE23" s="308">
        <f t="shared" si="84"/>
        <v>13608000</v>
      </c>
      <c r="AF23" s="311"/>
      <c r="AG23" s="308">
        <f t="shared" ref="AG23:AZ23" si="85">SUM(AG17:AG22)</f>
        <v>22680000</v>
      </c>
      <c r="AH23" s="308">
        <f t="shared" ref="AH23" si="86">SUM(AH17:AH22)</f>
        <v>35280000</v>
      </c>
      <c r="AI23" s="308">
        <f t="shared" si="85"/>
        <v>22176000</v>
      </c>
      <c r="AJ23" s="308">
        <f t="shared" si="85"/>
        <v>12600000</v>
      </c>
      <c r="AK23" s="308">
        <f t="shared" si="85"/>
        <v>23940000</v>
      </c>
      <c r="AL23" s="308">
        <f t="shared" ref="AL23" si="87">SUM(AL17:AL22)</f>
        <v>40320000</v>
      </c>
      <c r="AM23" s="308">
        <f t="shared" si="85"/>
        <v>22680000</v>
      </c>
      <c r="AN23" s="308">
        <f t="shared" si="85"/>
        <v>27720000</v>
      </c>
      <c r="AO23" s="659">
        <f t="shared" si="85"/>
        <v>9828000</v>
      </c>
      <c r="AP23" s="308">
        <f t="shared" si="85"/>
        <v>37800000</v>
      </c>
      <c r="AQ23" s="308">
        <f t="shared" si="85"/>
        <v>21168000</v>
      </c>
      <c r="AR23" s="659">
        <f t="shared" si="85"/>
        <v>22176000</v>
      </c>
      <c r="AS23" s="659">
        <f t="shared" si="85"/>
        <v>13860000</v>
      </c>
      <c r="AT23" s="308">
        <f t="shared" si="85"/>
        <v>40320000</v>
      </c>
      <c r="AU23" s="308">
        <f t="shared" ref="AU23" si="88">SUM(AU17:AU22)</f>
        <v>39060000</v>
      </c>
      <c r="AV23" s="103">
        <f t="shared" si="85"/>
        <v>0</v>
      </c>
      <c r="AW23" s="103">
        <f t="shared" si="85"/>
        <v>0</v>
      </c>
      <c r="AX23" s="103">
        <f t="shared" si="85"/>
        <v>0</v>
      </c>
      <c r="AY23" s="103">
        <f t="shared" si="85"/>
        <v>0</v>
      </c>
      <c r="AZ23" s="103">
        <f t="shared" si="85"/>
        <v>0</v>
      </c>
      <c r="BA23" s="312"/>
      <c r="BB23" s="313">
        <f>Z23/$Z$29</f>
        <v>0.21000000000000002</v>
      </c>
      <c r="BC23" s="313">
        <f>AA23/$AA$29</f>
        <v>0.21</v>
      </c>
      <c r="BD23" s="313">
        <f t="shared" si="38"/>
        <v>0.21</v>
      </c>
      <c r="BE23" s="565"/>
      <c r="BF23" s="313">
        <f>D23/$D$29</f>
        <v>0.21</v>
      </c>
      <c r="BG23" s="571" t="s">
        <v>406</v>
      </c>
      <c r="BH23" s="312"/>
      <c r="BI23" s="312"/>
      <c r="BJ23" s="312"/>
      <c r="BK23" s="312"/>
    </row>
    <row r="24" spans="1:63" ht="4.5" customHeight="1">
      <c r="A24" s="323"/>
      <c r="B24" s="324"/>
      <c r="C24" s="325"/>
      <c r="D24" s="326"/>
      <c r="E24" s="326"/>
      <c r="F24" s="326"/>
      <c r="G24" s="326"/>
      <c r="H24" s="326"/>
      <c r="I24" s="661"/>
      <c r="J24" s="326"/>
      <c r="K24" s="326"/>
      <c r="L24" s="326"/>
      <c r="M24" s="326"/>
      <c r="N24" s="326"/>
      <c r="O24" s="326"/>
      <c r="P24" s="326"/>
      <c r="Q24" s="326"/>
      <c r="R24" s="326"/>
      <c r="S24" s="661"/>
      <c r="T24" s="326"/>
      <c r="U24" s="326"/>
      <c r="V24" s="326"/>
      <c r="W24" s="326"/>
      <c r="X24" s="326"/>
      <c r="Y24" s="322"/>
      <c r="Z24" s="326"/>
      <c r="AA24" s="326"/>
      <c r="AB24" s="326"/>
      <c r="AC24" s="322"/>
      <c r="AD24" s="326"/>
      <c r="AE24" s="326"/>
      <c r="AF24" s="326"/>
      <c r="AG24" s="326"/>
      <c r="AH24" s="326"/>
      <c r="AI24" s="326"/>
      <c r="AJ24" s="326"/>
      <c r="AK24" s="326"/>
      <c r="AL24" s="326"/>
      <c r="AM24" s="326"/>
      <c r="AN24" s="326"/>
      <c r="AO24" s="661"/>
      <c r="AP24" s="326"/>
      <c r="AQ24" s="326"/>
      <c r="AR24" s="661"/>
      <c r="AS24" s="661"/>
      <c r="AT24" s="326"/>
      <c r="AU24" s="326"/>
      <c r="AV24" s="316"/>
      <c r="AW24" s="316"/>
      <c r="AX24" s="316"/>
      <c r="AY24" s="316"/>
      <c r="AZ24" s="316"/>
      <c r="BA24" s="50"/>
      <c r="BB24" s="327"/>
      <c r="BC24" s="327"/>
      <c r="BD24" s="327"/>
      <c r="BE24" s="560"/>
      <c r="BF24" s="327"/>
      <c r="BG24" s="285"/>
      <c r="BH24" s="50"/>
      <c r="BI24" s="50"/>
      <c r="BJ24" s="50"/>
      <c r="BK24" s="50"/>
    </row>
    <row r="25" spans="1:63" ht="15.75" customHeight="1">
      <c r="A25" s="307" t="s">
        <v>141</v>
      </c>
      <c r="B25" s="328" t="s">
        <v>142</v>
      </c>
      <c r="C25" s="329">
        <v>3000</v>
      </c>
      <c r="D25" s="308">
        <f>$C$25*Parâmetros!$C$30</f>
        <v>42360000</v>
      </c>
      <c r="E25" s="308">
        <f>$C$25*Parâmetros!$C$30</f>
        <v>42360000</v>
      </c>
      <c r="F25" s="308">
        <f>$C$25*Parâmetros!$C$30</f>
        <v>42360000</v>
      </c>
      <c r="G25" s="308">
        <f>$C$25*Parâmetros!$C$30</f>
        <v>42360000</v>
      </c>
      <c r="H25" s="308">
        <f>$C$25*Parâmetros!$C$30</f>
        <v>42360000</v>
      </c>
      <c r="I25" s="659">
        <f>$C$25*Parâmetros!$C$30</f>
        <v>42360000</v>
      </c>
      <c r="J25" s="308">
        <f>$C$25*Parâmetros!$C$30</f>
        <v>42360000</v>
      </c>
      <c r="K25" s="308">
        <f>$C$25*Parâmetros!$C$30</f>
        <v>42360000</v>
      </c>
      <c r="L25" s="308">
        <f>$C$25*Parâmetros!$C$30</f>
        <v>42360000</v>
      </c>
      <c r="M25" s="308">
        <f>$C$25*Parâmetros!$C$30</f>
        <v>42360000</v>
      </c>
      <c r="N25" s="308">
        <f>$C$25*Parâmetros!$C$30</f>
        <v>42360000</v>
      </c>
      <c r="O25" s="308">
        <f>$C$25*Parâmetros!$C$30</f>
        <v>42360000</v>
      </c>
      <c r="P25" s="308">
        <f>$C$25*Parâmetros!$C$30</f>
        <v>42360000</v>
      </c>
      <c r="Q25" s="308">
        <f>$C$25*Parâmetros!$C$30</f>
        <v>42360000</v>
      </c>
      <c r="R25" s="308">
        <f>$C$25*Parâmetros!$C$30</f>
        <v>42360000</v>
      </c>
      <c r="S25" s="659">
        <f>$C$25*Parâmetros!$C$30</f>
        <v>42360000</v>
      </c>
      <c r="T25" s="308">
        <f>$C$25*Parâmetros!$C$30</f>
        <v>42360000</v>
      </c>
      <c r="U25" s="309">
        <f>$C$25*Parâmetros!$C$30</f>
        <v>42360000</v>
      </c>
      <c r="V25" s="309">
        <f>$C$25*Parâmetros!$C$30</f>
        <v>42360000</v>
      </c>
      <c r="W25" s="309">
        <f>$C$25*Parâmetros!$C$30</f>
        <v>42360000</v>
      </c>
      <c r="X25" s="309">
        <f>$C$25*Parâmetros!$C$30</f>
        <v>42360000</v>
      </c>
      <c r="Y25" s="322"/>
      <c r="Z25" s="308">
        <f>AVERAGE(D25:H25,J25:R25)</f>
        <v>42360000</v>
      </c>
      <c r="AA25" s="308">
        <f>AVERAGE(AD25:AE25)</f>
        <v>42360000</v>
      </c>
      <c r="AB25" s="308">
        <f>AVERAGE(AG25:AN25,AP25:AQ25,AT25:AU25)</f>
        <v>42360000</v>
      </c>
      <c r="AC25" s="322"/>
      <c r="AD25" s="308">
        <f>$C$25*Parâmetros!$C$30</f>
        <v>42360000</v>
      </c>
      <c r="AE25" s="308">
        <f>$C$25*Parâmetros!$C$30</f>
        <v>42360000</v>
      </c>
      <c r="AF25" s="311"/>
      <c r="AG25" s="308">
        <f>$C$25*Parâmetros!$C$30</f>
        <v>42360000</v>
      </c>
      <c r="AH25" s="308">
        <f>$C$25*Parâmetros!$C$30</f>
        <v>42360000</v>
      </c>
      <c r="AI25" s="308">
        <f>$C$25*Parâmetros!$C$30</f>
        <v>42360000</v>
      </c>
      <c r="AJ25" s="308">
        <f>$C$25*Parâmetros!$C$30</f>
        <v>42360000</v>
      </c>
      <c r="AK25" s="308">
        <f>$C$25*Parâmetros!$C$30</f>
        <v>42360000</v>
      </c>
      <c r="AL25" s="308">
        <f>$C$25*Parâmetros!$C$30</f>
        <v>42360000</v>
      </c>
      <c r="AM25" s="308">
        <f>$C$25*Parâmetros!$C$30</f>
        <v>42360000</v>
      </c>
      <c r="AN25" s="308">
        <f>$C$25*Parâmetros!$C$30</f>
        <v>42360000</v>
      </c>
      <c r="AO25" s="659">
        <f>$C$25*Parâmetros!$C$30</f>
        <v>42360000</v>
      </c>
      <c r="AP25" s="308">
        <f>$C$25*Parâmetros!$C$30</f>
        <v>42360000</v>
      </c>
      <c r="AQ25" s="308">
        <f>$C$25*Parâmetros!$C$30</f>
        <v>42360000</v>
      </c>
      <c r="AR25" s="659">
        <f>$C$25*Parâmetros!$C$30</f>
        <v>42360000</v>
      </c>
      <c r="AS25" s="659">
        <f>$C$25*Parâmetros!$C$30</f>
        <v>42360000</v>
      </c>
      <c r="AT25" s="308">
        <f>$C$25*Parâmetros!$C$30</f>
        <v>42360000</v>
      </c>
      <c r="AU25" s="308">
        <f>$C$25*Parâmetros!$C$30</f>
        <v>42360000</v>
      </c>
      <c r="AV25" s="103">
        <f>$C$25*Parâmetros!$C$30</f>
        <v>42360000</v>
      </c>
      <c r="AW25" s="103">
        <f>$C$25*Parâmetros!$C$30</f>
        <v>42360000</v>
      </c>
      <c r="AX25" s="103">
        <f>$C$25*Parâmetros!$C$30</f>
        <v>42360000</v>
      </c>
      <c r="AY25" s="103">
        <f>$C$25*Parâmetros!$C$30</f>
        <v>42360000</v>
      </c>
      <c r="AZ25" s="103">
        <f>$C$25*Parâmetros!$C$30</f>
        <v>42360000</v>
      </c>
      <c r="BA25" s="312"/>
      <c r="BB25" s="313">
        <f>Z25/$Z$29</f>
        <v>0.14023438608439034</v>
      </c>
      <c r="BC25" s="313">
        <f>AA25/$AA$29</f>
        <v>0.9943661971830986</v>
      </c>
      <c r="BD25" s="313">
        <f>AB25/$AB$29</f>
        <v>0.3087463556851312</v>
      </c>
      <c r="BE25" s="565"/>
      <c r="BF25" s="313">
        <f>D25/$D$29</f>
        <v>0.29416666666666669</v>
      </c>
      <c r="BG25" s="571" t="s">
        <v>407</v>
      </c>
      <c r="BH25" s="312"/>
      <c r="BI25" s="312"/>
      <c r="BJ25" s="312"/>
      <c r="BK25" s="312"/>
    </row>
    <row r="26" spans="1:63" ht="4.5" customHeight="1">
      <c r="A26" s="330"/>
      <c r="B26" s="285"/>
      <c r="C26" s="285"/>
      <c r="D26" s="316"/>
      <c r="E26" s="316"/>
      <c r="F26" s="316"/>
      <c r="G26" s="316"/>
      <c r="H26" s="316"/>
      <c r="I26" s="662"/>
      <c r="J26" s="316"/>
      <c r="K26" s="316"/>
      <c r="L26" s="316"/>
      <c r="M26" s="316"/>
      <c r="N26" s="316"/>
      <c r="O26" s="316"/>
      <c r="P26" s="316"/>
      <c r="Q26" s="316"/>
      <c r="R26" s="316"/>
      <c r="S26" s="662"/>
      <c r="T26" s="316"/>
      <c r="U26" s="316"/>
      <c r="V26" s="316"/>
      <c r="W26" s="316"/>
      <c r="X26" s="316"/>
      <c r="Y26" s="3"/>
      <c r="Z26" s="316"/>
      <c r="AA26" s="316"/>
      <c r="AB26" s="316"/>
      <c r="AC26" s="3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662"/>
      <c r="AP26" s="316"/>
      <c r="AQ26" s="316"/>
      <c r="AR26" s="662"/>
      <c r="AS26" s="662"/>
      <c r="AT26" s="316"/>
      <c r="AU26" s="316"/>
      <c r="AV26" s="316"/>
      <c r="AW26" s="316"/>
      <c r="AX26" s="316"/>
      <c r="AY26" s="316"/>
      <c r="AZ26" s="316"/>
      <c r="BA26" s="50"/>
      <c r="BB26" s="331"/>
      <c r="BC26" s="331"/>
      <c r="BD26" s="331"/>
      <c r="BE26" s="559"/>
      <c r="BF26" s="331"/>
      <c r="BG26" s="572"/>
      <c r="BH26" s="50"/>
      <c r="BI26" s="50"/>
      <c r="BJ26" s="50"/>
      <c r="BK26" s="50"/>
    </row>
    <row r="27" spans="1:63" ht="20.25" customHeight="1">
      <c r="A27" s="332" t="s">
        <v>143</v>
      </c>
      <c r="B27" s="730" t="s">
        <v>139</v>
      </c>
      <c r="C27" s="700"/>
      <c r="D27" s="333">
        <f t="shared" ref="D27:X27" si="89">SUM(D15,D23,D25)</f>
        <v>136731059.31186602</v>
      </c>
      <c r="E27" s="333">
        <f t="shared" ref="E27" si="90">SUM(E15,E23,E25)</f>
        <v>140812184.25410879</v>
      </c>
      <c r="F27" s="333">
        <f t="shared" ref="F27" si="91">SUM(F15,F23,F25)</f>
        <v>126507288.06038611</v>
      </c>
      <c r="G27" s="333">
        <f t="shared" si="89"/>
        <v>561462698.25230229</v>
      </c>
      <c r="H27" s="333">
        <f t="shared" si="89"/>
        <v>651978893.55866456</v>
      </c>
      <c r="I27" s="663">
        <f t="shared" si="89"/>
        <v>42875374.211308323</v>
      </c>
      <c r="J27" s="333">
        <f t="shared" si="89"/>
        <v>337662092.68853354</v>
      </c>
      <c r="K27" s="333">
        <f t="shared" si="89"/>
        <v>151411011.66342592</v>
      </c>
      <c r="L27" s="333">
        <f t="shared" si="89"/>
        <v>195666809.30683619</v>
      </c>
      <c r="M27" s="333">
        <f t="shared" si="89"/>
        <v>137387492.15679917</v>
      </c>
      <c r="N27" s="333">
        <f t="shared" si="89"/>
        <v>205879615.09051764</v>
      </c>
      <c r="O27" s="333">
        <f t="shared" si="89"/>
        <v>161203242.53849208</v>
      </c>
      <c r="P27" s="333">
        <f t="shared" si="89"/>
        <v>106207464.19471118</v>
      </c>
      <c r="Q27" s="333">
        <f t="shared" ref="Q27:T27" si="92">SUM(Q15,Q23,Q25)</f>
        <v>273493511.35000169</v>
      </c>
      <c r="R27" s="333">
        <f t="shared" si="92"/>
        <v>130430691.05622667</v>
      </c>
      <c r="S27" s="663">
        <f t="shared" si="92"/>
        <v>502514463.47497785</v>
      </c>
      <c r="T27" s="333" t="e">
        <f t="shared" si="92"/>
        <v>#REF!</v>
      </c>
      <c r="U27" s="333" t="e">
        <f t="shared" si="89"/>
        <v>#REF!</v>
      </c>
      <c r="V27" s="333" t="e">
        <f t="shared" si="89"/>
        <v>#REF!</v>
      </c>
      <c r="W27" s="333" t="e">
        <f t="shared" si="89"/>
        <v>#REF!</v>
      </c>
      <c r="X27" s="333" t="e">
        <f t="shared" si="89"/>
        <v>#REF!</v>
      </c>
      <c r="Y27" s="334"/>
      <c r="Z27" s="308">
        <f>AVERAGE(D27:H27,J27:R27)</f>
        <v>236916718.10591945</v>
      </c>
      <c r="AA27" s="335">
        <f>AVERAGE(AD27:AE27)</f>
        <v>67388673.371936738</v>
      </c>
      <c r="AB27" s="333">
        <f>AVERAGE(AG27:AN27,AP27:AQ27,AT27:AU27)</f>
        <v>125360514.63086425</v>
      </c>
      <c r="AC27" s="334"/>
      <c r="AD27" s="333">
        <f t="shared" ref="AD27:AE27" si="93">SUM(AD15,AD23,AD25)</f>
        <v>55376522.993408851</v>
      </c>
      <c r="AE27" s="333">
        <f t="shared" si="93"/>
        <v>79400823.750464633</v>
      </c>
      <c r="AF27" s="336"/>
      <c r="AG27" s="333">
        <f t="shared" ref="AG27:AZ27" si="94">SUM(AG15,AG23,AG25)</f>
        <v>107766798.79796019</v>
      </c>
      <c r="AH27" s="333">
        <f t="shared" ref="AH27" si="95">SUM(AH15,AH23,AH25)</f>
        <v>143237041.86905122</v>
      </c>
      <c r="AI27" s="333">
        <f t="shared" si="94"/>
        <v>106315473.51753184</v>
      </c>
      <c r="AJ27" s="333">
        <f t="shared" si="94"/>
        <v>78630134.506697163</v>
      </c>
      <c r="AK27" s="333">
        <f t="shared" si="94"/>
        <v>112669935.73518977</v>
      </c>
      <c r="AL27" s="333">
        <f t="shared" ref="AL27" si="96">SUM(AL15,AL23,AL25)</f>
        <v>157331480.12746674</v>
      </c>
      <c r="AM27" s="333">
        <f t="shared" si="94"/>
        <v>108805180.01484516</v>
      </c>
      <c r="AN27" s="333">
        <f t="shared" si="94"/>
        <v>123285072.19383585</v>
      </c>
      <c r="AO27" s="663">
        <f t="shared" si="94"/>
        <v>70889854.609090462</v>
      </c>
      <c r="AP27" s="333">
        <f t="shared" si="94"/>
        <v>150646583.30364883</v>
      </c>
      <c r="AQ27" s="333">
        <f t="shared" si="94"/>
        <v>103468490.67141443</v>
      </c>
      <c r="AR27" s="663">
        <f t="shared" si="94"/>
        <v>106398166.98871741</v>
      </c>
      <c r="AS27" s="663">
        <f t="shared" si="94"/>
        <v>83302027.561261863</v>
      </c>
      <c r="AT27" s="333">
        <f t="shared" si="94"/>
        <v>158032221.15673187</v>
      </c>
      <c r="AU27" s="333">
        <f t="shared" ref="AU27" si="97">SUM(AU15,AU23,AU25)</f>
        <v>154137763.67599794</v>
      </c>
      <c r="AV27" s="337">
        <f t="shared" si="94"/>
        <v>42360000</v>
      </c>
      <c r="AW27" s="337">
        <f t="shared" si="94"/>
        <v>42360000</v>
      </c>
      <c r="AX27" s="337">
        <f t="shared" si="94"/>
        <v>42360000</v>
      </c>
      <c r="AY27" s="337">
        <f t="shared" si="94"/>
        <v>42360000</v>
      </c>
      <c r="AZ27" s="337">
        <f t="shared" si="94"/>
        <v>42360000</v>
      </c>
      <c r="BA27" s="312"/>
      <c r="BB27" s="338">
        <f>Z27/$Z$29</f>
        <v>0.78432177801492398</v>
      </c>
      <c r="BC27" s="338">
        <f>AA27/$AA$29</f>
        <v>1.5818937411252756</v>
      </c>
      <c r="BD27" s="338">
        <f>AB27/$AB$29</f>
        <v>0.91370637486052664</v>
      </c>
      <c r="BE27" s="566"/>
      <c r="BF27" s="338">
        <f>D27/$D$29</f>
        <v>0.94952124522129178</v>
      </c>
      <c r="BG27" s="573" t="s">
        <v>408</v>
      </c>
      <c r="BH27" s="312"/>
      <c r="BI27" s="312"/>
      <c r="BJ27" s="312"/>
      <c r="BK27" s="312"/>
    </row>
    <row r="28" spans="1:63" ht="3.75" customHeight="1">
      <c r="A28" s="339"/>
      <c r="B28" s="340"/>
      <c r="C28" s="340"/>
      <c r="D28" s="341"/>
      <c r="E28" s="341"/>
      <c r="F28" s="341"/>
      <c r="G28" s="341"/>
      <c r="H28" s="341"/>
      <c r="I28" s="664"/>
      <c r="J28" s="341"/>
      <c r="K28" s="341"/>
      <c r="L28" s="341"/>
      <c r="M28" s="341"/>
      <c r="N28" s="341"/>
      <c r="O28" s="341"/>
      <c r="P28" s="341"/>
      <c r="Q28" s="341"/>
      <c r="R28" s="341"/>
      <c r="S28" s="664"/>
      <c r="T28" s="341"/>
      <c r="U28" s="341"/>
      <c r="V28" s="341"/>
      <c r="W28" s="341"/>
      <c r="X28" s="341"/>
      <c r="Y28" s="334"/>
      <c r="Z28" s="326"/>
      <c r="AA28" s="341"/>
      <c r="AB28" s="341"/>
      <c r="AC28" s="334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664"/>
      <c r="AP28" s="341"/>
      <c r="AQ28" s="341"/>
      <c r="AR28" s="664"/>
      <c r="AS28" s="664"/>
      <c r="AT28" s="341"/>
      <c r="AU28" s="341"/>
      <c r="AV28" s="316"/>
      <c r="AW28" s="316"/>
      <c r="AX28" s="316"/>
      <c r="AY28" s="316"/>
      <c r="AZ28" s="316"/>
      <c r="BA28" s="50"/>
      <c r="BB28" s="342"/>
      <c r="BC28" s="342"/>
      <c r="BD28" s="342"/>
      <c r="BE28" s="561"/>
      <c r="BF28" s="342"/>
      <c r="BG28" s="574"/>
      <c r="BH28" s="50"/>
      <c r="BI28" s="50"/>
      <c r="BJ28" s="50"/>
      <c r="BK28" s="50"/>
    </row>
    <row r="29" spans="1:63" ht="22.5" customHeight="1">
      <c r="A29" s="332" t="s">
        <v>144</v>
      </c>
      <c r="B29" s="343" t="s">
        <v>142</v>
      </c>
      <c r="C29" s="329">
        <v>6000</v>
      </c>
      <c r="D29" s="333">
        <f t="shared" ref="D29:X29" si="98">$C$29*D39</f>
        <v>144000000</v>
      </c>
      <c r="E29" s="333">
        <f t="shared" ref="E29" si="99">$C$29*E39</f>
        <v>151320000</v>
      </c>
      <c r="F29" s="333">
        <f t="shared" ref="F29" si="100">$C$29*F39</f>
        <v>129600000</v>
      </c>
      <c r="G29" s="333">
        <f t="shared" si="98"/>
        <v>811200000</v>
      </c>
      <c r="H29" s="333">
        <f t="shared" si="98"/>
        <v>960000000</v>
      </c>
      <c r="I29" s="663">
        <f t="shared" si="98"/>
        <v>0</v>
      </c>
      <c r="J29" s="333">
        <f t="shared" si="98"/>
        <v>456000000</v>
      </c>
      <c r="K29" s="333">
        <f t="shared" si="98"/>
        <v>168000000</v>
      </c>
      <c r="L29" s="333">
        <f t="shared" si="98"/>
        <v>240000000</v>
      </c>
      <c r="M29" s="333">
        <f t="shared" si="98"/>
        <v>144000000</v>
      </c>
      <c r="N29" s="333">
        <f t="shared" si="98"/>
        <v>252000000</v>
      </c>
      <c r="O29" s="333">
        <f t="shared" si="98"/>
        <v>182400000</v>
      </c>
      <c r="P29" s="333">
        <f t="shared" si="98"/>
        <v>96000000</v>
      </c>
      <c r="Q29" s="333">
        <f t="shared" ref="Q29:T29" si="101">$C$29*Q39</f>
        <v>360000000</v>
      </c>
      <c r="R29" s="333">
        <f t="shared" si="101"/>
        <v>134400000</v>
      </c>
      <c r="S29" s="663">
        <f t="shared" si="101"/>
        <v>720000000</v>
      </c>
      <c r="T29" s="333">
        <f t="shared" si="101"/>
        <v>0</v>
      </c>
      <c r="U29" s="333">
        <f t="shared" si="98"/>
        <v>0</v>
      </c>
      <c r="V29" s="333">
        <f t="shared" si="98"/>
        <v>0</v>
      </c>
      <c r="W29" s="333">
        <f t="shared" si="98"/>
        <v>20400000</v>
      </c>
      <c r="X29" s="333">
        <f t="shared" si="98"/>
        <v>64800000</v>
      </c>
      <c r="Y29" s="334"/>
      <c r="Z29" s="308">
        <f>AVERAGE(D29:H29,J29:R29)</f>
        <v>302065714.28571427</v>
      </c>
      <c r="AA29" s="335">
        <f>AVERAGE(AD29:AE29)</f>
        <v>42600000</v>
      </c>
      <c r="AB29" s="333">
        <f>AVERAGE(AG29:AN29,AP29:AQ29,AT29:AU29)</f>
        <v>137200000</v>
      </c>
      <c r="AC29" s="334"/>
      <c r="AD29" s="333">
        <f t="shared" ref="AD29:AE29" si="102">$C$29*AD39</f>
        <v>20400000</v>
      </c>
      <c r="AE29" s="333">
        <f t="shared" si="102"/>
        <v>64800000</v>
      </c>
      <c r="AF29" s="336"/>
      <c r="AG29" s="333">
        <f t="shared" ref="AG29:AZ29" si="103">$C$29*AG39</f>
        <v>108000000</v>
      </c>
      <c r="AH29" s="333">
        <f t="shared" ref="AH29" si="104">$C$29*AH39</f>
        <v>168000000</v>
      </c>
      <c r="AI29" s="333">
        <f t="shared" si="103"/>
        <v>105600000</v>
      </c>
      <c r="AJ29" s="333">
        <f t="shared" si="103"/>
        <v>60000000</v>
      </c>
      <c r="AK29" s="333">
        <f t="shared" si="103"/>
        <v>114000000</v>
      </c>
      <c r="AL29" s="333">
        <f t="shared" ref="AL29" si="105">$C$29*AL39</f>
        <v>192000000</v>
      </c>
      <c r="AM29" s="333">
        <f t="shared" si="103"/>
        <v>108000000</v>
      </c>
      <c r="AN29" s="333">
        <f t="shared" si="103"/>
        <v>132000000</v>
      </c>
      <c r="AO29" s="663">
        <f t="shared" si="103"/>
        <v>46800000</v>
      </c>
      <c r="AP29" s="333">
        <f t="shared" si="103"/>
        <v>180000000</v>
      </c>
      <c r="AQ29" s="333">
        <f t="shared" si="103"/>
        <v>100800000</v>
      </c>
      <c r="AR29" s="663">
        <f t="shared" si="103"/>
        <v>105600000</v>
      </c>
      <c r="AS29" s="663">
        <f t="shared" si="103"/>
        <v>66000000</v>
      </c>
      <c r="AT29" s="333">
        <f t="shared" si="103"/>
        <v>192000000</v>
      </c>
      <c r="AU29" s="333">
        <f t="shared" ref="AU29" si="106">$C$29*AU39</f>
        <v>186000000</v>
      </c>
      <c r="AV29" s="337">
        <f t="shared" si="103"/>
        <v>0</v>
      </c>
      <c r="AW29" s="337">
        <f t="shared" si="103"/>
        <v>0</v>
      </c>
      <c r="AX29" s="337">
        <f t="shared" si="103"/>
        <v>0</v>
      </c>
      <c r="AY29" s="337">
        <f t="shared" si="103"/>
        <v>0</v>
      </c>
      <c r="AZ29" s="337">
        <f t="shared" si="103"/>
        <v>0</v>
      </c>
      <c r="BA29" s="312"/>
      <c r="BB29" s="338">
        <f>Z29/$Z$29</f>
        <v>1</v>
      </c>
      <c r="BC29" s="338">
        <f>AA29/$AA$29</f>
        <v>1</v>
      </c>
      <c r="BD29" s="338">
        <f>AB29/$AB$29</f>
        <v>1</v>
      </c>
      <c r="BE29" s="566"/>
      <c r="BF29" s="338">
        <f>D29/$D$29</f>
        <v>1</v>
      </c>
      <c r="BG29" s="573" t="s">
        <v>409</v>
      </c>
      <c r="BH29" s="312"/>
      <c r="BI29" s="312"/>
      <c r="BJ29" s="312"/>
      <c r="BK29" s="312"/>
    </row>
    <row r="30" spans="1:63" ht="5.25" customHeight="1">
      <c r="A30" s="344"/>
      <c r="B30" s="285"/>
      <c r="C30" s="285"/>
      <c r="D30" s="316"/>
      <c r="E30" s="316"/>
      <c r="F30" s="316"/>
      <c r="G30" s="316"/>
      <c r="H30" s="316"/>
      <c r="I30" s="662"/>
      <c r="J30" s="316"/>
      <c r="K30" s="316"/>
      <c r="L30" s="316"/>
      <c r="M30" s="316"/>
      <c r="N30" s="316"/>
      <c r="O30" s="316"/>
      <c r="P30" s="316"/>
      <c r="Q30" s="316"/>
      <c r="R30" s="316"/>
      <c r="S30" s="662"/>
      <c r="T30" s="316"/>
      <c r="U30" s="316"/>
      <c r="V30" s="316"/>
      <c r="W30" s="316"/>
      <c r="X30" s="316"/>
      <c r="Y30" s="3"/>
      <c r="Z30" s="316"/>
      <c r="AA30" s="316"/>
      <c r="AB30" s="316"/>
      <c r="AC30" s="3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662"/>
      <c r="AP30" s="316"/>
      <c r="AQ30" s="316"/>
      <c r="AR30" s="662"/>
      <c r="AS30" s="662"/>
      <c r="AT30" s="316"/>
      <c r="AU30" s="316"/>
      <c r="AV30" s="316"/>
      <c r="AW30" s="316"/>
      <c r="AX30" s="316"/>
      <c r="AY30" s="316"/>
      <c r="AZ30" s="316"/>
      <c r="BA30" s="50"/>
      <c r="BB30" s="331"/>
      <c r="BC30" s="331"/>
      <c r="BD30" s="331"/>
      <c r="BE30" s="559"/>
      <c r="BF30" s="331"/>
      <c r="BG30" s="572"/>
      <c r="BH30" s="50"/>
      <c r="BI30" s="50"/>
      <c r="BJ30" s="50"/>
      <c r="BK30" s="50"/>
    </row>
    <row r="31" spans="1:63" ht="18" customHeight="1">
      <c r="A31" s="720" t="s">
        <v>145</v>
      </c>
      <c r="B31" s="721" t="s">
        <v>139</v>
      </c>
      <c r="C31" s="700"/>
      <c r="D31" s="345">
        <f t="shared" ref="D31:X31" si="107">D29-D27</f>
        <v>7268940.6881339848</v>
      </c>
      <c r="E31" s="345">
        <f t="shared" ref="E31" si="108">E29-E27</f>
        <v>10507815.745891213</v>
      </c>
      <c r="F31" s="345">
        <f t="shared" ref="F31" si="109">F29-F27</f>
        <v>3092711.9396138936</v>
      </c>
      <c r="G31" s="345">
        <f t="shared" si="107"/>
        <v>249737301.74769771</v>
      </c>
      <c r="H31" s="345">
        <f t="shared" si="107"/>
        <v>308021106.44133544</v>
      </c>
      <c r="I31" s="665">
        <f t="shared" si="107"/>
        <v>-42875374.211308323</v>
      </c>
      <c r="J31" s="345">
        <f t="shared" si="107"/>
        <v>118337907.31146646</v>
      </c>
      <c r="K31" s="345">
        <f t="shared" si="107"/>
        <v>16588988.336574078</v>
      </c>
      <c r="L31" s="345">
        <f t="shared" si="107"/>
        <v>44333190.693163812</v>
      </c>
      <c r="M31" s="345">
        <f t="shared" si="107"/>
        <v>6612507.8432008326</v>
      </c>
      <c r="N31" s="345">
        <f t="shared" si="107"/>
        <v>46120384.90948236</v>
      </c>
      <c r="O31" s="345">
        <f t="shared" si="107"/>
        <v>21196757.461507916</v>
      </c>
      <c r="P31" s="345">
        <f t="shared" si="107"/>
        <v>-10207464.194711179</v>
      </c>
      <c r="Q31" s="345">
        <f t="shared" ref="Q31:T31" si="110">Q29-Q27</f>
        <v>86506488.649998307</v>
      </c>
      <c r="R31" s="345">
        <f t="shared" si="110"/>
        <v>3969308.9437733293</v>
      </c>
      <c r="S31" s="665">
        <f t="shared" si="110"/>
        <v>217485536.52502215</v>
      </c>
      <c r="T31" s="345" t="e">
        <f t="shared" si="110"/>
        <v>#REF!</v>
      </c>
      <c r="U31" s="345" t="e">
        <f t="shared" si="107"/>
        <v>#REF!</v>
      </c>
      <c r="V31" s="345" t="e">
        <f t="shared" si="107"/>
        <v>#REF!</v>
      </c>
      <c r="W31" s="345" t="e">
        <f t="shared" si="107"/>
        <v>#REF!</v>
      </c>
      <c r="X31" s="345" t="e">
        <f t="shared" si="107"/>
        <v>#REF!</v>
      </c>
      <c r="Y31" s="3"/>
      <c r="Z31" s="308">
        <f>AVERAGE(D31:H31,J31:R31)</f>
        <v>65148996.179794855</v>
      </c>
      <c r="AA31" s="345">
        <f t="shared" ref="AA31:AA32" si="111">AVERAGE(AD31:AE31)</f>
        <v>-24788673.371936742</v>
      </c>
      <c r="AB31" s="345">
        <f>AVERAGE(AG31:AN31,AP31:AQ31,AT31:AU31)</f>
        <v>11839485.369135747</v>
      </c>
      <c r="AC31" s="3"/>
      <c r="AD31" s="345">
        <f t="shared" ref="AD31:AE31" si="112">AD29-AD27</f>
        <v>-34976522.993408851</v>
      </c>
      <c r="AE31" s="345">
        <f t="shared" si="112"/>
        <v>-14600823.750464633</v>
      </c>
      <c r="AF31" s="346"/>
      <c r="AG31" s="345">
        <f t="shared" ref="AG31:AZ31" si="113">AG29-AG27</f>
        <v>233201.20203980803</v>
      </c>
      <c r="AH31" s="345">
        <f t="shared" ref="AH31" si="114">AH29-AH27</f>
        <v>24762958.130948782</v>
      </c>
      <c r="AI31" s="345">
        <f t="shared" si="113"/>
        <v>-715473.51753184199</v>
      </c>
      <c r="AJ31" s="345">
        <f t="shared" si="113"/>
        <v>-18630134.506697163</v>
      </c>
      <c r="AK31" s="345">
        <f t="shared" si="113"/>
        <v>1330064.2648102343</v>
      </c>
      <c r="AL31" s="345">
        <f t="shared" ref="AL31" si="115">AL29-AL27</f>
        <v>34668519.872533262</v>
      </c>
      <c r="AM31" s="345">
        <f t="shared" si="113"/>
        <v>-805180.01484516263</v>
      </c>
      <c r="AN31" s="345">
        <f t="shared" si="113"/>
        <v>8714927.8061641455</v>
      </c>
      <c r="AO31" s="665">
        <f t="shared" si="113"/>
        <v>-24089854.609090462</v>
      </c>
      <c r="AP31" s="345">
        <f t="shared" si="113"/>
        <v>29353416.696351171</v>
      </c>
      <c r="AQ31" s="345">
        <f t="shared" si="113"/>
        <v>-2668490.6714144349</v>
      </c>
      <c r="AR31" s="665">
        <f t="shared" si="113"/>
        <v>-798166.98871740699</v>
      </c>
      <c r="AS31" s="665">
        <f t="shared" si="113"/>
        <v>-17302027.561261863</v>
      </c>
      <c r="AT31" s="345">
        <f t="shared" si="113"/>
        <v>33967778.843268126</v>
      </c>
      <c r="AU31" s="345">
        <f t="shared" ref="AU31" si="116">AU29-AU27</f>
        <v>31862236.324002057</v>
      </c>
      <c r="AV31" s="345">
        <f t="shared" si="113"/>
        <v>-42360000</v>
      </c>
      <c r="AW31" s="345">
        <f t="shared" si="113"/>
        <v>-42360000</v>
      </c>
      <c r="AX31" s="345">
        <f t="shared" si="113"/>
        <v>-42360000</v>
      </c>
      <c r="AY31" s="345">
        <f t="shared" si="113"/>
        <v>-42360000</v>
      </c>
      <c r="AZ31" s="345">
        <f t="shared" si="113"/>
        <v>-42360000</v>
      </c>
      <c r="BA31" s="312"/>
      <c r="BB31" s="338">
        <f>Z31/$Z$29</f>
        <v>0.21567822198507611</v>
      </c>
      <c r="BC31" s="338">
        <f>AA31/$AA$29</f>
        <v>-0.58189374112527559</v>
      </c>
      <c r="BD31" s="338">
        <f>AB31/$AB$29</f>
        <v>8.6293625139473376E-2</v>
      </c>
      <c r="BE31" s="566"/>
      <c r="BF31" s="338">
        <f>D31/$D$29</f>
        <v>5.0478754778708231E-2</v>
      </c>
      <c r="BG31" s="573" t="s">
        <v>410</v>
      </c>
      <c r="BH31" s="312"/>
      <c r="BI31" s="312"/>
      <c r="BJ31" s="312"/>
      <c r="BK31" s="312"/>
    </row>
    <row r="32" spans="1:63" ht="18" customHeight="1">
      <c r="A32" s="697"/>
      <c r="B32" s="721" t="s">
        <v>106</v>
      </c>
      <c r="C32" s="700"/>
      <c r="D32" s="347">
        <f t="shared" ref="D32:X32" si="117">D31/D29</f>
        <v>5.0478754778708231E-2</v>
      </c>
      <c r="E32" s="347">
        <f t="shared" ref="E32" si="118">E31/E29</f>
        <v>6.944102396174473E-2</v>
      </c>
      <c r="F32" s="347">
        <f t="shared" ref="F32" si="119">F31/F29</f>
        <v>2.3863518052576339E-2</v>
      </c>
      <c r="G32" s="347">
        <f t="shared" si="117"/>
        <v>0.30786156527083053</v>
      </c>
      <c r="H32" s="347">
        <f t="shared" si="117"/>
        <v>0.32085531920972443</v>
      </c>
      <c r="I32" s="666" t="e">
        <f t="shared" si="117"/>
        <v>#DIV/0!</v>
      </c>
      <c r="J32" s="347">
        <f t="shared" si="117"/>
        <v>0.25951295463040891</v>
      </c>
      <c r="K32" s="347">
        <f t="shared" si="117"/>
        <v>9.8743978193893314E-2</v>
      </c>
      <c r="L32" s="347">
        <f t="shared" si="117"/>
        <v>0.18472162788818255</v>
      </c>
      <c r="M32" s="347">
        <f t="shared" si="117"/>
        <v>4.5920193355561335E-2</v>
      </c>
      <c r="N32" s="347">
        <f t="shared" si="117"/>
        <v>0.1830174004344538</v>
      </c>
      <c r="O32" s="347">
        <f t="shared" si="117"/>
        <v>0.11621029310037236</v>
      </c>
      <c r="P32" s="347">
        <f t="shared" si="117"/>
        <v>-0.10632775202824145</v>
      </c>
      <c r="Q32" s="347">
        <f t="shared" ref="Q32:T32" si="120">Q31/Q29</f>
        <v>0.24029580180555085</v>
      </c>
      <c r="R32" s="347">
        <f t="shared" si="120"/>
        <v>2.9533548688789654E-2</v>
      </c>
      <c r="S32" s="666">
        <f t="shared" si="120"/>
        <v>0.30206324517364186</v>
      </c>
      <c r="T32" s="347" t="e">
        <f t="shared" si="120"/>
        <v>#REF!</v>
      </c>
      <c r="U32" s="347" t="e">
        <f t="shared" si="117"/>
        <v>#REF!</v>
      </c>
      <c r="V32" s="348" t="e">
        <f t="shared" si="117"/>
        <v>#REF!</v>
      </c>
      <c r="W32" s="348" t="e">
        <f t="shared" si="117"/>
        <v>#REF!</v>
      </c>
      <c r="X32" s="348" t="e">
        <f t="shared" si="117"/>
        <v>#REF!</v>
      </c>
      <c r="Y32" s="3"/>
      <c r="Z32" s="347">
        <f>AVERAGE(D32:H32,J32:R32)</f>
        <v>0.13029487338161108</v>
      </c>
      <c r="AA32" s="347">
        <f t="shared" si="111"/>
        <v>-0.96992839751360593</v>
      </c>
      <c r="AB32" s="347">
        <f>AVERAGE(AG32:AN32,AP32:AQ32,AT32:AU32)</f>
        <v>4.7324899626347665E-2</v>
      </c>
      <c r="AC32" s="3"/>
      <c r="AD32" s="347">
        <f t="shared" ref="AD32:AE32" si="121">AD31/AD29</f>
        <v>-1.7145354408533751</v>
      </c>
      <c r="AE32" s="347">
        <f t="shared" si="121"/>
        <v>-0.22532135417383692</v>
      </c>
      <c r="AF32" s="346"/>
      <c r="AG32" s="347">
        <f t="shared" ref="AG32:AZ32" si="122">AG31/AG29</f>
        <v>2.1592703892574817E-3</v>
      </c>
      <c r="AH32" s="347">
        <f t="shared" ref="AH32" si="123">AH31/AH29</f>
        <v>0.14739856030326656</v>
      </c>
      <c r="AI32" s="347">
        <f t="shared" si="122"/>
        <v>-6.7753174008697162E-3</v>
      </c>
      <c r="AJ32" s="347">
        <f t="shared" si="122"/>
        <v>-0.31050224177828606</v>
      </c>
      <c r="AK32" s="347">
        <f t="shared" si="122"/>
        <v>1.166723039307223E-2</v>
      </c>
      <c r="AL32" s="347">
        <f t="shared" ref="AL32" si="124">AL31/AL29</f>
        <v>0.18056520766944406</v>
      </c>
      <c r="AM32" s="347">
        <f t="shared" si="122"/>
        <v>-7.4553705078255796E-3</v>
      </c>
      <c r="AN32" s="347">
        <f t="shared" si="122"/>
        <v>6.6022180349728371E-2</v>
      </c>
      <c r="AO32" s="666">
        <f t="shared" si="122"/>
        <v>-0.51474048310022358</v>
      </c>
      <c r="AP32" s="347">
        <f t="shared" si="122"/>
        <v>0.16307453720195095</v>
      </c>
      <c r="AQ32" s="347">
        <f t="shared" si="122"/>
        <v>-2.647312174022257E-2</v>
      </c>
      <c r="AR32" s="666">
        <f t="shared" si="122"/>
        <v>-7.5583995143693843E-3</v>
      </c>
      <c r="AS32" s="666">
        <f t="shared" si="122"/>
        <v>-0.26215193274639187</v>
      </c>
      <c r="AT32" s="347">
        <f t="shared" si="122"/>
        <v>0.17691551480868817</v>
      </c>
      <c r="AU32" s="347">
        <f t="shared" ref="AU32" si="125">AU31/AU29</f>
        <v>0.17130234582796805</v>
      </c>
      <c r="AV32" s="347" t="e">
        <f t="shared" si="122"/>
        <v>#DIV/0!</v>
      </c>
      <c r="AW32" s="348" t="e">
        <f t="shared" si="122"/>
        <v>#DIV/0!</v>
      </c>
      <c r="AX32" s="348" t="e">
        <f t="shared" si="122"/>
        <v>#DIV/0!</v>
      </c>
      <c r="AY32" s="348" t="e">
        <f t="shared" si="122"/>
        <v>#DIV/0!</v>
      </c>
      <c r="AZ32" s="348" t="e">
        <f t="shared" si="122"/>
        <v>#DIV/0!</v>
      </c>
      <c r="BA32" s="312"/>
      <c r="BG32" s="312"/>
      <c r="BH32" s="312"/>
      <c r="BI32" s="312"/>
      <c r="BJ32" s="312"/>
      <c r="BK32" s="312"/>
    </row>
    <row r="33" spans="1:63" ht="12.75" customHeight="1">
      <c r="A33" s="252"/>
      <c r="B33" s="2"/>
      <c r="C33" s="2"/>
      <c r="D33" s="2"/>
      <c r="E33" s="2"/>
      <c r="F33" s="2"/>
      <c r="G33" s="2"/>
      <c r="H33" s="2"/>
      <c r="I33" s="667"/>
      <c r="J33" s="2"/>
      <c r="K33" s="2"/>
      <c r="L33" s="2"/>
      <c r="M33" s="2"/>
      <c r="N33" s="2"/>
      <c r="O33" s="2"/>
      <c r="P33" s="2"/>
      <c r="Q33" s="2"/>
      <c r="R33" s="2"/>
      <c r="S33" s="667"/>
      <c r="T33" s="2"/>
      <c r="U33" s="2"/>
      <c r="V33" s="2"/>
      <c r="W33" s="2"/>
      <c r="X33" s="2"/>
      <c r="Y33" s="3"/>
      <c r="Z33" s="722" t="s">
        <v>146</v>
      </c>
      <c r="AA33" s="723"/>
      <c r="AB33" s="724"/>
      <c r="AC33" s="3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650"/>
      <c r="AP33" s="2"/>
      <c r="AQ33" s="2"/>
      <c r="AR33" s="650"/>
      <c r="AS33" s="650"/>
      <c r="AT33" s="2"/>
      <c r="AU33" s="2"/>
      <c r="AV33" s="2"/>
      <c r="AW33" s="2"/>
      <c r="AX33" s="2"/>
      <c r="AY33" s="2"/>
      <c r="AZ33" s="2"/>
      <c r="BA33" s="2"/>
      <c r="BB33" s="171"/>
      <c r="BC33" s="171"/>
      <c r="BD33" s="171"/>
      <c r="BE33" s="171"/>
      <c r="BF33" s="2"/>
      <c r="BG33" s="2"/>
      <c r="BH33" s="2"/>
      <c r="BI33" s="2"/>
      <c r="BJ33" s="2"/>
      <c r="BK33" s="2"/>
    </row>
    <row r="34" spans="1:63" ht="10.5" customHeight="1">
      <c r="A34" s="252"/>
      <c r="B34" s="2"/>
      <c r="C34" s="2"/>
      <c r="D34" s="2"/>
      <c r="E34" s="2"/>
      <c r="F34" s="2"/>
      <c r="G34" s="2"/>
      <c r="H34" s="2"/>
      <c r="I34" s="667"/>
      <c r="J34" s="2"/>
      <c r="K34" s="2"/>
      <c r="L34" s="2"/>
      <c r="M34" s="2"/>
      <c r="N34" s="2"/>
      <c r="O34" s="2"/>
      <c r="P34" s="2"/>
      <c r="Q34" s="2"/>
      <c r="R34" s="2"/>
      <c r="S34" s="667"/>
      <c r="T34" s="2"/>
      <c r="U34" s="2"/>
      <c r="V34" s="2"/>
      <c r="W34" s="2"/>
      <c r="X34" s="2"/>
      <c r="Y34" s="3"/>
      <c r="Z34" s="704"/>
      <c r="AA34" s="725"/>
      <c r="AB34" s="707"/>
      <c r="AC34" s="3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650"/>
      <c r="AP34" s="2"/>
      <c r="AQ34" s="2"/>
      <c r="AR34" s="650"/>
      <c r="AS34" s="650"/>
      <c r="AT34" s="2"/>
      <c r="AU34" s="2"/>
      <c r="AV34" s="2"/>
      <c r="AW34" s="2"/>
      <c r="AX34" s="2"/>
      <c r="AY34" s="2"/>
      <c r="AZ34" s="2"/>
      <c r="BA34" s="2"/>
      <c r="BB34" s="171"/>
      <c r="BC34" s="171"/>
      <c r="BD34" s="171"/>
      <c r="BE34" s="556"/>
      <c r="BF34" s="2"/>
      <c r="BG34" s="2"/>
      <c r="BH34" s="2"/>
      <c r="BI34" s="2"/>
      <c r="BJ34" s="2"/>
      <c r="BK34" s="2"/>
    </row>
    <row r="35" spans="1:63" ht="12.75" customHeight="1">
      <c r="A35" s="176" t="s">
        <v>67</v>
      </c>
      <c r="B35" s="705" t="s">
        <v>68</v>
      </c>
      <c r="C35" s="700"/>
      <c r="D35" s="109">
        <f>+Entrada!C17</f>
        <v>480</v>
      </c>
      <c r="E35" s="109">
        <f>+Entrada!D17</f>
        <v>504.4</v>
      </c>
      <c r="F35" s="109">
        <f>+Entrada!E17</f>
        <v>432</v>
      </c>
      <c r="G35" s="109">
        <f>+Entrada!F17</f>
        <v>2704</v>
      </c>
      <c r="H35" s="109">
        <f>+Entrada!G17</f>
        <v>3200</v>
      </c>
      <c r="I35" s="651">
        <f>+Entrada!H17</f>
        <v>0</v>
      </c>
      <c r="J35" s="185">
        <f>+Entrada!I17</f>
        <v>1520</v>
      </c>
      <c r="K35" s="109">
        <f>+Entrada!J17</f>
        <v>560</v>
      </c>
      <c r="L35" s="109">
        <f>+Entrada!K17</f>
        <v>800</v>
      </c>
      <c r="M35" s="109">
        <f>+Entrada!L17</f>
        <v>480</v>
      </c>
      <c r="N35" s="109">
        <f>+Entrada!M17</f>
        <v>840</v>
      </c>
      <c r="O35" s="109">
        <f>+Entrada!N17</f>
        <v>608</v>
      </c>
      <c r="P35" s="109">
        <f>+Entrada!O17</f>
        <v>320</v>
      </c>
      <c r="Q35" s="109">
        <f>+Entrada!P17</f>
        <v>1200</v>
      </c>
      <c r="R35" s="109">
        <f>+Entrada!Q17</f>
        <v>448</v>
      </c>
      <c r="S35" s="651">
        <f>+Entrada!R17</f>
        <v>2400</v>
      </c>
      <c r="T35" s="109">
        <f>+Entrada!S17</f>
        <v>0</v>
      </c>
      <c r="U35" s="109">
        <f>+Entrada!S17</f>
        <v>0</v>
      </c>
      <c r="V35" s="109">
        <f>+Entrada!V17</f>
        <v>0</v>
      </c>
      <c r="W35" s="109">
        <f>+Entrada!W17</f>
        <v>68</v>
      </c>
      <c r="X35" s="109">
        <f>+Entrada!X17</f>
        <v>216</v>
      </c>
      <c r="Y35" s="3"/>
      <c r="Z35" s="290">
        <f>AVERAGE(D35:H35,J35:R35)</f>
        <v>1006.8857142857142</v>
      </c>
      <c r="AA35" s="188">
        <f t="shared" ref="AA35:AA44" si="126">AVERAGE(AD35:AE35)</f>
        <v>142</v>
      </c>
      <c r="AB35" s="290">
        <f t="shared" ref="AB35:AB44" si="127">AVERAGE(AG35:AN35,AP35:AQ35,AT35:AU35)</f>
        <v>457.33333333333331</v>
      </c>
      <c r="AC35" s="3"/>
      <c r="AD35" s="318">
        <f>+Entrada!Z17</f>
        <v>68</v>
      </c>
      <c r="AE35" s="318">
        <f>+Entrada!AA17</f>
        <v>216</v>
      </c>
      <c r="AF35" s="279"/>
      <c r="AG35" s="109">
        <f>+Entrada!AC17</f>
        <v>360</v>
      </c>
      <c r="AH35" s="109">
        <f>+Entrada!AD17</f>
        <v>560</v>
      </c>
      <c r="AI35" s="109">
        <f>+Entrada!AE17</f>
        <v>352</v>
      </c>
      <c r="AJ35" s="109">
        <f>+Entrada!AF17</f>
        <v>200</v>
      </c>
      <c r="AK35" s="109">
        <f>+Entrada!AG17</f>
        <v>380</v>
      </c>
      <c r="AL35" s="109">
        <f>+Entrada!AH17</f>
        <v>640</v>
      </c>
      <c r="AM35" s="109">
        <f>+Entrada!AI17</f>
        <v>360</v>
      </c>
      <c r="AN35" s="109">
        <f>+Entrada!AJ17</f>
        <v>440</v>
      </c>
      <c r="AO35" s="651">
        <f>+Entrada!AK17</f>
        <v>156</v>
      </c>
      <c r="AP35" s="109">
        <f>+Entrada!AL17</f>
        <v>600</v>
      </c>
      <c r="AQ35" s="109">
        <f>+Entrada!AM17</f>
        <v>336</v>
      </c>
      <c r="AR35" s="651">
        <f>+Entrada!AN17</f>
        <v>352</v>
      </c>
      <c r="AS35" s="651">
        <f>+Entrada!AO17</f>
        <v>220</v>
      </c>
      <c r="AT35" s="109">
        <f>+Entrada!AP17</f>
        <v>640</v>
      </c>
      <c r="AU35" s="109">
        <f>+Entrada!AQ17</f>
        <v>620</v>
      </c>
      <c r="AV35" s="109">
        <f>+Entrada!AR17</f>
        <v>0</v>
      </c>
      <c r="AW35" s="109">
        <f>+Entrada!AS17</f>
        <v>0</v>
      </c>
      <c r="AX35" s="109">
        <f>+Entrada!AV17</f>
        <v>0</v>
      </c>
      <c r="AY35" s="109">
        <f>+Entrada!AW17</f>
        <v>0</v>
      </c>
      <c r="AZ35" s="109">
        <f>+Entrada!AX17</f>
        <v>0</v>
      </c>
      <c r="BA35" s="2"/>
      <c r="BB35" s="282">
        <f t="shared" ref="BB35:BD35" si="128">Z35</f>
        <v>1006.8857142857142</v>
      </c>
      <c r="BC35" s="282">
        <f t="shared" si="128"/>
        <v>142</v>
      </c>
      <c r="BD35" s="282">
        <f t="shared" si="128"/>
        <v>457.33333333333331</v>
      </c>
      <c r="BE35" s="557"/>
      <c r="BF35" s="2"/>
      <c r="BG35" s="2"/>
      <c r="BH35" s="2"/>
      <c r="BI35" s="2"/>
      <c r="BJ35" s="2"/>
      <c r="BK35" s="2"/>
    </row>
    <row r="36" spans="1:63" ht="12.75" customHeight="1">
      <c r="A36" s="349" t="s">
        <v>147</v>
      </c>
      <c r="B36" s="350" t="s">
        <v>80</v>
      </c>
      <c r="C36" s="351"/>
      <c r="D36" s="352">
        <f t="shared" ref="D36:X36" si="129">D27/D35</f>
        <v>284856.37356638751</v>
      </c>
      <c r="E36" s="352">
        <f t="shared" ref="E36" si="130">E27/E35</f>
        <v>279167.69281147659</v>
      </c>
      <c r="F36" s="352">
        <f t="shared" ref="F36" si="131">F27/F35</f>
        <v>292840.94458422711</v>
      </c>
      <c r="G36" s="352">
        <f t="shared" si="129"/>
        <v>207641.53041875086</v>
      </c>
      <c r="H36" s="352">
        <f t="shared" si="129"/>
        <v>203743.40423708266</v>
      </c>
      <c r="I36" s="668" t="e">
        <f t="shared" si="129"/>
        <v>#DIV/0!</v>
      </c>
      <c r="J36" s="352">
        <f t="shared" si="129"/>
        <v>222146.11361087734</v>
      </c>
      <c r="K36" s="352">
        <f t="shared" si="129"/>
        <v>270376.80654183199</v>
      </c>
      <c r="L36" s="352">
        <f t="shared" si="129"/>
        <v>244583.51163354525</v>
      </c>
      <c r="M36" s="352">
        <f t="shared" si="129"/>
        <v>286223.94199333159</v>
      </c>
      <c r="N36" s="352">
        <f t="shared" si="129"/>
        <v>245094.77986966385</v>
      </c>
      <c r="O36" s="352">
        <f t="shared" si="129"/>
        <v>265136.91206988832</v>
      </c>
      <c r="P36" s="352">
        <f t="shared" si="129"/>
        <v>331898.32560847246</v>
      </c>
      <c r="Q36" s="352">
        <f t="shared" ref="Q36:T36" si="132">Q27/Q35</f>
        <v>227911.25945833474</v>
      </c>
      <c r="R36" s="352">
        <f t="shared" si="132"/>
        <v>291139.93539336312</v>
      </c>
      <c r="S36" s="668">
        <f t="shared" si="132"/>
        <v>209381.02644790744</v>
      </c>
      <c r="T36" s="352" t="e">
        <f t="shared" si="132"/>
        <v>#REF!</v>
      </c>
      <c r="U36" s="109" t="e">
        <f t="shared" si="129"/>
        <v>#REF!</v>
      </c>
      <c r="V36" s="109" t="e">
        <f t="shared" si="129"/>
        <v>#REF!</v>
      </c>
      <c r="W36" s="109" t="e">
        <f t="shared" si="129"/>
        <v>#REF!</v>
      </c>
      <c r="X36" s="109" t="e">
        <f t="shared" si="129"/>
        <v>#REF!</v>
      </c>
      <c r="Y36" s="3"/>
      <c r="Z36" s="352">
        <f t="shared" ref="Z36:Z44" si="133">AVERAGE(D36:H36,J36:R36)</f>
        <v>260911.53798551668</v>
      </c>
      <c r="AA36" s="353">
        <f t="shared" si="126"/>
        <v>590978.51925408177</v>
      </c>
      <c r="AB36" s="353">
        <f t="shared" si="127"/>
        <v>285802.5301120957</v>
      </c>
      <c r="AC36" s="3"/>
      <c r="AD36" s="353">
        <f t="shared" ref="AD36:AE36" si="134">AD27/AD35</f>
        <v>814360.63225601253</v>
      </c>
      <c r="AE36" s="353">
        <f t="shared" si="134"/>
        <v>367596.40625215106</v>
      </c>
      <c r="AF36" s="279"/>
      <c r="AG36" s="352">
        <f t="shared" ref="AG36:AZ36" si="135">AG27/AG35</f>
        <v>299352.21888322278</v>
      </c>
      <c r="AH36" s="352">
        <f t="shared" ref="AH36" si="136">AH27/AH35</f>
        <v>255780.43190902003</v>
      </c>
      <c r="AI36" s="352">
        <f t="shared" si="135"/>
        <v>302032.5952202609</v>
      </c>
      <c r="AJ36" s="352">
        <f t="shared" si="135"/>
        <v>393150.67253348581</v>
      </c>
      <c r="AK36" s="352">
        <f t="shared" si="135"/>
        <v>296499.83088207833</v>
      </c>
      <c r="AL36" s="352">
        <f t="shared" ref="AL36" si="137">AL27/AL35</f>
        <v>245830.43769916677</v>
      </c>
      <c r="AM36" s="352">
        <f t="shared" si="135"/>
        <v>302236.6111523477</v>
      </c>
      <c r="AN36" s="352">
        <f t="shared" si="135"/>
        <v>280193.34589508147</v>
      </c>
      <c r="AO36" s="668">
        <f t="shared" si="135"/>
        <v>454422.14493006706</v>
      </c>
      <c r="AP36" s="352">
        <f t="shared" si="135"/>
        <v>251077.63883941472</v>
      </c>
      <c r="AQ36" s="352">
        <f t="shared" si="135"/>
        <v>307941.93652206677</v>
      </c>
      <c r="AR36" s="668">
        <f t="shared" si="135"/>
        <v>302267.51985431084</v>
      </c>
      <c r="AS36" s="668">
        <f t="shared" si="135"/>
        <v>378645.57982391753</v>
      </c>
      <c r="AT36" s="352">
        <f t="shared" si="135"/>
        <v>246925.34555739356</v>
      </c>
      <c r="AU36" s="352">
        <f t="shared" ref="AU36" si="138">AU27/AU35</f>
        <v>248609.29625160957</v>
      </c>
      <c r="AV36" s="109" t="e">
        <f t="shared" si="135"/>
        <v>#DIV/0!</v>
      </c>
      <c r="AW36" s="109" t="e">
        <f t="shared" si="135"/>
        <v>#DIV/0!</v>
      </c>
      <c r="AX36" s="109" t="e">
        <f t="shared" si="135"/>
        <v>#DIV/0!</v>
      </c>
      <c r="AY36" s="109" t="e">
        <f t="shared" si="135"/>
        <v>#DIV/0!</v>
      </c>
      <c r="AZ36" s="109" t="e">
        <f t="shared" si="135"/>
        <v>#DIV/0!</v>
      </c>
      <c r="BA36" s="2"/>
      <c r="BB36" s="352">
        <f t="shared" ref="BB36:BD36" si="139">Z36</f>
        <v>260911.53798551668</v>
      </c>
      <c r="BC36" s="352">
        <f t="shared" si="139"/>
        <v>590978.51925408177</v>
      </c>
      <c r="BD36" s="352">
        <f t="shared" si="139"/>
        <v>285802.5301120957</v>
      </c>
      <c r="BE36" s="556"/>
      <c r="BF36" s="2"/>
      <c r="BG36" s="2"/>
      <c r="BH36" s="2"/>
      <c r="BI36" s="2"/>
      <c r="BJ36" s="2"/>
      <c r="BK36" s="2"/>
    </row>
    <row r="37" spans="1:63" ht="12.75" customHeight="1">
      <c r="A37" s="176" t="s">
        <v>148</v>
      </c>
      <c r="B37" s="61" t="s">
        <v>80</v>
      </c>
      <c r="C37" s="61"/>
      <c r="D37" s="109">
        <f>'CustoXReceita Empreend$'!$C$29*Parâmetros!$C$32</f>
        <v>300000</v>
      </c>
      <c r="E37" s="109">
        <f>'CustoXReceita Empreend$'!$C$29*Parâmetros!$C$32</f>
        <v>300000</v>
      </c>
      <c r="F37" s="109">
        <f>'CustoXReceita Empreend$'!$C$29*Parâmetros!$C$32</f>
        <v>300000</v>
      </c>
      <c r="G37" s="109">
        <f>'CustoXReceita Empreend$'!$C$29*Parâmetros!$C$32</f>
        <v>300000</v>
      </c>
      <c r="H37" s="109">
        <f>'CustoXReceita Empreend$'!$C$29*Parâmetros!$C$32</f>
        <v>300000</v>
      </c>
      <c r="I37" s="651">
        <f>'CustoXReceita Empreend$'!$C$29*Parâmetros!$C$32</f>
        <v>300000</v>
      </c>
      <c r="J37" s="185">
        <f>'CustoXReceita Empreend$'!$C$29*Parâmetros!$C$32</f>
        <v>300000</v>
      </c>
      <c r="K37" s="109">
        <f>'CustoXReceita Empreend$'!$C$29*Parâmetros!$C$32</f>
        <v>300000</v>
      </c>
      <c r="L37" s="109">
        <f>'CustoXReceita Empreend$'!$C$29*Parâmetros!$C$32</f>
        <v>300000</v>
      </c>
      <c r="M37" s="109">
        <f>'CustoXReceita Empreend$'!$C$29*Parâmetros!$C$32</f>
        <v>300000</v>
      </c>
      <c r="N37" s="109">
        <f>'CustoXReceita Empreend$'!$C$29*Parâmetros!$C$32</f>
        <v>300000</v>
      </c>
      <c r="O37" s="109">
        <f>'CustoXReceita Empreend$'!$C$29*Parâmetros!$C$32</f>
        <v>300000</v>
      </c>
      <c r="P37" s="109">
        <f>'CustoXReceita Empreend$'!$C$29*Parâmetros!$C$32</f>
        <v>300000</v>
      </c>
      <c r="Q37" s="109">
        <f>'CustoXReceita Empreend$'!$C$29*Parâmetros!$C$32</f>
        <v>300000</v>
      </c>
      <c r="R37" s="109">
        <f>'CustoXReceita Empreend$'!$C$29*Parâmetros!$C$32</f>
        <v>300000</v>
      </c>
      <c r="S37" s="651">
        <f>'CustoXReceita Empreend$'!$C$29*Parâmetros!$C$32</f>
        <v>300000</v>
      </c>
      <c r="T37" s="109">
        <f>'CustoXReceita Empreend$'!$C$29*Parâmetros!$C$32</f>
        <v>300000</v>
      </c>
      <c r="U37" s="109">
        <f>'CustoXReceita Empreend$'!$C$29*Parâmetros!$C$32</f>
        <v>300000</v>
      </c>
      <c r="V37" s="109" t="e">
        <f t="shared" ref="V37:X37" si="140">V29/V35</f>
        <v>#DIV/0!</v>
      </c>
      <c r="W37" s="109">
        <f t="shared" si="140"/>
        <v>300000</v>
      </c>
      <c r="X37" s="109">
        <f t="shared" si="140"/>
        <v>300000</v>
      </c>
      <c r="Y37" s="3"/>
      <c r="Z37" s="290">
        <f t="shared" si="133"/>
        <v>300000</v>
      </c>
      <c r="AA37" s="188">
        <f t="shared" si="126"/>
        <v>300000</v>
      </c>
      <c r="AB37" s="290">
        <f t="shared" si="127"/>
        <v>300000</v>
      </c>
      <c r="AC37" s="3"/>
      <c r="AD37" s="318">
        <f>'CustoXReceita Empreend$'!$C$29*Parâmetros!$C$32</f>
        <v>300000</v>
      </c>
      <c r="AE37" s="318">
        <f>'CustoXReceita Empreend$'!$C$29*Parâmetros!$C$32</f>
        <v>300000</v>
      </c>
      <c r="AF37" s="279"/>
      <c r="AG37" s="109">
        <f>'CustoXReceita Empreend$'!$C$29*Parâmetros!$C$32</f>
        <v>300000</v>
      </c>
      <c r="AH37" s="109">
        <f>'CustoXReceita Empreend$'!$C$29*Parâmetros!$C$32</f>
        <v>300000</v>
      </c>
      <c r="AI37" s="109">
        <f>'CustoXReceita Empreend$'!$C$29*Parâmetros!$C$32</f>
        <v>300000</v>
      </c>
      <c r="AJ37" s="109">
        <f>'CustoXReceita Empreend$'!$C$29*Parâmetros!$C$32</f>
        <v>300000</v>
      </c>
      <c r="AK37" s="109">
        <f>'CustoXReceita Empreend$'!$C$29*Parâmetros!$C$32</f>
        <v>300000</v>
      </c>
      <c r="AL37" s="109">
        <f>'CustoXReceita Empreend$'!$C$29*Parâmetros!$C$32</f>
        <v>300000</v>
      </c>
      <c r="AM37" s="109">
        <f>'CustoXReceita Empreend$'!$C$29*Parâmetros!$C$32</f>
        <v>300000</v>
      </c>
      <c r="AN37" s="109">
        <f>'CustoXReceita Empreend$'!$C$29*Parâmetros!$C$32</f>
        <v>300000</v>
      </c>
      <c r="AO37" s="651">
        <f>'CustoXReceita Empreend$'!$C$29*Parâmetros!$C$32</f>
        <v>300000</v>
      </c>
      <c r="AP37" s="109">
        <f>'CustoXReceita Empreend$'!$C$29*Parâmetros!$C$32</f>
        <v>300000</v>
      </c>
      <c r="AQ37" s="109">
        <f>'CustoXReceita Empreend$'!$C$29*Parâmetros!$C$32</f>
        <v>300000</v>
      </c>
      <c r="AR37" s="651">
        <f>'CustoXReceita Empreend$'!$C$29*Parâmetros!$C$32</f>
        <v>300000</v>
      </c>
      <c r="AS37" s="651">
        <f>'CustoXReceita Empreend$'!$C$29*Parâmetros!$C$32</f>
        <v>300000</v>
      </c>
      <c r="AT37" s="109">
        <f>'CustoXReceita Empreend$'!$C$29*Parâmetros!$C$32</f>
        <v>300000</v>
      </c>
      <c r="AU37" s="109">
        <f>'CustoXReceita Empreend$'!$C$29*Parâmetros!$C$32</f>
        <v>300000</v>
      </c>
      <c r="AV37" s="109">
        <f>'CustoXReceita Empreend$'!$C$29*Parâmetros!$C$32</f>
        <v>300000</v>
      </c>
      <c r="AW37" s="109" t="e">
        <f t="shared" ref="AW37:AZ37" si="141">AW29/AW35</f>
        <v>#DIV/0!</v>
      </c>
      <c r="AX37" s="109" t="e">
        <f t="shared" si="141"/>
        <v>#DIV/0!</v>
      </c>
      <c r="AY37" s="109" t="e">
        <f t="shared" si="141"/>
        <v>#DIV/0!</v>
      </c>
      <c r="AZ37" s="109" t="e">
        <f t="shared" si="141"/>
        <v>#DIV/0!</v>
      </c>
      <c r="BA37" s="2"/>
      <c r="BB37" s="282">
        <f t="shared" ref="BB37:BD37" si="142">Z37</f>
        <v>300000</v>
      </c>
      <c r="BC37" s="282">
        <f t="shared" si="142"/>
        <v>300000</v>
      </c>
      <c r="BD37" s="282">
        <f t="shared" si="142"/>
        <v>300000</v>
      </c>
      <c r="BE37" s="556"/>
      <c r="BF37" s="2"/>
      <c r="BG37" s="2"/>
      <c r="BH37" s="2"/>
      <c r="BI37" s="2"/>
      <c r="BJ37" s="2"/>
      <c r="BK37" s="2"/>
    </row>
    <row r="38" spans="1:63" ht="12.75" customHeight="1">
      <c r="A38" s="176" t="s">
        <v>112</v>
      </c>
      <c r="B38" s="728" t="s">
        <v>21</v>
      </c>
      <c r="C38" s="700"/>
      <c r="D38" s="109">
        <f>Entrada!C21</f>
        <v>28800</v>
      </c>
      <c r="E38" s="109">
        <f>Entrada!D21</f>
        <v>30264</v>
      </c>
      <c r="F38" s="109">
        <f>Entrada!E21</f>
        <v>25920</v>
      </c>
      <c r="G38" s="109">
        <f>Entrada!F21</f>
        <v>162240</v>
      </c>
      <c r="H38" s="109">
        <f>Entrada!G21</f>
        <v>192000</v>
      </c>
      <c r="I38" s="651">
        <f>Entrada!H21</f>
        <v>0</v>
      </c>
      <c r="J38" s="185">
        <f>Entrada!I21</f>
        <v>91200</v>
      </c>
      <c r="K38" s="109">
        <f>Entrada!J21</f>
        <v>33600</v>
      </c>
      <c r="L38" s="109">
        <f>Entrada!K21</f>
        <v>48000</v>
      </c>
      <c r="M38" s="109">
        <f>Entrada!L21</f>
        <v>28800</v>
      </c>
      <c r="N38" s="109">
        <f>Entrada!M21</f>
        <v>50400</v>
      </c>
      <c r="O38" s="109">
        <f>Entrada!N21</f>
        <v>36480</v>
      </c>
      <c r="P38" s="109">
        <f>Entrada!O21</f>
        <v>19200</v>
      </c>
      <c r="Q38" s="109">
        <f>Entrada!P21</f>
        <v>72000</v>
      </c>
      <c r="R38" s="109">
        <f>Entrada!Q21</f>
        <v>26880</v>
      </c>
      <c r="S38" s="651">
        <f>Entrada!R21</f>
        <v>144000</v>
      </c>
      <c r="T38" s="109">
        <f>Entrada!S21</f>
        <v>0</v>
      </c>
      <c r="U38" s="109">
        <f>Entrada!S21</f>
        <v>0</v>
      </c>
      <c r="V38" s="109">
        <f>Entrada!V21</f>
        <v>0</v>
      </c>
      <c r="W38" s="109">
        <f>Entrada!W21</f>
        <v>4080</v>
      </c>
      <c r="X38" s="109">
        <f>Entrada!X21</f>
        <v>12960</v>
      </c>
      <c r="Y38" s="3"/>
      <c r="Z38" s="290">
        <f t="shared" si="133"/>
        <v>60413.142857142855</v>
      </c>
      <c r="AA38" s="188">
        <f t="shared" si="126"/>
        <v>8520</v>
      </c>
      <c r="AB38" s="290">
        <f t="shared" si="127"/>
        <v>27440</v>
      </c>
      <c r="AC38" s="3"/>
      <c r="AD38" s="318">
        <f>Entrada!Z21</f>
        <v>4080</v>
      </c>
      <c r="AE38" s="318">
        <f>Entrada!AA21</f>
        <v>12960</v>
      </c>
      <c r="AF38" s="279"/>
      <c r="AG38" s="109">
        <f>Entrada!AC21</f>
        <v>21600</v>
      </c>
      <c r="AH38" s="109">
        <f>Entrada!AD21</f>
        <v>33600</v>
      </c>
      <c r="AI38" s="109">
        <f>Entrada!AE21</f>
        <v>21120</v>
      </c>
      <c r="AJ38" s="109">
        <f>Entrada!AF21</f>
        <v>12000</v>
      </c>
      <c r="AK38" s="109">
        <f>Entrada!AG21</f>
        <v>22800</v>
      </c>
      <c r="AL38" s="109">
        <f>Entrada!AH21</f>
        <v>38400</v>
      </c>
      <c r="AM38" s="109">
        <f>Entrada!AI21</f>
        <v>21600</v>
      </c>
      <c r="AN38" s="109">
        <f>Entrada!AJ21</f>
        <v>26400</v>
      </c>
      <c r="AO38" s="651">
        <f>Entrada!AK21</f>
        <v>9360</v>
      </c>
      <c r="AP38" s="109">
        <f>Entrada!AL21</f>
        <v>36000</v>
      </c>
      <c r="AQ38" s="109">
        <f>Entrada!AM21</f>
        <v>20160</v>
      </c>
      <c r="AR38" s="651">
        <f>Entrada!AN21</f>
        <v>21120</v>
      </c>
      <c r="AS38" s="651">
        <f>Entrada!AO21</f>
        <v>13200</v>
      </c>
      <c r="AT38" s="109">
        <f>Entrada!AP21</f>
        <v>38400</v>
      </c>
      <c r="AU38" s="109">
        <f>Entrada!AQ21</f>
        <v>37200</v>
      </c>
      <c r="AV38" s="109">
        <f>Entrada!AR21</f>
        <v>0</v>
      </c>
      <c r="AW38" s="109">
        <f>Entrada!AS21</f>
        <v>0</v>
      </c>
      <c r="AX38" s="109">
        <f>Entrada!AV21</f>
        <v>0</v>
      </c>
      <c r="AY38" s="109">
        <f>Entrada!AW21</f>
        <v>0</v>
      </c>
      <c r="AZ38" s="109">
        <f>Entrada!AX21</f>
        <v>0</v>
      </c>
      <c r="BA38" s="2"/>
      <c r="BB38" s="282">
        <f t="shared" ref="BB38:BD38" si="143">Z38</f>
        <v>60413.142857142855</v>
      </c>
      <c r="BC38" s="282">
        <f t="shared" si="143"/>
        <v>8520</v>
      </c>
      <c r="BD38" s="282">
        <f t="shared" si="143"/>
        <v>27440</v>
      </c>
      <c r="BE38" s="556"/>
      <c r="BF38" s="2"/>
      <c r="BG38" s="2"/>
      <c r="BH38" s="2"/>
      <c r="BI38" s="2"/>
      <c r="BJ38" s="2"/>
      <c r="BK38" s="2"/>
    </row>
    <row r="39" spans="1:63" ht="12.75" customHeight="1">
      <c r="A39" s="176" t="s">
        <v>149</v>
      </c>
      <c r="B39" s="728" t="s">
        <v>21</v>
      </c>
      <c r="C39" s="700"/>
      <c r="D39" s="109">
        <f>Entrada!C17*Parâmetros!$C$32</f>
        <v>24000</v>
      </c>
      <c r="E39" s="109">
        <f>Entrada!D17*Parâmetros!$C$32</f>
        <v>25220</v>
      </c>
      <c r="F39" s="109">
        <f>Entrada!E17*Parâmetros!$C$32</f>
        <v>21600</v>
      </c>
      <c r="G39" s="109">
        <f>Entrada!F17*Parâmetros!$C$32</f>
        <v>135200</v>
      </c>
      <c r="H39" s="109">
        <f>Entrada!G17*Parâmetros!$C$32</f>
        <v>160000</v>
      </c>
      <c r="I39" s="651">
        <f>Entrada!H17*Parâmetros!$C$32</f>
        <v>0</v>
      </c>
      <c r="J39" s="185">
        <f>Entrada!I17*Parâmetros!$C$32</f>
        <v>76000</v>
      </c>
      <c r="K39" s="109">
        <f>Entrada!J17*Parâmetros!$C$32</f>
        <v>28000</v>
      </c>
      <c r="L39" s="109">
        <f>Entrada!K17*Parâmetros!$C$32</f>
        <v>40000</v>
      </c>
      <c r="M39" s="109">
        <f>Entrada!L17*Parâmetros!$C$32</f>
        <v>24000</v>
      </c>
      <c r="N39" s="109">
        <f>Entrada!M17*Parâmetros!$C$32</f>
        <v>42000</v>
      </c>
      <c r="O39" s="109">
        <f>Entrada!N17*Parâmetros!$C$32</f>
        <v>30400</v>
      </c>
      <c r="P39" s="109">
        <f>Entrada!O17*Parâmetros!$C$32</f>
        <v>16000</v>
      </c>
      <c r="Q39" s="109">
        <f>Entrada!P17*Parâmetros!$C$32</f>
        <v>60000</v>
      </c>
      <c r="R39" s="109">
        <f>Entrada!Q17*Parâmetros!$C$32</f>
        <v>22400</v>
      </c>
      <c r="S39" s="651">
        <f>Entrada!R17*Parâmetros!$C$32</f>
        <v>120000</v>
      </c>
      <c r="T39" s="109">
        <f>Entrada!S17*Parâmetros!$C$32</f>
        <v>0</v>
      </c>
      <c r="U39" s="109">
        <f>Entrada!S17*Parâmetros!$C$32</f>
        <v>0</v>
      </c>
      <c r="V39" s="109">
        <f>Entrada!V17*Parâmetros!$C$32</f>
        <v>0</v>
      </c>
      <c r="W39" s="109">
        <f>Entrada!W17*Parâmetros!$C$32</f>
        <v>3400</v>
      </c>
      <c r="X39" s="109">
        <f>Entrada!X17*Parâmetros!$C$32</f>
        <v>10800</v>
      </c>
      <c r="Y39" s="3"/>
      <c r="Z39" s="290">
        <f t="shared" si="133"/>
        <v>50344.285714285717</v>
      </c>
      <c r="AA39" s="188">
        <f t="shared" si="126"/>
        <v>7100</v>
      </c>
      <c r="AB39" s="290">
        <f>AVERAGE(AG39:AN39,AP39:AQ39,AT39:AU39)</f>
        <v>22866.666666666668</v>
      </c>
      <c r="AC39" s="3"/>
      <c r="AD39" s="318">
        <f>Entrada!Z17*Parâmetros!$C$32</f>
        <v>3400</v>
      </c>
      <c r="AE39" s="318">
        <f>Entrada!AA17*Parâmetros!$C$32</f>
        <v>10800</v>
      </c>
      <c r="AF39" s="279"/>
      <c r="AG39" s="109">
        <f>Entrada!AC17*Parâmetros!$C$32</f>
        <v>18000</v>
      </c>
      <c r="AH39" s="109">
        <f>Entrada!AD17*Parâmetros!$C$32</f>
        <v>28000</v>
      </c>
      <c r="AI39" s="109">
        <f>Entrada!AE17*Parâmetros!$C$32</f>
        <v>17600</v>
      </c>
      <c r="AJ39" s="109">
        <f>Entrada!AF17*Parâmetros!$C$32</f>
        <v>10000</v>
      </c>
      <c r="AK39" s="109">
        <f>Entrada!AG17*Parâmetros!$C$32</f>
        <v>19000</v>
      </c>
      <c r="AL39" s="109">
        <f>Entrada!AH17*Parâmetros!$C$32</f>
        <v>32000</v>
      </c>
      <c r="AM39" s="109">
        <f>Entrada!AI17*Parâmetros!$C$32</f>
        <v>18000</v>
      </c>
      <c r="AN39" s="109">
        <f>Entrada!AJ17*Parâmetros!$C$32</f>
        <v>22000</v>
      </c>
      <c r="AO39" s="651">
        <f>Entrada!AK17*Parâmetros!$C$32</f>
        <v>7800</v>
      </c>
      <c r="AP39" s="109">
        <f>Entrada!AL17*Parâmetros!$C$32</f>
        <v>30000</v>
      </c>
      <c r="AQ39" s="109">
        <f>Entrada!AM17*Parâmetros!$C$32</f>
        <v>16800</v>
      </c>
      <c r="AR39" s="651">
        <f>Entrada!AN17*Parâmetros!$C$32</f>
        <v>17600</v>
      </c>
      <c r="AS39" s="651">
        <f>Entrada!AO17*Parâmetros!$C$32</f>
        <v>11000</v>
      </c>
      <c r="AT39" s="109">
        <f>Entrada!AP17*Parâmetros!$C$32</f>
        <v>32000</v>
      </c>
      <c r="AU39" s="109">
        <f>Entrada!AQ17*Parâmetros!$C$32</f>
        <v>31000</v>
      </c>
      <c r="AV39" s="109">
        <f>Entrada!AR17*Parâmetros!$C$32</f>
        <v>0</v>
      </c>
      <c r="AW39" s="109">
        <f>Entrada!AS17*Parâmetros!$C$32</f>
        <v>0</v>
      </c>
      <c r="AX39" s="109">
        <f>Entrada!AV17*Parâmetros!$C$32</f>
        <v>0</v>
      </c>
      <c r="AY39" s="109">
        <f>Entrada!AW17*Parâmetros!$C$32</f>
        <v>0</v>
      </c>
      <c r="AZ39" s="109">
        <f>Entrada!AX17*Parâmetros!$C$32</f>
        <v>0</v>
      </c>
      <c r="BA39" s="2"/>
      <c r="BB39" s="282">
        <f t="shared" ref="BB39:BD39" si="144">Z39</f>
        <v>50344.285714285717</v>
      </c>
      <c r="BC39" s="282">
        <f t="shared" si="144"/>
        <v>7100</v>
      </c>
      <c r="BD39" s="282">
        <f t="shared" si="144"/>
        <v>22866.666666666668</v>
      </c>
      <c r="BE39" s="556"/>
      <c r="BF39" s="2"/>
      <c r="BG39" s="2"/>
      <c r="BH39" s="2"/>
      <c r="BI39" s="2"/>
      <c r="BJ39" s="2"/>
      <c r="BK39" s="2"/>
    </row>
    <row r="40" spans="1:63" ht="12.75" customHeight="1">
      <c r="A40" s="176" t="s">
        <v>113</v>
      </c>
      <c r="B40" s="354" t="s">
        <v>114</v>
      </c>
      <c r="C40" s="355"/>
      <c r="D40" s="109">
        <f>'custo obra$'!D22</f>
        <v>12</v>
      </c>
      <c r="E40" s="109">
        <f>'custo obra$'!E22</f>
        <v>13</v>
      </c>
      <c r="F40" s="109">
        <f>'custo obra$'!F22</f>
        <v>8</v>
      </c>
      <c r="G40" s="109">
        <f>'custo obra$'!G22</f>
        <v>26</v>
      </c>
      <c r="H40" s="109">
        <f>'custo obra$'!H22</f>
        <v>2</v>
      </c>
      <c r="I40" s="651">
        <f>'custo obra$'!I22</f>
        <v>0</v>
      </c>
      <c r="J40" s="185">
        <f>'custo obra$'!J22</f>
        <v>38</v>
      </c>
      <c r="K40" s="109">
        <f>'custo obra$'!K22</f>
        <v>14</v>
      </c>
      <c r="L40" s="109">
        <f>'custo obra$'!L22</f>
        <v>4</v>
      </c>
      <c r="M40" s="109">
        <f>'custo obra$'!M22</f>
        <v>15</v>
      </c>
      <c r="N40" s="109">
        <f>'custo obra$'!N22</f>
        <v>21</v>
      </c>
      <c r="O40" s="109">
        <f>'custo obra$'!O22</f>
        <v>19</v>
      </c>
      <c r="P40" s="109">
        <f>'custo obra$'!P22</f>
        <v>8</v>
      </c>
      <c r="Q40" s="109">
        <f>'custo obra$'!Q22</f>
        <v>15</v>
      </c>
      <c r="R40" s="109">
        <f>'custo obra$'!R22</f>
        <v>14</v>
      </c>
      <c r="S40" s="651">
        <f>'custo obra$'!S22</f>
        <v>20</v>
      </c>
      <c r="T40" s="109">
        <f>'custo obra$'!T22</f>
        <v>0</v>
      </c>
      <c r="U40" s="109">
        <f>'custo obra$'!T22</f>
        <v>0</v>
      </c>
      <c r="V40" s="109">
        <f>'custo obra$'!U22</f>
        <v>0</v>
      </c>
      <c r="W40" s="109">
        <f>'custo obra$'!V22</f>
        <v>17</v>
      </c>
      <c r="X40" s="109">
        <f>'custo obra$'!W22</f>
        <v>27</v>
      </c>
      <c r="Y40" s="3"/>
      <c r="Z40" s="290">
        <f t="shared" si="133"/>
        <v>14.928571428571429</v>
      </c>
      <c r="AA40" s="188">
        <f t="shared" si="126"/>
        <v>22</v>
      </c>
      <c r="AB40" s="290">
        <f t="shared" si="127"/>
        <v>23.583333333333332</v>
      </c>
      <c r="AC40" s="3"/>
      <c r="AD40" s="318">
        <f>'custo obra$'!AC22</f>
        <v>17</v>
      </c>
      <c r="AE40" s="318">
        <f>'custo obra$'!AD22</f>
        <v>27</v>
      </c>
      <c r="AF40" s="279"/>
      <c r="AG40" s="109">
        <f>'custo obra$'!AF22</f>
        <v>18</v>
      </c>
      <c r="AH40" s="109">
        <f>'custo obra$'!AG22</f>
        <v>28</v>
      </c>
      <c r="AI40" s="109">
        <f>'custo obra$'!AH22</f>
        <v>22</v>
      </c>
      <c r="AJ40" s="109">
        <f>'custo obra$'!AI22</f>
        <v>10</v>
      </c>
      <c r="AK40" s="109">
        <f>'custo obra$'!AJ22</f>
        <v>19</v>
      </c>
      <c r="AL40" s="109">
        <f>'custo obra$'!AK22</f>
        <v>32</v>
      </c>
      <c r="AM40" s="109">
        <f>'custo obra$'!AL22</f>
        <v>18</v>
      </c>
      <c r="AN40" s="109">
        <f>'custo obra$'!AM22</f>
        <v>22</v>
      </c>
      <c r="AO40" s="651">
        <f>'custo obra$'!AN22</f>
        <v>6</v>
      </c>
      <c r="AP40" s="109">
        <f>'custo obra$'!AO22</f>
        <v>30</v>
      </c>
      <c r="AQ40" s="109">
        <f>'custo obra$'!AP22</f>
        <v>21</v>
      </c>
      <c r="AR40" s="651">
        <f>'custo obra$'!AQ22</f>
        <v>22</v>
      </c>
      <c r="AS40" s="651">
        <f>'custo obra$'!AR22</f>
        <v>11</v>
      </c>
      <c r="AT40" s="109">
        <f>'custo obra$'!AS22</f>
        <v>32</v>
      </c>
      <c r="AU40" s="109">
        <f>'custo obra$'!AT22</f>
        <v>31</v>
      </c>
      <c r="AV40" s="109">
        <f>'custo obra$'!AU22</f>
        <v>0</v>
      </c>
      <c r="AW40" s="109">
        <f>'custo obra$'!AV22</f>
        <v>0</v>
      </c>
      <c r="AX40" s="109">
        <f>'custo obra$'!AW22</f>
        <v>0</v>
      </c>
      <c r="AY40" s="109">
        <f>'custo obra$'!AX22</f>
        <v>0</v>
      </c>
      <c r="AZ40" s="109">
        <f>'custo obra$'!AY22</f>
        <v>0</v>
      </c>
      <c r="BA40" s="2"/>
      <c r="BB40" s="282">
        <f t="shared" ref="BB40:BD40" si="145">Z40</f>
        <v>14.928571428571429</v>
      </c>
      <c r="BC40" s="282">
        <f t="shared" si="145"/>
        <v>22</v>
      </c>
      <c r="BD40" s="282">
        <f t="shared" si="145"/>
        <v>23.583333333333332</v>
      </c>
      <c r="BE40" s="556"/>
      <c r="BF40" s="2"/>
      <c r="BG40" s="2"/>
      <c r="BH40" s="2"/>
      <c r="BI40" s="2"/>
      <c r="BJ40" s="2"/>
      <c r="BK40" s="2"/>
    </row>
    <row r="41" spans="1:63" ht="12.75" customHeight="1">
      <c r="A41" s="176" t="s">
        <v>63</v>
      </c>
      <c r="B41" s="354" t="s">
        <v>114</v>
      </c>
      <c r="C41" s="296"/>
      <c r="D41" s="356">
        <f>'custo obra$'!D23</f>
        <v>10</v>
      </c>
      <c r="E41" s="356">
        <f>'custo obra$'!E23</f>
        <v>9.6999999999999993</v>
      </c>
      <c r="F41" s="356">
        <f>'custo obra$'!F23</f>
        <v>13.5</v>
      </c>
      <c r="G41" s="356">
        <f>'custo obra$'!G23</f>
        <v>26</v>
      </c>
      <c r="H41" s="356">
        <f>'custo obra$'!H23</f>
        <v>400</v>
      </c>
      <c r="I41" s="669">
        <f>'custo obra$'!I23</f>
        <v>0</v>
      </c>
      <c r="J41" s="185">
        <f>'custo obra$'!J23</f>
        <v>10</v>
      </c>
      <c r="K41" s="356">
        <f>'custo obra$'!K23</f>
        <v>10</v>
      </c>
      <c r="L41" s="356">
        <f>'custo obra$'!L23</f>
        <v>50</v>
      </c>
      <c r="M41" s="356">
        <f>'custo obra$'!M23</f>
        <v>8</v>
      </c>
      <c r="N41" s="356">
        <f>'custo obra$'!N23</f>
        <v>10</v>
      </c>
      <c r="O41" s="356">
        <f>'custo obra$'!O23</f>
        <v>8</v>
      </c>
      <c r="P41" s="356">
        <f>'custo obra$'!P23</f>
        <v>10</v>
      </c>
      <c r="Q41" s="356">
        <f>'custo obra$'!Q23</f>
        <v>20</v>
      </c>
      <c r="R41" s="356">
        <f>'custo obra$'!R23</f>
        <v>8</v>
      </c>
      <c r="S41" s="669">
        <f>'custo obra$'!S23</f>
        <v>30</v>
      </c>
      <c r="T41" s="356">
        <f>'custo obra$'!T23</f>
        <v>0</v>
      </c>
      <c r="U41" s="356">
        <f>'custo obra$'!T23</f>
        <v>0</v>
      </c>
      <c r="V41" s="356">
        <f>'custo obra$'!U23</f>
        <v>0</v>
      </c>
      <c r="W41" s="356">
        <f>'custo obra$'!V23</f>
        <v>1</v>
      </c>
      <c r="X41" s="356">
        <f>'custo obra$'!W23</f>
        <v>2</v>
      </c>
      <c r="Y41" s="357"/>
      <c r="Z41" s="290">
        <f t="shared" si="133"/>
        <v>42.371428571428574</v>
      </c>
      <c r="AA41" s="358">
        <f t="shared" si="126"/>
        <v>1.5</v>
      </c>
      <c r="AB41" s="290">
        <f t="shared" si="127"/>
        <v>4.833333333333333</v>
      </c>
      <c r="AC41" s="357"/>
      <c r="AD41" s="359">
        <f>'custo obra$'!AC23</f>
        <v>1</v>
      </c>
      <c r="AE41" s="359">
        <f>'custo obra$'!AD23</f>
        <v>2</v>
      </c>
      <c r="AF41" s="360"/>
      <c r="AG41" s="356">
        <f>'custo obra$'!AF23</f>
        <v>5</v>
      </c>
      <c r="AH41" s="356">
        <f>'custo obra$'!AG23</f>
        <v>5</v>
      </c>
      <c r="AI41" s="356">
        <f>'custo obra$'!AH23</f>
        <v>4</v>
      </c>
      <c r="AJ41" s="356">
        <f>'custo obra$'!AI23</f>
        <v>5</v>
      </c>
      <c r="AK41" s="356">
        <f>'custo obra$'!AJ23</f>
        <v>5</v>
      </c>
      <c r="AL41" s="356">
        <f>'custo obra$'!AK23</f>
        <v>5</v>
      </c>
      <c r="AM41" s="356">
        <f>'custo obra$'!AL23</f>
        <v>5</v>
      </c>
      <c r="AN41" s="356">
        <f>'custo obra$'!AM23</f>
        <v>5</v>
      </c>
      <c r="AO41" s="669">
        <f>'custo obra$'!AN23</f>
        <v>6.5</v>
      </c>
      <c r="AP41" s="356">
        <f>'custo obra$'!AO23</f>
        <v>5</v>
      </c>
      <c r="AQ41" s="356">
        <f>'custo obra$'!AP23</f>
        <v>4</v>
      </c>
      <c r="AR41" s="669">
        <f>'custo obra$'!AQ23</f>
        <v>4</v>
      </c>
      <c r="AS41" s="669">
        <f>'custo obra$'!AR23</f>
        <v>5</v>
      </c>
      <c r="AT41" s="356">
        <f>'custo obra$'!AS23</f>
        <v>5</v>
      </c>
      <c r="AU41" s="356">
        <f>'custo obra$'!AT23</f>
        <v>5</v>
      </c>
      <c r="AV41" s="361">
        <f>'custo obra$'!AU23</f>
        <v>0</v>
      </c>
      <c r="AW41" s="361">
        <f>'custo obra$'!AV23</f>
        <v>0</v>
      </c>
      <c r="AX41" s="361">
        <f>'custo obra$'!AW23</f>
        <v>0</v>
      </c>
      <c r="AY41" s="361">
        <f>'custo obra$'!AX23</f>
        <v>0</v>
      </c>
      <c r="AZ41" s="361">
        <f>'custo obra$'!AY23</f>
        <v>0</v>
      </c>
      <c r="BA41" s="2"/>
      <c r="BB41" s="282">
        <f t="shared" ref="BB41:BD41" si="146">Z41</f>
        <v>42.371428571428574</v>
      </c>
      <c r="BC41" s="282">
        <f t="shared" si="146"/>
        <v>1.5</v>
      </c>
      <c r="BD41" s="282">
        <f t="shared" si="146"/>
        <v>4.833333333333333</v>
      </c>
      <c r="BE41" s="556"/>
      <c r="BF41" s="2"/>
      <c r="BG41" s="2"/>
      <c r="BH41" s="2"/>
      <c r="BI41" s="2"/>
      <c r="BJ41" s="2"/>
      <c r="BK41" s="2"/>
    </row>
    <row r="42" spans="1:63" ht="12.75" customHeight="1">
      <c r="A42" s="535" t="s">
        <v>403</v>
      </c>
      <c r="B42" s="362" t="s">
        <v>117</v>
      </c>
      <c r="C42" s="61"/>
      <c r="D42" s="109">
        <f>'custo obra$'!D25</f>
        <v>339.94334277620396</v>
      </c>
      <c r="E42" s="109">
        <f>'custo obra$'!E25</f>
        <v>357.22379603399435</v>
      </c>
      <c r="F42" s="109">
        <f>'custo obra$'!F25</f>
        <v>305.94900849858357</v>
      </c>
      <c r="G42" s="109">
        <f>'custo obra$'!G25</f>
        <v>1915.0141643059492</v>
      </c>
      <c r="H42" s="109">
        <f>'custo obra$'!H25</f>
        <v>2266.2889518413599</v>
      </c>
      <c r="I42" s="651">
        <f>'custo obra$'!I25</f>
        <v>0</v>
      </c>
      <c r="J42" s="185">
        <f>'custo obra$'!J25</f>
        <v>1076.4872521246459</v>
      </c>
      <c r="K42" s="109">
        <f>'custo obra$'!K25</f>
        <v>396.60056657223799</v>
      </c>
      <c r="L42" s="109">
        <f>'custo obra$'!L25</f>
        <v>566.57223796033998</v>
      </c>
      <c r="M42" s="109">
        <f>'custo obra$'!M25</f>
        <v>339.94334277620396</v>
      </c>
      <c r="N42" s="109">
        <f>'custo obra$'!N25</f>
        <v>594.90084985835699</v>
      </c>
      <c r="O42" s="109">
        <f>'custo obra$'!O25</f>
        <v>430.59490084985839</v>
      </c>
      <c r="P42" s="109">
        <f>'custo obra$'!P25</f>
        <v>226.62889518413598</v>
      </c>
      <c r="Q42" s="109">
        <f>'custo obra$'!Q25</f>
        <v>849.85835694050991</v>
      </c>
      <c r="R42" s="109">
        <f>'custo obra$'!R25</f>
        <v>317.28045325779038</v>
      </c>
      <c r="S42" s="651">
        <f>'custo obra$'!S25</f>
        <v>1699.7167138810198</v>
      </c>
      <c r="T42" s="109">
        <f>'custo obra$'!T25</f>
        <v>0</v>
      </c>
      <c r="U42" s="109">
        <f>'custo obra$'!T25</f>
        <v>0</v>
      </c>
      <c r="V42" s="109">
        <f>'custo obra$'!U25</f>
        <v>0</v>
      </c>
      <c r="W42" s="109">
        <f>'custo obra$'!V25</f>
        <v>48.158640226628897</v>
      </c>
      <c r="X42" s="109" t="e">
        <f>'custo obra$'!W25</f>
        <v>#DIV/0!</v>
      </c>
      <c r="Y42" s="3"/>
      <c r="Z42" s="290">
        <f t="shared" si="133"/>
        <v>713.09186564144079</v>
      </c>
      <c r="AA42" s="188">
        <f t="shared" si="126"/>
        <v>100.56657223796034</v>
      </c>
      <c r="AB42" s="290">
        <f t="shared" si="127"/>
        <v>323.89046270066098</v>
      </c>
      <c r="AC42" s="3"/>
      <c r="AD42" s="318">
        <f>'custo obra$'!AC25</f>
        <v>48.158640226628897</v>
      </c>
      <c r="AE42" s="318">
        <f>'custo obra$'!AD25</f>
        <v>152.97450424929178</v>
      </c>
      <c r="AF42" s="279"/>
      <c r="AG42" s="109">
        <f>'custo obra$'!AF25</f>
        <v>254.957507082153</v>
      </c>
      <c r="AH42" s="109">
        <f>'custo obra$'!AG25</f>
        <v>396.60056657223799</v>
      </c>
      <c r="AI42" s="109">
        <f>'custo obra$'!AH25</f>
        <v>249.29178470254959</v>
      </c>
      <c r="AJ42" s="109">
        <f>'custo obra$'!AI25</f>
        <v>141.64305949008499</v>
      </c>
      <c r="AK42" s="109">
        <f>'custo obra$'!AJ25</f>
        <v>269.12181303116148</v>
      </c>
      <c r="AL42" s="109">
        <f>'custo obra$'!AK25</f>
        <v>453.25779036827197</v>
      </c>
      <c r="AM42" s="109">
        <f>'custo obra$'!AL25</f>
        <v>254.957507082153</v>
      </c>
      <c r="AN42" s="109">
        <f>'custo obra$'!AM25</f>
        <v>311.614730878187</v>
      </c>
      <c r="AO42" s="651">
        <f>'custo obra$'!AN25</f>
        <v>110.4815864022663</v>
      </c>
      <c r="AP42" s="109">
        <f>'custo obra$'!AO25</f>
        <v>424.92917847025495</v>
      </c>
      <c r="AQ42" s="109">
        <f>'custo obra$'!AP25</f>
        <v>237.9603399433428</v>
      </c>
      <c r="AR42" s="651">
        <f>'custo obra$'!AQ25</f>
        <v>249.29178470254959</v>
      </c>
      <c r="AS42" s="651">
        <f>'custo obra$'!AR25</f>
        <v>155.8073654390935</v>
      </c>
      <c r="AT42" s="109">
        <f>'custo obra$'!AS25</f>
        <v>453.25779036827197</v>
      </c>
      <c r="AU42" s="109">
        <f>'custo obra$'!AT25</f>
        <v>439.09348441926346</v>
      </c>
      <c r="AV42" s="109">
        <f>'custo obra$'!AU25</f>
        <v>0</v>
      </c>
      <c r="AW42" s="109">
        <f>'custo obra$'!AV25</f>
        <v>0</v>
      </c>
      <c r="AX42" s="109">
        <f>'custo obra$'!AW25</f>
        <v>0</v>
      </c>
      <c r="AY42" s="109">
        <f>'custo obra$'!AX25</f>
        <v>0</v>
      </c>
      <c r="AZ42" s="109">
        <f>'custo obra$'!AY25</f>
        <v>0</v>
      </c>
      <c r="BA42" s="2"/>
      <c r="BB42" s="282">
        <f t="shared" ref="BB42:BD42" si="147">Z42</f>
        <v>713.09186564144079</v>
      </c>
      <c r="BC42" s="282">
        <f t="shared" si="147"/>
        <v>100.56657223796034</v>
      </c>
      <c r="BD42" s="282">
        <f t="shared" si="147"/>
        <v>323.89046270066098</v>
      </c>
      <c r="BE42" s="556"/>
      <c r="BF42" s="2"/>
      <c r="BG42" s="2"/>
      <c r="BH42" s="2"/>
      <c r="BI42" s="2"/>
      <c r="BJ42" s="2"/>
      <c r="BK42" s="2"/>
    </row>
    <row r="43" spans="1:63" ht="12.75" customHeight="1">
      <c r="A43" s="363" t="s">
        <v>150</v>
      </c>
      <c r="B43" s="363"/>
      <c r="C43" s="363"/>
      <c r="D43" s="364">
        <f>D39/Parâmetros!$C$30</f>
        <v>1.6997167138810199</v>
      </c>
      <c r="E43" s="364">
        <f>E39/Parâmetros!$C$30</f>
        <v>1.7861189801699717</v>
      </c>
      <c r="F43" s="364">
        <f>F39/Parâmetros!$C$30</f>
        <v>1.5297450424929178</v>
      </c>
      <c r="G43" s="364">
        <f>G39/Parâmetros!$C$30</f>
        <v>9.5750708215297458</v>
      </c>
      <c r="H43" s="364">
        <f>H39/Parâmetros!$C$30</f>
        <v>11.331444759206798</v>
      </c>
      <c r="I43" s="670">
        <f>I39/Parâmetros!$C$30</f>
        <v>0</v>
      </c>
      <c r="J43" s="365">
        <f>J39/Parâmetros!$C$30</f>
        <v>5.3824362606232299</v>
      </c>
      <c r="K43" s="364">
        <f>K39/Parâmetros!$C$30</f>
        <v>1.9830028328611897</v>
      </c>
      <c r="L43" s="364">
        <f>L39/Parâmetros!$C$30</f>
        <v>2.8328611898016995</v>
      </c>
      <c r="M43" s="364">
        <f>M39/Parâmetros!$C$30</f>
        <v>1.6997167138810199</v>
      </c>
      <c r="N43" s="364">
        <f>N39/Parâmetros!$C$30</f>
        <v>2.9745042492917846</v>
      </c>
      <c r="O43" s="364">
        <f>O39/Parâmetros!$C$30</f>
        <v>2.1529745042492916</v>
      </c>
      <c r="P43" s="364">
        <f>P39/Parâmetros!$C$30</f>
        <v>1.1331444759206799</v>
      </c>
      <c r="Q43" s="364">
        <f>Q39/Parâmetros!$C$30</f>
        <v>4.2492917847025495</v>
      </c>
      <c r="R43" s="364">
        <f>R39/Parâmetros!$C$30</f>
        <v>1.5864022662889519</v>
      </c>
      <c r="S43" s="670">
        <f>S39/Parâmetros!$C$30</f>
        <v>8.4985835694050991</v>
      </c>
      <c r="T43" s="364">
        <f>T39/Parâmetros!$C$30</f>
        <v>0</v>
      </c>
      <c r="U43" s="364">
        <f>U39/Parâmetros!$C$30</f>
        <v>0</v>
      </c>
      <c r="V43" s="364">
        <f>V39/Parâmetros!$C$30</f>
        <v>0</v>
      </c>
      <c r="W43" s="364">
        <f>W39/Parâmetros!$C$30</f>
        <v>0.24079320113314448</v>
      </c>
      <c r="X43" s="364">
        <f>X39/Parâmetros!$C$30</f>
        <v>0.76487252124645888</v>
      </c>
      <c r="Y43" s="305"/>
      <c r="Z43" s="290">
        <f t="shared" si="133"/>
        <v>3.5654593282072033</v>
      </c>
      <c r="AA43" s="366">
        <f t="shared" si="126"/>
        <v>0.50283286118980164</v>
      </c>
      <c r="AB43" s="290">
        <f t="shared" si="127"/>
        <v>1.619452313503305</v>
      </c>
      <c r="AC43" s="305"/>
      <c r="AD43" s="367">
        <f>AD39/Parâmetros!$C$30</f>
        <v>0.24079320113314448</v>
      </c>
      <c r="AE43" s="367">
        <f>AE39/Parâmetros!$C$30</f>
        <v>0.76487252124645888</v>
      </c>
      <c r="AF43" s="368"/>
      <c r="AG43" s="364">
        <f>AG39/Parâmetros!$C$30</f>
        <v>1.2747875354107649</v>
      </c>
      <c r="AH43" s="364">
        <f>AH39/Parâmetros!$C$30</f>
        <v>1.9830028328611897</v>
      </c>
      <c r="AI43" s="364">
        <f>AI39/Parâmetros!$C$30</f>
        <v>1.2464589235127479</v>
      </c>
      <c r="AJ43" s="364">
        <f>AJ39/Parâmetros!$C$30</f>
        <v>0.70821529745042489</v>
      </c>
      <c r="AK43" s="364">
        <f>AK39/Parâmetros!$C$30</f>
        <v>1.3456090651558075</v>
      </c>
      <c r="AL43" s="364">
        <f>AL39/Parâmetros!$C$30</f>
        <v>2.2662889518413598</v>
      </c>
      <c r="AM43" s="364">
        <f>AM39/Parâmetros!$C$30</f>
        <v>1.2747875354107649</v>
      </c>
      <c r="AN43" s="364">
        <f>AN39/Parâmetros!$C$30</f>
        <v>1.5580736543909348</v>
      </c>
      <c r="AO43" s="670">
        <f>AO39/Parâmetros!$C$30</f>
        <v>0.55240793201133143</v>
      </c>
      <c r="AP43" s="364">
        <f>AP39/Parâmetros!$C$30</f>
        <v>2.1246458923512748</v>
      </c>
      <c r="AQ43" s="364">
        <f>AQ39/Parâmetros!$C$30</f>
        <v>1.1898016997167138</v>
      </c>
      <c r="AR43" s="670">
        <f>AR39/Parâmetros!$C$30</f>
        <v>1.2464589235127479</v>
      </c>
      <c r="AS43" s="670">
        <f>AS39/Parâmetros!$C$30</f>
        <v>0.77903682719546741</v>
      </c>
      <c r="AT43" s="364">
        <f>AT39/Parâmetros!$C$30</f>
        <v>2.2662889518413598</v>
      </c>
      <c r="AU43" s="364">
        <f>AU39/Parâmetros!$C$30</f>
        <v>2.1954674220963173</v>
      </c>
      <c r="AV43" s="364">
        <f>AV39/Parâmetros!$C$30</f>
        <v>0</v>
      </c>
      <c r="AW43" s="364">
        <f>AW39/Parâmetros!$C$30</f>
        <v>0</v>
      </c>
      <c r="AX43" s="364">
        <f>AX39/Parâmetros!$C$30</f>
        <v>0</v>
      </c>
      <c r="AY43" s="364">
        <f>AY39/Parâmetros!$C$30</f>
        <v>0</v>
      </c>
      <c r="AZ43" s="364">
        <f>AZ39/Parâmetros!$C$30</f>
        <v>0</v>
      </c>
      <c r="BA43" s="305"/>
      <c r="BB43" s="282">
        <f t="shared" ref="BB43:BD43" si="148">Z43</f>
        <v>3.5654593282072033</v>
      </c>
      <c r="BC43" s="282">
        <f t="shared" si="148"/>
        <v>0.50283286118980164</v>
      </c>
      <c r="BD43" s="282">
        <f t="shared" si="148"/>
        <v>1.619452313503305</v>
      </c>
      <c r="BE43" s="556"/>
      <c r="BF43" s="305"/>
      <c r="BG43" s="305"/>
      <c r="BH43" s="305"/>
      <c r="BI43" s="305"/>
      <c r="BJ43" s="305"/>
      <c r="BK43" s="305"/>
    </row>
    <row r="44" spans="1:63" ht="12.75" customHeight="1">
      <c r="A44" s="176" t="s">
        <v>151</v>
      </c>
      <c r="B44" s="176"/>
      <c r="C44" s="176"/>
      <c r="D44" s="369">
        <f>Entrada!C22</f>
        <v>2.0396600566572238</v>
      </c>
      <c r="E44" s="369">
        <f>Entrada!D22</f>
        <v>2.1433427762039661</v>
      </c>
      <c r="F44" s="369">
        <f>Entrada!E22</f>
        <v>1.8356940509915014</v>
      </c>
      <c r="G44" s="369">
        <f>Entrada!F22</f>
        <v>11.490084985835693</v>
      </c>
      <c r="H44" s="369">
        <f>Entrada!G22</f>
        <v>13.597733711048159</v>
      </c>
      <c r="I44" s="671">
        <f>Entrada!H22</f>
        <v>0</v>
      </c>
      <c r="J44" s="370">
        <f>Entrada!I22</f>
        <v>6.4589235127478757</v>
      </c>
      <c r="K44" s="369">
        <f>Entrada!J22</f>
        <v>2.3796033994334276</v>
      </c>
      <c r="L44" s="369">
        <f>Entrada!K22</f>
        <v>3.3994334277620397</v>
      </c>
      <c r="M44" s="369">
        <f>Entrada!L22</f>
        <v>2.0396600566572238</v>
      </c>
      <c r="N44" s="369">
        <f>Entrada!M22</f>
        <v>3.5694050991501416</v>
      </c>
      <c r="O44" s="369">
        <f>Entrada!N22</f>
        <v>2.58356940509915</v>
      </c>
      <c r="P44" s="369">
        <f>Entrada!O22</f>
        <v>1.3597733711048159</v>
      </c>
      <c r="Q44" s="369">
        <f>Entrada!P22</f>
        <v>5.0991501416430598</v>
      </c>
      <c r="R44" s="369">
        <f>Entrada!Q22</f>
        <v>1.9036827195467423</v>
      </c>
      <c r="S44" s="671">
        <f>Entrada!R22</f>
        <v>42.609349201370598</v>
      </c>
      <c r="T44" s="369" t="e">
        <f>Entrada!S22</f>
        <v>#REF!</v>
      </c>
      <c r="U44" s="369" t="e">
        <f>U39/(Parâmetros!$C$30-(Parâmetros!#REF!+Parâmetros!#REF!+Entrada!S7+(Entrada!#REF!*2.5)))</f>
        <v>#REF!</v>
      </c>
      <c r="V44" s="369" t="e">
        <f>V39/(Parâmetros!$C$30-(Parâmetros!#REF!+Parâmetros!#REF!+Entrada!V7+(Entrada!#REF!*2.5)))</f>
        <v>#REF!</v>
      </c>
      <c r="W44" s="369" t="e">
        <f>W39/(Parâmetros!$C$30-(Parâmetros!#REF!+Parâmetros!#REF!+Entrada!W7+(Entrada!#REF!*2.5)))</f>
        <v>#REF!</v>
      </c>
      <c r="X44" s="369" t="e">
        <f>X39/(Parâmetros!$C$30-(Parâmetros!#REF!+Parâmetros!#REF!+Entrada!X7+(Entrada!#REF!*2.5)))</f>
        <v>#REF!</v>
      </c>
      <c r="Y44" s="3"/>
      <c r="Z44" s="290">
        <f t="shared" si="133"/>
        <v>4.278551193848644</v>
      </c>
      <c r="AA44" s="371">
        <f t="shared" si="126"/>
        <v>0.60339943342776203</v>
      </c>
      <c r="AB44" s="290">
        <f t="shared" si="127"/>
        <v>1.9433427762039663</v>
      </c>
      <c r="AC44" s="3"/>
      <c r="AD44" s="372">
        <f>Entrada!Z22</f>
        <v>0.28895184135977336</v>
      </c>
      <c r="AE44" s="372">
        <f>Entrada!AA22</f>
        <v>0.9178470254957507</v>
      </c>
      <c r="AF44" s="373"/>
      <c r="AG44" s="369">
        <f>Entrada!AC22</f>
        <v>1.5297450424929178</v>
      </c>
      <c r="AH44" s="369">
        <f>Entrada!AD22</f>
        <v>2.3796033994334276</v>
      </c>
      <c r="AI44" s="369">
        <f>Entrada!AE22</f>
        <v>1.4957507082152974</v>
      </c>
      <c r="AJ44" s="369">
        <f>Entrada!AF22</f>
        <v>0.84985835694050993</v>
      </c>
      <c r="AK44" s="369">
        <f>Entrada!AG22</f>
        <v>1.6147308781869689</v>
      </c>
      <c r="AL44" s="369">
        <f>Entrada!AH22</f>
        <v>2.7195467422096318</v>
      </c>
      <c r="AM44" s="369">
        <f>Entrada!AI22</f>
        <v>1.5297450424929178</v>
      </c>
      <c r="AN44" s="369">
        <f>Entrada!AJ22</f>
        <v>1.8696883852691217</v>
      </c>
      <c r="AO44" s="671">
        <f>Entrada!AK22</f>
        <v>0.66288951841359778</v>
      </c>
      <c r="AP44" s="369">
        <f>Entrada!AL22</f>
        <v>2.5495750708215299</v>
      </c>
      <c r="AQ44" s="369">
        <f>Entrada!AM22</f>
        <v>1.4277620396600565</v>
      </c>
      <c r="AR44" s="671">
        <f>Entrada!AN22</f>
        <v>1.4957507082152974</v>
      </c>
      <c r="AS44" s="671">
        <f>Entrada!AO22</f>
        <v>0.93484419263456087</v>
      </c>
      <c r="AT44" s="369">
        <f>Entrada!AP22</f>
        <v>2.7195467422096318</v>
      </c>
      <c r="AU44" s="369">
        <f>Entrada!AQ22</f>
        <v>2.6345609065155808</v>
      </c>
      <c r="AV44" s="369" t="e">
        <f>AV39/(Parâmetros!$C$30-(Parâmetros!#REF!+Parâmetros!#REF!+Entrada!AR7+(Entrada!#REF!*2.5)))</f>
        <v>#REF!</v>
      </c>
      <c r="AW44" s="369" t="e">
        <f>AW39/(Parâmetros!$C$30-(Parâmetros!#REF!+Parâmetros!#REF!+Entrada!AS7+(Entrada!#REF!*2.5)))</f>
        <v>#REF!</v>
      </c>
      <c r="AX44" s="369" t="e">
        <f>AX39/(Parâmetros!$C$30-(Parâmetros!#REF!+Parâmetros!#REF!+Entrada!AV7+(Entrada!#REF!*2.5)))</f>
        <v>#REF!</v>
      </c>
      <c r="AY44" s="369" t="e">
        <f>AY39/(Parâmetros!$C$30-(Parâmetros!#REF!+Parâmetros!#REF!+Entrada!AW7+(Entrada!#REF!*2.5)))</f>
        <v>#REF!</v>
      </c>
      <c r="AZ44" s="369" t="e">
        <f>AZ39/(Parâmetros!$C$30-(Parâmetros!#REF!+Parâmetros!#REF!+Entrada!AX7+(Entrada!#REF!*2.5)))</f>
        <v>#REF!</v>
      </c>
      <c r="BA44" s="2"/>
      <c r="BB44" s="282">
        <f t="shared" ref="BB44:BD44" si="149">Z44</f>
        <v>4.278551193848644</v>
      </c>
      <c r="BC44" s="282">
        <f t="shared" si="149"/>
        <v>0.60339943342776203</v>
      </c>
      <c r="BD44" s="282">
        <f t="shared" si="149"/>
        <v>1.9433427762039663</v>
      </c>
      <c r="BE44" s="2"/>
      <c r="BF44" s="2"/>
      <c r="BG44" s="2"/>
      <c r="BH44" s="2"/>
      <c r="BI44" s="2"/>
      <c r="BJ44" s="2"/>
      <c r="BK44" s="2"/>
    </row>
    <row r="45" spans="1:63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3"/>
      <c r="Z45" s="2"/>
      <c r="AA45" s="2"/>
      <c r="AB45" s="2"/>
      <c r="AC45" s="3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3"/>
      <c r="BF45" s="2"/>
      <c r="BG45" s="2"/>
      <c r="BH45" s="2"/>
      <c r="BI45" s="2"/>
      <c r="BJ45" s="2"/>
      <c r="BK45" s="2"/>
    </row>
    <row r="46" spans="1:63" ht="15.75" customHeight="1">
      <c r="A46" s="2" t="s">
        <v>152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3"/>
      <c r="Z46" s="2"/>
      <c r="AA46" s="2"/>
      <c r="AB46" s="2"/>
      <c r="AC46" s="3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3"/>
      <c r="BC46" s="3"/>
      <c r="BD46" s="3"/>
      <c r="BE46" s="3"/>
      <c r="BF46" s="2"/>
      <c r="BG46" s="2"/>
      <c r="BH46" s="2"/>
      <c r="BI46" s="2"/>
      <c r="BJ46" s="2"/>
      <c r="BK46" s="2"/>
    </row>
    <row r="47" spans="1:63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3"/>
      <c r="Z47" s="2"/>
      <c r="AA47" s="2"/>
      <c r="AB47" s="2"/>
      <c r="AC47" s="3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3"/>
      <c r="BC47" s="3"/>
      <c r="BD47" s="3"/>
      <c r="BE47" s="3"/>
      <c r="BF47" s="2"/>
      <c r="BG47" s="2"/>
      <c r="BH47" s="2"/>
      <c r="BI47" s="2"/>
      <c r="BJ47" s="2"/>
      <c r="BK47" s="2"/>
    </row>
    <row r="48" spans="1:63" ht="15.75" customHeight="1">
      <c r="Y48" s="3"/>
      <c r="AC48" s="3"/>
      <c r="BB48" s="3"/>
      <c r="BC48" s="3"/>
      <c r="BD48" s="3"/>
      <c r="BE48" s="3"/>
    </row>
    <row r="49" spans="25:57" ht="15.75" customHeight="1">
      <c r="Y49" s="3"/>
      <c r="AC49" s="3"/>
      <c r="BB49" s="3"/>
      <c r="BC49" s="3"/>
      <c r="BD49" s="3"/>
      <c r="BE49" s="3"/>
    </row>
    <row r="50" spans="25:57" ht="15.75" customHeight="1">
      <c r="Y50" s="3"/>
      <c r="AC50" s="3"/>
      <c r="BB50" s="3"/>
      <c r="BC50" s="3"/>
      <c r="BD50" s="3"/>
      <c r="BE50" s="3"/>
    </row>
    <row r="51" spans="25:57" ht="15.75" customHeight="1">
      <c r="Y51" s="3"/>
      <c r="AC51" s="3"/>
      <c r="BB51" s="3"/>
      <c r="BC51" s="3"/>
      <c r="BD51" s="3"/>
      <c r="BE51" s="3"/>
    </row>
    <row r="52" spans="25:57" ht="15.75" customHeight="1">
      <c r="Y52" s="3"/>
      <c r="AC52" s="3"/>
      <c r="BB52" s="3"/>
      <c r="BC52" s="3"/>
      <c r="BD52" s="3"/>
      <c r="BE52" s="3"/>
    </row>
    <row r="53" spans="25:57" ht="15.75" customHeight="1">
      <c r="Y53" s="3"/>
      <c r="AC53" s="3"/>
      <c r="BB53" s="3"/>
      <c r="BC53" s="3"/>
      <c r="BD53" s="3"/>
      <c r="BE53" s="3"/>
    </row>
    <row r="54" spans="25:57" ht="15.75" customHeight="1">
      <c r="Y54" s="3"/>
      <c r="AC54" s="3"/>
      <c r="BB54" s="3"/>
      <c r="BC54" s="3"/>
      <c r="BD54" s="3"/>
      <c r="BE54" s="3"/>
    </row>
    <row r="55" spans="25:57" ht="15.75" customHeight="1">
      <c r="Y55" s="3"/>
      <c r="AC55" s="3"/>
      <c r="BB55" s="3"/>
      <c r="BC55" s="3"/>
      <c r="BD55" s="3"/>
      <c r="BE55" s="3"/>
    </row>
    <row r="56" spans="25:57" ht="15.75" customHeight="1">
      <c r="Y56" s="3"/>
      <c r="AC56" s="3"/>
      <c r="BB56" s="3"/>
      <c r="BC56" s="3"/>
      <c r="BD56" s="3"/>
      <c r="BE56" s="3"/>
    </row>
    <row r="57" spans="25:57" ht="15.75" customHeight="1">
      <c r="Y57" s="3"/>
      <c r="AC57" s="3"/>
      <c r="BB57" s="3"/>
      <c r="BC57" s="3"/>
      <c r="BD57" s="3"/>
      <c r="BE57" s="3"/>
    </row>
    <row r="58" spans="25:57" ht="15.75" customHeight="1">
      <c r="Y58" s="3"/>
      <c r="AC58" s="3"/>
      <c r="BB58" s="3"/>
      <c r="BC58" s="3"/>
      <c r="BD58" s="3"/>
      <c r="BE58" s="3"/>
    </row>
    <row r="59" spans="25:57" ht="15.75" customHeight="1">
      <c r="Y59" s="3"/>
      <c r="AC59" s="3"/>
      <c r="BB59" s="3"/>
      <c r="BC59" s="3"/>
      <c r="BD59" s="3"/>
      <c r="BE59" s="3"/>
    </row>
    <row r="60" spans="25:57" ht="15.75" customHeight="1">
      <c r="Y60" s="3"/>
      <c r="AC60" s="3"/>
      <c r="BB60" s="3"/>
      <c r="BC60" s="3"/>
      <c r="BD60" s="3"/>
      <c r="BE60" s="3"/>
    </row>
    <row r="61" spans="25:57" ht="15.75" customHeight="1">
      <c r="Y61" s="3"/>
      <c r="AC61" s="3"/>
      <c r="BB61" s="3"/>
      <c r="BC61" s="3"/>
      <c r="BD61" s="3"/>
      <c r="BE61" s="3"/>
    </row>
    <row r="62" spans="25:57" ht="15.75" customHeight="1">
      <c r="Y62" s="3"/>
      <c r="AC62" s="3"/>
      <c r="BB62" s="3"/>
      <c r="BC62" s="3"/>
      <c r="BD62" s="3"/>
      <c r="BE62" s="3"/>
    </row>
    <row r="63" spans="25:57" ht="15.75" customHeight="1">
      <c r="Y63" s="3"/>
      <c r="AC63" s="3"/>
      <c r="BB63" s="3"/>
      <c r="BC63" s="3"/>
      <c r="BD63" s="3"/>
      <c r="BE63" s="3"/>
    </row>
    <row r="64" spans="25:57" ht="15.75" customHeight="1">
      <c r="Y64" s="3"/>
      <c r="AC64" s="3"/>
      <c r="BB64" s="3"/>
      <c r="BC64" s="3"/>
      <c r="BD64" s="3"/>
      <c r="BE64" s="3"/>
    </row>
    <row r="65" spans="25:57" ht="15.75" customHeight="1">
      <c r="Y65" s="3"/>
      <c r="AC65" s="3"/>
      <c r="BB65" s="3"/>
      <c r="BC65" s="3"/>
      <c r="BD65" s="3"/>
      <c r="BE65" s="3"/>
    </row>
    <row r="66" spans="25:57" ht="15.75" customHeight="1">
      <c r="Y66" s="3"/>
      <c r="AC66" s="3"/>
      <c r="BB66" s="3"/>
      <c r="BC66" s="3"/>
      <c r="BD66" s="3"/>
      <c r="BE66" s="3"/>
    </row>
    <row r="67" spans="25:57" ht="15.75" customHeight="1">
      <c r="Y67" s="3"/>
      <c r="AC67" s="3"/>
      <c r="BB67" s="3"/>
      <c r="BC67" s="3"/>
      <c r="BD67" s="3"/>
      <c r="BE67" s="3"/>
    </row>
    <row r="68" spans="25:57" ht="15.75" customHeight="1">
      <c r="Y68" s="3"/>
      <c r="AC68" s="3"/>
      <c r="BB68" s="3"/>
      <c r="BC68" s="3"/>
      <c r="BD68" s="3"/>
      <c r="BE68" s="3"/>
    </row>
    <row r="69" spans="25:57" ht="15.75" customHeight="1">
      <c r="Y69" s="3"/>
      <c r="AC69" s="3"/>
      <c r="BB69" s="3"/>
      <c r="BC69" s="3"/>
      <c r="BD69" s="3"/>
      <c r="BE69" s="3"/>
    </row>
    <row r="70" spans="25:57" ht="15.75" customHeight="1">
      <c r="Y70" s="3"/>
      <c r="AC70" s="3"/>
      <c r="BB70" s="3"/>
      <c r="BC70" s="3"/>
      <c r="BD70" s="3"/>
      <c r="BE70" s="3"/>
    </row>
    <row r="71" spans="25:57" ht="15.75" customHeight="1">
      <c r="Y71" s="3"/>
      <c r="AC71" s="3"/>
      <c r="BB71" s="3"/>
      <c r="BC71" s="3"/>
      <c r="BD71" s="3"/>
      <c r="BE71" s="3"/>
    </row>
    <row r="72" spans="25:57" ht="15.75" customHeight="1">
      <c r="Y72" s="3"/>
      <c r="AC72" s="3"/>
      <c r="BB72" s="3"/>
      <c r="BC72" s="3"/>
      <c r="BD72" s="3"/>
      <c r="BE72" s="3"/>
    </row>
    <row r="73" spans="25:57" ht="15.75" customHeight="1">
      <c r="Y73" s="3"/>
      <c r="AC73" s="3"/>
      <c r="BB73" s="3"/>
      <c r="BC73" s="3"/>
      <c r="BD73" s="3"/>
      <c r="BE73" s="3"/>
    </row>
    <row r="74" spans="25:57" ht="15.75" customHeight="1">
      <c r="Y74" s="3"/>
      <c r="AC74" s="3"/>
      <c r="BB74" s="3"/>
      <c r="BC74" s="3"/>
      <c r="BD74" s="3"/>
      <c r="BE74" s="3"/>
    </row>
    <row r="75" spans="25:57" ht="15.75" customHeight="1">
      <c r="Y75" s="3"/>
      <c r="AC75" s="3"/>
      <c r="BB75" s="3"/>
      <c r="BC75" s="3"/>
      <c r="BD75" s="3"/>
      <c r="BE75" s="3"/>
    </row>
    <row r="76" spans="25:57" ht="15.75" customHeight="1">
      <c r="Y76" s="3"/>
      <c r="AC76" s="3"/>
      <c r="BB76" s="3"/>
      <c r="BC76" s="3"/>
      <c r="BD76" s="3"/>
      <c r="BE76" s="3"/>
    </row>
    <row r="77" spans="25:57" ht="15.75" customHeight="1">
      <c r="Y77" s="3"/>
      <c r="AC77" s="3"/>
      <c r="BB77" s="3"/>
      <c r="BC77" s="3"/>
      <c r="BD77" s="3"/>
      <c r="BE77" s="3"/>
    </row>
    <row r="78" spans="25:57" ht="15.75" customHeight="1">
      <c r="Y78" s="3"/>
      <c r="AC78" s="3"/>
      <c r="BB78" s="3"/>
      <c r="BC78" s="3"/>
      <c r="BD78" s="3"/>
      <c r="BE78" s="3"/>
    </row>
    <row r="79" spans="25:57" ht="15.75" customHeight="1">
      <c r="Y79" s="3"/>
      <c r="AC79" s="3"/>
      <c r="BB79" s="3"/>
      <c r="BC79" s="3"/>
      <c r="BD79" s="3"/>
      <c r="BE79" s="3"/>
    </row>
    <row r="80" spans="25:57" ht="15.75" customHeight="1">
      <c r="Y80" s="3"/>
      <c r="AC80" s="3"/>
      <c r="BB80" s="3"/>
      <c r="BC80" s="3"/>
      <c r="BD80" s="3"/>
      <c r="BE80" s="3"/>
    </row>
    <row r="81" spans="25:57" ht="15.75" customHeight="1">
      <c r="Y81" s="3"/>
      <c r="AC81" s="3"/>
      <c r="BB81" s="3"/>
      <c r="BC81" s="3"/>
      <c r="BD81" s="3"/>
      <c r="BE81" s="3"/>
    </row>
    <row r="82" spans="25:57" ht="15.75" customHeight="1">
      <c r="Y82" s="3"/>
      <c r="AC82" s="3"/>
      <c r="BB82" s="3"/>
      <c r="BC82" s="3"/>
      <c r="BD82" s="3"/>
      <c r="BE82" s="3"/>
    </row>
    <row r="83" spans="25:57" ht="15.75" customHeight="1">
      <c r="Y83" s="3"/>
      <c r="AC83" s="3"/>
      <c r="BB83" s="3"/>
      <c r="BC83" s="3"/>
      <c r="BD83" s="3"/>
      <c r="BE83" s="3"/>
    </row>
    <row r="84" spans="25:57" ht="15.75" customHeight="1">
      <c r="Y84" s="3"/>
      <c r="AC84" s="3"/>
      <c r="BB84" s="3"/>
      <c r="BC84" s="3"/>
      <c r="BD84" s="3"/>
      <c r="BE84" s="3"/>
    </row>
    <row r="85" spans="25:57" ht="15.75" customHeight="1">
      <c r="Y85" s="3"/>
      <c r="AC85" s="3"/>
      <c r="BB85" s="3"/>
      <c r="BC85" s="3"/>
      <c r="BD85" s="3"/>
      <c r="BE85" s="3"/>
    </row>
    <row r="86" spans="25:57" ht="15.75" customHeight="1">
      <c r="Y86" s="3"/>
      <c r="AC86" s="3"/>
      <c r="BB86" s="3"/>
      <c r="BC86" s="3"/>
      <c r="BD86" s="3"/>
      <c r="BE86" s="3"/>
    </row>
    <row r="87" spans="25:57" ht="15.75" customHeight="1">
      <c r="Y87" s="3"/>
      <c r="AC87" s="3"/>
      <c r="BB87" s="3"/>
      <c r="BC87" s="3"/>
      <c r="BD87" s="3"/>
      <c r="BE87" s="3"/>
    </row>
    <row r="88" spans="25:57" ht="15.75" customHeight="1">
      <c r="Y88" s="3"/>
      <c r="AC88" s="3"/>
      <c r="BB88" s="3"/>
      <c r="BC88" s="3"/>
      <c r="BD88" s="3"/>
      <c r="BE88" s="3"/>
    </row>
    <row r="89" spans="25:57" ht="15.75" customHeight="1">
      <c r="Y89" s="3"/>
      <c r="AC89" s="3"/>
      <c r="BB89" s="3"/>
      <c r="BC89" s="3"/>
      <c r="BD89" s="3"/>
      <c r="BE89" s="3"/>
    </row>
    <row r="90" spans="25:57" ht="15.75" customHeight="1">
      <c r="Y90" s="3"/>
      <c r="AC90" s="3"/>
      <c r="BB90" s="3"/>
      <c r="BC90" s="3"/>
      <c r="BD90" s="3"/>
      <c r="BE90" s="3"/>
    </row>
    <row r="91" spans="25:57" ht="15.75" customHeight="1">
      <c r="Y91" s="3"/>
      <c r="AC91" s="3"/>
      <c r="BB91" s="3"/>
      <c r="BC91" s="3"/>
      <c r="BD91" s="3"/>
      <c r="BE91" s="3"/>
    </row>
    <row r="92" spans="25:57" ht="15.75" customHeight="1">
      <c r="Y92" s="3"/>
      <c r="AC92" s="3"/>
      <c r="BB92" s="3"/>
      <c r="BC92" s="3"/>
      <c r="BD92" s="3"/>
      <c r="BE92" s="3"/>
    </row>
    <row r="93" spans="25:57" ht="15.75" customHeight="1">
      <c r="Y93" s="3"/>
      <c r="AC93" s="3"/>
      <c r="BB93" s="3"/>
      <c r="BC93" s="3"/>
      <c r="BD93" s="3"/>
      <c r="BE93" s="3"/>
    </row>
    <row r="94" spans="25:57" ht="15.75" customHeight="1">
      <c r="Y94" s="3"/>
      <c r="AC94" s="3"/>
      <c r="BB94" s="3"/>
      <c r="BC94" s="3"/>
      <c r="BD94" s="3"/>
      <c r="BE94" s="3"/>
    </row>
    <row r="95" spans="25:57" ht="15.75" customHeight="1">
      <c r="Y95" s="3"/>
      <c r="AC95" s="3"/>
      <c r="BB95" s="3"/>
      <c r="BC95" s="3"/>
      <c r="BD95" s="3"/>
      <c r="BE95" s="3"/>
    </row>
    <row r="96" spans="25:57" ht="15.75" customHeight="1">
      <c r="Y96" s="3"/>
      <c r="AC96" s="3"/>
      <c r="BB96" s="3"/>
      <c r="BC96" s="3"/>
      <c r="BD96" s="3"/>
      <c r="BE96" s="3"/>
    </row>
    <row r="97" spans="25:57" ht="15.75" customHeight="1">
      <c r="Y97" s="3"/>
      <c r="AC97" s="3"/>
      <c r="BB97" s="3"/>
      <c r="BC97" s="3"/>
      <c r="BD97" s="3"/>
      <c r="BE97" s="3"/>
    </row>
    <row r="98" spans="25:57" ht="15.75" customHeight="1">
      <c r="Y98" s="3"/>
      <c r="AC98" s="3"/>
      <c r="BB98" s="3"/>
      <c r="BC98" s="3"/>
      <c r="BD98" s="3"/>
      <c r="BE98" s="3"/>
    </row>
    <row r="99" spans="25:57" ht="15.75" customHeight="1">
      <c r="Y99" s="3"/>
      <c r="AC99" s="3"/>
      <c r="BB99" s="3"/>
      <c r="BC99" s="3"/>
      <c r="BD99" s="3"/>
      <c r="BE99" s="3"/>
    </row>
    <row r="100" spans="25:57" ht="15.75" customHeight="1">
      <c r="Y100" s="3"/>
      <c r="AC100" s="3"/>
      <c r="BB100" s="3"/>
      <c r="BC100" s="3"/>
      <c r="BD100" s="3"/>
      <c r="BE100" s="3"/>
    </row>
    <row r="101" spans="25:57" ht="15.75" customHeight="1">
      <c r="Y101" s="3"/>
      <c r="AC101" s="3"/>
      <c r="BB101" s="3"/>
      <c r="BC101" s="3"/>
      <c r="BD101" s="3"/>
      <c r="BE101" s="3"/>
    </row>
    <row r="102" spans="25:57" ht="15.75" customHeight="1">
      <c r="Y102" s="3"/>
      <c r="AC102" s="3"/>
      <c r="BB102" s="3"/>
      <c r="BC102" s="3"/>
      <c r="BD102" s="3"/>
      <c r="BE102" s="3"/>
    </row>
    <row r="103" spans="25:57" ht="15.75" customHeight="1">
      <c r="Y103" s="3"/>
      <c r="AC103" s="3"/>
      <c r="BB103" s="3"/>
      <c r="BC103" s="3"/>
      <c r="BD103" s="3"/>
      <c r="BE103" s="3"/>
    </row>
    <row r="104" spans="25:57" ht="15.75" customHeight="1">
      <c r="Y104" s="3"/>
      <c r="AC104" s="3"/>
      <c r="BB104" s="3"/>
      <c r="BC104" s="3"/>
      <c r="BD104" s="3"/>
      <c r="BE104" s="3"/>
    </row>
    <row r="105" spans="25:57" ht="15.75" customHeight="1">
      <c r="Y105" s="3"/>
      <c r="AC105" s="3"/>
      <c r="BB105" s="3"/>
      <c r="BC105" s="3"/>
      <c r="BD105" s="3"/>
      <c r="BE105" s="3"/>
    </row>
    <row r="106" spans="25:57" ht="15.75" customHeight="1">
      <c r="Y106" s="3"/>
      <c r="AC106" s="3"/>
      <c r="BB106" s="3"/>
      <c r="BC106" s="3"/>
      <c r="BD106" s="3"/>
      <c r="BE106" s="3"/>
    </row>
    <row r="107" spans="25:57" ht="15.75" customHeight="1">
      <c r="Y107" s="3"/>
      <c r="AC107" s="3"/>
      <c r="BB107" s="3"/>
      <c r="BC107" s="3"/>
      <c r="BD107" s="3"/>
      <c r="BE107" s="3"/>
    </row>
    <row r="108" spans="25:57" ht="15.75" customHeight="1">
      <c r="Y108" s="3"/>
      <c r="AC108" s="3"/>
      <c r="BB108" s="3"/>
      <c r="BC108" s="3"/>
      <c r="BD108" s="3"/>
      <c r="BE108" s="3"/>
    </row>
    <row r="109" spans="25:57" ht="15.75" customHeight="1">
      <c r="Y109" s="3"/>
      <c r="AC109" s="3"/>
      <c r="BB109" s="3"/>
      <c r="BC109" s="3"/>
      <c r="BD109" s="3"/>
      <c r="BE109" s="3"/>
    </row>
    <row r="110" spans="25:57" ht="15.75" customHeight="1">
      <c r="Y110" s="3"/>
      <c r="AC110" s="3"/>
      <c r="BB110" s="3"/>
      <c r="BC110" s="3"/>
      <c r="BD110" s="3"/>
      <c r="BE110" s="3"/>
    </row>
    <row r="111" spans="25:57" ht="15.75" customHeight="1">
      <c r="Y111" s="3"/>
      <c r="AC111" s="3"/>
      <c r="BB111" s="3"/>
      <c r="BC111" s="3"/>
      <c r="BD111" s="3"/>
      <c r="BE111" s="3"/>
    </row>
    <row r="112" spans="25:57" ht="15.75" customHeight="1">
      <c r="Y112" s="3"/>
      <c r="AC112" s="3"/>
      <c r="BB112" s="3"/>
      <c r="BC112" s="3"/>
      <c r="BD112" s="3"/>
      <c r="BE112" s="3"/>
    </row>
    <row r="113" spans="25:57" ht="15.75" customHeight="1">
      <c r="Y113" s="3"/>
      <c r="AC113" s="3"/>
      <c r="BB113" s="3"/>
      <c r="BC113" s="3"/>
      <c r="BD113" s="3"/>
      <c r="BE113" s="3"/>
    </row>
    <row r="114" spans="25:57" ht="15.75" customHeight="1">
      <c r="Y114" s="3"/>
      <c r="AC114" s="3"/>
      <c r="BB114" s="3"/>
      <c r="BC114" s="3"/>
      <c r="BD114" s="3"/>
      <c r="BE114" s="3"/>
    </row>
    <row r="115" spans="25:57" ht="15.75" customHeight="1">
      <c r="Y115" s="3"/>
      <c r="AC115" s="3"/>
      <c r="BB115" s="3"/>
      <c r="BC115" s="3"/>
      <c r="BD115" s="3"/>
      <c r="BE115" s="3"/>
    </row>
    <row r="116" spans="25:57" ht="15.75" customHeight="1">
      <c r="Y116" s="3"/>
      <c r="AC116" s="3"/>
      <c r="BB116" s="3"/>
      <c r="BC116" s="3"/>
      <c r="BD116" s="3"/>
      <c r="BE116" s="3"/>
    </row>
    <row r="117" spans="25:57" ht="15.75" customHeight="1">
      <c r="Y117" s="3"/>
      <c r="AC117" s="3"/>
      <c r="BB117" s="3"/>
      <c r="BC117" s="3"/>
      <c r="BD117" s="3"/>
      <c r="BE117" s="3"/>
    </row>
    <row r="118" spans="25:57" ht="15.75" customHeight="1">
      <c r="Y118" s="3"/>
      <c r="AC118" s="3"/>
      <c r="BB118" s="3"/>
      <c r="BC118" s="3"/>
      <c r="BD118" s="3"/>
      <c r="BE118" s="3"/>
    </row>
    <row r="119" spans="25:57" ht="15.75" customHeight="1">
      <c r="Y119" s="3"/>
      <c r="AC119" s="3"/>
      <c r="BB119" s="3"/>
      <c r="BC119" s="3"/>
      <c r="BD119" s="3"/>
      <c r="BE119" s="3"/>
    </row>
    <row r="120" spans="25:57" ht="15.75" customHeight="1">
      <c r="Y120" s="3"/>
      <c r="AC120" s="3"/>
      <c r="BB120" s="3"/>
      <c r="BC120" s="3"/>
      <c r="BD120" s="3"/>
      <c r="BE120" s="3"/>
    </row>
    <row r="121" spans="25:57" ht="15.75" customHeight="1">
      <c r="Y121" s="3"/>
      <c r="AC121" s="3"/>
      <c r="BB121" s="3"/>
      <c r="BC121" s="3"/>
      <c r="BD121" s="3"/>
      <c r="BE121" s="3"/>
    </row>
    <row r="122" spans="25:57" ht="15.75" customHeight="1">
      <c r="Y122" s="3"/>
      <c r="AC122" s="3"/>
      <c r="BB122" s="3"/>
      <c r="BC122" s="3"/>
      <c r="BD122" s="3"/>
      <c r="BE122" s="3"/>
    </row>
    <row r="123" spans="25:57" ht="15.75" customHeight="1">
      <c r="Y123" s="3"/>
      <c r="AC123" s="3"/>
      <c r="BB123" s="3"/>
      <c r="BC123" s="3"/>
      <c r="BD123" s="3"/>
      <c r="BE123" s="3"/>
    </row>
    <row r="124" spans="25:57" ht="15.75" customHeight="1">
      <c r="Y124" s="3"/>
      <c r="AC124" s="3"/>
      <c r="BB124" s="3"/>
      <c r="BC124" s="3"/>
      <c r="BD124" s="3"/>
      <c r="BE124" s="3"/>
    </row>
    <row r="125" spans="25:57" ht="15.75" customHeight="1">
      <c r="Y125" s="3"/>
      <c r="AC125" s="3"/>
      <c r="BB125" s="3"/>
      <c r="BC125" s="3"/>
      <c r="BD125" s="3"/>
      <c r="BE125" s="3"/>
    </row>
    <row r="126" spans="25:57" ht="15.75" customHeight="1">
      <c r="Y126" s="3"/>
      <c r="AC126" s="3"/>
      <c r="BB126" s="3"/>
      <c r="BC126" s="3"/>
      <c r="BD126" s="3"/>
      <c r="BE126" s="3"/>
    </row>
    <row r="127" spans="25:57" ht="15.75" customHeight="1">
      <c r="Y127" s="3"/>
      <c r="AC127" s="3"/>
      <c r="BB127" s="3"/>
      <c r="BC127" s="3"/>
      <c r="BD127" s="3"/>
      <c r="BE127" s="3"/>
    </row>
    <row r="128" spans="25:57" ht="15.75" customHeight="1">
      <c r="Y128" s="3"/>
      <c r="AC128" s="3"/>
      <c r="BB128" s="3"/>
      <c r="BC128" s="3"/>
      <c r="BD128" s="3"/>
      <c r="BE128" s="3"/>
    </row>
    <row r="129" spans="25:57" ht="15.75" customHeight="1">
      <c r="Y129" s="3"/>
      <c r="AC129" s="3"/>
      <c r="BB129" s="3"/>
      <c r="BC129" s="3"/>
      <c r="BD129" s="3"/>
      <c r="BE129" s="3"/>
    </row>
    <row r="130" spans="25:57" ht="15.75" customHeight="1">
      <c r="Y130" s="3"/>
      <c r="AC130" s="3"/>
      <c r="BB130" s="3"/>
      <c r="BC130" s="3"/>
      <c r="BD130" s="3"/>
      <c r="BE130" s="3"/>
    </row>
    <row r="131" spans="25:57" ht="15.75" customHeight="1">
      <c r="Y131" s="3"/>
      <c r="AC131" s="3"/>
      <c r="BB131" s="3"/>
      <c r="BC131" s="3"/>
      <c r="BD131" s="3"/>
      <c r="BE131" s="3"/>
    </row>
    <row r="132" spans="25:57" ht="15.75" customHeight="1">
      <c r="Y132" s="3"/>
      <c r="AC132" s="3"/>
      <c r="BB132" s="3"/>
      <c r="BC132" s="3"/>
      <c r="BD132" s="3"/>
      <c r="BE132" s="3"/>
    </row>
    <row r="133" spans="25:57" ht="15.75" customHeight="1">
      <c r="Y133" s="3"/>
      <c r="AC133" s="3"/>
      <c r="BB133" s="3"/>
      <c r="BC133" s="3"/>
      <c r="BD133" s="3"/>
      <c r="BE133" s="3"/>
    </row>
    <row r="134" spans="25:57" ht="15.75" customHeight="1">
      <c r="Y134" s="3"/>
      <c r="AC134" s="3"/>
      <c r="BB134" s="3"/>
      <c r="BC134" s="3"/>
      <c r="BD134" s="3"/>
      <c r="BE134" s="3"/>
    </row>
    <row r="135" spans="25:57" ht="15.75" customHeight="1">
      <c r="Y135" s="3"/>
      <c r="AC135" s="3"/>
      <c r="BB135" s="3"/>
      <c r="BC135" s="3"/>
      <c r="BD135" s="3"/>
      <c r="BE135" s="3"/>
    </row>
    <row r="136" spans="25:57" ht="15.75" customHeight="1">
      <c r="Y136" s="3"/>
      <c r="AC136" s="3"/>
      <c r="BB136" s="3"/>
      <c r="BC136" s="3"/>
      <c r="BD136" s="3"/>
      <c r="BE136" s="3"/>
    </row>
    <row r="137" spans="25:57" ht="15.75" customHeight="1">
      <c r="Y137" s="3"/>
      <c r="AC137" s="3"/>
      <c r="BB137" s="3"/>
      <c r="BC137" s="3"/>
      <c r="BD137" s="3"/>
      <c r="BE137" s="3"/>
    </row>
    <row r="138" spans="25:57" ht="15.75" customHeight="1">
      <c r="Y138" s="3"/>
      <c r="AC138" s="3"/>
      <c r="BB138" s="3"/>
      <c r="BC138" s="3"/>
      <c r="BD138" s="3"/>
      <c r="BE138" s="3"/>
    </row>
    <row r="139" spans="25:57" ht="15.75" customHeight="1">
      <c r="Y139" s="3"/>
      <c r="AC139" s="3"/>
      <c r="BB139" s="3"/>
      <c r="BC139" s="3"/>
      <c r="BD139" s="3"/>
      <c r="BE139" s="3"/>
    </row>
    <row r="140" spans="25:57" ht="15.75" customHeight="1">
      <c r="Y140" s="3"/>
      <c r="AC140" s="3"/>
      <c r="BB140" s="3"/>
      <c r="BC140" s="3"/>
      <c r="BD140" s="3"/>
      <c r="BE140" s="3"/>
    </row>
    <row r="141" spans="25:57" ht="15.75" customHeight="1">
      <c r="Y141" s="3"/>
      <c r="AC141" s="3"/>
      <c r="BB141" s="3"/>
      <c r="BC141" s="3"/>
      <c r="BD141" s="3"/>
      <c r="BE141" s="3"/>
    </row>
    <row r="142" spans="25:57" ht="15.75" customHeight="1">
      <c r="Y142" s="3"/>
      <c r="AC142" s="3"/>
      <c r="BB142" s="3"/>
      <c r="BC142" s="3"/>
      <c r="BD142" s="3"/>
      <c r="BE142" s="3"/>
    </row>
    <row r="143" spans="25:57" ht="15.75" customHeight="1">
      <c r="Y143" s="3"/>
      <c r="AC143" s="3"/>
      <c r="BB143" s="3"/>
      <c r="BC143" s="3"/>
      <c r="BD143" s="3"/>
      <c r="BE143" s="3"/>
    </row>
    <row r="144" spans="25:57" ht="15.75" customHeight="1">
      <c r="Y144" s="3"/>
      <c r="AC144" s="3"/>
      <c r="BB144" s="3"/>
      <c r="BC144" s="3"/>
      <c r="BD144" s="3"/>
      <c r="BE144" s="3"/>
    </row>
    <row r="145" spans="25:57" ht="15.75" customHeight="1">
      <c r="Y145" s="3"/>
      <c r="AC145" s="3"/>
      <c r="BB145" s="3"/>
      <c r="BC145" s="3"/>
      <c r="BD145" s="3"/>
      <c r="BE145" s="3"/>
    </row>
    <row r="146" spans="25:57" ht="15.75" customHeight="1">
      <c r="Y146" s="3"/>
      <c r="AC146" s="3"/>
      <c r="BB146" s="3"/>
      <c r="BC146" s="3"/>
      <c r="BD146" s="3"/>
      <c r="BE146" s="3"/>
    </row>
    <row r="147" spans="25:57" ht="15.75" customHeight="1">
      <c r="Y147" s="3"/>
      <c r="AC147" s="3"/>
      <c r="BB147" s="3"/>
      <c r="BC147" s="3"/>
      <c r="BD147" s="3"/>
      <c r="BE147" s="3"/>
    </row>
    <row r="148" spans="25:57" ht="15.75" customHeight="1">
      <c r="Y148" s="3"/>
      <c r="AC148" s="3"/>
      <c r="BB148" s="3"/>
      <c r="BC148" s="3"/>
      <c r="BD148" s="3"/>
      <c r="BE148" s="3"/>
    </row>
    <row r="149" spans="25:57" ht="15.75" customHeight="1">
      <c r="Y149" s="3"/>
      <c r="AC149" s="3"/>
      <c r="BB149" s="3"/>
      <c r="BC149" s="3"/>
      <c r="BD149" s="3"/>
      <c r="BE149" s="3"/>
    </row>
    <row r="150" spans="25:57" ht="15.75" customHeight="1">
      <c r="Y150" s="3"/>
      <c r="AC150" s="3"/>
      <c r="BB150" s="3"/>
      <c r="BC150" s="3"/>
      <c r="BD150" s="3"/>
      <c r="BE150" s="3"/>
    </row>
    <row r="151" spans="25:57" ht="15.75" customHeight="1">
      <c r="Y151" s="3"/>
      <c r="AC151" s="3"/>
      <c r="BB151" s="3"/>
      <c r="BC151" s="3"/>
      <c r="BD151" s="3"/>
      <c r="BE151" s="3"/>
    </row>
    <row r="152" spans="25:57" ht="15.75" customHeight="1">
      <c r="Y152" s="3"/>
      <c r="AC152" s="3"/>
      <c r="BB152" s="3"/>
      <c r="BC152" s="3"/>
      <c r="BD152" s="3"/>
      <c r="BE152" s="3"/>
    </row>
    <row r="153" spans="25:57" ht="15.75" customHeight="1">
      <c r="Y153" s="3"/>
      <c r="AC153" s="3"/>
      <c r="BB153" s="3"/>
      <c r="BC153" s="3"/>
      <c r="BD153" s="3"/>
      <c r="BE153" s="3"/>
    </row>
    <row r="154" spans="25:57" ht="15.75" customHeight="1">
      <c r="Y154" s="3"/>
      <c r="AC154" s="3"/>
      <c r="BB154" s="3"/>
      <c r="BC154" s="3"/>
      <c r="BD154" s="3"/>
      <c r="BE154" s="3"/>
    </row>
    <row r="155" spans="25:57" ht="15.75" customHeight="1">
      <c r="Y155" s="3"/>
      <c r="AC155" s="3"/>
      <c r="BB155" s="3"/>
      <c r="BC155" s="3"/>
      <c r="BD155" s="3"/>
      <c r="BE155" s="3"/>
    </row>
    <row r="156" spans="25:57" ht="15.75" customHeight="1">
      <c r="Y156" s="3"/>
      <c r="AC156" s="3"/>
      <c r="BB156" s="3"/>
      <c r="BC156" s="3"/>
      <c r="BD156" s="3"/>
      <c r="BE156" s="3"/>
    </row>
    <row r="157" spans="25:57" ht="15.75" customHeight="1">
      <c r="Y157" s="3"/>
      <c r="AC157" s="3"/>
      <c r="BB157" s="3"/>
      <c r="BC157" s="3"/>
      <c r="BD157" s="3"/>
      <c r="BE157" s="3"/>
    </row>
    <row r="158" spans="25:57" ht="15.75" customHeight="1">
      <c r="Y158" s="3"/>
      <c r="AC158" s="3"/>
      <c r="BB158" s="3"/>
      <c r="BC158" s="3"/>
      <c r="BD158" s="3"/>
      <c r="BE158" s="3"/>
    </row>
    <row r="159" spans="25:57" ht="15.75" customHeight="1">
      <c r="Y159" s="3"/>
      <c r="AC159" s="3"/>
      <c r="BB159" s="3"/>
      <c r="BC159" s="3"/>
      <c r="BD159" s="3"/>
      <c r="BE159" s="3"/>
    </row>
    <row r="160" spans="25:57" ht="15.75" customHeight="1">
      <c r="Y160" s="3"/>
      <c r="AC160" s="3"/>
      <c r="BB160" s="3"/>
      <c r="BC160" s="3"/>
      <c r="BD160" s="3"/>
      <c r="BE160" s="3"/>
    </row>
    <row r="161" spans="25:57" ht="15.75" customHeight="1">
      <c r="Y161" s="3"/>
      <c r="AC161" s="3"/>
      <c r="BB161" s="3"/>
      <c r="BC161" s="3"/>
      <c r="BD161" s="3"/>
      <c r="BE161" s="3"/>
    </row>
    <row r="162" spans="25:57" ht="15.75" customHeight="1">
      <c r="Y162" s="3"/>
      <c r="AC162" s="3"/>
      <c r="BB162" s="3"/>
      <c r="BC162" s="3"/>
      <c r="BD162" s="3"/>
      <c r="BE162" s="3"/>
    </row>
    <row r="163" spans="25:57" ht="15.75" customHeight="1">
      <c r="Y163" s="3"/>
      <c r="AC163" s="3"/>
      <c r="BB163" s="3"/>
      <c r="BC163" s="3"/>
      <c r="BD163" s="3"/>
      <c r="BE163" s="3"/>
    </row>
    <row r="164" spans="25:57" ht="15.75" customHeight="1">
      <c r="Y164" s="3"/>
      <c r="AC164" s="3"/>
      <c r="BB164" s="3"/>
      <c r="BC164" s="3"/>
      <c r="BD164" s="3"/>
      <c r="BE164" s="3"/>
    </row>
    <row r="165" spans="25:57" ht="15.75" customHeight="1">
      <c r="Y165" s="3"/>
      <c r="AC165" s="3"/>
      <c r="BB165" s="3"/>
      <c r="BC165" s="3"/>
      <c r="BD165" s="3"/>
      <c r="BE165" s="3"/>
    </row>
    <row r="166" spans="25:57" ht="15.75" customHeight="1">
      <c r="Y166" s="3"/>
      <c r="AC166" s="3"/>
      <c r="BB166" s="3"/>
      <c r="BC166" s="3"/>
      <c r="BD166" s="3"/>
      <c r="BE166" s="3"/>
    </row>
    <row r="167" spans="25:57" ht="15.75" customHeight="1">
      <c r="Y167" s="3"/>
      <c r="AC167" s="3"/>
      <c r="BB167" s="3"/>
      <c r="BC167" s="3"/>
      <c r="BD167" s="3"/>
      <c r="BE167" s="3"/>
    </row>
    <row r="168" spans="25:57" ht="15.75" customHeight="1">
      <c r="Y168" s="3"/>
      <c r="AC168" s="3"/>
      <c r="BB168" s="3"/>
      <c r="BC168" s="3"/>
      <c r="BD168" s="3"/>
      <c r="BE168" s="3"/>
    </row>
    <row r="169" spans="25:57" ht="15.75" customHeight="1">
      <c r="Y169" s="3"/>
      <c r="AC169" s="3"/>
      <c r="BB169" s="3"/>
      <c r="BC169" s="3"/>
      <c r="BD169" s="3"/>
      <c r="BE169" s="3"/>
    </row>
    <row r="170" spans="25:57" ht="15.75" customHeight="1">
      <c r="Y170" s="3"/>
      <c r="AC170" s="3"/>
      <c r="BB170" s="3"/>
      <c r="BC170" s="3"/>
      <c r="BD170" s="3"/>
      <c r="BE170" s="3"/>
    </row>
    <row r="171" spans="25:57" ht="15.75" customHeight="1">
      <c r="Y171" s="3"/>
      <c r="AC171" s="3"/>
      <c r="BB171" s="3"/>
      <c r="BC171" s="3"/>
      <c r="BD171" s="3"/>
      <c r="BE171" s="3"/>
    </row>
    <row r="172" spans="25:57" ht="15.75" customHeight="1">
      <c r="Y172" s="3"/>
      <c r="AC172" s="3"/>
      <c r="BB172" s="3"/>
      <c r="BC172" s="3"/>
      <c r="BD172" s="3"/>
      <c r="BE172" s="3"/>
    </row>
    <row r="173" spans="25:57" ht="15.75" customHeight="1">
      <c r="Y173" s="3"/>
      <c r="AC173" s="3"/>
      <c r="BB173" s="3"/>
      <c r="BC173" s="3"/>
      <c r="BD173" s="3"/>
      <c r="BE173" s="3"/>
    </row>
    <row r="174" spans="25:57" ht="15.75" customHeight="1">
      <c r="Y174" s="3"/>
      <c r="AC174" s="3"/>
      <c r="BB174" s="3"/>
      <c r="BC174" s="3"/>
      <c r="BD174" s="3"/>
      <c r="BE174" s="3"/>
    </row>
    <row r="175" spans="25:57" ht="15.75" customHeight="1">
      <c r="Y175" s="3"/>
      <c r="AC175" s="3"/>
      <c r="BB175" s="3"/>
      <c r="BC175" s="3"/>
      <c r="BD175" s="3"/>
      <c r="BE175" s="3"/>
    </row>
    <row r="176" spans="25:57" ht="15.75" customHeight="1">
      <c r="Y176" s="3"/>
      <c r="AC176" s="3"/>
      <c r="BB176" s="3"/>
      <c r="BC176" s="3"/>
      <c r="BD176" s="3"/>
      <c r="BE176" s="3"/>
    </row>
    <row r="177" spans="25:57" ht="15.75" customHeight="1">
      <c r="Y177" s="3"/>
      <c r="AC177" s="3"/>
      <c r="BB177" s="3"/>
      <c r="BC177" s="3"/>
      <c r="BD177" s="3"/>
      <c r="BE177" s="3"/>
    </row>
    <row r="178" spans="25:57" ht="15.75" customHeight="1">
      <c r="Y178" s="3"/>
      <c r="AC178" s="3"/>
      <c r="BB178" s="3"/>
      <c r="BC178" s="3"/>
      <c r="BD178" s="3"/>
      <c r="BE178" s="3"/>
    </row>
    <row r="179" spans="25:57" ht="15.75" customHeight="1">
      <c r="Y179" s="3"/>
      <c r="AC179" s="3"/>
      <c r="BB179" s="3"/>
      <c r="BC179" s="3"/>
      <c r="BD179" s="3"/>
      <c r="BE179" s="3"/>
    </row>
    <row r="180" spans="25:57" ht="15.75" customHeight="1">
      <c r="Y180" s="3"/>
      <c r="AC180" s="3"/>
      <c r="BB180" s="3"/>
      <c r="BC180" s="3"/>
      <c r="BD180" s="3"/>
      <c r="BE180" s="3"/>
    </row>
    <row r="181" spans="25:57" ht="15.75" customHeight="1">
      <c r="Y181" s="3"/>
      <c r="AC181" s="3"/>
      <c r="BB181" s="3"/>
      <c r="BC181" s="3"/>
      <c r="BD181" s="3"/>
      <c r="BE181" s="3"/>
    </row>
    <row r="182" spans="25:57" ht="15.75" customHeight="1">
      <c r="Y182" s="3"/>
      <c r="AC182" s="3"/>
      <c r="BB182" s="3"/>
      <c r="BC182" s="3"/>
      <c r="BD182" s="3"/>
      <c r="BE182" s="3"/>
    </row>
    <row r="183" spans="25:57" ht="15.75" customHeight="1">
      <c r="Y183" s="3"/>
      <c r="AC183" s="3"/>
      <c r="BB183" s="3"/>
      <c r="BC183" s="3"/>
      <c r="BD183" s="3"/>
      <c r="BE183" s="3"/>
    </row>
    <row r="184" spans="25:57" ht="15.75" customHeight="1">
      <c r="Y184" s="3"/>
      <c r="AC184" s="3"/>
      <c r="BB184" s="3"/>
      <c r="BC184" s="3"/>
      <c r="BD184" s="3"/>
      <c r="BE184" s="3"/>
    </row>
    <row r="185" spans="25:57" ht="15.75" customHeight="1">
      <c r="Y185" s="3"/>
      <c r="AC185" s="3"/>
      <c r="BB185" s="3"/>
      <c r="BC185" s="3"/>
      <c r="BD185" s="3"/>
      <c r="BE185" s="3"/>
    </row>
    <row r="186" spans="25:57" ht="15.75" customHeight="1">
      <c r="Y186" s="3"/>
      <c r="AC186" s="3"/>
      <c r="BB186" s="3"/>
      <c r="BC186" s="3"/>
      <c r="BD186" s="3"/>
      <c r="BE186" s="3"/>
    </row>
    <row r="187" spans="25:57" ht="15.75" customHeight="1">
      <c r="Y187" s="3"/>
      <c r="AC187" s="3"/>
      <c r="BB187" s="3"/>
      <c r="BC187" s="3"/>
      <c r="BD187" s="3"/>
      <c r="BE187" s="3"/>
    </row>
    <row r="188" spans="25:57" ht="15.75" customHeight="1">
      <c r="Y188" s="3"/>
      <c r="AC188" s="3"/>
      <c r="BB188" s="3"/>
      <c r="BC188" s="3"/>
      <c r="BD188" s="3"/>
      <c r="BE188" s="3"/>
    </row>
    <row r="189" spans="25:57" ht="15.75" customHeight="1">
      <c r="Y189" s="3"/>
      <c r="AC189" s="3"/>
      <c r="BB189" s="3"/>
      <c r="BC189" s="3"/>
      <c r="BD189" s="3"/>
      <c r="BE189" s="3"/>
    </row>
    <row r="190" spans="25:57" ht="15.75" customHeight="1">
      <c r="Y190" s="3"/>
      <c r="AC190" s="3"/>
      <c r="BB190" s="3"/>
      <c r="BC190" s="3"/>
      <c r="BD190" s="3"/>
      <c r="BE190" s="3"/>
    </row>
    <row r="191" spans="25:57" ht="15.75" customHeight="1">
      <c r="Y191" s="3"/>
      <c r="AC191" s="3"/>
      <c r="BB191" s="3"/>
      <c r="BC191" s="3"/>
      <c r="BD191" s="3"/>
      <c r="BE191" s="3"/>
    </row>
    <row r="192" spans="25:57" ht="15.75" customHeight="1">
      <c r="Y192" s="3"/>
      <c r="AC192" s="3"/>
      <c r="BB192" s="3"/>
      <c r="BC192" s="3"/>
      <c r="BD192" s="3"/>
      <c r="BE192" s="3"/>
    </row>
    <row r="193" spans="25:57" ht="15.75" customHeight="1">
      <c r="Y193" s="3"/>
      <c r="AC193" s="3"/>
      <c r="BB193" s="3"/>
      <c r="BC193" s="3"/>
      <c r="BD193" s="3"/>
      <c r="BE193" s="3"/>
    </row>
    <row r="194" spans="25:57" ht="15.75" customHeight="1">
      <c r="Y194" s="3"/>
      <c r="AC194" s="3"/>
      <c r="BB194" s="3"/>
      <c r="BC194" s="3"/>
      <c r="BD194" s="3"/>
      <c r="BE194" s="3"/>
    </row>
    <row r="195" spans="25:57" ht="15.75" customHeight="1">
      <c r="Y195" s="3"/>
      <c r="AC195" s="3"/>
      <c r="BB195" s="3"/>
      <c r="BC195" s="3"/>
      <c r="BD195" s="3"/>
      <c r="BE195" s="3"/>
    </row>
    <row r="196" spans="25:57" ht="15.75" customHeight="1">
      <c r="Y196" s="3"/>
      <c r="AC196" s="3"/>
      <c r="BB196" s="3"/>
      <c r="BC196" s="3"/>
      <c r="BD196" s="3"/>
      <c r="BE196" s="3"/>
    </row>
    <row r="197" spans="25:57" ht="15.75" customHeight="1">
      <c r="Y197" s="3"/>
      <c r="AC197" s="3"/>
      <c r="BB197" s="3"/>
      <c r="BC197" s="3"/>
      <c r="BD197" s="3"/>
      <c r="BE197" s="3"/>
    </row>
    <row r="198" spans="25:57" ht="15.75" customHeight="1">
      <c r="Y198" s="3"/>
      <c r="AC198" s="3"/>
      <c r="BB198" s="3"/>
      <c r="BC198" s="3"/>
      <c r="BD198" s="3"/>
      <c r="BE198" s="3"/>
    </row>
    <row r="199" spans="25:57" ht="15.75" customHeight="1">
      <c r="Y199" s="3"/>
      <c r="AC199" s="3"/>
      <c r="BB199" s="3"/>
      <c r="BC199" s="3"/>
      <c r="BD199" s="3"/>
      <c r="BE199" s="3"/>
    </row>
    <row r="200" spans="25:57" ht="15.75" customHeight="1">
      <c r="Y200" s="3"/>
      <c r="AC200" s="3"/>
      <c r="BB200" s="3"/>
      <c r="BC200" s="3"/>
      <c r="BD200" s="3"/>
      <c r="BE200" s="3"/>
    </row>
    <row r="201" spans="25:57" ht="15.75" customHeight="1">
      <c r="Y201" s="3"/>
      <c r="AC201" s="3"/>
      <c r="BB201" s="3"/>
      <c r="BC201" s="3"/>
      <c r="BD201" s="3"/>
      <c r="BE201" s="3"/>
    </row>
    <row r="202" spans="25:57" ht="15.75" customHeight="1">
      <c r="Y202" s="3"/>
      <c r="AC202" s="3"/>
      <c r="BB202" s="3"/>
      <c r="BC202" s="3"/>
      <c r="BD202" s="3"/>
      <c r="BE202" s="3"/>
    </row>
    <row r="203" spans="25:57" ht="15.75" customHeight="1">
      <c r="Y203" s="3"/>
      <c r="AC203" s="3"/>
      <c r="BB203" s="3"/>
      <c r="BC203" s="3"/>
      <c r="BD203" s="3"/>
      <c r="BE203" s="3"/>
    </row>
    <row r="204" spans="25:57" ht="15.75" customHeight="1">
      <c r="Y204" s="3"/>
      <c r="AC204" s="3"/>
      <c r="BB204" s="3"/>
      <c r="BC204" s="3"/>
      <c r="BD204" s="3"/>
      <c r="BE204" s="3"/>
    </row>
    <row r="205" spans="25:57" ht="15.75" customHeight="1">
      <c r="Y205" s="3"/>
      <c r="AC205" s="3"/>
      <c r="BB205" s="3"/>
      <c r="BC205" s="3"/>
      <c r="BD205" s="3"/>
      <c r="BE205" s="3"/>
    </row>
    <row r="206" spans="25:57" ht="15.75" customHeight="1">
      <c r="Y206" s="3"/>
      <c r="AC206" s="3"/>
      <c r="BB206" s="3"/>
      <c r="BC206" s="3"/>
      <c r="BD206" s="3"/>
      <c r="BE206" s="3"/>
    </row>
    <row r="207" spans="25:57" ht="15.75" customHeight="1">
      <c r="Y207" s="3"/>
      <c r="AC207" s="3"/>
      <c r="BB207" s="3"/>
      <c r="BC207" s="3"/>
      <c r="BD207" s="3"/>
      <c r="BE207" s="3"/>
    </row>
    <row r="208" spans="25:57" ht="15.75" customHeight="1">
      <c r="Y208" s="3"/>
      <c r="AC208" s="3"/>
      <c r="BB208" s="3"/>
      <c r="BC208" s="3"/>
      <c r="BD208" s="3"/>
      <c r="BE208" s="3"/>
    </row>
    <row r="209" spans="25:57" ht="15.75" customHeight="1">
      <c r="Y209" s="3"/>
      <c r="AC209" s="3"/>
      <c r="BB209" s="3"/>
      <c r="BC209" s="3"/>
      <c r="BD209" s="3"/>
      <c r="BE209" s="3"/>
    </row>
    <row r="210" spans="25:57" ht="15.75" customHeight="1">
      <c r="Y210" s="3"/>
      <c r="AC210" s="3"/>
      <c r="BB210" s="3"/>
      <c r="BC210" s="3"/>
      <c r="BD210" s="3"/>
      <c r="BE210" s="3"/>
    </row>
    <row r="211" spans="25:57" ht="15.75" customHeight="1">
      <c r="Y211" s="3"/>
      <c r="AC211" s="3"/>
      <c r="BB211" s="3"/>
      <c r="BC211" s="3"/>
      <c r="BD211" s="3"/>
      <c r="BE211" s="3"/>
    </row>
    <row r="212" spans="25:57" ht="15.75" customHeight="1">
      <c r="Y212" s="3"/>
      <c r="AC212" s="3"/>
      <c r="BB212" s="3"/>
      <c r="BC212" s="3"/>
      <c r="BD212" s="3"/>
      <c r="BE212" s="3"/>
    </row>
    <row r="213" spans="25:57" ht="15.75" customHeight="1">
      <c r="Y213" s="3"/>
      <c r="AC213" s="3"/>
      <c r="BB213" s="3"/>
      <c r="BC213" s="3"/>
      <c r="BD213" s="3"/>
      <c r="BE213" s="3"/>
    </row>
    <row r="214" spans="25:57" ht="15.75" customHeight="1">
      <c r="Y214" s="3"/>
      <c r="AC214" s="3"/>
      <c r="BB214" s="3"/>
      <c r="BC214" s="3"/>
      <c r="BD214" s="3"/>
      <c r="BE214" s="3"/>
    </row>
    <row r="215" spans="25:57" ht="15.75" customHeight="1">
      <c r="Y215" s="3"/>
      <c r="AC215" s="3"/>
      <c r="BB215" s="3"/>
      <c r="BC215" s="3"/>
      <c r="BD215" s="3"/>
      <c r="BE215" s="3"/>
    </row>
    <row r="216" spans="25:57" ht="15.75" customHeight="1">
      <c r="Y216" s="3"/>
      <c r="AC216" s="3"/>
      <c r="BB216" s="3"/>
      <c r="BC216" s="3"/>
      <c r="BD216" s="3"/>
      <c r="BE216" s="3"/>
    </row>
    <row r="217" spans="25:57" ht="15.75" customHeight="1">
      <c r="Y217" s="3"/>
      <c r="AC217" s="3"/>
      <c r="BB217" s="3"/>
      <c r="BC217" s="3"/>
      <c r="BD217" s="3"/>
      <c r="BE217" s="3"/>
    </row>
    <row r="218" spans="25:57" ht="15.75" customHeight="1">
      <c r="Y218" s="3"/>
      <c r="AC218" s="3"/>
      <c r="BB218" s="3"/>
      <c r="BC218" s="3"/>
      <c r="BD218" s="3"/>
      <c r="BE218" s="3"/>
    </row>
    <row r="219" spans="25:57" ht="15.75" customHeight="1">
      <c r="Y219" s="3"/>
      <c r="AC219" s="3"/>
      <c r="BB219" s="3"/>
      <c r="BC219" s="3"/>
      <c r="BD219" s="3"/>
      <c r="BE219" s="3"/>
    </row>
    <row r="220" spans="25:57" ht="15.75" customHeight="1">
      <c r="Y220" s="3"/>
      <c r="AC220" s="3"/>
      <c r="BB220" s="3"/>
      <c r="BC220" s="3"/>
      <c r="BD220" s="3"/>
      <c r="BE220" s="3"/>
    </row>
    <row r="221" spans="25:57" ht="15.75" customHeight="1">
      <c r="Y221" s="3"/>
      <c r="AC221" s="3"/>
      <c r="BB221" s="3"/>
      <c r="BC221" s="3"/>
      <c r="BD221" s="3"/>
      <c r="BE221" s="3"/>
    </row>
    <row r="222" spans="25:57" ht="15.75" customHeight="1">
      <c r="Y222" s="3"/>
      <c r="AC222" s="3"/>
      <c r="BB222" s="3"/>
      <c r="BC222" s="3"/>
      <c r="BD222" s="3"/>
      <c r="BE222" s="3"/>
    </row>
    <row r="223" spans="25:57" ht="15.75" customHeight="1">
      <c r="Y223" s="3"/>
      <c r="AC223" s="3"/>
      <c r="BB223" s="3"/>
      <c r="BC223" s="3"/>
      <c r="BD223" s="3"/>
      <c r="BE223" s="3"/>
    </row>
    <row r="224" spans="25:57" ht="15.75" customHeight="1">
      <c r="Y224" s="3"/>
      <c r="AC224" s="3"/>
      <c r="BB224" s="3"/>
      <c r="BC224" s="3"/>
      <c r="BD224" s="3"/>
      <c r="BE224" s="3"/>
    </row>
    <row r="225" spans="25:57" ht="15.75" customHeight="1">
      <c r="Y225" s="3"/>
      <c r="AC225" s="3"/>
      <c r="BB225" s="3"/>
      <c r="BC225" s="3"/>
      <c r="BD225" s="3"/>
      <c r="BE225" s="3"/>
    </row>
    <row r="226" spans="25:57" ht="15.75" customHeight="1">
      <c r="Y226" s="3"/>
      <c r="AC226" s="3"/>
      <c r="BB226" s="3"/>
      <c r="BC226" s="3"/>
      <c r="BD226" s="3"/>
      <c r="BE226" s="3"/>
    </row>
    <row r="227" spans="25:57" ht="15.75" customHeight="1">
      <c r="Y227" s="3"/>
      <c r="AC227" s="3"/>
      <c r="BB227" s="3"/>
      <c r="BC227" s="3"/>
      <c r="BD227" s="3"/>
      <c r="BE227" s="3"/>
    </row>
    <row r="228" spans="25:57" ht="15.75" customHeight="1">
      <c r="Y228" s="3"/>
      <c r="AC228" s="3"/>
      <c r="BB228" s="3"/>
      <c r="BC228" s="3"/>
      <c r="BD228" s="3"/>
      <c r="BE228" s="3"/>
    </row>
    <row r="229" spans="25:57" ht="15.75" customHeight="1">
      <c r="Y229" s="3"/>
      <c r="AC229" s="3"/>
      <c r="BB229" s="3"/>
      <c r="BC229" s="3"/>
      <c r="BD229" s="3"/>
      <c r="BE229" s="3"/>
    </row>
    <row r="230" spans="25:57" ht="15.75" customHeight="1">
      <c r="Y230" s="3"/>
      <c r="AC230" s="3"/>
      <c r="BB230" s="3"/>
      <c r="BC230" s="3"/>
      <c r="BD230" s="3"/>
      <c r="BE230" s="3"/>
    </row>
    <row r="231" spans="25:57" ht="15.75" customHeight="1">
      <c r="Y231" s="3"/>
      <c r="AC231" s="3"/>
      <c r="BB231" s="3"/>
      <c r="BC231" s="3"/>
      <c r="BD231" s="3"/>
      <c r="BE231" s="3"/>
    </row>
    <row r="232" spans="25:57" ht="15.75" customHeight="1">
      <c r="Y232" s="3"/>
      <c r="AC232" s="3"/>
      <c r="BB232" s="3"/>
      <c r="BC232" s="3"/>
      <c r="BD232" s="3"/>
      <c r="BE232" s="3"/>
    </row>
    <row r="233" spans="25:57" ht="15.75" customHeight="1">
      <c r="Y233" s="3"/>
      <c r="AC233" s="3"/>
      <c r="BB233" s="3"/>
      <c r="BC233" s="3"/>
      <c r="BD233" s="3"/>
      <c r="BE233" s="3"/>
    </row>
    <row r="234" spans="25:57" ht="15.75" customHeight="1">
      <c r="Y234" s="3"/>
      <c r="AC234" s="3"/>
      <c r="BB234" s="3"/>
      <c r="BC234" s="3"/>
      <c r="BD234" s="3"/>
      <c r="BE234" s="3"/>
    </row>
    <row r="235" spans="25:57" ht="15.75" customHeight="1">
      <c r="Y235" s="3"/>
      <c r="AC235" s="3"/>
      <c r="BB235" s="3"/>
      <c r="BC235" s="3"/>
      <c r="BD235" s="3"/>
      <c r="BE235" s="3"/>
    </row>
    <row r="236" spans="25:57" ht="15.75" customHeight="1">
      <c r="Y236" s="3"/>
      <c r="AC236" s="3"/>
      <c r="BB236" s="3"/>
      <c r="BC236" s="3"/>
      <c r="BD236" s="3"/>
      <c r="BE236" s="3"/>
    </row>
    <row r="237" spans="25:57" ht="15.75" customHeight="1">
      <c r="Y237" s="3"/>
      <c r="AC237" s="3"/>
      <c r="BB237" s="3"/>
      <c r="BC237" s="3"/>
      <c r="BD237" s="3"/>
      <c r="BE237" s="3"/>
    </row>
    <row r="238" spans="25:57" ht="15.75" customHeight="1">
      <c r="Y238" s="3"/>
      <c r="AC238" s="3"/>
      <c r="BB238" s="3"/>
      <c r="BC238" s="3"/>
      <c r="BD238" s="3"/>
      <c r="BE238" s="3"/>
    </row>
    <row r="239" spans="25:57" ht="15.75" customHeight="1">
      <c r="Y239" s="3"/>
      <c r="AC239" s="3"/>
      <c r="BB239" s="3"/>
      <c r="BC239" s="3"/>
      <c r="BD239" s="3"/>
      <c r="BE239" s="3"/>
    </row>
    <row r="240" spans="25:57" ht="15.75" customHeight="1">
      <c r="Y240" s="3"/>
      <c r="AC240" s="3"/>
      <c r="BB240" s="3"/>
      <c r="BC240" s="3"/>
      <c r="BD240" s="3"/>
      <c r="BE240" s="3"/>
    </row>
    <row r="241" spans="25:57" ht="15.75" customHeight="1">
      <c r="Y241" s="3"/>
      <c r="AC241" s="3"/>
      <c r="BB241" s="3"/>
      <c r="BC241" s="3"/>
      <c r="BD241" s="3"/>
      <c r="BE241" s="3"/>
    </row>
    <row r="242" spans="25:57" ht="15.75" customHeight="1">
      <c r="Y242" s="3"/>
      <c r="AC242" s="3"/>
      <c r="BB242" s="3"/>
      <c r="BC242" s="3"/>
      <c r="BD242" s="3"/>
      <c r="BE242" s="3"/>
    </row>
    <row r="243" spans="25:57" ht="15.75" customHeight="1">
      <c r="Y243" s="3"/>
      <c r="AC243" s="3"/>
      <c r="BB243" s="3"/>
      <c r="BC243" s="3"/>
      <c r="BD243" s="3"/>
      <c r="BE243" s="3"/>
    </row>
    <row r="244" spans="25:57" ht="15.75" customHeight="1">
      <c r="Y244" s="3"/>
      <c r="AC244" s="3"/>
      <c r="BB244" s="3"/>
      <c r="BC244" s="3"/>
      <c r="BD244" s="3"/>
      <c r="BE244" s="3"/>
    </row>
    <row r="245" spans="25:57" ht="15.75" customHeight="1">
      <c r="Y245" s="3"/>
      <c r="AC245" s="3"/>
      <c r="BB245" s="3"/>
      <c r="BC245" s="3"/>
      <c r="BD245" s="3"/>
      <c r="BE245" s="3"/>
    </row>
    <row r="246" spans="25:57" ht="15.75" customHeight="1">
      <c r="Y246" s="3"/>
      <c r="AC246" s="3"/>
      <c r="BB246" s="3"/>
      <c r="BC246" s="3"/>
      <c r="BD246" s="3"/>
      <c r="BE246" s="3"/>
    </row>
    <row r="247" spans="25:57" ht="15.75" customHeight="1">
      <c r="BB247" s="3"/>
      <c r="BC247" s="3"/>
      <c r="BD247" s="3"/>
      <c r="BE247" s="3"/>
    </row>
    <row r="248" spans="25:57" ht="15.75" customHeight="1">
      <c r="BB248" s="3"/>
      <c r="BC248" s="3"/>
      <c r="BD248" s="3"/>
      <c r="BE248" s="3"/>
    </row>
    <row r="249" spans="25:57" ht="15.75" customHeight="1">
      <c r="BB249" s="3"/>
      <c r="BC249" s="3"/>
      <c r="BD249" s="3"/>
      <c r="BE249" s="3"/>
    </row>
    <row r="250" spans="25:57" ht="15.75" customHeight="1">
      <c r="BB250" s="3"/>
      <c r="BC250" s="3"/>
      <c r="BD250" s="3"/>
      <c r="BE250" s="3"/>
    </row>
    <row r="251" spans="25:57" ht="15.75" customHeight="1">
      <c r="BB251" s="3"/>
      <c r="BC251" s="3"/>
      <c r="BD251" s="3"/>
      <c r="BE251" s="3"/>
    </row>
    <row r="252" spans="25:57" ht="15.75" customHeight="1">
      <c r="BB252" s="3"/>
      <c r="BC252" s="3"/>
      <c r="BD252" s="3"/>
      <c r="BE252" s="3"/>
    </row>
    <row r="253" spans="25:57" ht="15.75" customHeight="1">
      <c r="BB253" s="3"/>
      <c r="BC253" s="3"/>
      <c r="BD253" s="3"/>
      <c r="BE253" s="3"/>
    </row>
    <row r="254" spans="25:57" ht="15.75" customHeight="1">
      <c r="BB254" s="3"/>
      <c r="BC254" s="3"/>
      <c r="BD254" s="3"/>
      <c r="BE254" s="3"/>
    </row>
    <row r="255" spans="25:57" ht="15.75" customHeight="1">
      <c r="BB255" s="3"/>
      <c r="BC255" s="3"/>
      <c r="BD255" s="3"/>
      <c r="BE255" s="3"/>
    </row>
    <row r="256" spans="25:57" ht="15.75" customHeight="1">
      <c r="BB256" s="3"/>
      <c r="BC256" s="3"/>
      <c r="BD256" s="3"/>
      <c r="BE256" s="3"/>
    </row>
    <row r="257" spans="54:57" ht="15.75" customHeight="1">
      <c r="BB257" s="3"/>
      <c r="BC257" s="3"/>
      <c r="BD257" s="3"/>
      <c r="BE257" s="3"/>
    </row>
    <row r="258" spans="54:57" ht="15.75" customHeight="1">
      <c r="BB258" s="3"/>
      <c r="BC258" s="3"/>
      <c r="BD258" s="3"/>
      <c r="BE258" s="3"/>
    </row>
    <row r="259" spans="54:57" ht="15.75" customHeight="1">
      <c r="BB259" s="3"/>
      <c r="BC259" s="3"/>
      <c r="BD259" s="3"/>
      <c r="BE259" s="3"/>
    </row>
    <row r="260" spans="54:57" ht="15.75" customHeight="1">
      <c r="BB260" s="3"/>
      <c r="BC260" s="3"/>
      <c r="BD260" s="3"/>
      <c r="BE260" s="3"/>
    </row>
    <row r="261" spans="54:57" ht="15.75" customHeight="1">
      <c r="BB261" s="3"/>
      <c r="BC261" s="3"/>
      <c r="BD261" s="3"/>
      <c r="BE261" s="3"/>
    </row>
    <row r="262" spans="54:57" ht="15.75" customHeight="1">
      <c r="BB262" s="3"/>
      <c r="BC262" s="3"/>
      <c r="BD262" s="3"/>
      <c r="BE262" s="3"/>
    </row>
    <row r="263" spans="54:57" ht="15.75" customHeight="1">
      <c r="BB263" s="3"/>
      <c r="BC263" s="3"/>
      <c r="BD263" s="3"/>
      <c r="BE263" s="3"/>
    </row>
    <row r="264" spans="54:57" ht="15.75" customHeight="1">
      <c r="BB264" s="3"/>
      <c r="BC264" s="3"/>
      <c r="BD264" s="3"/>
      <c r="BE264" s="3"/>
    </row>
    <row r="265" spans="54:57" ht="15.75" customHeight="1">
      <c r="BB265" s="3"/>
      <c r="BC265" s="3"/>
      <c r="BD265" s="3"/>
      <c r="BE265" s="3"/>
    </row>
    <row r="266" spans="54:57" ht="15.75" customHeight="1">
      <c r="BB266" s="3"/>
      <c r="BC266" s="3"/>
      <c r="BD266" s="3"/>
      <c r="BE266" s="3"/>
    </row>
    <row r="267" spans="54:57" ht="15.75" customHeight="1">
      <c r="BB267" s="3"/>
      <c r="BC267" s="3"/>
      <c r="BD267" s="3"/>
      <c r="BE267" s="3"/>
    </row>
    <row r="268" spans="54:57" ht="15.75" customHeight="1">
      <c r="BB268" s="3"/>
      <c r="BC268" s="3"/>
      <c r="BD268" s="3"/>
      <c r="BE268" s="3"/>
    </row>
    <row r="269" spans="54:57" ht="15.75" customHeight="1">
      <c r="BB269" s="3"/>
      <c r="BC269" s="3"/>
      <c r="BD269" s="3"/>
      <c r="BE269" s="3"/>
    </row>
    <row r="270" spans="54:57" ht="15.75" customHeight="1">
      <c r="BB270" s="3"/>
      <c r="BC270" s="3"/>
      <c r="BD270" s="3"/>
      <c r="BE270" s="3"/>
    </row>
    <row r="271" spans="54:57" ht="15.75" customHeight="1">
      <c r="BB271" s="3"/>
      <c r="BC271" s="3"/>
      <c r="BD271" s="3"/>
      <c r="BE271" s="3"/>
    </row>
    <row r="272" spans="54:57" ht="15.75" customHeight="1">
      <c r="BB272" s="3"/>
      <c r="BC272" s="3"/>
      <c r="BD272" s="3"/>
      <c r="BE272" s="3"/>
    </row>
    <row r="273" spans="54:57" ht="15.75" customHeight="1">
      <c r="BB273" s="3"/>
      <c r="BC273" s="3"/>
      <c r="BD273" s="3"/>
      <c r="BE273" s="3"/>
    </row>
    <row r="274" spans="54:57" ht="15.75" customHeight="1">
      <c r="BB274" s="3"/>
      <c r="BC274" s="3"/>
      <c r="BD274" s="3"/>
      <c r="BE274" s="3"/>
    </row>
    <row r="275" spans="54:57" ht="15.75" customHeight="1">
      <c r="BB275" s="3"/>
      <c r="BC275" s="3"/>
      <c r="BD275" s="3"/>
      <c r="BE275" s="3"/>
    </row>
    <row r="276" spans="54:57" ht="15.75" customHeight="1">
      <c r="BB276" s="3"/>
      <c r="BC276" s="3"/>
      <c r="BD276" s="3"/>
      <c r="BE276" s="3"/>
    </row>
    <row r="277" spans="54:57" ht="15.75" customHeight="1">
      <c r="BB277" s="3"/>
      <c r="BC277" s="3"/>
      <c r="BD277" s="3"/>
      <c r="BE277" s="3"/>
    </row>
    <row r="278" spans="54:57" ht="15.75" customHeight="1">
      <c r="BB278" s="3"/>
      <c r="BC278" s="3"/>
      <c r="BD278" s="3"/>
      <c r="BE278" s="3"/>
    </row>
    <row r="279" spans="54:57" ht="15.75" customHeight="1">
      <c r="BB279" s="3"/>
      <c r="BC279" s="3"/>
      <c r="BD279" s="3"/>
      <c r="BE279" s="3"/>
    </row>
    <row r="280" spans="54:57" ht="15.75" customHeight="1">
      <c r="BB280" s="3"/>
      <c r="BC280" s="3"/>
      <c r="BD280" s="3"/>
      <c r="BE280" s="3"/>
    </row>
    <row r="281" spans="54:57" ht="15.75" customHeight="1">
      <c r="BB281" s="3"/>
      <c r="BC281" s="3"/>
      <c r="BD281" s="3"/>
      <c r="BE281" s="3"/>
    </row>
    <row r="282" spans="54:57" ht="15.75" customHeight="1">
      <c r="BB282" s="3"/>
      <c r="BC282" s="3"/>
      <c r="BD282" s="3"/>
      <c r="BE282" s="3"/>
    </row>
    <row r="283" spans="54:57" ht="15.75" customHeight="1">
      <c r="BB283" s="3"/>
      <c r="BC283" s="3"/>
      <c r="BD283" s="3"/>
      <c r="BE283" s="3"/>
    </row>
    <row r="284" spans="54:57" ht="15.75" customHeight="1">
      <c r="BB284" s="3"/>
      <c r="BC284" s="3"/>
      <c r="BD284" s="3"/>
      <c r="BE284" s="3"/>
    </row>
    <row r="285" spans="54:57" ht="15.75" customHeight="1">
      <c r="BB285" s="3"/>
      <c r="BC285" s="3"/>
      <c r="BD285" s="3"/>
      <c r="BE285" s="3"/>
    </row>
    <row r="286" spans="54:57" ht="15.75" customHeight="1">
      <c r="BB286" s="3"/>
      <c r="BC286" s="3"/>
      <c r="BD286" s="3"/>
      <c r="BE286" s="3"/>
    </row>
    <row r="287" spans="54:57" ht="15.75" customHeight="1">
      <c r="BB287" s="3"/>
      <c r="BC287" s="3"/>
      <c r="BD287" s="3"/>
      <c r="BE287" s="3"/>
    </row>
    <row r="288" spans="54:57" ht="15.75" customHeight="1">
      <c r="BB288" s="3"/>
      <c r="BC288" s="3"/>
      <c r="BD288" s="3"/>
      <c r="BE288" s="3"/>
    </row>
    <row r="289" spans="54:57" ht="15.75" customHeight="1">
      <c r="BB289" s="3"/>
      <c r="BC289" s="3"/>
      <c r="BD289" s="3"/>
      <c r="BE289" s="3"/>
    </row>
    <row r="290" spans="54:57" ht="15.75" customHeight="1">
      <c r="BB290" s="3"/>
      <c r="BC290" s="3"/>
      <c r="BD290" s="3"/>
      <c r="BE290" s="3"/>
    </row>
    <row r="291" spans="54:57" ht="15.75" customHeight="1">
      <c r="BB291" s="3"/>
      <c r="BC291" s="3"/>
      <c r="BD291" s="3"/>
      <c r="BE291" s="3"/>
    </row>
    <row r="292" spans="54:57" ht="15.75" customHeight="1">
      <c r="BB292" s="3"/>
      <c r="BC292" s="3"/>
      <c r="BD292" s="3"/>
      <c r="BE292" s="3"/>
    </row>
    <row r="293" spans="54:57" ht="15.75" customHeight="1">
      <c r="BB293" s="3"/>
      <c r="BC293" s="3"/>
      <c r="BD293" s="3"/>
      <c r="BE293" s="3"/>
    </row>
    <row r="294" spans="54:57" ht="15.75" customHeight="1">
      <c r="BB294" s="3"/>
      <c r="BC294" s="3"/>
      <c r="BD294" s="3"/>
      <c r="BE294" s="3"/>
    </row>
    <row r="295" spans="54:57" ht="15.75" customHeight="1">
      <c r="BB295" s="3"/>
      <c r="BC295" s="3"/>
      <c r="BD295" s="3"/>
      <c r="BE295" s="3"/>
    </row>
    <row r="296" spans="54:57" ht="15.75" customHeight="1">
      <c r="BB296" s="3"/>
      <c r="BC296" s="3"/>
      <c r="BD296" s="3"/>
      <c r="BE296" s="3"/>
    </row>
    <row r="297" spans="54:57" ht="15.75" customHeight="1">
      <c r="BB297" s="3"/>
      <c r="BC297" s="3"/>
      <c r="BD297" s="3"/>
      <c r="BE297" s="3"/>
    </row>
    <row r="298" spans="54:57" ht="15.75" customHeight="1">
      <c r="BB298" s="3"/>
      <c r="BC298" s="3"/>
      <c r="BD298" s="3"/>
      <c r="BE298" s="3"/>
    </row>
    <row r="299" spans="54:57" ht="15.75" customHeight="1">
      <c r="BB299" s="3"/>
      <c r="BC299" s="3"/>
      <c r="BD299" s="3"/>
      <c r="BE299" s="3"/>
    </row>
    <row r="300" spans="54:57" ht="15.75" customHeight="1">
      <c r="BB300" s="3"/>
      <c r="BC300" s="3"/>
      <c r="BD300" s="3"/>
      <c r="BE300" s="3"/>
    </row>
    <row r="301" spans="54:57" ht="15.75" customHeight="1">
      <c r="BB301" s="3"/>
      <c r="BC301" s="3"/>
      <c r="BD301" s="3"/>
      <c r="BE301" s="3"/>
    </row>
    <row r="302" spans="54:57" ht="15.75" customHeight="1">
      <c r="BB302" s="3"/>
      <c r="BC302" s="3"/>
      <c r="BD302" s="3"/>
      <c r="BE302" s="3"/>
    </row>
    <row r="303" spans="54:57" ht="15.75" customHeight="1">
      <c r="BB303" s="3"/>
      <c r="BC303" s="3"/>
      <c r="BD303" s="3"/>
      <c r="BE303" s="3"/>
    </row>
    <row r="304" spans="54:57" ht="15.75" customHeight="1">
      <c r="BB304" s="3"/>
      <c r="BC304" s="3"/>
      <c r="BD304" s="3"/>
      <c r="BE304" s="3"/>
    </row>
    <row r="305" spans="54:57" ht="15.75" customHeight="1">
      <c r="BB305" s="3"/>
      <c r="BC305" s="3"/>
      <c r="BD305" s="3"/>
      <c r="BE305" s="3"/>
    </row>
    <row r="306" spans="54:57" ht="15.75" customHeight="1">
      <c r="BB306" s="3"/>
      <c r="BC306" s="3"/>
      <c r="BD306" s="3"/>
      <c r="BE306" s="3"/>
    </row>
    <row r="307" spans="54:57" ht="15.75" customHeight="1">
      <c r="BB307" s="3"/>
      <c r="BC307" s="3"/>
      <c r="BD307" s="3"/>
      <c r="BE307" s="3"/>
    </row>
    <row r="308" spans="54:57" ht="15.75" customHeight="1">
      <c r="BB308" s="3"/>
      <c r="BC308" s="3"/>
      <c r="BD308" s="3"/>
      <c r="BE308" s="3"/>
    </row>
    <row r="309" spans="54:57" ht="15.75" customHeight="1">
      <c r="BB309" s="3"/>
      <c r="BC309" s="3"/>
      <c r="BD309" s="3"/>
      <c r="BE309" s="3"/>
    </row>
    <row r="310" spans="54:57" ht="15.75" customHeight="1">
      <c r="BB310" s="3"/>
      <c r="BC310" s="3"/>
      <c r="BD310" s="3"/>
      <c r="BE310" s="3"/>
    </row>
    <row r="311" spans="54:57" ht="15.75" customHeight="1">
      <c r="BB311" s="3"/>
      <c r="BC311" s="3"/>
      <c r="BD311" s="3"/>
      <c r="BE311" s="3"/>
    </row>
    <row r="312" spans="54:57" ht="15.75" customHeight="1">
      <c r="BB312" s="3"/>
      <c r="BC312" s="3"/>
      <c r="BD312" s="3"/>
      <c r="BE312" s="3"/>
    </row>
    <row r="313" spans="54:57" ht="15.75" customHeight="1">
      <c r="BB313" s="3"/>
      <c r="BC313" s="3"/>
      <c r="BD313" s="3"/>
      <c r="BE313" s="3"/>
    </row>
    <row r="314" spans="54:57" ht="15.75" customHeight="1">
      <c r="BB314" s="3"/>
      <c r="BC314" s="3"/>
      <c r="BD314" s="3"/>
      <c r="BE314" s="3"/>
    </row>
    <row r="315" spans="54:57" ht="15.75" customHeight="1">
      <c r="BB315" s="3"/>
      <c r="BC315" s="3"/>
      <c r="BD315" s="3"/>
      <c r="BE315" s="3"/>
    </row>
    <row r="316" spans="54:57" ht="15.75" customHeight="1">
      <c r="BB316" s="3"/>
      <c r="BC316" s="3"/>
      <c r="BD316" s="3"/>
      <c r="BE316" s="3"/>
    </row>
    <row r="317" spans="54:57" ht="15.75" customHeight="1">
      <c r="BB317" s="3"/>
      <c r="BC317" s="3"/>
      <c r="BD317" s="3"/>
      <c r="BE317" s="3"/>
    </row>
    <row r="318" spans="54:57" ht="15.75" customHeight="1">
      <c r="BB318" s="3"/>
      <c r="BC318" s="3"/>
      <c r="BD318" s="3"/>
      <c r="BE318" s="3"/>
    </row>
    <row r="319" spans="54:57" ht="15.75" customHeight="1">
      <c r="BB319" s="3"/>
      <c r="BC319" s="3"/>
      <c r="BD319" s="3"/>
      <c r="BE319" s="3"/>
    </row>
    <row r="320" spans="54:57" ht="15.75" customHeight="1">
      <c r="BB320" s="3"/>
      <c r="BC320" s="3"/>
      <c r="BD320" s="3"/>
      <c r="BE320" s="3"/>
    </row>
    <row r="321" spans="54:57" ht="15.75" customHeight="1">
      <c r="BB321" s="3"/>
      <c r="BC321" s="3"/>
      <c r="BD321" s="3"/>
      <c r="BE321" s="3"/>
    </row>
    <row r="322" spans="54:57" ht="15.75" customHeight="1">
      <c r="BB322" s="3"/>
      <c r="BC322" s="3"/>
      <c r="BD322" s="3"/>
      <c r="BE322" s="3"/>
    </row>
    <row r="323" spans="54:57" ht="15.75" customHeight="1">
      <c r="BB323" s="3"/>
      <c r="BC323" s="3"/>
      <c r="BD323" s="3"/>
      <c r="BE323" s="3"/>
    </row>
    <row r="324" spans="54:57" ht="15.75" customHeight="1">
      <c r="BB324" s="3"/>
      <c r="BC324" s="3"/>
      <c r="BD324" s="3"/>
      <c r="BE324" s="3"/>
    </row>
    <row r="325" spans="54:57" ht="15.75" customHeight="1">
      <c r="BB325" s="3"/>
      <c r="BC325" s="3"/>
      <c r="BD325" s="3"/>
      <c r="BE325" s="3"/>
    </row>
    <row r="326" spans="54:57" ht="15.75" customHeight="1">
      <c r="BB326" s="3"/>
      <c r="BC326" s="3"/>
      <c r="BD326" s="3"/>
      <c r="BE326" s="3"/>
    </row>
    <row r="327" spans="54:57" ht="15.75" customHeight="1">
      <c r="BB327" s="3"/>
      <c r="BC327" s="3"/>
      <c r="BD327" s="3"/>
      <c r="BE327" s="3"/>
    </row>
    <row r="328" spans="54:57" ht="15.75" customHeight="1">
      <c r="BB328" s="3"/>
      <c r="BC328" s="3"/>
      <c r="BD328" s="3"/>
      <c r="BE328" s="3"/>
    </row>
    <row r="329" spans="54:57" ht="15.75" customHeight="1">
      <c r="BB329" s="3"/>
      <c r="BC329" s="3"/>
      <c r="BD329" s="3"/>
      <c r="BE329" s="3"/>
    </row>
    <row r="330" spans="54:57" ht="15.75" customHeight="1">
      <c r="BB330" s="3"/>
      <c r="BC330" s="3"/>
      <c r="BD330" s="3"/>
      <c r="BE330" s="3"/>
    </row>
    <row r="331" spans="54:57" ht="15.75" customHeight="1">
      <c r="BB331" s="3"/>
      <c r="BC331" s="3"/>
      <c r="BD331" s="3"/>
      <c r="BE331" s="3"/>
    </row>
    <row r="332" spans="54:57" ht="15.75" customHeight="1">
      <c r="BB332" s="3"/>
      <c r="BC332" s="3"/>
      <c r="BD332" s="3"/>
      <c r="BE332" s="3"/>
    </row>
    <row r="333" spans="54:57" ht="15.75" customHeight="1">
      <c r="BB333" s="3"/>
      <c r="BC333" s="3"/>
      <c r="BD333" s="3"/>
      <c r="BE333" s="3"/>
    </row>
    <row r="334" spans="54:57" ht="15.75" customHeight="1">
      <c r="BB334" s="3"/>
      <c r="BC334" s="3"/>
      <c r="BD334" s="3"/>
      <c r="BE334" s="3"/>
    </row>
    <row r="335" spans="54:57" ht="15.75" customHeight="1">
      <c r="BB335" s="3"/>
      <c r="BC335" s="3"/>
      <c r="BD335" s="3"/>
      <c r="BE335" s="3"/>
    </row>
    <row r="336" spans="54:57" ht="15.75" customHeight="1">
      <c r="BB336" s="3"/>
      <c r="BC336" s="3"/>
      <c r="BD336" s="3"/>
      <c r="BE336" s="3"/>
    </row>
    <row r="337" spans="54:57" ht="15.75" customHeight="1">
      <c r="BB337" s="3"/>
      <c r="BC337" s="3"/>
      <c r="BD337" s="3"/>
      <c r="BE337" s="3"/>
    </row>
    <row r="338" spans="54:57" ht="15.75" customHeight="1">
      <c r="BB338" s="3"/>
      <c r="BC338" s="3"/>
      <c r="BD338" s="3"/>
      <c r="BE338" s="3"/>
    </row>
    <row r="339" spans="54:57" ht="15.75" customHeight="1">
      <c r="BB339" s="3"/>
      <c r="BC339" s="3"/>
      <c r="BD339" s="3"/>
      <c r="BE339" s="3"/>
    </row>
    <row r="340" spans="54:57" ht="15.75" customHeight="1">
      <c r="BB340" s="3"/>
      <c r="BC340" s="3"/>
      <c r="BD340" s="3"/>
      <c r="BE340" s="3"/>
    </row>
    <row r="341" spans="54:57" ht="15.75" customHeight="1">
      <c r="BB341" s="3"/>
      <c r="BC341" s="3"/>
      <c r="BD341" s="3"/>
      <c r="BE341" s="3"/>
    </row>
    <row r="342" spans="54:57" ht="15.75" customHeight="1">
      <c r="BB342" s="3"/>
      <c r="BC342" s="3"/>
      <c r="BD342" s="3"/>
      <c r="BE342" s="3"/>
    </row>
    <row r="343" spans="54:57" ht="15.75" customHeight="1">
      <c r="BB343" s="3"/>
      <c r="BC343" s="3"/>
      <c r="BD343" s="3"/>
      <c r="BE343" s="3"/>
    </row>
    <row r="344" spans="54:57" ht="15.75" customHeight="1">
      <c r="BB344" s="3"/>
      <c r="BC344" s="3"/>
      <c r="BD344" s="3"/>
      <c r="BE344" s="3"/>
    </row>
    <row r="345" spans="54:57" ht="15.75" customHeight="1">
      <c r="BB345" s="3"/>
      <c r="BC345" s="3"/>
      <c r="BD345" s="3"/>
      <c r="BE345" s="3"/>
    </row>
    <row r="346" spans="54:57" ht="15.75" customHeight="1">
      <c r="BB346" s="3"/>
      <c r="BC346" s="3"/>
      <c r="BD346" s="3"/>
      <c r="BE346" s="3"/>
    </row>
    <row r="347" spans="54:57" ht="15.75" customHeight="1">
      <c r="BB347" s="3"/>
      <c r="BC347" s="3"/>
      <c r="BD347" s="3"/>
      <c r="BE347" s="3"/>
    </row>
    <row r="348" spans="54:57" ht="15.75" customHeight="1">
      <c r="BB348" s="3"/>
      <c r="BC348" s="3"/>
      <c r="BD348" s="3"/>
      <c r="BE348" s="3"/>
    </row>
    <row r="349" spans="54:57" ht="15.75" customHeight="1">
      <c r="BB349" s="3"/>
      <c r="BC349" s="3"/>
      <c r="BD349" s="3"/>
      <c r="BE349" s="3"/>
    </row>
    <row r="350" spans="54:57" ht="15.75" customHeight="1">
      <c r="BB350" s="3"/>
      <c r="BC350" s="3"/>
      <c r="BD350" s="3"/>
      <c r="BE350" s="3"/>
    </row>
    <row r="351" spans="54:57" ht="15.75" customHeight="1">
      <c r="BB351" s="3"/>
      <c r="BC351" s="3"/>
      <c r="BD351" s="3"/>
      <c r="BE351" s="3"/>
    </row>
    <row r="352" spans="54:57" ht="15.75" customHeight="1">
      <c r="BB352" s="3"/>
      <c r="BC352" s="3"/>
      <c r="BD352" s="3"/>
      <c r="BE352" s="3"/>
    </row>
    <row r="353" spans="54:57" ht="15.75" customHeight="1">
      <c r="BB353" s="3"/>
      <c r="BC353" s="3"/>
      <c r="BD353" s="3"/>
      <c r="BE353" s="3"/>
    </row>
    <row r="354" spans="54:57" ht="15.75" customHeight="1">
      <c r="BB354" s="3"/>
      <c r="BC354" s="3"/>
      <c r="BD354" s="3"/>
      <c r="BE354" s="3"/>
    </row>
    <row r="355" spans="54:57" ht="15.75" customHeight="1">
      <c r="BB355" s="3"/>
      <c r="BC355" s="3"/>
      <c r="BD355" s="3"/>
      <c r="BE355" s="3"/>
    </row>
    <row r="356" spans="54:57" ht="15.75" customHeight="1">
      <c r="BB356" s="3"/>
      <c r="BC356" s="3"/>
      <c r="BD356" s="3"/>
      <c r="BE356" s="3"/>
    </row>
    <row r="357" spans="54:57" ht="15.75" customHeight="1">
      <c r="BB357" s="3"/>
      <c r="BC357" s="3"/>
      <c r="BD357" s="3"/>
      <c r="BE357" s="3"/>
    </row>
    <row r="358" spans="54:57" ht="15.75" customHeight="1">
      <c r="BB358" s="3"/>
      <c r="BC358" s="3"/>
      <c r="BD358" s="3"/>
      <c r="BE358" s="3"/>
    </row>
    <row r="359" spans="54:57" ht="15.75" customHeight="1">
      <c r="BB359" s="3"/>
      <c r="BC359" s="3"/>
      <c r="BD359" s="3"/>
      <c r="BE359" s="3"/>
    </row>
    <row r="360" spans="54:57" ht="15.75" customHeight="1">
      <c r="BB360" s="3"/>
      <c r="BC360" s="3"/>
      <c r="BD360" s="3"/>
      <c r="BE360" s="3"/>
    </row>
    <row r="361" spans="54:57" ht="15.75" customHeight="1">
      <c r="BB361" s="3"/>
      <c r="BC361" s="3"/>
      <c r="BD361" s="3"/>
      <c r="BE361" s="3"/>
    </row>
    <row r="362" spans="54:57" ht="15.75" customHeight="1">
      <c r="BB362" s="3"/>
      <c r="BC362" s="3"/>
      <c r="BD362" s="3"/>
      <c r="BE362" s="3"/>
    </row>
    <row r="363" spans="54:57" ht="15.75" customHeight="1">
      <c r="BB363" s="3"/>
      <c r="BC363" s="3"/>
      <c r="BD363" s="3"/>
      <c r="BE363" s="3"/>
    </row>
    <row r="364" spans="54:57" ht="15.75" customHeight="1">
      <c r="BB364" s="3"/>
      <c r="BC364" s="3"/>
      <c r="BD364" s="3"/>
      <c r="BE364" s="3"/>
    </row>
    <row r="365" spans="54:57" ht="15.75" customHeight="1">
      <c r="BB365" s="3"/>
      <c r="BC365" s="3"/>
      <c r="BD365" s="3"/>
      <c r="BE365" s="3"/>
    </row>
    <row r="366" spans="54:57" ht="15.75" customHeight="1">
      <c r="BB366" s="3"/>
      <c r="BC366" s="3"/>
      <c r="BD366" s="3"/>
      <c r="BE366" s="3"/>
    </row>
    <row r="367" spans="54:57" ht="15.75" customHeight="1">
      <c r="BB367" s="3"/>
      <c r="BC367" s="3"/>
      <c r="BD367" s="3"/>
      <c r="BE367" s="3"/>
    </row>
    <row r="368" spans="54:57" ht="15.75" customHeight="1">
      <c r="BB368" s="3"/>
      <c r="BC368" s="3"/>
      <c r="BD368" s="3"/>
      <c r="BE368" s="3"/>
    </row>
    <row r="369" spans="54:57" ht="15.75" customHeight="1">
      <c r="BB369" s="3"/>
      <c r="BC369" s="3"/>
      <c r="BD369" s="3"/>
      <c r="BE369" s="3"/>
    </row>
    <row r="370" spans="54:57" ht="15.75" customHeight="1">
      <c r="BB370" s="3"/>
      <c r="BC370" s="3"/>
      <c r="BD370" s="3"/>
      <c r="BE370" s="3"/>
    </row>
    <row r="371" spans="54:57" ht="15.75" customHeight="1">
      <c r="BB371" s="3"/>
      <c r="BC371" s="3"/>
      <c r="BD371" s="3"/>
      <c r="BE371" s="3"/>
    </row>
    <row r="372" spans="54:57" ht="15.75" customHeight="1">
      <c r="BB372" s="3"/>
      <c r="BC372" s="3"/>
      <c r="BD372" s="3"/>
      <c r="BE372" s="3"/>
    </row>
    <row r="373" spans="54:57" ht="15.75" customHeight="1">
      <c r="BB373" s="3"/>
      <c r="BC373" s="3"/>
      <c r="BD373" s="3"/>
      <c r="BE373" s="3"/>
    </row>
    <row r="374" spans="54:57" ht="15.75" customHeight="1">
      <c r="BB374" s="3"/>
      <c r="BC374" s="3"/>
      <c r="BD374" s="3"/>
      <c r="BE374" s="3"/>
    </row>
    <row r="375" spans="54:57" ht="15.75" customHeight="1">
      <c r="BB375" s="3"/>
      <c r="BC375" s="3"/>
      <c r="BD375" s="3"/>
      <c r="BE375" s="3"/>
    </row>
    <row r="376" spans="54:57" ht="15.75" customHeight="1">
      <c r="BB376" s="3"/>
      <c r="BC376" s="3"/>
      <c r="BD376" s="3"/>
      <c r="BE376" s="3"/>
    </row>
    <row r="377" spans="54:57" ht="15.75" customHeight="1">
      <c r="BB377" s="3"/>
      <c r="BC377" s="3"/>
      <c r="BD377" s="3"/>
      <c r="BE377" s="3"/>
    </row>
    <row r="378" spans="54:57" ht="15.75" customHeight="1">
      <c r="BB378" s="3"/>
      <c r="BC378" s="3"/>
      <c r="BD378" s="3"/>
      <c r="BE378" s="3"/>
    </row>
    <row r="379" spans="54:57" ht="15.75" customHeight="1">
      <c r="BB379" s="3"/>
      <c r="BC379" s="3"/>
      <c r="BD379" s="3"/>
      <c r="BE379" s="3"/>
    </row>
    <row r="380" spans="54:57" ht="15.75" customHeight="1">
      <c r="BB380" s="3"/>
      <c r="BC380" s="3"/>
      <c r="BD380" s="3"/>
      <c r="BE380" s="3"/>
    </row>
    <row r="381" spans="54:57" ht="15.75" customHeight="1">
      <c r="BB381" s="3"/>
      <c r="BC381" s="3"/>
      <c r="BD381" s="3"/>
      <c r="BE381" s="3"/>
    </row>
    <row r="382" spans="54:57" ht="15.75" customHeight="1">
      <c r="BB382" s="3"/>
      <c r="BC382" s="3"/>
      <c r="BD382" s="3"/>
      <c r="BE382" s="3"/>
    </row>
    <row r="383" spans="54:57" ht="15.75" customHeight="1">
      <c r="BB383" s="3"/>
      <c r="BC383" s="3"/>
      <c r="BD383" s="3"/>
      <c r="BE383" s="3"/>
    </row>
    <row r="384" spans="54:57" ht="15.75" customHeight="1">
      <c r="BB384" s="3"/>
      <c r="BC384" s="3"/>
      <c r="BD384" s="3"/>
      <c r="BE384" s="3"/>
    </row>
    <row r="385" spans="54:57" ht="15.75" customHeight="1">
      <c r="BB385" s="3"/>
      <c r="BC385" s="3"/>
      <c r="BD385" s="3"/>
      <c r="BE385" s="3"/>
    </row>
    <row r="386" spans="54:57" ht="15.75" customHeight="1">
      <c r="BB386" s="3"/>
      <c r="BC386" s="3"/>
      <c r="BD386" s="3"/>
      <c r="BE386" s="3"/>
    </row>
    <row r="387" spans="54:57" ht="15.75" customHeight="1">
      <c r="BB387" s="3"/>
      <c r="BC387" s="3"/>
      <c r="BD387" s="3"/>
      <c r="BE387" s="3"/>
    </row>
    <row r="388" spans="54:57" ht="15.75" customHeight="1">
      <c r="BB388" s="3"/>
      <c r="BC388" s="3"/>
      <c r="BD388" s="3"/>
      <c r="BE388" s="3"/>
    </row>
    <row r="389" spans="54:57" ht="15.75" customHeight="1">
      <c r="BB389" s="3"/>
      <c r="BC389" s="3"/>
      <c r="BD389" s="3"/>
      <c r="BE389" s="3"/>
    </row>
    <row r="390" spans="54:57" ht="15.75" customHeight="1">
      <c r="BB390" s="3"/>
      <c r="BC390" s="3"/>
      <c r="BD390" s="3"/>
      <c r="BE390" s="3"/>
    </row>
    <row r="391" spans="54:57" ht="15.75" customHeight="1">
      <c r="BB391" s="3"/>
      <c r="BC391" s="3"/>
      <c r="BD391" s="3"/>
      <c r="BE391" s="3"/>
    </row>
    <row r="392" spans="54:57" ht="15.75" customHeight="1">
      <c r="BB392" s="3"/>
      <c r="BC392" s="3"/>
      <c r="BD392" s="3"/>
      <c r="BE392" s="3"/>
    </row>
    <row r="393" spans="54:57" ht="15.75" customHeight="1">
      <c r="BB393" s="3"/>
      <c r="BC393" s="3"/>
      <c r="BD393" s="3"/>
      <c r="BE393" s="3"/>
    </row>
    <row r="394" spans="54:57" ht="15.75" customHeight="1">
      <c r="BB394" s="3"/>
      <c r="BC394" s="3"/>
      <c r="BD394" s="3"/>
      <c r="BE394" s="3"/>
    </row>
    <row r="395" spans="54:57" ht="15.75" customHeight="1">
      <c r="BB395" s="3"/>
      <c r="BC395" s="3"/>
      <c r="BD395" s="3"/>
      <c r="BE395" s="3"/>
    </row>
    <row r="396" spans="54:57" ht="15.75" customHeight="1">
      <c r="BB396" s="3"/>
      <c r="BC396" s="3"/>
      <c r="BD396" s="3"/>
      <c r="BE396" s="3"/>
    </row>
    <row r="397" spans="54:57" ht="15.75" customHeight="1">
      <c r="BB397" s="3"/>
      <c r="BC397" s="3"/>
      <c r="BD397" s="3"/>
      <c r="BE397" s="3"/>
    </row>
    <row r="398" spans="54:57" ht="15.75" customHeight="1">
      <c r="BB398" s="3"/>
      <c r="BC398" s="3"/>
      <c r="BD398" s="3"/>
      <c r="BE398" s="3"/>
    </row>
    <row r="399" spans="54:57" ht="15.75" customHeight="1">
      <c r="BB399" s="3"/>
      <c r="BC399" s="3"/>
      <c r="BD399" s="3"/>
      <c r="BE399" s="3"/>
    </row>
    <row r="400" spans="54:57" ht="15.75" customHeight="1">
      <c r="BB400" s="3"/>
      <c r="BC400" s="3"/>
      <c r="BD400" s="3"/>
      <c r="BE400" s="3"/>
    </row>
    <row r="401" spans="54:57" ht="15.75" customHeight="1">
      <c r="BB401" s="3"/>
      <c r="BC401" s="3"/>
      <c r="BD401" s="3"/>
      <c r="BE401" s="3"/>
    </row>
    <row r="402" spans="54:57" ht="15.75" customHeight="1">
      <c r="BB402" s="3"/>
      <c r="BC402" s="3"/>
      <c r="BD402" s="3"/>
      <c r="BE402" s="3"/>
    </row>
    <row r="403" spans="54:57" ht="15.75" customHeight="1">
      <c r="BB403" s="3"/>
      <c r="BC403" s="3"/>
      <c r="BD403" s="3"/>
      <c r="BE403" s="3"/>
    </row>
    <row r="404" spans="54:57" ht="15.75" customHeight="1">
      <c r="BB404" s="3"/>
      <c r="BC404" s="3"/>
      <c r="BD404" s="3"/>
      <c r="BE404" s="3"/>
    </row>
    <row r="405" spans="54:57" ht="15.75" customHeight="1">
      <c r="BB405" s="3"/>
      <c r="BC405" s="3"/>
      <c r="BD405" s="3"/>
      <c r="BE405" s="3"/>
    </row>
    <row r="406" spans="54:57" ht="15.75" customHeight="1">
      <c r="BB406" s="3"/>
      <c r="BC406" s="3"/>
      <c r="BD406" s="3"/>
      <c r="BE406" s="3"/>
    </row>
    <row r="407" spans="54:57" ht="15.75" customHeight="1">
      <c r="BB407" s="3"/>
      <c r="BC407" s="3"/>
      <c r="BD407" s="3"/>
      <c r="BE407" s="3"/>
    </row>
    <row r="408" spans="54:57" ht="15.75" customHeight="1">
      <c r="BB408" s="3"/>
      <c r="BC408" s="3"/>
      <c r="BD408" s="3"/>
      <c r="BE408" s="3"/>
    </row>
    <row r="409" spans="54:57" ht="15.75" customHeight="1">
      <c r="BB409" s="3"/>
      <c r="BC409" s="3"/>
      <c r="BD409" s="3"/>
      <c r="BE409" s="3"/>
    </row>
    <row r="410" spans="54:57" ht="15.75" customHeight="1">
      <c r="BB410" s="3"/>
      <c r="BC410" s="3"/>
      <c r="BD410" s="3"/>
      <c r="BE410" s="3"/>
    </row>
    <row r="411" spans="54:57" ht="15.75" customHeight="1">
      <c r="BB411" s="3"/>
      <c r="BC411" s="3"/>
      <c r="BD411" s="3"/>
      <c r="BE411" s="3"/>
    </row>
    <row r="412" spans="54:57" ht="15.75" customHeight="1">
      <c r="BB412" s="3"/>
      <c r="BC412" s="3"/>
      <c r="BD412" s="3"/>
      <c r="BE412" s="3"/>
    </row>
    <row r="413" spans="54:57" ht="15.75" customHeight="1">
      <c r="BB413" s="3"/>
      <c r="BC413" s="3"/>
      <c r="BD413" s="3"/>
      <c r="BE413" s="3"/>
    </row>
    <row r="414" spans="54:57" ht="15.75" customHeight="1">
      <c r="BB414" s="3"/>
      <c r="BC414" s="3"/>
      <c r="BD414" s="3"/>
      <c r="BE414" s="3"/>
    </row>
    <row r="415" spans="54:57" ht="15.75" customHeight="1">
      <c r="BB415" s="3"/>
      <c r="BC415" s="3"/>
      <c r="BD415" s="3"/>
      <c r="BE415" s="3"/>
    </row>
    <row r="416" spans="54:57" ht="15.75" customHeight="1">
      <c r="BB416" s="3"/>
      <c r="BC416" s="3"/>
      <c r="BD416" s="3"/>
      <c r="BE416" s="3"/>
    </row>
    <row r="417" spans="54:57" ht="15.75" customHeight="1">
      <c r="BB417" s="3"/>
      <c r="BC417" s="3"/>
      <c r="BD417" s="3"/>
      <c r="BE417" s="3"/>
    </row>
    <row r="418" spans="54:57" ht="15.75" customHeight="1">
      <c r="BB418" s="3"/>
      <c r="BC418" s="3"/>
      <c r="BD418" s="3"/>
      <c r="BE418" s="3"/>
    </row>
    <row r="419" spans="54:57" ht="15.75" customHeight="1">
      <c r="BB419" s="3"/>
      <c r="BC419" s="3"/>
      <c r="BD419" s="3"/>
      <c r="BE419" s="3"/>
    </row>
    <row r="420" spans="54:57" ht="15.75" customHeight="1">
      <c r="BB420" s="3"/>
      <c r="BC420" s="3"/>
      <c r="BD420" s="3"/>
      <c r="BE420" s="3"/>
    </row>
    <row r="421" spans="54:57" ht="15.75" customHeight="1">
      <c r="BB421" s="3"/>
      <c r="BC421" s="3"/>
      <c r="BD421" s="3"/>
      <c r="BE421" s="3"/>
    </row>
    <row r="422" spans="54:57" ht="15.75" customHeight="1">
      <c r="BB422" s="3"/>
      <c r="BC422" s="3"/>
      <c r="BD422" s="3"/>
      <c r="BE422" s="3"/>
    </row>
    <row r="423" spans="54:57" ht="15.75" customHeight="1">
      <c r="BB423" s="3"/>
      <c r="BC423" s="3"/>
      <c r="BD423" s="3"/>
      <c r="BE423" s="3"/>
    </row>
    <row r="424" spans="54:57" ht="15.75" customHeight="1">
      <c r="BB424" s="3"/>
      <c r="BC424" s="3"/>
      <c r="BD424" s="3"/>
      <c r="BE424" s="3"/>
    </row>
    <row r="425" spans="54:57" ht="15.75" customHeight="1">
      <c r="BB425" s="3"/>
      <c r="BC425" s="3"/>
      <c r="BD425" s="3"/>
      <c r="BE425" s="3"/>
    </row>
    <row r="426" spans="54:57" ht="15.75" customHeight="1">
      <c r="BB426" s="3"/>
      <c r="BC426" s="3"/>
      <c r="BD426" s="3"/>
      <c r="BE426" s="3"/>
    </row>
    <row r="427" spans="54:57" ht="15.75" customHeight="1">
      <c r="BB427" s="3"/>
      <c r="BC427" s="3"/>
      <c r="BD427" s="3"/>
      <c r="BE427" s="3"/>
    </row>
    <row r="428" spans="54:57" ht="15.75" customHeight="1">
      <c r="BB428" s="3"/>
      <c r="BC428" s="3"/>
      <c r="BD428" s="3"/>
      <c r="BE428" s="3"/>
    </row>
    <row r="429" spans="54:57" ht="15.75" customHeight="1">
      <c r="BB429" s="3"/>
      <c r="BC429" s="3"/>
      <c r="BD429" s="3"/>
      <c r="BE429" s="3"/>
    </row>
    <row r="430" spans="54:57" ht="15.75" customHeight="1">
      <c r="BB430" s="3"/>
      <c r="BC430" s="3"/>
      <c r="BD430" s="3"/>
      <c r="BE430" s="3"/>
    </row>
    <row r="431" spans="54:57" ht="15.75" customHeight="1">
      <c r="BB431" s="3"/>
      <c r="BC431" s="3"/>
      <c r="BD431" s="3"/>
      <c r="BE431" s="3"/>
    </row>
    <row r="432" spans="54:57" ht="15.75" customHeight="1">
      <c r="BB432" s="3"/>
      <c r="BC432" s="3"/>
      <c r="BD432" s="3"/>
      <c r="BE432" s="3"/>
    </row>
    <row r="433" spans="54:57" ht="15.75" customHeight="1">
      <c r="BB433" s="3"/>
      <c r="BC433" s="3"/>
      <c r="BD433" s="3"/>
      <c r="BE433" s="3"/>
    </row>
    <row r="434" spans="54:57" ht="15.75" customHeight="1">
      <c r="BB434" s="3"/>
      <c r="BC434" s="3"/>
      <c r="BD434" s="3"/>
      <c r="BE434" s="3"/>
    </row>
    <row r="435" spans="54:57" ht="15.75" customHeight="1">
      <c r="BB435" s="3"/>
      <c r="BC435" s="3"/>
      <c r="BD435" s="3"/>
      <c r="BE435" s="3"/>
    </row>
    <row r="436" spans="54:57" ht="15.75" customHeight="1">
      <c r="BB436" s="3"/>
      <c r="BC436" s="3"/>
      <c r="BD436" s="3"/>
      <c r="BE436" s="3"/>
    </row>
    <row r="437" spans="54:57" ht="15.75" customHeight="1">
      <c r="BB437" s="3"/>
      <c r="BC437" s="3"/>
      <c r="BD437" s="3"/>
      <c r="BE437" s="3"/>
    </row>
    <row r="438" spans="54:57" ht="15.75" customHeight="1">
      <c r="BB438" s="3"/>
      <c r="BC438" s="3"/>
      <c r="BD438" s="3"/>
      <c r="BE438" s="3"/>
    </row>
    <row r="439" spans="54:57" ht="15.75" customHeight="1">
      <c r="BB439" s="3"/>
      <c r="BC439" s="3"/>
      <c r="BD439" s="3"/>
      <c r="BE439" s="3"/>
    </row>
    <row r="440" spans="54:57" ht="15.75" customHeight="1">
      <c r="BB440" s="3"/>
      <c r="BC440" s="3"/>
      <c r="BD440" s="3"/>
      <c r="BE440" s="3"/>
    </row>
    <row r="441" spans="54:57" ht="15.75" customHeight="1">
      <c r="BB441" s="3"/>
      <c r="BC441" s="3"/>
      <c r="BD441" s="3"/>
      <c r="BE441" s="3"/>
    </row>
    <row r="442" spans="54:57" ht="15.75" customHeight="1">
      <c r="BB442" s="3"/>
      <c r="BC442" s="3"/>
      <c r="BD442" s="3"/>
      <c r="BE442" s="3"/>
    </row>
    <row r="443" spans="54:57" ht="15.75" customHeight="1">
      <c r="BB443" s="3"/>
      <c r="BC443" s="3"/>
      <c r="BD443" s="3"/>
      <c r="BE443" s="3"/>
    </row>
    <row r="444" spans="54:57" ht="15.75" customHeight="1">
      <c r="BB444" s="3"/>
      <c r="BC444" s="3"/>
      <c r="BD444" s="3"/>
      <c r="BE444" s="3"/>
    </row>
    <row r="445" spans="54:57" ht="15.75" customHeight="1">
      <c r="BB445" s="3"/>
      <c r="BC445" s="3"/>
      <c r="BD445" s="3"/>
      <c r="BE445" s="3"/>
    </row>
    <row r="446" spans="54:57" ht="15.75" customHeight="1">
      <c r="BB446" s="3"/>
      <c r="BC446" s="3"/>
      <c r="BD446" s="3"/>
      <c r="BE446" s="3"/>
    </row>
    <row r="447" spans="54:57" ht="15.75" customHeight="1">
      <c r="BB447" s="3"/>
      <c r="BC447" s="3"/>
      <c r="BD447" s="3"/>
      <c r="BE447" s="3"/>
    </row>
    <row r="448" spans="54:57" ht="15.75" customHeight="1">
      <c r="BB448" s="3"/>
      <c r="BC448" s="3"/>
      <c r="BD448" s="3"/>
      <c r="BE448" s="3"/>
    </row>
    <row r="449" spans="54:57" ht="15.75" customHeight="1">
      <c r="BB449" s="3"/>
      <c r="BC449" s="3"/>
      <c r="BD449" s="3"/>
      <c r="BE449" s="3"/>
    </row>
    <row r="450" spans="54:57" ht="15.75" customHeight="1">
      <c r="BB450" s="3"/>
      <c r="BC450" s="3"/>
      <c r="BD450" s="3"/>
      <c r="BE450" s="3"/>
    </row>
    <row r="451" spans="54:57" ht="15.75" customHeight="1">
      <c r="BB451" s="3"/>
      <c r="BC451" s="3"/>
      <c r="BD451" s="3"/>
      <c r="BE451" s="3"/>
    </row>
    <row r="452" spans="54:57" ht="15.75" customHeight="1">
      <c r="BB452" s="3"/>
      <c r="BC452" s="3"/>
      <c r="BD452" s="3"/>
      <c r="BE452" s="3"/>
    </row>
    <row r="453" spans="54:57" ht="15.75" customHeight="1">
      <c r="BB453" s="3"/>
      <c r="BC453" s="3"/>
      <c r="BD453" s="3"/>
      <c r="BE453" s="3"/>
    </row>
    <row r="454" spans="54:57" ht="15.75" customHeight="1">
      <c r="BB454" s="3"/>
      <c r="BC454" s="3"/>
      <c r="BD454" s="3"/>
      <c r="BE454" s="3"/>
    </row>
    <row r="455" spans="54:57" ht="15.75" customHeight="1">
      <c r="BB455" s="3"/>
      <c r="BC455" s="3"/>
      <c r="BD455" s="3"/>
      <c r="BE455" s="3"/>
    </row>
    <row r="456" spans="54:57" ht="15.75" customHeight="1">
      <c r="BB456" s="3"/>
      <c r="BC456" s="3"/>
      <c r="BD456" s="3"/>
      <c r="BE456" s="3"/>
    </row>
    <row r="457" spans="54:57" ht="15.75" customHeight="1">
      <c r="BB457" s="3"/>
      <c r="BC457" s="3"/>
      <c r="BD457" s="3"/>
      <c r="BE457" s="3"/>
    </row>
    <row r="458" spans="54:57" ht="15.75" customHeight="1">
      <c r="BB458" s="3"/>
      <c r="BC458" s="3"/>
      <c r="BD458" s="3"/>
      <c r="BE458" s="3"/>
    </row>
    <row r="459" spans="54:57" ht="15.75" customHeight="1">
      <c r="BB459" s="3"/>
      <c r="BC459" s="3"/>
      <c r="BD459" s="3"/>
      <c r="BE459" s="3"/>
    </row>
    <row r="460" spans="54:57" ht="15.75" customHeight="1">
      <c r="BB460" s="3"/>
      <c r="BC460" s="3"/>
      <c r="BD460" s="3"/>
      <c r="BE460" s="3"/>
    </row>
    <row r="461" spans="54:57" ht="15.75" customHeight="1">
      <c r="BB461" s="3"/>
      <c r="BC461" s="3"/>
      <c r="BD461" s="3"/>
      <c r="BE461" s="3"/>
    </row>
    <row r="462" spans="54:57" ht="15.75" customHeight="1">
      <c r="BB462" s="3"/>
      <c r="BC462" s="3"/>
      <c r="BD462" s="3"/>
      <c r="BE462" s="3"/>
    </row>
    <row r="463" spans="54:57" ht="15.75" customHeight="1">
      <c r="BB463" s="3"/>
      <c r="BC463" s="3"/>
      <c r="BD463" s="3"/>
      <c r="BE463" s="3"/>
    </row>
    <row r="464" spans="54:57" ht="15.75" customHeight="1">
      <c r="BB464" s="3"/>
      <c r="BC464" s="3"/>
      <c r="BD464" s="3"/>
      <c r="BE464" s="3"/>
    </row>
    <row r="465" spans="54:57" ht="15.75" customHeight="1">
      <c r="BB465" s="3"/>
      <c r="BC465" s="3"/>
      <c r="BD465" s="3"/>
      <c r="BE465" s="3"/>
    </row>
    <row r="466" spans="54:57" ht="15.75" customHeight="1">
      <c r="BB466" s="3"/>
      <c r="BC466" s="3"/>
      <c r="BD466" s="3"/>
      <c r="BE466" s="3"/>
    </row>
    <row r="467" spans="54:57" ht="15.75" customHeight="1">
      <c r="BB467" s="3"/>
      <c r="BC467" s="3"/>
      <c r="BD467" s="3"/>
      <c r="BE467" s="3"/>
    </row>
    <row r="468" spans="54:57" ht="15.75" customHeight="1">
      <c r="BB468" s="3"/>
      <c r="BC468" s="3"/>
      <c r="BD468" s="3"/>
      <c r="BE468" s="3"/>
    </row>
    <row r="469" spans="54:57" ht="15.75" customHeight="1">
      <c r="BB469" s="3"/>
      <c r="BC469" s="3"/>
      <c r="BD469" s="3"/>
      <c r="BE469" s="3"/>
    </row>
    <row r="470" spans="54:57" ht="15.75" customHeight="1">
      <c r="BB470" s="3"/>
      <c r="BC470" s="3"/>
      <c r="BD470" s="3"/>
      <c r="BE470" s="3"/>
    </row>
    <row r="471" spans="54:57" ht="15.75" customHeight="1">
      <c r="BB471" s="3"/>
      <c r="BC471" s="3"/>
      <c r="BD471" s="3"/>
      <c r="BE471" s="3"/>
    </row>
    <row r="472" spans="54:57" ht="15.75" customHeight="1">
      <c r="BB472" s="3"/>
      <c r="BC472" s="3"/>
      <c r="BD472" s="3"/>
      <c r="BE472" s="3"/>
    </row>
    <row r="473" spans="54:57" ht="15.75" customHeight="1">
      <c r="BB473" s="3"/>
      <c r="BC473" s="3"/>
      <c r="BD473" s="3"/>
      <c r="BE473" s="3"/>
    </row>
    <row r="474" spans="54:57" ht="15.75" customHeight="1">
      <c r="BB474" s="3"/>
      <c r="BC474" s="3"/>
      <c r="BD474" s="3"/>
      <c r="BE474" s="3"/>
    </row>
    <row r="475" spans="54:57" ht="15.75" customHeight="1">
      <c r="BB475" s="3"/>
      <c r="BC475" s="3"/>
      <c r="BD475" s="3"/>
      <c r="BE475" s="3"/>
    </row>
    <row r="476" spans="54:57" ht="15.75" customHeight="1">
      <c r="BB476" s="3"/>
      <c r="BC476" s="3"/>
      <c r="BD476" s="3"/>
      <c r="BE476" s="3"/>
    </row>
    <row r="477" spans="54:57" ht="15.75" customHeight="1">
      <c r="BB477" s="3"/>
      <c r="BC477" s="3"/>
      <c r="BD477" s="3"/>
      <c r="BE477" s="3"/>
    </row>
    <row r="478" spans="54:57" ht="15.75" customHeight="1">
      <c r="BB478" s="3"/>
      <c r="BC478" s="3"/>
      <c r="BD478" s="3"/>
      <c r="BE478" s="3"/>
    </row>
    <row r="479" spans="54:57" ht="15.75" customHeight="1">
      <c r="BB479" s="3"/>
      <c r="BC479" s="3"/>
      <c r="BD479" s="3"/>
      <c r="BE479" s="3"/>
    </row>
    <row r="480" spans="54:57" ht="15.75" customHeight="1">
      <c r="BB480" s="3"/>
      <c r="BC480" s="3"/>
      <c r="BD480" s="3"/>
      <c r="BE480" s="3"/>
    </row>
    <row r="481" spans="54:57" ht="15.75" customHeight="1">
      <c r="BB481" s="3"/>
      <c r="BC481" s="3"/>
      <c r="BD481" s="3"/>
      <c r="BE481" s="3"/>
    </row>
    <row r="482" spans="54:57" ht="15.75" customHeight="1">
      <c r="BB482" s="3"/>
      <c r="BC482" s="3"/>
      <c r="BD482" s="3"/>
      <c r="BE482" s="3"/>
    </row>
    <row r="483" spans="54:57" ht="15.75" customHeight="1">
      <c r="BB483" s="3"/>
      <c r="BC483" s="3"/>
      <c r="BD483" s="3"/>
      <c r="BE483" s="3"/>
    </row>
    <row r="484" spans="54:57" ht="15.75" customHeight="1">
      <c r="BB484" s="3"/>
      <c r="BC484" s="3"/>
      <c r="BD484" s="3"/>
      <c r="BE484" s="3"/>
    </row>
    <row r="485" spans="54:57" ht="15.75" customHeight="1">
      <c r="BB485" s="3"/>
      <c r="BC485" s="3"/>
      <c r="BD485" s="3"/>
      <c r="BE485" s="3"/>
    </row>
    <row r="486" spans="54:57" ht="15.75" customHeight="1">
      <c r="BB486" s="3"/>
      <c r="BC486" s="3"/>
      <c r="BD486" s="3"/>
      <c r="BE486" s="3"/>
    </row>
    <row r="487" spans="54:57" ht="15.75" customHeight="1">
      <c r="BB487" s="3"/>
      <c r="BC487" s="3"/>
      <c r="BD487" s="3"/>
      <c r="BE487" s="3"/>
    </row>
    <row r="488" spans="54:57" ht="15.75" customHeight="1">
      <c r="BB488" s="3"/>
      <c r="BC488" s="3"/>
      <c r="BD488" s="3"/>
      <c r="BE488" s="3"/>
    </row>
    <row r="489" spans="54:57" ht="15.75" customHeight="1">
      <c r="BB489" s="3"/>
      <c r="BC489" s="3"/>
      <c r="BD489" s="3"/>
      <c r="BE489" s="3"/>
    </row>
    <row r="490" spans="54:57" ht="15.75" customHeight="1">
      <c r="BB490" s="3"/>
      <c r="BC490" s="3"/>
      <c r="BD490" s="3"/>
      <c r="BE490" s="3"/>
    </row>
    <row r="491" spans="54:57" ht="15.75" customHeight="1">
      <c r="BB491" s="3"/>
      <c r="BC491" s="3"/>
      <c r="BD491" s="3"/>
      <c r="BE491" s="3"/>
    </row>
    <row r="492" spans="54:57" ht="15.75" customHeight="1">
      <c r="BB492" s="3"/>
      <c r="BC492" s="3"/>
      <c r="BD492" s="3"/>
      <c r="BE492" s="3"/>
    </row>
    <row r="493" spans="54:57" ht="15.75" customHeight="1">
      <c r="BB493" s="3"/>
      <c r="BC493" s="3"/>
      <c r="BD493" s="3"/>
      <c r="BE493" s="3"/>
    </row>
    <row r="494" spans="54:57" ht="15.75" customHeight="1">
      <c r="BB494" s="3"/>
      <c r="BC494" s="3"/>
      <c r="BD494" s="3"/>
      <c r="BE494" s="3"/>
    </row>
    <row r="495" spans="54:57" ht="15.75" customHeight="1">
      <c r="BB495" s="3"/>
      <c r="BC495" s="3"/>
      <c r="BD495" s="3"/>
      <c r="BE495" s="3"/>
    </row>
    <row r="496" spans="54:57" ht="15.75" customHeight="1">
      <c r="BB496" s="3"/>
      <c r="BC496" s="3"/>
      <c r="BD496" s="3"/>
      <c r="BE496" s="3"/>
    </row>
    <row r="497" spans="54:57" ht="15.75" customHeight="1">
      <c r="BB497" s="3"/>
      <c r="BC497" s="3"/>
      <c r="BD497" s="3"/>
      <c r="BE497" s="3"/>
    </row>
    <row r="498" spans="54:57" ht="15.75" customHeight="1">
      <c r="BB498" s="3"/>
      <c r="BC498" s="3"/>
      <c r="BD498" s="3"/>
      <c r="BE498" s="3"/>
    </row>
    <row r="499" spans="54:57" ht="15.75" customHeight="1">
      <c r="BB499" s="3"/>
      <c r="BC499" s="3"/>
      <c r="BD499" s="3"/>
      <c r="BE499" s="3"/>
    </row>
    <row r="500" spans="54:57" ht="15.75" customHeight="1">
      <c r="BB500" s="3"/>
      <c r="BC500" s="3"/>
      <c r="BD500" s="3"/>
      <c r="BE500" s="3"/>
    </row>
    <row r="501" spans="54:57" ht="15.75" customHeight="1">
      <c r="BB501" s="3"/>
      <c r="BC501" s="3"/>
      <c r="BD501" s="3"/>
      <c r="BE501" s="3"/>
    </row>
    <row r="502" spans="54:57" ht="15.75" customHeight="1">
      <c r="BB502" s="3"/>
      <c r="BC502" s="3"/>
      <c r="BD502" s="3"/>
      <c r="BE502" s="3"/>
    </row>
    <row r="503" spans="54:57" ht="15.75" customHeight="1">
      <c r="BB503" s="3"/>
      <c r="BC503" s="3"/>
      <c r="BD503" s="3"/>
      <c r="BE503" s="3"/>
    </row>
    <row r="504" spans="54:57" ht="15.75" customHeight="1">
      <c r="BB504" s="3"/>
      <c r="BC504" s="3"/>
      <c r="BD504" s="3"/>
      <c r="BE504" s="3"/>
    </row>
    <row r="505" spans="54:57" ht="15.75" customHeight="1">
      <c r="BB505" s="3"/>
      <c r="BC505" s="3"/>
      <c r="BD505" s="3"/>
      <c r="BE505" s="3"/>
    </row>
    <row r="506" spans="54:57" ht="15.75" customHeight="1">
      <c r="BB506" s="3"/>
      <c r="BC506" s="3"/>
      <c r="BD506" s="3"/>
      <c r="BE506" s="3"/>
    </row>
    <row r="507" spans="54:57" ht="15.75" customHeight="1">
      <c r="BB507" s="3"/>
      <c r="BC507" s="3"/>
      <c r="BD507" s="3"/>
      <c r="BE507" s="3"/>
    </row>
    <row r="508" spans="54:57" ht="15.75" customHeight="1">
      <c r="BB508" s="3"/>
      <c r="BC508" s="3"/>
      <c r="BD508" s="3"/>
      <c r="BE508" s="3"/>
    </row>
    <row r="509" spans="54:57" ht="15.75" customHeight="1">
      <c r="BB509" s="3"/>
      <c r="BC509" s="3"/>
      <c r="BD509" s="3"/>
      <c r="BE509" s="3"/>
    </row>
    <row r="510" spans="54:57" ht="15.75" customHeight="1">
      <c r="BB510" s="3"/>
      <c r="BC510" s="3"/>
      <c r="BD510" s="3"/>
      <c r="BE510" s="3"/>
    </row>
    <row r="511" spans="54:57" ht="15.75" customHeight="1">
      <c r="BB511" s="3"/>
      <c r="BC511" s="3"/>
      <c r="BD511" s="3"/>
      <c r="BE511" s="3"/>
    </row>
    <row r="512" spans="54:57" ht="15.75" customHeight="1">
      <c r="BB512" s="3"/>
      <c r="BC512" s="3"/>
      <c r="BD512" s="3"/>
      <c r="BE512" s="3"/>
    </row>
    <row r="513" spans="54:57" ht="15.75" customHeight="1">
      <c r="BB513" s="3"/>
      <c r="BC513" s="3"/>
      <c r="BD513" s="3"/>
      <c r="BE513" s="3"/>
    </row>
    <row r="514" spans="54:57" ht="15.75" customHeight="1">
      <c r="BB514" s="3"/>
      <c r="BC514" s="3"/>
      <c r="BD514" s="3"/>
      <c r="BE514" s="3"/>
    </row>
    <row r="515" spans="54:57" ht="15.75" customHeight="1">
      <c r="BB515" s="3"/>
      <c r="BC515" s="3"/>
      <c r="BD515" s="3"/>
      <c r="BE515" s="3"/>
    </row>
    <row r="516" spans="54:57" ht="15.75" customHeight="1">
      <c r="BB516" s="3"/>
      <c r="BC516" s="3"/>
      <c r="BD516" s="3"/>
      <c r="BE516" s="3"/>
    </row>
    <row r="517" spans="54:57" ht="15.75" customHeight="1">
      <c r="BB517" s="3"/>
      <c r="BC517" s="3"/>
      <c r="BD517" s="3"/>
      <c r="BE517" s="3"/>
    </row>
    <row r="518" spans="54:57" ht="15.75" customHeight="1">
      <c r="BB518" s="3"/>
      <c r="BC518" s="3"/>
      <c r="BD518" s="3"/>
      <c r="BE518" s="3"/>
    </row>
    <row r="519" spans="54:57" ht="15.75" customHeight="1">
      <c r="BB519" s="3"/>
      <c r="BC519" s="3"/>
      <c r="BD519" s="3"/>
      <c r="BE519" s="3"/>
    </row>
    <row r="520" spans="54:57" ht="15.75" customHeight="1">
      <c r="BB520" s="3"/>
      <c r="BC520" s="3"/>
      <c r="BD520" s="3"/>
      <c r="BE520" s="3"/>
    </row>
    <row r="521" spans="54:57" ht="15.75" customHeight="1">
      <c r="BB521" s="3"/>
      <c r="BC521" s="3"/>
      <c r="BD521" s="3"/>
      <c r="BE521" s="3"/>
    </row>
    <row r="522" spans="54:57" ht="15.75" customHeight="1">
      <c r="BB522" s="3"/>
      <c r="BC522" s="3"/>
      <c r="BD522" s="3"/>
      <c r="BE522" s="3"/>
    </row>
    <row r="523" spans="54:57" ht="15.75" customHeight="1">
      <c r="BB523" s="3"/>
      <c r="BC523" s="3"/>
      <c r="BD523" s="3"/>
      <c r="BE523" s="3"/>
    </row>
    <row r="524" spans="54:57" ht="15.75" customHeight="1">
      <c r="BB524" s="3"/>
      <c r="BC524" s="3"/>
      <c r="BD524" s="3"/>
      <c r="BE524" s="3"/>
    </row>
    <row r="525" spans="54:57" ht="15.75" customHeight="1">
      <c r="BB525" s="3"/>
      <c r="BC525" s="3"/>
      <c r="BD525" s="3"/>
      <c r="BE525" s="3"/>
    </row>
    <row r="526" spans="54:57" ht="15.75" customHeight="1">
      <c r="BB526" s="3"/>
      <c r="BC526" s="3"/>
      <c r="BD526" s="3"/>
      <c r="BE526" s="3"/>
    </row>
    <row r="527" spans="54:57" ht="15.75" customHeight="1">
      <c r="BB527" s="3"/>
      <c r="BC527" s="3"/>
      <c r="BD527" s="3"/>
      <c r="BE527" s="3"/>
    </row>
    <row r="528" spans="54:57" ht="15.75" customHeight="1">
      <c r="BB528" s="3"/>
      <c r="BC528" s="3"/>
      <c r="BD528" s="3"/>
      <c r="BE528" s="3"/>
    </row>
    <row r="529" spans="54:57" ht="15.75" customHeight="1">
      <c r="BB529" s="3"/>
      <c r="BC529" s="3"/>
      <c r="BD529" s="3"/>
      <c r="BE529" s="3"/>
    </row>
    <row r="530" spans="54:57" ht="15.75" customHeight="1">
      <c r="BB530" s="3"/>
      <c r="BC530" s="3"/>
      <c r="BD530" s="3"/>
      <c r="BE530" s="3"/>
    </row>
    <row r="531" spans="54:57" ht="15.75" customHeight="1">
      <c r="BB531" s="3"/>
      <c r="BC531" s="3"/>
      <c r="BD531" s="3"/>
      <c r="BE531" s="3"/>
    </row>
    <row r="532" spans="54:57" ht="15.75" customHeight="1">
      <c r="BB532" s="3"/>
      <c r="BC532" s="3"/>
      <c r="BD532" s="3"/>
      <c r="BE532" s="3"/>
    </row>
    <row r="533" spans="54:57" ht="15.75" customHeight="1">
      <c r="BB533" s="3"/>
      <c r="BC533" s="3"/>
      <c r="BD533" s="3"/>
      <c r="BE533" s="3"/>
    </row>
    <row r="534" spans="54:57" ht="15.75" customHeight="1">
      <c r="BB534" s="3"/>
      <c r="BC534" s="3"/>
      <c r="BD534" s="3"/>
      <c r="BE534" s="3"/>
    </row>
    <row r="535" spans="54:57" ht="15.75" customHeight="1">
      <c r="BB535" s="3"/>
      <c r="BC535" s="3"/>
      <c r="BD535" s="3"/>
      <c r="BE535" s="3"/>
    </row>
    <row r="536" spans="54:57" ht="15.75" customHeight="1">
      <c r="BB536" s="3"/>
      <c r="BC536" s="3"/>
      <c r="BD536" s="3"/>
      <c r="BE536" s="3"/>
    </row>
    <row r="537" spans="54:57" ht="15.75" customHeight="1">
      <c r="BB537" s="3"/>
      <c r="BC537" s="3"/>
      <c r="BD537" s="3"/>
      <c r="BE537" s="3"/>
    </row>
    <row r="538" spans="54:57" ht="15.75" customHeight="1">
      <c r="BB538" s="3"/>
      <c r="BC538" s="3"/>
      <c r="BD538" s="3"/>
      <c r="BE538" s="3"/>
    </row>
    <row r="539" spans="54:57" ht="15.75" customHeight="1">
      <c r="BB539" s="3"/>
      <c r="BC539" s="3"/>
      <c r="BD539" s="3"/>
      <c r="BE539" s="3"/>
    </row>
    <row r="540" spans="54:57" ht="15.75" customHeight="1">
      <c r="BB540" s="3"/>
      <c r="BC540" s="3"/>
      <c r="BD540" s="3"/>
      <c r="BE540" s="3"/>
    </row>
    <row r="541" spans="54:57" ht="15.75" customHeight="1">
      <c r="BB541" s="3"/>
      <c r="BC541" s="3"/>
      <c r="BD541" s="3"/>
      <c r="BE541" s="3"/>
    </row>
    <row r="542" spans="54:57" ht="15.75" customHeight="1">
      <c r="BB542" s="3"/>
      <c r="BC542" s="3"/>
      <c r="BD542" s="3"/>
      <c r="BE542" s="3"/>
    </row>
    <row r="543" spans="54:57" ht="15.75" customHeight="1">
      <c r="BB543" s="3"/>
      <c r="BC543" s="3"/>
      <c r="BD543" s="3"/>
      <c r="BE543" s="3"/>
    </row>
    <row r="544" spans="54:57" ht="15.75" customHeight="1">
      <c r="BB544" s="3"/>
      <c r="BC544" s="3"/>
      <c r="BD544" s="3"/>
      <c r="BE544" s="3"/>
    </row>
    <row r="545" spans="54:57" ht="15.75" customHeight="1">
      <c r="BB545" s="3"/>
      <c r="BC545" s="3"/>
      <c r="BD545" s="3"/>
      <c r="BE545" s="3"/>
    </row>
    <row r="546" spans="54:57" ht="15.75" customHeight="1">
      <c r="BB546" s="3"/>
      <c r="BC546" s="3"/>
      <c r="BD546" s="3"/>
      <c r="BE546" s="3"/>
    </row>
    <row r="547" spans="54:57" ht="15.75" customHeight="1">
      <c r="BB547" s="3"/>
      <c r="BC547" s="3"/>
      <c r="BD547" s="3"/>
      <c r="BE547" s="3"/>
    </row>
    <row r="548" spans="54:57" ht="15.75" customHeight="1">
      <c r="BB548" s="3"/>
      <c r="BC548" s="3"/>
      <c r="BD548" s="3"/>
      <c r="BE548" s="3"/>
    </row>
    <row r="549" spans="54:57" ht="15.75" customHeight="1">
      <c r="BB549" s="3"/>
      <c r="BC549" s="3"/>
      <c r="BD549" s="3"/>
      <c r="BE549" s="3"/>
    </row>
    <row r="550" spans="54:57" ht="15.75" customHeight="1">
      <c r="BB550" s="3"/>
      <c r="BC550" s="3"/>
      <c r="BD550" s="3"/>
      <c r="BE550" s="3"/>
    </row>
    <row r="551" spans="54:57" ht="15.75" customHeight="1">
      <c r="BB551" s="3"/>
      <c r="BC551" s="3"/>
      <c r="BD551" s="3"/>
      <c r="BE551" s="3"/>
    </row>
    <row r="552" spans="54:57" ht="15.75" customHeight="1">
      <c r="BB552" s="3"/>
      <c r="BC552" s="3"/>
      <c r="BD552" s="3"/>
      <c r="BE552" s="3"/>
    </row>
    <row r="553" spans="54:57" ht="15.75" customHeight="1">
      <c r="BB553" s="3"/>
      <c r="BC553" s="3"/>
      <c r="BD553" s="3"/>
      <c r="BE553" s="3"/>
    </row>
    <row r="554" spans="54:57" ht="15.75" customHeight="1">
      <c r="BB554" s="3"/>
      <c r="BC554" s="3"/>
      <c r="BD554" s="3"/>
      <c r="BE554" s="3"/>
    </row>
    <row r="555" spans="54:57" ht="15.75" customHeight="1">
      <c r="BB555" s="3"/>
      <c r="BC555" s="3"/>
      <c r="BD555" s="3"/>
      <c r="BE555" s="3"/>
    </row>
    <row r="556" spans="54:57" ht="15.75" customHeight="1">
      <c r="BB556" s="3"/>
      <c r="BC556" s="3"/>
      <c r="BD556" s="3"/>
      <c r="BE556" s="3"/>
    </row>
    <row r="557" spans="54:57" ht="15.75" customHeight="1">
      <c r="BB557" s="3"/>
      <c r="BC557" s="3"/>
      <c r="BD557" s="3"/>
      <c r="BE557" s="3"/>
    </row>
    <row r="558" spans="54:57" ht="15.75" customHeight="1">
      <c r="BB558" s="3"/>
      <c r="BC558" s="3"/>
      <c r="BD558" s="3"/>
      <c r="BE558" s="3"/>
    </row>
    <row r="559" spans="54:57" ht="15.75" customHeight="1">
      <c r="BB559" s="3"/>
      <c r="BC559" s="3"/>
      <c r="BD559" s="3"/>
      <c r="BE559" s="3"/>
    </row>
    <row r="560" spans="54:57" ht="15.75" customHeight="1">
      <c r="BB560" s="3"/>
      <c r="BC560" s="3"/>
      <c r="BD560" s="3"/>
      <c r="BE560" s="3"/>
    </row>
    <row r="561" spans="54:57" ht="15.75" customHeight="1">
      <c r="BB561" s="3"/>
      <c r="BC561" s="3"/>
      <c r="BD561" s="3"/>
      <c r="BE561" s="3"/>
    </row>
    <row r="562" spans="54:57" ht="15.75" customHeight="1">
      <c r="BB562" s="3"/>
      <c r="BC562" s="3"/>
      <c r="BD562" s="3"/>
      <c r="BE562" s="3"/>
    </row>
    <row r="563" spans="54:57" ht="15.75" customHeight="1">
      <c r="BB563" s="3"/>
      <c r="BC563" s="3"/>
      <c r="BD563" s="3"/>
      <c r="BE563" s="3"/>
    </row>
    <row r="564" spans="54:57" ht="15.75" customHeight="1">
      <c r="BB564" s="3"/>
      <c r="BC564" s="3"/>
      <c r="BD564" s="3"/>
      <c r="BE564" s="3"/>
    </row>
    <row r="565" spans="54:57" ht="15.75" customHeight="1">
      <c r="BB565" s="3"/>
      <c r="BC565" s="3"/>
      <c r="BD565" s="3"/>
      <c r="BE565" s="3"/>
    </row>
    <row r="566" spans="54:57" ht="15.75" customHeight="1">
      <c r="BB566" s="3"/>
      <c r="BC566" s="3"/>
      <c r="BD566" s="3"/>
      <c r="BE566" s="3"/>
    </row>
    <row r="567" spans="54:57" ht="15.75" customHeight="1">
      <c r="BB567" s="3"/>
      <c r="BC567" s="3"/>
      <c r="BD567" s="3"/>
      <c r="BE567" s="3"/>
    </row>
    <row r="568" spans="54:57" ht="15.75" customHeight="1">
      <c r="BB568" s="3"/>
      <c r="BC568" s="3"/>
      <c r="BD568" s="3"/>
      <c r="BE568" s="3"/>
    </row>
    <row r="569" spans="54:57" ht="15.75" customHeight="1">
      <c r="BB569" s="3"/>
      <c r="BC569" s="3"/>
      <c r="BD569" s="3"/>
      <c r="BE569" s="3"/>
    </row>
    <row r="570" spans="54:57" ht="15.75" customHeight="1">
      <c r="BB570" s="3"/>
      <c r="BC570" s="3"/>
      <c r="BD570" s="3"/>
      <c r="BE570" s="3"/>
    </row>
    <row r="571" spans="54:57" ht="15.75" customHeight="1">
      <c r="BB571" s="3"/>
      <c r="BC571" s="3"/>
      <c r="BD571" s="3"/>
      <c r="BE571" s="3"/>
    </row>
    <row r="572" spans="54:57" ht="15.75" customHeight="1">
      <c r="BB572" s="3"/>
      <c r="BC572" s="3"/>
      <c r="BD572" s="3"/>
      <c r="BE572" s="3"/>
    </row>
    <row r="573" spans="54:57" ht="15.75" customHeight="1">
      <c r="BB573" s="3"/>
      <c r="BC573" s="3"/>
      <c r="BD573" s="3"/>
      <c r="BE573" s="3"/>
    </row>
    <row r="574" spans="54:57" ht="15.75" customHeight="1">
      <c r="BB574" s="3"/>
      <c r="BC574" s="3"/>
      <c r="BD574" s="3"/>
      <c r="BE574" s="3"/>
    </row>
    <row r="575" spans="54:57" ht="15.75" customHeight="1">
      <c r="BB575" s="3"/>
      <c r="BC575" s="3"/>
      <c r="BD575" s="3"/>
      <c r="BE575" s="3"/>
    </row>
    <row r="576" spans="54:57" ht="15.75" customHeight="1">
      <c r="BB576" s="3"/>
      <c r="BC576" s="3"/>
      <c r="BD576" s="3"/>
      <c r="BE576" s="3"/>
    </row>
    <row r="577" spans="54:57" ht="15.75" customHeight="1">
      <c r="BB577" s="3"/>
      <c r="BC577" s="3"/>
      <c r="BD577" s="3"/>
      <c r="BE577" s="3"/>
    </row>
    <row r="578" spans="54:57" ht="15.75" customHeight="1">
      <c r="BB578" s="3"/>
      <c r="BC578" s="3"/>
      <c r="BD578" s="3"/>
      <c r="BE578" s="3"/>
    </row>
    <row r="579" spans="54:57" ht="15.75" customHeight="1">
      <c r="BB579" s="3"/>
      <c r="BC579" s="3"/>
      <c r="BD579" s="3"/>
      <c r="BE579" s="3"/>
    </row>
    <row r="580" spans="54:57" ht="15.75" customHeight="1">
      <c r="BB580" s="3"/>
      <c r="BC580" s="3"/>
      <c r="BD580" s="3"/>
      <c r="BE580" s="3"/>
    </row>
    <row r="581" spans="54:57" ht="15.75" customHeight="1">
      <c r="BB581" s="3"/>
      <c r="BC581" s="3"/>
      <c r="BD581" s="3"/>
      <c r="BE581" s="3"/>
    </row>
    <row r="582" spans="54:57" ht="15.75" customHeight="1">
      <c r="BB582" s="3"/>
      <c r="BC582" s="3"/>
      <c r="BD582" s="3"/>
      <c r="BE582" s="3"/>
    </row>
    <row r="583" spans="54:57" ht="15.75" customHeight="1">
      <c r="BB583" s="3"/>
      <c r="BC583" s="3"/>
      <c r="BD583" s="3"/>
      <c r="BE583" s="3"/>
    </row>
    <row r="584" spans="54:57" ht="15.75" customHeight="1">
      <c r="BB584" s="3"/>
      <c r="BC584" s="3"/>
      <c r="BD584" s="3"/>
      <c r="BE584" s="3"/>
    </row>
    <row r="585" spans="54:57" ht="15.75" customHeight="1">
      <c r="BB585" s="3"/>
      <c r="BC585" s="3"/>
      <c r="BD585" s="3"/>
      <c r="BE585" s="3"/>
    </row>
    <row r="586" spans="54:57" ht="15.75" customHeight="1">
      <c r="BB586" s="3"/>
      <c r="BC586" s="3"/>
      <c r="BD586" s="3"/>
      <c r="BE586" s="3"/>
    </row>
    <row r="587" spans="54:57" ht="15.75" customHeight="1">
      <c r="BB587" s="3"/>
      <c r="BC587" s="3"/>
      <c r="BD587" s="3"/>
      <c r="BE587" s="3"/>
    </row>
    <row r="588" spans="54:57" ht="15.75" customHeight="1">
      <c r="BB588" s="3"/>
      <c r="BC588" s="3"/>
      <c r="BD588" s="3"/>
      <c r="BE588" s="3"/>
    </row>
    <row r="589" spans="54:57" ht="15.75" customHeight="1">
      <c r="BB589" s="3"/>
      <c r="BC589" s="3"/>
      <c r="BD589" s="3"/>
      <c r="BE589" s="3"/>
    </row>
    <row r="590" spans="54:57" ht="15.75" customHeight="1">
      <c r="BB590" s="3"/>
      <c r="BC590" s="3"/>
      <c r="BD590" s="3"/>
      <c r="BE590" s="3"/>
    </row>
    <row r="591" spans="54:57" ht="15.75" customHeight="1">
      <c r="BB591" s="3"/>
      <c r="BC591" s="3"/>
      <c r="BD591" s="3"/>
      <c r="BE591" s="3"/>
    </row>
    <row r="592" spans="54:57" ht="15.75" customHeight="1">
      <c r="BB592" s="3"/>
      <c r="BC592" s="3"/>
      <c r="BD592" s="3"/>
      <c r="BE592" s="3"/>
    </row>
    <row r="593" spans="54:57" ht="15.75" customHeight="1">
      <c r="BB593" s="3"/>
      <c r="BC593" s="3"/>
      <c r="BD593" s="3"/>
      <c r="BE593" s="3"/>
    </row>
    <row r="594" spans="54:57" ht="15.75" customHeight="1">
      <c r="BB594" s="3"/>
      <c r="BC594" s="3"/>
      <c r="BD594" s="3"/>
      <c r="BE594" s="3"/>
    </row>
    <row r="595" spans="54:57" ht="15.75" customHeight="1">
      <c r="BB595" s="3"/>
      <c r="BC595" s="3"/>
      <c r="BD595" s="3"/>
      <c r="BE595" s="3"/>
    </row>
    <row r="596" spans="54:57" ht="15.75" customHeight="1">
      <c r="BB596" s="3"/>
      <c r="BC596" s="3"/>
      <c r="BD596" s="3"/>
      <c r="BE596" s="3"/>
    </row>
    <row r="597" spans="54:57" ht="15.75" customHeight="1">
      <c r="BB597" s="3"/>
      <c r="BC597" s="3"/>
      <c r="BD597" s="3"/>
      <c r="BE597" s="3"/>
    </row>
    <row r="598" spans="54:57" ht="15.75" customHeight="1">
      <c r="BB598" s="3"/>
      <c r="BC598" s="3"/>
      <c r="BD598" s="3"/>
      <c r="BE598" s="3"/>
    </row>
    <row r="599" spans="54:57" ht="15.75" customHeight="1">
      <c r="BB599" s="3"/>
      <c r="BC599" s="3"/>
      <c r="BD599" s="3"/>
      <c r="BE599" s="3"/>
    </row>
    <row r="600" spans="54:57" ht="15.75" customHeight="1">
      <c r="BB600" s="3"/>
      <c r="BC600" s="3"/>
      <c r="BD600" s="3"/>
      <c r="BE600" s="3"/>
    </row>
    <row r="601" spans="54:57" ht="15.75" customHeight="1">
      <c r="BB601" s="3"/>
      <c r="BC601" s="3"/>
      <c r="BD601" s="3"/>
      <c r="BE601" s="3"/>
    </row>
    <row r="602" spans="54:57" ht="15.75" customHeight="1">
      <c r="BB602" s="3"/>
      <c r="BC602" s="3"/>
      <c r="BD602" s="3"/>
      <c r="BE602" s="3"/>
    </row>
    <row r="603" spans="54:57" ht="15.75" customHeight="1">
      <c r="BB603" s="3"/>
      <c r="BC603" s="3"/>
      <c r="BD603" s="3"/>
      <c r="BE603" s="3"/>
    </row>
    <row r="604" spans="54:57" ht="15.75" customHeight="1">
      <c r="BB604" s="3"/>
      <c r="BC604" s="3"/>
      <c r="BD604" s="3"/>
      <c r="BE604" s="3"/>
    </row>
    <row r="605" spans="54:57" ht="15.75" customHeight="1">
      <c r="BB605" s="3"/>
      <c r="BC605" s="3"/>
      <c r="BD605" s="3"/>
      <c r="BE605" s="3"/>
    </row>
    <row r="606" spans="54:57" ht="15.75" customHeight="1">
      <c r="BB606" s="3"/>
      <c r="BC606" s="3"/>
      <c r="BD606" s="3"/>
      <c r="BE606" s="3"/>
    </row>
    <row r="607" spans="54:57" ht="15.75" customHeight="1">
      <c r="BB607" s="3"/>
      <c r="BC607" s="3"/>
      <c r="BD607" s="3"/>
      <c r="BE607" s="3"/>
    </row>
    <row r="608" spans="54:57" ht="15.75" customHeight="1">
      <c r="BB608" s="3"/>
      <c r="BC608" s="3"/>
      <c r="BD608" s="3"/>
      <c r="BE608" s="3"/>
    </row>
    <row r="609" spans="54:57" ht="15.75" customHeight="1">
      <c r="BB609" s="3"/>
      <c r="BC609" s="3"/>
      <c r="BD609" s="3"/>
      <c r="BE609" s="3"/>
    </row>
    <row r="610" spans="54:57" ht="15.75" customHeight="1">
      <c r="BB610" s="3"/>
      <c r="BC610" s="3"/>
      <c r="BD610" s="3"/>
      <c r="BE610" s="3"/>
    </row>
    <row r="611" spans="54:57" ht="15.75" customHeight="1">
      <c r="BB611" s="3"/>
      <c r="BC611" s="3"/>
      <c r="BD611" s="3"/>
      <c r="BE611" s="3"/>
    </row>
    <row r="612" spans="54:57" ht="15.75" customHeight="1">
      <c r="BB612" s="3"/>
      <c r="BC612" s="3"/>
      <c r="BD612" s="3"/>
      <c r="BE612" s="3"/>
    </row>
    <row r="613" spans="54:57" ht="15.75" customHeight="1">
      <c r="BB613" s="3"/>
      <c r="BC613" s="3"/>
      <c r="BD613" s="3"/>
      <c r="BE613" s="3"/>
    </row>
    <row r="614" spans="54:57" ht="15.75" customHeight="1">
      <c r="BB614" s="3"/>
      <c r="BC614" s="3"/>
      <c r="BD614" s="3"/>
      <c r="BE614" s="3"/>
    </row>
    <row r="615" spans="54:57" ht="15.75" customHeight="1">
      <c r="BB615" s="3"/>
      <c r="BC615" s="3"/>
      <c r="BD615" s="3"/>
      <c r="BE615" s="3"/>
    </row>
    <row r="616" spans="54:57" ht="15.75" customHeight="1">
      <c r="BB616" s="3"/>
      <c r="BC616" s="3"/>
      <c r="BD616" s="3"/>
      <c r="BE616" s="3"/>
    </row>
    <row r="617" spans="54:57" ht="15.75" customHeight="1">
      <c r="BB617" s="3"/>
      <c r="BC617" s="3"/>
      <c r="BD617" s="3"/>
      <c r="BE617" s="3"/>
    </row>
    <row r="618" spans="54:57" ht="15.75" customHeight="1">
      <c r="BB618" s="3"/>
      <c r="BC618" s="3"/>
      <c r="BD618" s="3"/>
      <c r="BE618" s="3"/>
    </row>
    <row r="619" spans="54:57" ht="15.75" customHeight="1">
      <c r="BB619" s="3"/>
      <c r="BC619" s="3"/>
      <c r="BD619" s="3"/>
      <c r="BE619" s="3"/>
    </row>
    <row r="620" spans="54:57" ht="15.75" customHeight="1">
      <c r="BB620" s="3"/>
      <c r="BC620" s="3"/>
      <c r="BD620" s="3"/>
      <c r="BE620" s="3"/>
    </row>
    <row r="621" spans="54:57" ht="15.75" customHeight="1">
      <c r="BB621" s="3"/>
      <c r="BC621" s="3"/>
      <c r="BD621" s="3"/>
      <c r="BE621" s="3"/>
    </row>
    <row r="622" spans="54:57" ht="15.75" customHeight="1">
      <c r="BB622" s="3"/>
      <c r="BC622" s="3"/>
      <c r="BD622" s="3"/>
      <c r="BE622" s="3"/>
    </row>
    <row r="623" spans="54:57" ht="15.75" customHeight="1">
      <c r="BB623" s="3"/>
      <c r="BC623" s="3"/>
      <c r="BD623" s="3"/>
      <c r="BE623" s="3"/>
    </row>
    <row r="624" spans="54:57" ht="15.75" customHeight="1">
      <c r="BB624" s="3"/>
      <c r="BC624" s="3"/>
      <c r="BD624" s="3"/>
      <c r="BE624" s="3"/>
    </row>
    <row r="625" spans="54:57" ht="15.75" customHeight="1">
      <c r="BB625" s="3"/>
      <c r="BC625" s="3"/>
      <c r="BD625" s="3"/>
      <c r="BE625" s="3"/>
    </row>
    <row r="626" spans="54:57" ht="15.75" customHeight="1">
      <c r="BB626" s="3"/>
      <c r="BC626" s="3"/>
      <c r="BD626" s="3"/>
      <c r="BE626" s="3"/>
    </row>
    <row r="627" spans="54:57" ht="15.75" customHeight="1">
      <c r="BB627" s="3"/>
      <c r="BC627" s="3"/>
      <c r="BD627" s="3"/>
      <c r="BE627" s="3"/>
    </row>
    <row r="628" spans="54:57" ht="15.75" customHeight="1">
      <c r="BB628" s="3"/>
      <c r="BC628" s="3"/>
      <c r="BD628" s="3"/>
      <c r="BE628" s="3"/>
    </row>
    <row r="629" spans="54:57" ht="15.75" customHeight="1">
      <c r="BB629" s="3"/>
      <c r="BC629" s="3"/>
      <c r="BD629" s="3"/>
      <c r="BE629" s="3"/>
    </row>
    <row r="630" spans="54:57" ht="15.75" customHeight="1">
      <c r="BB630" s="3"/>
      <c r="BC630" s="3"/>
      <c r="BD630" s="3"/>
      <c r="BE630" s="3"/>
    </row>
    <row r="631" spans="54:57" ht="15.75" customHeight="1">
      <c r="BB631" s="3"/>
      <c r="BC631" s="3"/>
      <c r="BD631" s="3"/>
      <c r="BE631" s="3"/>
    </row>
    <row r="632" spans="54:57" ht="15.75" customHeight="1">
      <c r="BB632" s="3"/>
      <c r="BC632" s="3"/>
      <c r="BD632" s="3"/>
      <c r="BE632" s="3"/>
    </row>
    <row r="633" spans="54:57" ht="15.75" customHeight="1">
      <c r="BB633" s="3"/>
      <c r="BC633" s="3"/>
      <c r="BD633" s="3"/>
      <c r="BE633" s="3"/>
    </row>
    <row r="634" spans="54:57" ht="15.75" customHeight="1">
      <c r="BB634" s="3"/>
      <c r="BC634" s="3"/>
      <c r="BD634" s="3"/>
      <c r="BE634" s="3"/>
    </row>
    <row r="635" spans="54:57" ht="15.75" customHeight="1">
      <c r="BB635" s="3"/>
      <c r="BC635" s="3"/>
      <c r="BD635" s="3"/>
      <c r="BE635" s="3"/>
    </row>
    <row r="636" spans="54:57" ht="15.75" customHeight="1">
      <c r="BB636" s="3"/>
      <c r="BC636" s="3"/>
      <c r="BD636" s="3"/>
      <c r="BE636" s="3"/>
    </row>
    <row r="637" spans="54:57" ht="15.75" customHeight="1">
      <c r="BB637" s="3"/>
      <c r="BC637" s="3"/>
      <c r="BD637" s="3"/>
      <c r="BE637" s="3"/>
    </row>
    <row r="638" spans="54:57" ht="15.75" customHeight="1">
      <c r="BB638" s="3"/>
      <c r="BC638" s="3"/>
      <c r="BD638" s="3"/>
      <c r="BE638" s="3"/>
    </row>
    <row r="639" spans="54:57" ht="15.75" customHeight="1">
      <c r="BB639" s="3"/>
      <c r="BC639" s="3"/>
      <c r="BD639" s="3"/>
      <c r="BE639" s="3"/>
    </row>
    <row r="640" spans="54:57" ht="15.75" customHeight="1">
      <c r="BB640" s="3"/>
      <c r="BC640" s="3"/>
      <c r="BD640" s="3"/>
      <c r="BE640" s="3"/>
    </row>
    <row r="641" spans="54:57" ht="15.75" customHeight="1">
      <c r="BB641" s="3"/>
      <c r="BC641" s="3"/>
      <c r="BD641" s="3"/>
      <c r="BE641" s="3"/>
    </row>
    <row r="642" spans="54:57" ht="15.75" customHeight="1">
      <c r="BB642" s="3"/>
      <c r="BC642" s="3"/>
      <c r="BD642" s="3"/>
      <c r="BE642" s="3"/>
    </row>
    <row r="643" spans="54:57" ht="15.75" customHeight="1">
      <c r="BB643" s="3"/>
      <c r="BC643" s="3"/>
      <c r="BD643" s="3"/>
      <c r="BE643" s="3"/>
    </row>
    <row r="644" spans="54:57" ht="15.75" customHeight="1">
      <c r="BB644" s="3"/>
      <c r="BC644" s="3"/>
      <c r="BD644" s="3"/>
      <c r="BE644" s="3"/>
    </row>
    <row r="645" spans="54:57" ht="15.75" customHeight="1">
      <c r="BB645" s="3"/>
      <c r="BC645" s="3"/>
      <c r="BD645" s="3"/>
      <c r="BE645" s="3"/>
    </row>
    <row r="646" spans="54:57" ht="15.75" customHeight="1">
      <c r="BB646" s="3"/>
      <c r="BC646" s="3"/>
      <c r="BD646" s="3"/>
      <c r="BE646" s="3"/>
    </row>
    <row r="647" spans="54:57" ht="15.75" customHeight="1">
      <c r="BB647" s="3"/>
      <c r="BC647" s="3"/>
      <c r="BD647" s="3"/>
      <c r="BE647" s="3"/>
    </row>
    <row r="648" spans="54:57" ht="15.75" customHeight="1">
      <c r="BB648" s="3"/>
      <c r="BC648" s="3"/>
      <c r="BD648" s="3"/>
      <c r="BE648" s="3"/>
    </row>
    <row r="649" spans="54:57" ht="15.75" customHeight="1">
      <c r="BB649" s="3"/>
      <c r="BC649" s="3"/>
      <c r="BD649" s="3"/>
      <c r="BE649" s="3"/>
    </row>
    <row r="650" spans="54:57" ht="15.75" customHeight="1">
      <c r="BB650" s="3"/>
      <c r="BC650" s="3"/>
      <c r="BD650" s="3"/>
      <c r="BE650" s="3"/>
    </row>
    <row r="651" spans="54:57" ht="15.75" customHeight="1">
      <c r="BB651" s="3"/>
      <c r="BC651" s="3"/>
      <c r="BD651" s="3"/>
      <c r="BE651" s="3"/>
    </row>
    <row r="652" spans="54:57" ht="15.75" customHeight="1">
      <c r="BB652" s="3"/>
      <c r="BC652" s="3"/>
      <c r="BD652" s="3"/>
      <c r="BE652" s="3"/>
    </row>
    <row r="653" spans="54:57" ht="15.75" customHeight="1">
      <c r="BB653" s="3"/>
      <c r="BC653" s="3"/>
      <c r="BD653" s="3"/>
      <c r="BE653" s="3"/>
    </row>
    <row r="654" spans="54:57" ht="15.75" customHeight="1">
      <c r="BB654" s="3"/>
      <c r="BC654" s="3"/>
      <c r="BD654" s="3"/>
      <c r="BE654" s="3"/>
    </row>
    <row r="655" spans="54:57" ht="15.75" customHeight="1">
      <c r="BB655" s="3"/>
      <c r="BC655" s="3"/>
      <c r="BD655" s="3"/>
      <c r="BE655" s="3"/>
    </row>
    <row r="656" spans="54:57" ht="15.75" customHeight="1">
      <c r="BB656" s="3"/>
      <c r="BC656" s="3"/>
      <c r="BD656" s="3"/>
      <c r="BE656" s="3"/>
    </row>
    <row r="657" spans="54:57" ht="15.75" customHeight="1">
      <c r="BB657" s="3"/>
      <c r="BC657" s="3"/>
      <c r="BD657" s="3"/>
      <c r="BE657" s="3"/>
    </row>
    <row r="658" spans="54:57" ht="15.75" customHeight="1">
      <c r="BB658" s="3"/>
      <c r="BC658" s="3"/>
      <c r="BD658" s="3"/>
      <c r="BE658" s="3"/>
    </row>
    <row r="659" spans="54:57" ht="15.75" customHeight="1">
      <c r="BB659" s="3"/>
      <c r="BC659" s="3"/>
      <c r="BD659" s="3"/>
      <c r="BE659" s="3"/>
    </row>
    <row r="660" spans="54:57" ht="15.75" customHeight="1">
      <c r="BB660" s="3"/>
      <c r="BC660" s="3"/>
      <c r="BD660" s="3"/>
      <c r="BE660" s="3"/>
    </row>
    <row r="661" spans="54:57" ht="15.75" customHeight="1">
      <c r="BB661" s="3"/>
      <c r="BC661" s="3"/>
      <c r="BD661" s="3"/>
      <c r="BE661" s="3"/>
    </row>
    <row r="662" spans="54:57" ht="15.75" customHeight="1">
      <c r="BB662" s="3"/>
      <c r="BC662" s="3"/>
      <c r="BD662" s="3"/>
      <c r="BE662" s="3"/>
    </row>
    <row r="663" spans="54:57" ht="15.75" customHeight="1">
      <c r="BB663" s="3"/>
      <c r="BC663" s="3"/>
      <c r="BD663" s="3"/>
      <c r="BE663" s="3"/>
    </row>
    <row r="664" spans="54:57" ht="15.75" customHeight="1">
      <c r="BB664" s="3"/>
      <c r="BC664" s="3"/>
      <c r="BD664" s="3"/>
      <c r="BE664" s="3"/>
    </row>
    <row r="665" spans="54:57" ht="15.75" customHeight="1">
      <c r="BB665" s="3"/>
      <c r="BC665" s="3"/>
      <c r="BD665" s="3"/>
      <c r="BE665" s="3"/>
    </row>
    <row r="666" spans="54:57" ht="15.75" customHeight="1">
      <c r="BB666" s="3"/>
      <c r="BC666" s="3"/>
      <c r="BD666" s="3"/>
      <c r="BE666" s="3"/>
    </row>
    <row r="667" spans="54:57" ht="15.75" customHeight="1">
      <c r="BB667" s="3"/>
      <c r="BC667" s="3"/>
      <c r="BD667" s="3"/>
      <c r="BE667" s="3"/>
    </row>
    <row r="668" spans="54:57" ht="15.75" customHeight="1">
      <c r="BB668" s="3"/>
      <c r="BC668" s="3"/>
      <c r="BD668" s="3"/>
      <c r="BE668" s="3"/>
    </row>
    <row r="669" spans="54:57" ht="15.75" customHeight="1">
      <c r="BB669" s="3"/>
      <c r="BC669" s="3"/>
      <c r="BD669" s="3"/>
      <c r="BE669" s="3"/>
    </row>
    <row r="670" spans="54:57" ht="15.75" customHeight="1">
      <c r="BB670" s="3"/>
      <c r="BC670" s="3"/>
      <c r="BD670" s="3"/>
      <c r="BE670" s="3"/>
    </row>
    <row r="671" spans="54:57" ht="15.75" customHeight="1">
      <c r="BB671" s="3"/>
      <c r="BC671" s="3"/>
      <c r="BD671" s="3"/>
      <c r="BE671" s="3"/>
    </row>
    <row r="672" spans="54:57" ht="15.75" customHeight="1">
      <c r="BB672" s="3"/>
      <c r="BC672" s="3"/>
      <c r="BD672" s="3"/>
      <c r="BE672" s="3"/>
    </row>
    <row r="673" spans="54:57" ht="15.75" customHeight="1">
      <c r="BB673" s="3"/>
      <c r="BC673" s="3"/>
      <c r="BD673" s="3"/>
      <c r="BE673" s="3"/>
    </row>
    <row r="674" spans="54:57" ht="15.75" customHeight="1">
      <c r="BB674" s="3"/>
      <c r="BC674" s="3"/>
      <c r="BD674" s="3"/>
      <c r="BE674" s="3"/>
    </row>
    <row r="675" spans="54:57" ht="15.75" customHeight="1">
      <c r="BB675" s="3"/>
      <c r="BC675" s="3"/>
      <c r="BD675" s="3"/>
      <c r="BE675" s="3"/>
    </row>
    <row r="676" spans="54:57" ht="15.75" customHeight="1">
      <c r="BB676" s="3"/>
      <c r="BC676" s="3"/>
      <c r="BD676" s="3"/>
      <c r="BE676" s="3"/>
    </row>
    <row r="677" spans="54:57" ht="15.75" customHeight="1">
      <c r="BB677" s="3"/>
      <c r="BC677" s="3"/>
      <c r="BD677" s="3"/>
      <c r="BE677" s="3"/>
    </row>
    <row r="678" spans="54:57" ht="15.75" customHeight="1">
      <c r="BB678" s="3"/>
      <c r="BC678" s="3"/>
      <c r="BD678" s="3"/>
      <c r="BE678" s="3"/>
    </row>
    <row r="679" spans="54:57" ht="15.75" customHeight="1">
      <c r="BB679" s="3"/>
      <c r="BC679" s="3"/>
      <c r="BD679" s="3"/>
      <c r="BE679" s="3"/>
    </row>
    <row r="680" spans="54:57" ht="15.75" customHeight="1">
      <c r="BB680" s="3"/>
      <c r="BC680" s="3"/>
      <c r="BD680" s="3"/>
      <c r="BE680" s="3"/>
    </row>
    <row r="681" spans="54:57" ht="15.75" customHeight="1">
      <c r="BB681" s="3"/>
      <c r="BC681" s="3"/>
      <c r="BD681" s="3"/>
      <c r="BE681" s="3"/>
    </row>
    <row r="682" spans="54:57" ht="15.75" customHeight="1">
      <c r="BB682" s="3"/>
      <c r="BC682" s="3"/>
      <c r="BD682" s="3"/>
      <c r="BE682" s="3"/>
    </row>
    <row r="683" spans="54:57" ht="15.75" customHeight="1">
      <c r="BB683" s="3"/>
      <c r="BC683" s="3"/>
      <c r="BD683" s="3"/>
      <c r="BE683" s="3"/>
    </row>
    <row r="684" spans="54:57" ht="15.75" customHeight="1">
      <c r="BB684" s="3"/>
      <c r="BC684" s="3"/>
      <c r="BD684" s="3"/>
      <c r="BE684" s="3"/>
    </row>
    <row r="685" spans="54:57" ht="15.75" customHeight="1">
      <c r="BB685" s="3"/>
      <c r="BC685" s="3"/>
      <c r="BD685" s="3"/>
      <c r="BE685" s="3"/>
    </row>
    <row r="686" spans="54:57" ht="15.75" customHeight="1">
      <c r="BB686" s="3"/>
      <c r="BC686" s="3"/>
      <c r="BD686" s="3"/>
      <c r="BE686" s="3"/>
    </row>
    <row r="687" spans="54:57" ht="15.75" customHeight="1">
      <c r="BB687" s="3"/>
      <c r="BC687" s="3"/>
      <c r="BD687" s="3"/>
      <c r="BE687" s="3"/>
    </row>
    <row r="688" spans="54:57" ht="15.75" customHeight="1">
      <c r="BB688" s="3"/>
      <c r="BC688" s="3"/>
      <c r="BD688" s="3"/>
      <c r="BE688" s="3"/>
    </row>
    <row r="689" spans="54:57" ht="15.75" customHeight="1">
      <c r="BB689" s="3"/>
      <c r="BC689" s="3"/>
      <c r="BD689" s="3"/>
      <c r="BE689" s="3"/>
    </row>
    <row r="690" spans="54:57" ht="15.75" customHeight="1">
      <c r="BB690" s="3"/>
      <c r="BC690" s="3"/>
      <c r="BD690" s="3"/>
      <c r="BE690" s="3"/>
    </row>
    <row r="691" spans="54:57" ht="15.75" customHeight="1">
      <c r="BB691" s="3"/>
      <c r="BC691" s="3"/>
      <c r="BD691" s="3"/>
      <c r="BE691" s="3"/>
    </row>
    <row r="692" spans="54:57" ht="15.75" customHeight="1">
      <c r="BB692" s="3"/>
      <c r="BC692" s="3"/>
      <c r="BD692" s="3"/>
      <c r="BE692" s="3"/>
    </row>
    <row r="693" spans="54:57" ht="15.75" customHeight="1">
      <c r="BB693" s="3"/>
      <c r="BC693" s="3"/>
      <c r="BD693" s="3"/>
      <c r="BE693" s="3"/>
    </row>
    <row r="694" spans="54:57" ht="15.75" customHeight="1">
      <c r="BB694" s="3"/>
      <c r="BC694" s="3"/>
      <c r="BD694" s="3"/>
      <c r="BE694" s="3"/>
    </row>
    <row r="695" spans="54:57" ht="15.75" customHeight="1">
      <c r="BB695" s="3"/>
      <c r="BC695" s="3"/>
      <c r="BD695" s="3"/>
      <c r="BE695" s="3"/>
    </row>
    <row r="696" spans="54:57" ht="15.75" customHeight="1">
      <c r="BB696" s="3"/>
      <c r="BC696" s="3"/>
      <c r="BD696" s="3"/>
      <c r="BE696" s="3"/>
    </row>
    <row r="697" spans="54:57" ht="15.75" customHeight="1">
      <c r="BB697" s="3"/>
      <c r="BC697" s="3"/>
      <c r="BD697" s="3"/>
      <c r="BE697" s="3"/>
    </row>
    <row r="698" spans="54:57" ht="15.75" customHeight="1">
      <c r="BB698" s="3"/>
      <c r="BC698" s="3"/>
      <c r="BD698" s="3"/>
      <c r="BE698" s="3"/>
    </row>
    <row r="699" spans="54:57" ht="15.75" customHeight="1">
      <c r="BB699" s="3"/>
      <c r="BC699" s="3"/>
      <c r="BD699" s="3"/>
      <c r="BE699" s="3"/>
    </row>
    <row r="700" spans="54:57" ht="15.75" customHeight="1">
      <c r="BB700" s="3"/>
      <c r="BC700" s="3"/>
      <c r="BD700" s="3"/>
      <c r="BE700" s="3"/>
    </row>
    <row r="701" spans="54:57" ht="15.75" customHeight="1">
      <c r="BB701" s="3"/>
      <c r="BC701" s="3"/>
      <c r="BD701" s="3"/>
      <c r="BE701" s="3"/>
    </row>
    <row r="702" spans="54:57" ht="15.75" customHeight="1">
      <c r="BB702" s="3"/>
      <c r="BC702" s="3"/>
      <c r="BD702" s="3"/>
      <c r="BE702" s="3"/>
    </row>
    <row r="703" spans="54:57" ht="15.75" customHeight="1">
      <c r="BB703" s="3"/>
      <c r="BC703" s="3"/>
      <c r="BD703" s="3"/>
      <c r="BE703" s="3"/>
    </row>
    <row r="704" spans="54:57" ht="15.75" customHeight="1">
      <c r="BB704" s="3"/>
      <c r="BC704" s="3"/>
      <c r="BD704" s="3"/>
      <c r="BE704" s="3"/>
    </row>
    <row r="705" spans="54:57" ht="15.75" customHeight="1">
      <c r="BB705" s="3"/>
      <c r="BC705" s="3"/>
      <c r="BD705" s="3"/>
      <c r="BE705" s="3"/>
    </row>
    <row r="706" spans="54:57" ht="15.75" customHeight="1">
      <c r="BB706" s="3"/>
      <c r="BC706" s="3"/>
      <c r="BD706" s="3"/>
      <c r="BE706" s="3"/>
    </row>
    <row r="707" spans="54:57" ht="15.75" customHeight="1">
      <c r="BB707" s="3"/>
      <c r="BC707" s="3"/>
      <c r="BD707" s="3"/>
      <c r="BE707" s="3"/>
    </row>
    <row r="708" spans="54:57" ht="15.75" customHeight="1">
      <c r="BB708" s="3"/>
      <c r="BC708" s="3"/>
      <c r="BD708" s="3"/>
      <c r="BE708" s="3"/>
    </row>
    <row r="709" spans="54:57" ht="15.75" customHeight="1">
      <c r="BB709" s="3"/>
      <c r="BC709" s="3"/>
      <c r="BD709" s="3"/>
      <c r="BE709" s="3"/>
    </row>
    <row r="710" spans="54:57" ht="15.75" customHeight="1">
      <c r="BB710" s="3"/>
      <c r="BC710" s="3"/>
      <c r="BD710" s="3"/>
      <c r="BE710" s="3"/>
    </row>
    <row r="711" spans="54:57" ht="15.75" customHeight="1">
      <c r="BB711" s="3"/>
      <c r="BC711" s="3"/>
      <c r="BD711" s="3"/>
      <c r="BE711" s="3"/>
    </row>
    <row r="712" spans="54:57" ht="15.75" customHeight="1">
      <c r="BB712" s="3"/>
      <c r="BC712" s="3"/>
      <c r="BD712" s="3"/>
      <c r="BE712" s="3"/>
    </row>
    <row r="713" spans="54:57" ht="15.75" customHeight="1">
      <c r="BB713" s="3"/>
      <c r="BC713" s="3"/>
      <c r="BD713" s="3"/>
      <c r="BE713" s="3"/>
    </row>
    <row r="714" spans="54:57" ht="15.75" customHeight="1">
      <c r="BB714" s="3"/>
      <c r="BC714" s="3"/>
      <c r="BD714" s="3"/>
      <c r="BE714" s="3"/>
    </row>
    <row r="715" spans="54:57" ht="15.75" customHeight="1">
      <c r="BB715" s="3"/>
      <c r="BC715" s="3"/>
      <c r="BD715" s="3"/>
      <c r="BE715" s="3"/>
    </row>
    <row r="716" spans="54:57" ht="15.75" customHeight="1">
      <c r="BB716" s="3"/>
      <c r="BC716" s="3"/>
      <c r="BD716" s="3"/>
      <c r="BE716" s="3"/>
    </row>
    <row r="717" spans="54:57" ht="15.75" customHeight="1">
      <c r="BB717" s="3"/>
      <c r="BC717" s="3"/>
      <c r="BD717" s="3"/>
      <c r="BE717" s="3"/>
    </row>
    <row r="718" spans="54:57" ht="15.75" customHeight="1">
      <c r="BB718" s="3"/>
      <c r="BC718" s="3"/>
      <c r="BD718" s="3"/>
      <c r="BE718" s="3"/>
    </row>
    <row r="719" spans="54:57" ht="15.75" customHeight="1">
      <c r="BB719" s="3"/>
      <c r="BC719" s="3"/>
      <c r="BD719" s="3"/>
      <c r="BE719" s="3"/>
    </row>
    <row r="720" spans="54:57" ht="15.75" customHeight="1">
      <c r="BB720" s="3"/>
      <c r="BC720" s="3"/>
      <c r="BD720" s="3"/>
      <c r="BE720" s="3"/>
    </row>
    <row r="721" spans="54:57" ht="15.75" customHeight="1">
      <c r="BB721" s="3"/>
      <c r="BC721" s="3"/>
      <c r="BD721" s="3"/>
      <c r="BE721" s="3"/>
    </row>
    <row r="722" spans="54:57" ht="15.75" customHeight="1">
      <c r="BB722" s="3"/>
      <c r="BC722" s="3"/>
      <c r="BD722" s="3"/>
      <c r="BE722" s="3"/>
    </row>
    <row r="723" spans="54:57" ht="15.75" customHeight="1">
      <c r="BB723" s="3"/>
      <c r="BC723" s="3"/>
      <c r="BD723" s="3"/>
      <c r="BE723" s="3"/>
    </row>
    <row r="724" spans="54:57" ht="15.75" customHeight="1">
      <c r="BB724" s="3"/>
      <c r="BC724" s="3"/>
      <c r="BD724" s="3"/>
      <c r="BE724" s="3"/>
    </row>
    <row r="725" spans="54:57" ht="15.75" customHeight="1">
      <c r="BB725" s="3"/>
      <c r="BC725" s="3"/>
      <c r="BD725" s="3"/>
      <c r="BE725" s="3"/>
    </row>
    <row r="726" spans="54:57" ht="15.75" customHeight="1">
      <c r="BB726" s="3"/>
      <c r="BC726" s="3"/>
      <c r="BD726" s="3"/>
      <c r="BE726" s="3"/>
    </row>
    <row r="727" spans="54:57" ht="15.75" customHeight="1">
      <c r="BB727" s="3"/>
      <c r="BC727" s="3"/>
      <c r="BD727" s="3"/>
      <c r="BE727" s="3"/>
    </row>
    <row r="728" spans="54:57" ht="15.75" customHeight="1">
      <c r="BB728" s="3"/>
      <c r="BC728" s="3"/>
      <c r="BD728" s="3"/>
      <c r="BE728" s="3"/>
    </row>
    <row r="729" spans="54:57" ht="15.75" customHeight="1">
      <c r="BB729" s="3"/>
      <c r="BC729" s="3"/>
      <c r="BD729" s="3"/>
      <c r="BE729" s="3"/>
    </row>
    <row r="730" spans="54:57" ht="15.75" customHeight="1">
      <c r="BB730" s="3"/>
      <c r="BC730" s="3"/>
      <c r="BD730" s="3"/>
      <c r="BE730" s="3"/>
    </row>
    <row r="731" spans="54:57" ht="15.75" customHeight="1">
      <c r="BB731" s="3"/>
      <c r="BC731" s="3"/>
      <c r="BD731" s="3"/>
      <c r="BE731" s="3"/>
    </row>
    <row r="732" spans="54:57" ht="15.75" customHeight="1">
      <c r="BB732" s="3"/>
      <c r="BC732" s="3"/>
      <c r="BD732" s="3"/>
      <c r="BE732" s="3"/>
    </row>
    <row r="733" spans="54:57" ht="15.75" customHeight="1">
      <c r="BB733" s="3"/>
      <c r="BC733" s="3"/>
      <c r="BD733" s="3"/>
      <c r="BE733" s="3"/>
    </row>
    <row r="734" spans="54:57" ht="15.75" customHeight="1">
      <c r="BB734" s="3"/>
      <c r="BC734" s="3"/>
      <c r="BD734" s="3"/>
      <c r="BE734" s="3"/>
    </row>
    <row r="735" spans="54:57" ht="15.75" customHeight="1">
      <c r="BB735" s="3"/>
      <c r="BC735" s="3"/>
      <c r="BD735" s="3"/>
      <c r="BE735" s="3"/>
    </row>
    <row r="736" spans="54:57" ht="15.75" customHeight="1">
      <c r="BB736" s="3"/>
      <c r="BC736" s="3"/>
      <c r="BD736" s="3"/>
      <c r="BE736" s="3"/>
    </row>
    <row r="737" spans="54:57" ht="15.75" customHeight="1">
      <c r="BB737" s="3"/>
      <c r="BC737" s="3"/>
      <c r="BD737" s="3"/>
      <c r="BE737" s="3"/>
    </row>
    <row r="738" spans="54:57" ht="15.75" customHeight="1">
      <c r="BB738" s="3"/>
      <c r="BC738" s="3"/>
      <c r="BD738" s="3"/>
      <c r="BE738" s="3"/>
    </row>
    <row r="739" spans="54:57" ht="15.75" customHeight="1">
      <c r="BB739" s="3"/>
      <c r="BC739" s="3"/>
      <c r="BD739" s="3"/>
      <c r="BE739" s="3"/>
    </row>
    <row r="740" spans="54:57" ht="15.75" customHeight="1">
      <c r="BB740" s="3"/>
      <c r="BC740" s="3"/>
      <c r="BD740" s="3"/>
      <c r="BE740" s="3"/>
    </row>
    <row r="741" spans="54:57" ht="15.75" customHeight="1">
      <c r="BB741" s="3"/>
      <c r="BC741" s="3"/>
      <c r="BD741" s="3"/>
      <c r="BE741" s="3"/>
    </row>
    <row r="742" spans="54:57" ht="15.75" customHeight="1">
      <c r="BB742" s="3"/>
      <c r="BC742" s="3"/>
      <c r="BD742" s="3"/>
      <c r="BE742" s="3"/>
    </row>
    <row r="743" spans="54:57" ht="15.75" customHeight="1">
      <c r="BB743" s="3"/>
      <c r="BC743" s="3"/>
      <c r="BD743" s="3"/>
      <c r="BE743" s="3"/>
    </row>
    <row r="744" spans="54:57" ht="15.75" customHeight="1">
      <c r="BB744" s="3"/>
      <c r="BC744" s="3"/>
      <c r="BD744" s="3"/>
      <c r="BE744" s="3"/>
    </row>
    <row r="745" spans="54:57" ht="15.75" customHeight="1">
      <c r="BB745" s="3"/>
      <c r="BC745" s="3"/>
      <c r="BD745" s="3"/>
      <c r="BE745" s="3"/>
    </row>
    <row r="746" spans="54:57" ht="15.75" customHeight="1">
      <c r="BB746" s="3"/>
      <c r="BC746" s="3"/>
      <c r="BD746" s="3"/>
      <c r="BE746" s="3"/>
    </row>
    <row r="747" spans="54:57" ht="15.75" customHeight="1">
      <c r="BB747" s="3"/>
      <c r="BC747" s="3"/>
      <c r="BD747" s="3"/>
      <c r="BE747" s="3"/>
    </row>
    <row r="748" spans="54:57" ht="15.75" customHeight="1">
      <c r="BB748" s="3"/>
      <c r="BC748" s="3"/>
      <c r="BD748" s="3"/>
      <c r="BE748" s="3"/>
    </row>
    <row r="749" spans="54:57" ht="15.75" customHeight="1">
      <c r="BB749" s="3"/>
      <c r="BC749" s="3"/>
      <c r="BD749" s="3"/>
      <c r="BE749" s="3"/>
    </row>
    <row r="750" spans="54:57" ht="15.75" customHeight="1">
      <c r="BB750" s="3"/>
      <c r="BC750" s="3"/>
      <c r="BD750" s="3"/>
      <c r="BE750" s="3"/>
    </row>
    <row r="751" spans="54:57" ht="15.75" customHeight="1">
      <c r="BB751" s="3"/>
      <c r="BC751" s="3"/>
      <c r="BD751" s="3"/>
      <c r="BE751" s="3"/>
    </row>
    <row r="752" spans="54:57" ht="15.75" customHeight="1">
      <c r="BB752" s="3"/>
      <c r="BC752" s="3"/>
      <c r="BD752" s="3"/>
      <c r="BE752" s="3"/>
    </row>
    <row r="753" spans="54:57" ht="15.75" customHeight="1">
      <c r="BB753" s="3"/>
      <c r="BC753" s="3"/>
      <c r="BD753" s="3"/>
      <c r="BE753" s="3"/>
    </row>
    <row r="754" spans="54:57" ht="15.75" customHeight="1">
      <c r="BB754" s="3"/>
      <c r="BC754" s="3"/>
      <c r="BD754" s="3"/>
      <c r="BE754" s="3"/>
    </row>
    <row r="755" spans="54:57" ht="15.75" customHeight="1">
      <c r="BB755" s="3"/>
      <c r="BC755" s="3"/>
      <c r="BD755" s="3"/>
      <c r="BE755" s="3"/>
    </row>
    <row r="756" spans="54:57" ht="15.75" customHeight="1">
      <c r="BB756" s="3"/>
      <c r="BC756" s="3"/>
      <c r="BD756" s="3"/>
      <c r="BE756" s="3"/>
    </row>
    <row r="757" spans="54:57" ht="15.75" customHeight="1">
      <c r="BB757" s="3"/>
      <c r="BC757" s="3"/>
      <c r="BD757" s="3"/>
      <c r="BE757" s="3"/>
    </row>
    <row r="758" spans="54:57" ht="15.75" customHeight="1">
      <c r="BB758" s="3"/>
      <c r="BC758" s="3"/>
      <c r="BD758" s="3"/>
      <c r="BE758" s="3"/>
    </row>
    <row r="759" spans="54:57" ht="15.75" customHeight="1">
      <c r="BB759" s="3"/>
      <c r="BC759" s="3"/>
      <c r="BD759" s="3"/>
      <c r="BE759" s="3"/>
    </row>
    <row r="760" spans="54:57" ht="15.75" customHeight="1">
      <c r="BB760" s="3"/>
      <c r="BC760" s="3"/>
      <c r="BD760" s="3"/>
      <c r="BE760" s="3"/>
    </row>
    <row r="761" spans="54:57" ht="15.75" customHeight="1">
      <c r="BB761" s="3"/>
      <c r="BC761" s="3"/>
      <c r="BD761" s="3"/>
      <c r="BE761" s="3"/>
    </row>
    <row r="762" spans="54:57" ht="15.75" customHeight="1">
      <c r="BB762" s="3"/>
      <c r="BC762" s="3"/>
      <c r="BD762" s="3"/>
      <c r="BE762" s="3"/>
    </row>
    <row r="763" spans="54:57" ht="15.75" customHeight="1">
      <c r="BB763" s="3"/>
      <c r="BC763" s="3"/>
      <c r="BD763" s="3"/>
      <c r="BE763" s="3"/>
    </row>
    <row r="764" spans="54:57" ht="15.75" customHeight="1">
      <c r="BB764" s="3"/>
      <c r="BC764" s="3"/>
      <c r="BD764" s="3"/>
      <c r="BE764" s="3"/>
    </row>
    <row r="765" spans="54:57" ht="15.75" customHeight="1">
      <c r="BB765" s="3"/>
      <c r="BC765" s="3"/>
      <c r="BD765" s="3"/>
      <c r="BE765" s="3"/>
    </row>
    <row r="766" spans="54:57" ht="15.75" customHeight="1">
      <c r="BB766" s="3"/>
      <c r="BC766" s="3"/>
      <c r="BD766" s="3"/>
      <c r="BE766" s="3"/>
    </row>
    <row r="767" spans="54:57" ht="15.75" customHeight="1">
      <c r="BB767" s="3"/>
      <c r="BC767" s="3"/>
      <c r="BD767" s="3"/>
      <c r="BE767" s="3"/>
    </row>
    <row r="768" spans="54:57" ht="15.75" customHeight="1">
      <c r="BB768" s="3"/>
      <c r="BC768" s="3"/>
      <c r="BD768" s="3"/>
      <c r="BE768" s="3"/>
    </row>
    <row r="769" spans="54:57" ht="15.75" customHeight="1">
      <c r="BB769" s="3"/>
      <c r="BC769" s="3"/>
      <c r="BD769" s="3"/>
      <c r="BE769" s="3"/>
    </row>
    <row r="770" spans="54:57" ht="15.75" customHeight="1">
      <c r="BB770" s="3"/>
      <c r="BC770" s="3"/>
      <c r="BD770" s="3"/>
      <c r="BE770" s="3"/>
    </row>
    <row r="771" spans="54:57" ht="15.75" customHeight="1">
      <c r="BB771" s="3"/>
      <c r="BC771" s="3"/>
      <c r="BD771" s="3"/>
      <c r="BE771" s="3"/>
    </row>
    <row r="772" spans="54:57" ht="15.75" customHeight="1">
      <c r="BB772" s="3"/>
      <c r="BC772" s="3"/>
      <c r="BD772" s="3"/>
      <c r="BE772" s="3"/>
    </row>
    <row r="773" spans="54:57" ht="15.75" customHeight="1">
      <c r="BB773" s="3"/>
      <c r="BC773" s="3"/>
      <c r="BD773" s="3"/>
      <c r="BE773" s="3"/>
    </row>
    <row r="774" spans="54:57" ht="15.75" customHeight="1">
      <c r="BB774" s="3"/>
      <c r="BC774" s="3"/>
      <c r="BD774" s="3"/>
      <c r="BE774" s="3"/>
    </row>
    <row r="775" spans="54:57" ht="15.75" customHeight="1">
      <c r="BB775" s="3"/>
      <c r="BC775" s="3"/>
      <c r="BD775" s="3"/>
      <c r="BE775" s="3"/>
    </row>
    <row r="776" spans="54:57" ht="15.75" customHeight="1">
      <c r="BB776" s="3"/>
      <c r="BC776" s="3"/>
      <c r="BD776" s="3"/>
      <c r="BE776" s="3"/>
    </row>
    <row r="777" spans="54:57" ht="15.75" customHeight="1">
      <c r="BB777" s="3"/>
      <c r="BC777" s="3"/>
      <c r="BD777" s="3"/>
      <c r="BE777" s="3"/>
    </row>
    <row r="778" spans="54:57" ht="15.75" customHeight="1">
      <c r="BB778" s="3"/>
      <c r="BC778" s="3"/>
      <c r="BD778" s="3"/>
      <c r="BE778" s="3"/>
    </row>
    <row r="779" spans="54:57" ht="15.75" customHeight="1">
      <c r="BB779" s="3"/>
      <c r="BC779" s="3"/>
      <c r="BD779" s="3"/>
      <c r="BE779" s="3"/>
    </row>
    <row r="780" spans="54:57" ht="15.75" customHeight="1">
      <c r="BB780" s="3"/>
      <c r="BC780" s="3"/>
      <c r="BD780" s="3"/>
      <c r="BE780" s="3"/>
    </row>
    <row r="781" spans="54:57" ht="15.75" customHeight="1">
      <c r="BB781" s="3"/>
      <c r="BC781" s="3"/>
      <c r="BD781" s="3"/>
      <c r="BE781" s="3"/>
    </row>
    <row r="782" spans="54:57" ht="15.75" customHeight="1">
      <c r="BB782" s="3"/>
      <c r="BC782" s="3"/>
      <c r="BD782" s="3"/>
      <c r="BE782" s="3"/>
    </row>
    <row r="783" spans="54:57" ht="15.75" customHeight="1">
      <c r="BB783" s="3"/>
      <c r="BC783" s="3"/>
      <c r="BD783" s="3"/>
      <c r="BE783" s="3"/>
    </row>
    <row r="784" spans="54:57" ht="15.75" customHeight="1">
      <c r="BB784" s="3"/>
      <c r="BC784" s="3"/>
      <c r="BD784" s="3"/>
      <c r="BE784" s="3"/>
    </row>
    <row r="785" spans="54:57" ht="15.75" customHeight="1">
      <c r="BB785" s="3"/>
      <c r="BC785" s="3"/>
      <c r="BD785" s="3"/>
      <c r="BE785" s="3"/>
    </row>
    <row r="786" spans="54:57" ht="15.75" customHeight="1">
      <c r="BB786" s="3"/>
      <c r="BC786" s="3"/>
      <c r="BD786" s="3"/>
      <c r="BE786" s="3"/>
    </row>
    <row r="787" spans="54:57" ht="15.75" customHeight="1">
      <c r="BB787" s="3"/>
      <c r="BC787" s="3"/>
      <c r="BD787" s="3"/>
      <c r="BE787" s="3"/>
    </row>
    <row r="788" spans="54:57" ht="15.75" customHeight="1">
      <c r="BB788" s="3"/>
      <c r="BC788" s="3"/>
      <c r="BD788" s="3"/>
      <c r="BE788" s="3"/>
    </row>
    <row r="789" spans="54:57" ht="15.75" customHeight="1">
      <c r="BB789" s="3"/>
      <c r="BC789" s="3"/>
      <c r="BD789" s="3"/>
      <c r="BE789" s="3"/>
    </row>
    <row r="790" spans="54:57" ht="15.75" customHeight="1">
      <c r="BB790" s="3"/>
      <c r="BC790" s="3"/>
      <c r="BD790" s="3"/>
      <c r="BE790" s="3"/>
    </row>
    <row r="791" spans="54:57" ht="15.75" customHeight="1">
      <c r="BB791" s="3"/>
      <c r="BC791" s="3"/>
      <c r="BD791" s="3"/>
      <c r="BE791" s="3"/>
    </row>
    <row r="792" spans="54:57" ht="15.75" customHeight="1">
      <c r="BB792" s="3"/>
      <c r="BC792" s="3"/>
      <c r="BD792" s="3"/>
      <c r="BE792" s="3"/>
    </row>
    <row r="793" spans="54:57" ht="15.75" customHeight="1">
      <c r="BB793" s="3"/>
      <c r="BC793" s="3"/>
      <c r="BD793" s="3"/>
      <c r="BE793" s="3"/>
    </row>
    <row r="794" spans="54:57" ht="15.75" customHeight="1">
      <c r="BB794" s="3"/>
      <c r="BC794" s="3"/>
      <c r="BD794" s="3"/>
      <c r="BE794" s="3"/>
    </row>
    <row r="795" spans="54:57" ht="15.75" customHeight="1">
      <c r="BB795" s="3"/>
      <c r="BC795" s="3"/>
      <c r="BD795" s="3"/>
      <c r="BE795" s="3"/>
    </row>
    <row r="796" spans="54:57" ht="15.75" customHeight="1">
      <c r="BB796" s="3"/>
      <c r="BC796" s="3"/>
      <c r="BD796" s="3"/>
      <c r="BE796" s="3"/>
    </row>
    <row r="797" spans="54:57" ht="15.75" customHeight="1">
      <c r="BB797" s="3"/>
      <c r="BC797" s="3"/>
      <c r="BD797" s="3"/>
      <c r="BE797" s="3"/>
    </row>
    <row r="798" spans="54:57" ht="15.75" customHeight="1">
      <c r="BB798" s="3"/>
      <c r="BC798" s="3"/>
      <c r="BD798" s="3"/>
      <c r="BE798" s="3"/>
    </row>
    <row r="799" spans="54:57" ht="15.75" customHeight="1">
      <c r="BB799" s="3"/>
      <c r="BC799" s="3"/>
      <c r="BD799" s="3"/>
      <c r="BE799" s="3"/>
    </row>
    <row r="800" spans="54:57" ht="15.75" customHeight="1">
      <c r="BB800" s="3"/>
      <c r="BC800" s="3"/>
      <c r="BD800" s="3"/>
      <c r="BE800" s="3"/>
    </row>
    <row r="801" spans="54:57" ht="15.75" customHeight="1">
      <c r="BB801" s="3"/>
      <c r="BC801" s="3"/>
      <c r="BD801" s="3"/>
      <c r="BE801" s="3"/>
    </row>
    <row r="802" spans="54:57" ht="15.75" customHeight="1">
      <c r="BB802" s="3"/>
      <c r="BC802" s="3"/>
      <c r="BD802" s="3"/>
      <c r="BE802" s="3"/>
    </row>
    <row r="803" spans="54:57" ht="15.75" customHeight="1">
      <c r="BB803" s="3"/>
      <c r="BC803" s="3"/>
      <c r="BD803" s="3"/>
      <c r="BE803" s="3"/>
    </row>
    <row r="804" spans="54:57" ht="15.75" customHeight="1">
      <c r="BB804" s="3"/>
      <c r="BC804" s="3"/>
      <c r="BD804" s="3"/>
      <c r="BE804" s="3"/>
    </row>
    <row r="805" spans="54:57" ht="15.75" customHeight="1">
      <c r="BB805" s="3"/>
      <c r="BC805" s="3"/>
      <c r="BD805" s="3"/>
      <c r="BE805" s="3"/>
    </row>
    <row r="806" spans="54:57" ht="15.75" customHeight="1">
      <c r="BB806" s="3"/>
      <c r="BC806" s="3"/>
      <c r="BD806" s="3"/>
      <c r="BE806" s="3"/>
    </row>
    <row r="807" spans="54:57" ht="15.75" customHeight="1">
      <c r="BB807" s="3"/>
      <c r="BC807" s="3"/>
      <c r="BD807" s="3"/>
      <c r="BE807" s="3"/>
    </row>
    <row r="808" spans="54:57" ht="15.75" customHeight="1">
      <c r="BB808" s="3"/>
      <c r="BC808" s="3"/>
      <c r="BD808" s="3"/>
      <c r="BE808" s="3"/>
    </row>
    <row r="809" spans="54:57" ht="15.75" customHeight="1">
      <c r="BB809" s="3"/>
      <c r="BC809" s="3"/>
      <c r="BD809" s="3"/>
      <c r="BE809" s="3"/>
    </row>
    <row r="810" spans="54:57" ht="15.75" customHeight="1">
      <c r="BB810" s="3"/>
      <c r="BC810" s="3"/>
      <c r="BD810" s="3"/>
      <c r="BE810" s="3"/>
    </row>
    <row r="811" spans="54:57" ht="15.75" customHeight="1">
      <c r="BB811" s="3"/>
      <c r="BC811" s="3"/>
      <c r="BD811" s="3"/>
      <c r="BE811" s="3"/>
    </row>
    <row r="812" spans="54:57" ht="15.75" customHeight="1">
      <c r="BB812" s="3"/>
      <c r="BC812" s="3"/>
      <c r="BD812" s="3"/>
      <c r="BE812" s="3"/>
    </row>
    <row r="813" spans="54:57" ht="15.75" customHeight="1">
      <c r="BB813" s="3"/>
      <c r="BC813" s="3"/>
      <c r="BD813" s="3"/>
      <c r="BE813" s="3"/>
    </row>
    <row r="814" spans="54:57" ht="15.75" customHeight="1">
      <c r="BB814" s="3"/>
      <c r="BC814" s="3"/>
      <c r="BD814" s="3"/>
      <c r="BE814" s="3"/>
    </row>
    <row r="815" spans="54:57" ht="15.75" customHeight="1">
      <c r="BB815" s="3"/>
      <c r="BC815" s="3"/>
      <c r="BD815" s="3"/>
      <c r="BE815" s="3"/>
    </row>
    <row r="816" spans="54:57" ht="15.75" customHeight="1">
      <c r="BB816" s="3"/>
      <c r="BC816" s="3"/>
      <c r="BD816" s="3"/>
      <c r="BE816" s="3"/>
    </row>
    <row r="817" spans="54:57" ht="15.75" customHeight="1">
      <c r="BB817" s="3"/>
      <c r="BC817" s="3"/>
      <c r="BD817" s="3"/>
      <c r="BE817" s="3"/>
    </row>
    <row r="818" spans="54:57" ht="15.75" customHeight="1">
      <c r="BB818" s="3"/>
      <c r="BC818" s="3"/>
      <c r="BD818" s="3"/>
      <c r="BE818" s="3"/>
    </row>
    <row r="819" spans="54:57" ht="15.75" customHeight="1">
      <c r="BB819" s="3"/>
      <c r="BC819" s="3"/>
      <c r="BD819" s="3"/>
      <c r="BE819" s="3"/>
    </row>
    <row r="820" spans="54:57" ht="15.75" customHeight="1">
      <c r="BB820" s="3"/>
      <c r="BC820" s="3"/>
      <c r="BD820" s="3"/>
      <c r="BE820" s="3"/>
    </row>
    <row r="821" spans="54:57" ht="15.75" customHeight="1">
      <c r="BB821" s="3"/>
      <c r="BC821" s="3"/>
      <c r="BD821" s="3"/>
      <c r="BE821" s="3"/>
    </row>
    <row r="822" spans="54:57" ht="15.75" customHeight="1">
      <c r="BB822" s="3"/>
      <c r="BC822" s="3"/>
      <c r="BD822" s="3"/>
      <c r="BE822" s="3"/>
    </row>
    <row r="823" spans="54:57" ht="15.75" customHeight="1">
      <c r="BB823" s="3"/>
      <c r="BC823" s="3"/>
      <c r="BD823" s="3"/>
      <c r="BE823" s="3"/>
    </row>
    <row r="824" spans="54:57" ht="15.75" customHeight="1">
      <c r="BB824" s="3"/>
      <c r="BC824" s="3"/>
      <c r="BD824" s="3"/>
      <c r="BE824" s="3"/>
    </row>
    <row r="825" spans="54:57" ht="15.75" customHeight="1">
      <c r="BB825" s="3"/>
      <c r="BC825" s="3"/>
      <c r="BD825" s="3"/>
      <c r="BE825" s="3"/>
    </row>
    <row r="826" spans="54:57" ht="15.75" customHeight="1">
      <c r="BB826" s="3"/>
      <c r="BC826" s="3"/>
      <c r="BD826" s="3"/>
      <c r="BE826" s="3"/>
    </row>
    <row r="827" spans="54:57" ht="15.75" customHeight="1">
      <c r="BB827" s="3"/>
      <c r="BC827" s="3"/>
      <c r="BD827" s="3"/>
      <c r="BE827" s="3"/>
    </row>
    <row r="828" spans="54:57" ht="15.75" customHeight="1">
      <c r="BB828" s="3"/>
      <c r="BC828" s="3"/>
      <c r="BD828" s="3"/>
      <c r="BE828" s="3"/>
    </row>
    <row r="829" spans="54:57" ht="15.75" customHeight="1">
      <c r="BB829" s="3"/>
      <c r="BC829" s="3"/>
      <c r="BD829" s="3"/>
      <c r="BE829" s="3"/>
    </row>
    <row r="830" spans="54:57" ht="15.75" customHeight="1">
      <c r="BB830" s="3"/>
      <c r="BC830" s="3"/>
      <c r="BD830" s="3"/>
      <c r="BE830" s="3"/>
    </row>
    <row r="831" spans="54:57" ht="15.75" customHeight="1">
      <c r="BB831" s="3"/>
      <c r="BC831" s="3"/>
      <c r="BD831" s="3"/>
      <c r="BE831" s="3"/>
    </row>
    <row r="832" spans="54:57" ht="15.75" customHeight="1">
      <c r="BB832" s="3"/>
      <c r="BC832" s="3"/>
      <c r="BD832" s="3"/>
      <c r="BE832" s="3"/>
    </row>
    <row r="833" spans="54:57" ht="15.75" customHeight="1">
      <c r="BB833" s="3"/>
      <c r="BC833" s="3"/>
      <c r="BD833" s="3"/>
      <c r="BE833" s="3"/>
    </row>
    <row r="834" spans="54:57" ht="15.75" customHeight="1">
      <c r="BB834" s="3"/>
      <c r="BC834" s="3"/>
      <c r="BD834" s="3"/>
      <c r="BE834" s="3"/>
    </row>
    <row r="835" spans="54:57" ht="15.75" customHeight="1">
      <c r="BB835" s="3"/>
      <c r="BC835" s="3"/>
      <c r="BD835" s="3"/>
      <c r="BE835" s="3"/>
    </row>
    <row r="836" spans="54:57" ht="15.75" customHeight="1">
      <c r="BB836" s="3"/>
      <c r="BC836" s="3"/>
      <c r="BD836" s="3"/>
      <c r="BE836" s="3"/>
    </row>
    <row r="837" spans="54:57" ht="15.75" customHeight="1">
      <c r="BB837" s="3"/>
      <c r="BC837" s="3"/>
      <c r="BD837" s="3"/>
      <c r="BE837" s="3"/>
    </row>
    <row r="838" spans="54:57" ht="15.75" customHeight="1">
      <c r="BB838" s="3"/>
      <c r="BC838" s="3"/>
      <c r="BD838" s="3"/>
      <c r="BE838" s="3"/>
    </row>
    <row r="839" spans="54:57" ht="15.75" customHeight="1">
      <c r="BB839" s="3"/>
      <c r="BC839" s="3"/>
      <c r="BD839" s="3"/>
      <c r="BE839" s="3"/>
    </row>
    <row r="840" spans="54:57" ht="15.75" customHeight="1">
      <c r="BB840" s="3"/>
      <c r="BC840" s="3"/>
      <c r="BD840" s="3"/>
      <c r="BE840" s="3"/>
    </row>
    <row r="841" spans="54:57" ht="15.75" customHeight="1">
      <c r="BB841" s="3"/>
      <c r="BC841" s="3"/>
      <c r="BD841" s="3"/>
      <c r="BE841" s="3"/>
    </row>
    <row r="842" spans="54:57" ht="15.75" customHeight="1">
      <c r="BB842" s="3"/>
      <c r="BC842" s="3"/>
      <c r="BD842" s="3"/>
      <c r="BE842" s="3"/>
    </row>
    <row r="843" spans="54:57" ht="15.75" customHeight="1">
      <c r="BB843" s="3"/>
      <c r="BC843" s="3"/>
      <c r="BD843" s="3"/>
      <c r="BE843" s="3"/>
    </row>
    <row r="844" spans="54:57" ht="15.75" customHeight="1">
      <c r="BB844" s="3"/>
      <c r="BC844" s="3"/>
      <c r="BD844" s="3"/>
      <c r="BE844" s="3"/>
    </row>
    <row r="845" spans="54:57" ht="15.75" customHeight="1">
      <c r="BB845" s="3"/>
      <c r="BC845" s="3"/>
      <c r="BD845" s="3"/>
      <c r="BE845" s="3"/>
    </row>
    <row r="846" spans="54:57" ht="15.75" customHeight="1">
      <c r="BB846" s="3"/>
      <c r="BC846" s="3"/>
      <c r="BD846" s="3"/>
      <c r="BE846" s="3"/>
    </row>
    <row r="847" spans="54:57" ht="15.75" customHeight="1">
      <c r="BB847" s="3"/>
      <c r="BC847" s="3"/>
      <c r="BD847" s="3"/>
      <c r="BE847" s="3"/>
    </row>
    <row r="848" spans="54:57" ht="15.75" customHeight="1">
      <c r="BB848" s="3"/>
      <c r="BC848" s="3"/>
      <c r="BD848" s="3"/>
      <c r="BE848" s="3"/>
    </row>
    <row r="849" spans="54:57" ht="15.75" customHeight="1">
      <c r="BB849" s="3"/>
      <c r="BC849" s="3"/>
      <c r="BD849" s="3"/>
      <c r="BE849" s="3"/>
    </row>
    <row r="850" spans="54:57" ht="15.75" customHeight="1">
      <c r="BB850" s="3"/>
      <c r="BC850" s="3"/>
      <c r="BD850" s="3"/>
      <c r="BE850" s="3"/>
    </row>
    <row r="851" spans="54:57" ht="15.75" customHeight="1">
      <c r="BB851" s="3"/>
      <c r="BC851" s="3"/>
      <c r="BD851" s="3"/>
      <c r="BE851" s="3"/>
    </row>
    <row r="852" spans="54:57" ht="15.75" customHeight="1">
      <c r="BB852" s="3"/>
      <c r="BC852" s="3"/>
      <c r="BD852" s="3"/>
      <c r="BE852" s="3"/>
    </row>
    <row r="853" spans="54:57" ht="15.75" customHeight="1">
      <c r="BB853" s="3"/>
      <c r="BC853" s="3"/>
      <c r="BD853" s="3"/>
      <c r="BE853" s="3"/>
    </row>
    <row r="854" spans="54:57" ht="15.75" customHeight="1">
      <c r="BB854" s="3"/>
      <c r="BC854" s="3"/>
      <c r="BD854" s="3"/>
      <c r="BE854" s="3"/>
    </row>
    <row r="855" spans="54:57" ht="15.75" customHeight="1">
      <c r="BB855" s="3"/>
      <c r="BC855" s="3"/>
      <c r="BD855" s="3"/>
      <c r="BE855" s="3"/>
    </row>
    <row r="856" spans="54:57" ht="15.75" customHeight="1">
      <c r="BB856" s="3"/>
      <c r="BC856" s="3"/>
      <c r="BD856" s="3"/>
      <c r="BE856" s="3"/>
    </row>
    <row r="857" spans="54:57" ht="15.75" customHeight="1">
      <c r="BB857" s="3"/>
      <c r="BC857" s="3"/>
      <c r="BD857" s="3"/>
      <c r="BE857" s="3"/>
    </row>
    <row r="858" spans="54:57" ht="15.75" customHeight="1">
      <c r="BB858" s="3"/>
      <c r="BC858" s="3"/>
      <c r="BD858" s="3"/>
      <c r="BE858" s="3"/>
    </row>
    <row r="859" spans="54:57" ht="15.75" customHeight="1">
      <c r="BB859" s="3"/>
      <c r="BC859" s="3"/>
      <c r="BD859" s="3"/>
      <c r="BE859" s="3"/>
    </row>
    <row r="860" spans="54:57" ht="15.75" customHeight="1">
      <c r="BB860" s="3"/>
      <c r="BC860" s="3"/>
      <c r="BD860" s="3"/>
      <c r="BE860" s="3"/>
    </row>
    <row r="861" spans="54:57" ht="15.75" customHeight="1">
      <c r="BB861" s="3"/>
      <c r="BC861" s="3"/>
      <c r="BD861" s="3"/>
      <c r="BE861" s="3"/>
    </row>
    <row r="862" spans="54:57" ht="15.75" customHeight="1">
      <c r="BB862" s="3"/>
      <c r="BC862" s="3"/>
      <c r="BD862" s="3"/>
      <c r="BE862" s="3"/>
    </row>
    <row r="863" spans="54:57" ht="15.75" customHeight="1">
      <c r="BB863" s="3"/>
      <c r="BC863" s="3"/>
      <c r="BD863" s="3"/>
      <c r="BE863" s="3"/>
    </row>
    <row r="864" spans="54:57" ht="15.75" customHeight="1">
      <c r="BB864" s="3"/>
      <c r="BC864" s="3"/>
      <c r="BD864" s="3"/>
      <c r="BE864" s="3"/>
    </row>
    <row r="865" spans="54:57" ht="15.75" customHeight="1">
      <c r="BB865" s="3"/>
      <c r="BC865" s="3"/>
      <c r="BD865" s="3"/>
      <c r="BE865" s="3"/>
    </row>
    <row r="866" spans="54:57" ht="15.75" customHeight="1">
      <c r="BB866" s="3"/>
      <c r="BC866" s="3"/>
      <c r="BD866" s="3"/>
      <c r="BE866" s="3"/>
    </row>
    <row r="867" spans="54:57" ht="15.75" customHeight="1">
      <c r="BB867" s="3"/>
      <c r="BC867" s="3"/>
      <c r="BD867" s="3"/>
      <c r="BE867" s="3"/>
    </row>
    <row r="868" spans="54:57" ht="15.75" customHeight="1">
      <c r="BB868" s="3"/>
      <c r="BC868" s="3"/>
      <c r="BD868" s="3"/>
      <c r="BE868" s="3"/>
    </row>
    <row r="869" spans="54:57" ht="15.75" customHeight="1">
      <c r="BB869" s="3"/>
      <c r="BC869" s="3"/>
      <c r="BD869" s="3"/>
      <c r="BE869" s="3"/>
    </row>
    <row r="870" spans="54:57" ht="15.75" customHeight="1">
      <c r="BB870" s="3"/>
      <c r="BC870" s="3"/>
      <c r="BD870" s="3"/>
      <c r="BE870" s="3"/>
    </row>
    <row r="871" spans="54:57" ht="15.75" customHeight="1">
      <c r="BB871" s="3"/>
      <c r="BC871" s="3"/>
      <c r="BD871" s="3"/>
      <c r="BE871" s="3"/>
    </row>
    <row r="872" spans="54:57" ht="15.75" customHeight="1">
      <c r="BB872" s="3"/>
      <c r="BC872" s="3"/>
      <c r="BD872" s="3"/>
      <c r="BE872" s="3"/>
    </row>
    <row r="873" spans="54:57" ht="15.75" customHeight="1">
      <c r="BB873" s="3"/>
      <c r="BC873" s="3"/>
      <c r="BD873" s="3"/>
      <c r="BE873" s="3"/>
    </row>
    <row r="874" spans="54:57" ht="15.75" customHeight="1">
      <c r="BB874" s="3"/>
      <c r="BC874" s="3"/>
      <c r="BD874" s="3"/>
      <c r="BE874" s="3"/>
    </row>
    <row r="875" spans="54:57" ht="15.75" customHeight="1">
      <c r="BB875" s="3"/>
      <c r="BC875" s="3"/>
      <c r="BD875" s="3"/>
      <c r="BE875" s="3"/>
    </row>
    <row r="876" spans="54:57" ht="15.75" customHeight="1">
      <c r="BB876" s="3"/>
      <c r="BC876" s="3"/>
      <c r="BD876" s="3"/>
      <c r="BE876" s="3"/>
    </row>
    <row r="877" spans="54:57" ht="15.75" customHeight="1">
      <c r="BB877" s="3"/>
      <c r="BC877" s="3"/>
      <c r="BD877" s="3"/>
      <c r="BE877" s="3"/>
    </row>
    <row r="878" spans="54:57" ht="15.75" customHeight="1">
      <c r="BB878" s="3"/>
      <c r="BC878" s="3"/>
      <c r="BD878" s="3"/>
      <c r="BE878" s="3"/>
    </row>
    <row r="879" spans="54:57" ht="15.75" customHeight="1">
      <c r="BB879" s="3"/>
      <c r="BC879" s="3"/>
      <c r="BD879" s="3"/>
      <c r="BE879" s="3"/>
    </row>
    <row r="880" spans="54:57" ht="15.75" customHeight="1">
      <c r="BB880" s="3"/>
      <c r="BC880" s="3"/>
      <c r="BD880" s="3"/>
      <c r="BE880" s="3"/>
    </row>
    <row r="881" spans="54:57" ht="15.75" customHeight="1">
      <c r="BB881" s="3"/>
      <c r="BC881" s="3"/>
      <c r="BD881" s="3"/>
      <c r="BE881" s="3"/>
    </row>
    <row r="882" spans="54:57" ht="15.75" customHeight="1">
      <c r="BB882" s="3"/>
      <c r="BC882" s="3"/>
      <c r="BD882" s="3"/>
      <c r="BE882" s="3"/>
    </row>
    <row r="883" spans="54:57" ht="15.75" customHeight="1">
      <c r="BB883" s="3"/>
      <c r="BC883" s="3"/>
      <c r="BD883" s="3"/>
      <c r="BE883" s="3"/>
    </row>
    <row r="884" spans="54:57" ht="15.75" customHeight="1">
      <c r="BB884" s="3"/>
      <c r="BC884" s="3"/>
      <c r="BD884" s="3"/>
      <c r="BE884" s="3"/>
    </row>
    <row r="885" spans="54:57" ht="15.75" customHeight="1">
      <c r="BB885" s="3"/>
      <c r="BC885" s="3"/>
      <c r="BD885" s="3"/>
      <c r="BE885" s="3"/>
    </row>
    <row r="886" spans="54:57" ht="15.75" customHeight="1">
      <c r="BB886" s="3"/>
      <c r="BC886" s="3"/>
      <c r="BD886" s="3"/>
      <c r="BE886" s="3"/>
    </row>
    <row r="887" spans="54:57" ht="15.75" customHeight="1">
      <c r="BB887" s="3"/>
      <c r="BC887" s="3"/>
      <c r="BD887" s="3"/>
      <c r="BE887" s="3"/>
    </row>
    <row r="888" spans="54:57" ht="15.75" customHeight="1">
      <c r="BB888" s="3"/>
      <c r="BC888" s="3"/>
      <c r="BD888" s="3"/>
      <c r="BE888" s="3"/>
    </row>
    <row r="889" spans="54:57" ht="15.75" customHeight="1">
      <c r="BB889" s="3"/>
      <c r="BC889" s="3"/>
      <c r="BD889" s="3"/>
      <c r="BE889" s="3"/>
    </row>
    <row r="890" spans="54:57" ht="15.75" customHeight="1">
      <c r="BB890" s="3"/>
      <c r="BC890" s="3"/>
      <c r="BD890" s="3"/>
      <c r="BE890" s="3"/>
    </row>
    <row r="891" spans="54:57" ht="15.75" customHeight="1">
      <c r="BB891" s="3"/>
      <c r="BC891" s="3"/>
      <c r="BD891" s="3"/>
      <c r="BE891" s="3"/>
    </row>
    <row r="892" spans="54:57" ht="15.75" customHeight="1">
      <c r="BB892" s="3"/>
      <c r="BC892" s="3"/>
      <c r="BD892" s="3"/>
      <c r="BE892" s="3"/>
    </row>
    <row r="893" spans="54:57" ht="15.75" customHeight="1">
      <c r="BB893" s="3"/>
      <c r="BC893" s="3"/>
      <c r="BD893" s="3"/>
      <c r="BE893" s="3"/>
    </row>
    <row r="894" spans="54:57" ht="15.75" customHeight="1">
      <c r="BB894" s="3"/>
      <c r="BC894" s="3"/>
      <c r="BD894" s="3"/>
      <c r="BE894" s="3"/>
    </row>
    <row r="895" spans="54:57" ht="15.75" customHeight="1">
      <c r="BB895" s="3"/>
      <c r="BC895" s="3"/>
      <c r="BD895" s="3"/>
      <c r="BE895" s="3"/>
    </row>
    <row r="896" spans="54:57" ht="15.75" customHeight="1">
      <c r="BB896" s="3"/>
      <c r="BC896" s="3"/>
      <c r="BD896" s="3"/>
      <c r="BE896" s="3"/>
    </row>
    <row r="897" spans="54:57" ht="15.75" customHeight="1">
      <c r="BB897" s="3"/>
      <c r="BC897" s="3"/>
      <c r="BD897" s="3"/>
      <c r="BE897" s="3"/>
    </row>
    <row r="898" spans="54:57" ht="15.75" customHeight="1">
      <c r="BB898" s="3"/>
      <c r="BC898" s="3"/>
      <c r="BD898" s="3"/>
      <c r="BE898" s="3"/>
    </row>
    <row r="899" spans="54:57" ht="15.75" customHeight="1">
      <c r="BB899" s="3"/>
      <c r="BC899" s="3"/>
      <c r="BD899" s="3"/>
      <c r="BE899" s="3"/>
    </row>
    <row r="900" spans="54:57" ht="15.75" customHeight="1">
      <c r="BB900" s="3"/>
      <c r="BC900" s="3"/>
      <c r="BD900" s="3"/>
      <c r="BE900" s="3"/>
    </row>
    <row r="901" spans="54:57" ht="15.75" customHeight="1">
      <c r="BB901" s="3"/>
      <c r="BC901" s="3"/>
      <c r="BD901" s="3"/>
      <c r="BE901" s="3"/>
    </row>
    <row r="902" spans="54:57" ht="15.75" customHeight="1">
      <c r="BB902" s="3"/>
      <c r="BC902" s="3"/>
      <c r="BD902" s="3"/>
      <c r="BE902" s="3"/>
    </row>
    <row r="903" spans="54:57" ht="15.75" customHeight="1">
      <c r="BB903" s="3"/>
      <c r="BC903" s="3"/>
      <c r="BD903" s="3"/>
      <c r="BE903" s="3"/>
    </row>
    <row r="904" spans="54:57" ht="15.75" customHeight="1">
      <c r="BB904" s="3"/>
      <c r="BC904" s="3"/>
      <c r="BD904" s="3"/>
      <c r="BE904" s="3"/>
    </row>
    <row r="905" spans="54:57" ht="15.75" customHeight="1">
      <c r="BB905" s="3"/>
      <c r="BC905" s="3"/>
      <c r="BD905" s="3"/>
      <c r="BE905" s="3"/>
    </row>
    <row r="906" spans="54:57" ht="15.75" customHeight="1">
      <c r="BB906" s="3"/>
      <c r="BC906" s="3"/>
      <c r="BD906" s="3"/>
      <c r="BE906" s="3"/>
    </row>
    <row r="907" spans="54:57" ht="15.75" customHeight="1">
      <c r="BB907" s="3"/>
      <c r="BC907" s="3"/>
      <c r="BD907" s="3"/>
      <c r="BE907" s="3"/>
    </row>
    <row r="908" spans="54:57" ht="15.75" customHeight="1">
      <c r="BB908" s="3"/>
      <c r="BC908" s="3"/>
      <c r="BD908" s="3"/>
      <c r="BE908" s="3"/>
    </row>
    <row r="909" spans="54:57" ht="15.75" customHeight="1">
      <c r="BB909" s="3"/>
      <c r="BC909" s="3"/>
      <c r="BD909" s="3"/>
      <c r="BE909" s="3"/>
    </row>
    <row r="910" spans="54:57" ht="15.75" customHeight="1">
      <c r="BB910" s="3"/>
      <c r="BC910" s="3"/>
      <c r="BD910" s="3"/>
      <c r="BE910" s="3"/>
    </row>
    <row r="911" spans="54:57" ht="15.75" customHeight="1">
      <c r="BB911" s="3"/>
      <c r="BC911" s="3"/>
      <c r="BD911" s="3"/>
      <c r="BE911" s="3"/>
    </row>
    <row r="912" spans="54:57" ht="15.75" customHeight="1">
      <c r="BB912" s="3"/>
      <c r="BC912" s="3"/>
      <c r="BD912" s="3"/>
      <c r="BE912" s="3"/>
    </row>
    <row r="913" spans="54:57" ht="15.75" customHeight="1">
      <c r="BB913" s="3"/>
      <c r="BC913" s="3"/>
      <c r="BD913" s="3"/>
      <c r="BE913" s="3"/>
    </row>
    <row r="914" spans="54:57" ht="15.75" customHeight="1">
      <c r="BB914" s="3"/>
      <c r="BC914" s="3"/>
      <c r="BD914" s="3"/>
      <c r="BE914" s="3"/>
    </row>
    <row r="915" spans="54:57" ht="15.75" customHeight="1">
      <c r="BB915" s="3"/>
      <c r="BC915" s="3"/>
      <c r="BD915" s="3"/>
      <c r="BE915" s="3"/>
    </row>
    <row r="916" spans="54:57" ht="15.75" customHeight="1">
      <c r="BB916" s="3"/>
      <c r="BC916" s="3"/>
      <c r="BD916" s="3"/>
      <c r="BE916" s="3"/>
    </row>
    <row r="917" spans="54:57" ht="15.75" customHeight="1">
      <c r="BB917" s="3"/>
      <c r="BC917" s="3"/>
      <c r="BD917" s="3"/>
      <c r="BE917" s="3"/>
    </row>
    <row r="918" spans="54:57" ht="15.75" customHeight="1">
      <c r="BB918" s="3"/>
      <c r="BC918" s="3"/>
      <c r="BD918" s="3"/>
      <c r="BE918" s="3"/>
    </row>
    <row r="919" spans="54:57" ht="15.75" customHeight="1">
      <c r="BB919" s="3"/>
      <c r="BC919" s="3"/>
      <c r="BD919" s="3"/>
      <c r="BE919" s="3"/>
    </row>
    <row r="920" spans="54:57" ht="15.75" customHeight="1">
      <c r="BB920" s="3"/>
      <c r="BC920" s="3"/>
      <c r="BD920" s="3"/>
      <c r="BE920" s="3"/>
    </row>
    <row r="921" spans="54:57" ht="15.75" customHeight="1">
      <c r="BB921" s="3"/>
      <c r="BC921" s="3"/>
      <c r="BD921" s="3"/>
      <c r="BE921" s="3"/>
    </row>
    <row r="922" spans="54:57" ht="15.75" customHeight="1">
      <c r="BB922" s="3"/>
      <c r="BC922" s="3"/>
      <c r="BD922" s="3"/>
      <c r="BE922" s="3"/>
    </row>
    <row r="923" spans="54:57" ht="15.75" customHeight="1">
      <c r="BB923" s="3"/>
      <c r="BC923" s="3"/>
      <c r="BD923" s="3"/>
      <c r="BE923" s="3"/>
    </row>
    <row r="924" spans="54:57" ht="15.75" customHeight="1">
      <c r="BB924" s="3"/>
      <c r="BC924" s="3"/>
      <c r="BD924" s="3"/>
      <c r="BE924" s="3"/>
    </row>
    <row r="925" spans="54:57" ht="15.75" customHeight="1">
      <c r="BB925" s="3"/>
      <c r="BC925" s="3"/>
      <c r="BD925" s="3"/>
      <c r="BE925" s="3"/>
    </row>
    <row r="926" spans="54:57" ht="15.75" customHeight="1">
      <c r="BB926" s="3"/>
      <c r="BC926" s="3"/>
      <c r="BD926" s="3"/>
      <c r="BE926" s="3"/>
    </row>
    <row r="927" spans="54:57" ht="15.75" customHeight="1">
      <c r="BB927" s="3"/>
      <c r="BC927" s="3"/>
      <c r="BD927" s="3"/>
      <c r="BE927" s="3"/>
    </row>
    <row r="928" spans="54:57" ht="15.75" customHeight="1">
      <c r="BB928" s="3"/>
      <c r="BC928" s="3"/>
      <c r="BD928" s="3"/>
      <c r="BE928" s="3"/>
    </row>
    <row r="929" spans="54:57" ht="15.75" customHeight="1">
      <c r="BB929" s="3"/>
      <c r="BC929" s="3"/>
      <c r="BD929" s="3"/>
      <c r="BE929" s="3"/>
    </row>
    <row r="930" spans="54:57" ht="15.75" customHeight="1">
      <c r="BB930" s="3"/>
      <c r="BC930" s="3"/>
      <c r="BD930" s="3"/>
      <c r="BE930" s="3"/>
    </row>
    <row r="931" spans="54:57" ht="15.75" customHeight="1">
      <c r="BB931" s="3"/>
      <c r="BC931" s="3"/>
      <c r="BD931" s="3"/>
      <c r="BE931" s="3"/>
    </row>
    <row r="932" spans="54:57" ht="15.75" customHeight="1">
      <c r="BB932" s="3"/>
      <c r="BC932" s="3"/>
      <c r="BD932" s="3"/>
      <c r="BE932" s="3"/>
    </row>
    <row r="933" spans="54:57" ht="15.75" customHeight="1">
      <c r="BB933" s="3"/>
      <c r="BC933" s="3"/>
      <c r="BD933" s="3"/>
      <c r="BE933" s="3"/>
    </row>
    <row r="934" spans="54:57" ht="15.75" customHeight="1">
      <c r="BB934" s="3"/>
      <c r="BC934" s="3"/>
      <c r="BD934" s="3"/>
      <c r="BE934" s="3"/>
    </row>
    <row r="935" spans="54:57" ht="15.75" customHeight="1">
      <c r="BB935" s="3"/>
      <c r="BC935" s="3"/>
      <c r="BD935" s="3"/>
      <c r="BE935" s="3"/>
    </row>
    <row r="936" spans="54:57" ht="15.75" customHeight="1">
      <c r="BB936" s="3"/>
      <c r="BC936" s="3"/>
      <c r="BD936" s="3"/>
      <c r="BE936" s="3"/>
    </row>
    <row r="937" spans="54:57" ht="15.75" customHeight="1">
      <c r="BB937" s="3"/>
      <c r="BC937" s="3"/>
      <c r="BD937" s="3"/>
      <c r="BE937" s="3"/>
    </row>
    <row r="938" spans="54:57" ht="15.75" customHeight="1">
      <c r="BB938" s="3"/>
      <c r="BC938" s="3"/>
      <c r="BD938" s="3"/>
      <c r="BE938" s="3"/>
    </row>
    <row r="939" spans="54:57" ht="15.75" customHeight="1">
      <c r="BB939" s="3"/>
      <c r="BC939" s="3"/>
      <c r="BD939" s="3"/>
      <c r="BE939" s="3"/>
    </row>
    <row r="940" spans="54:57" ht="15.75" customHeight="1">
      <c r="BB940" s="3"/>
      <c r="BC940" s="3"/>
      <c r="BD940" s="3"/>
      <c r="BE940" s="3"/>
    </row>
    <row r="941" spans="54:57" ht="15.75" customHeight="1">
      <c r="BB941" s="3"/>
      <c r="BC941" s="3"/>
      <c r="BD941" s="3"/>
      <c r="BE941" s="3"/>
    </row>
    <row r="942" spans="54:57" ht="15.75" customHeight="1">
      <c r="BB942" s="3"/>
      <c r="BC942" s="3"/>
      <c r="BD942" s="3"/>
      <c r="BE942" s="3"/>
    </row>
    <row r="943" spans="54:57" ht="15.75" customHeight="1">
      <c r="BB943" s="3"/>
      <c r="BC943" s="3"/>
      <c r="BD943" s="3"/>
      <c r="BE943" s="3"/>
    </row>
    <row r="944" spans="54:57" ht="15.75" customHeight="1">
      <c r="BB944" s="3"/>
      <c r="BC944" s="3"/>
      <c r="BD944" s="3"/>
      <c r="BE944" s="3"/>
    </row>
    <row r="945" spans="54:57" ht="15.75" customHeight="1">
      <c r="BB945" s="3"/>
      <c r="BC945" s="3"/>
      <c r="BD945" s="3"/>
      <c r="BE945" s="3"/>
    </row>
    <row r="946" spans="54:57" ht="15.75" customHeight="1">
      <c r="BB946" s="3"/>
      <c r="BC946" s="3"/>
      <c r="BD946" s="3"/>
      <c r="BE946" s="3"/>
    </row>
    <row r="947" spans="54:57" ht="15.75" customHeight="1">
      <c r="BB947" s="3"/>
      <c r="BC947" s="3"/>
      <c r="BD947" s="3"/>
      <c r="BE947" s="3"/>
    </row>
    <row r="948" spans="54:57" ht="15.75" customHeight="1">
      <c r="BB948" s="3"/>
      <c r="BC948" s="3"/>
      <c r="BD948" s="3"/>
      <c r="BE948" s="3"/>
    </row>
    <row r="949" spans="54:57" ht="15.75" customHeight="1">
      <c r="BB949" s="3"/>
      <c r="BC949" s="3"/>
      <c r="BD949" s="3"/>
      <c r="BE949" s="3"/>
    </row>
    <row r="950" spans="54:57" ht="15.75" customHeight="1">
      <c r="BB950" s="3"/>
      <c r="BC950" s="3"/>
      <c r="BD950" s="3"/>
      <c r="BE950" s="3"/>
    </row>
    <row r="951" spans="54:57" ht="15.75" customHeight="1">
      <c r="BB951" s="3"/>
      <c r="BC951" s="3"/>
      <c r="BD951" s="3"/>
      <c r="BE951" s="3"/>
    </row>
    <row r="952" spans="54:57" ht="15.75" customHeight="1">
      <c r="BB952" s="3"/>
      <c r="BC952" s="3"/>
      <c r="BD952" s="3"/>
      <c r="BE952" s="3"/>
    </row>
    <row r="953" spans="54:57" ht="15.75" customHeight="1">
      <c r="BB953" s="3"/>
      <c r="BC953" s="3"/>
      <c r="BD953" s="3"/>
      <c r="BE953" s="3"/>
    </row>
    <row r="954" spans="54:57" ht="15.75" customHeight="1">
      <c r="BB954" s="3"/>
      <c r="BC954" s="3"/>
      <c r="BD954" s="3"/>
      <c r="BE954" s="3"/>
    </row>
    <row r="955" spans="54:57" ht="15.75" customHeight="1">
      <c r="BB955" s="3"/>
      <c r="BC955" s="3"/>
      <c r="BD955" s="3"/>
      <c r="BE955" s="3"/>
    </row>
    <row r="956" spans="54:57" ht="15.75" customHeight="1">
      <c r="BB956" s="3"/>
      <c r="BC956" s="3"/>
      <c r="BD956" s="3"/>
      <c r="BE956" s="3"/>
    </row>
    <row r="957" spans="54:57" ht="15.75" customHeight="1">
      <c r="BB957" s="3"/>
      <c r="BC957" s="3"/>
      <c r="BD957" s="3"/>
      <c r="BE957" s="3"/>
    </row>
    <row r="958" spans="54:57" ht="15.75" customHeight="1">
      <c r="BB958" s="3"/>
      <c r="BC958" s="3"/>
      <c r="BD958" s="3"/>
      <c r="BE958" s="3"/>
    </row>
    <row r="959" spans="54:57" ht="15.75" customHeight="1">
      <c r="BB959" s="3"/>
      <c r="BC959" s="3"/>
      <c r="BD959" s="3"/>
      <c r="BE959" s="3"/>
    </row>
    <row r="960" spans="54:57" ht="15.75" customHeight="1">
      <c r="BB960" s="3"/>
      <c r="BC960" s="3"/>
      <c r="BD960" s="3"/>
      <c r="BE960" s="3"/>
    </row>
    <row r="961" spans="54:57" ht="15.75" customHeight="1">
      <c r="BB961" s="3"/>
      <c r="BC961" s="3"/>
      <c r="BD961" s="3"/>
      <c r="BE961" s="3"/>
    </row>
    <row r="962" spans="54:57" ht="15.75" customHeight="1">
      <c r="BB962" s="3"/>
      <c r="BC962" s="3"/>
      <c r="BD962" s="3"/>
      <c r="BE962" s="3"/>
    </row>
    <row r="963" spans="54:57" ht="15.75" customHeight="1">
      <c r="BB963" s="3"/>
      <c r="BC963" s="3"/>
      <c r="BD963" s="3"/>
      <c r="BE963" s="3"/>
    </row>
    <row r="964" spans="54:57" ht="15.75" customHeight="1">
      <c r="BB964" s="3"/>
      <c r="BC964" s="3"/>
      <c r="BD964" s="3"/>
      <c r="BE964" s="3"/>
    </row>
    <row r="965" spans="54:57" ht="15.75" customHeight="1">
      <c r="BB965" s="3"/>
      <c r="BC965" s="3"/>
      <c r="BD965" s="3"/>
      <c r="BE965" s="3"/>
    </row>
    <row r="966" spans="54:57" ht="15.75" customHeight="1">
      <c r="BB966" s="3"/>
      <c r="BC966" s="3"/>
      <c r="BD966" s="3"/>
      <c r="BE966" s="3"/>
    </row>
    <row r="967" spans="54:57" ht="15.75" customHeight="1">
      <c r="BB967" s="3"/>
      <c r="BC967" s="3"/>
      <c r="BD967" s="3"/>
      <c r="BE967" s="3"/>
    </row>
    <row r="968" spans="54:57" ht="15.75" customHeight="1">
      <c r="BB968" s="3"/>
      <c r="BC968" s="3"/>
      <c r="BD968" s="3"/>
      <c r="BE968" s="3"/>
    </row>
    <row r="969" spans="54:57" ht="15.75" customHeight="1">
      <c r="BB969" s="3"/>
      <c r="BC969" s="3"/>
      <c r="BD969" s="3"/>
      <c r="BE969" s="3"/>
    </row>
    <row r="970" spans="54:57" ht="15.75" customHeight="1">
      <c r="BB970" s="3"/>
      <c r="BC970" s="3"/>
      <c r="BD970" s="3"/>
      <c r="BE970" s="3"/>
    </row>
    <row r="971" spans="54:57" ht="15.75" customHeight="1">
      <c r="BB971" s="3"/>
      <c r="BC971" s="3"/>
      <c r="BD971" s="3"/>
      <c r="BE971" s="3"/>
    </row>
    <row r="972" spans="54:57" ht="15.75" customHeight="1">
      <c r="BB972" s="3"/>
      <c r="BC972" s="3"/>
      <c r="BD972" s="3"/>
      <c r="BE972" s="3"/>
    </row>
    <row r="973" spans="54:57" ht="15.75" customHeight="1">
      <c r="BB973" s="3"/>
      <c r="BC973" s="3"/>
      <c r="BD973" s="3"/>
      <c r="BE973" s="3"/>
    </row>
    <row r="974" spans="54:57" ht="15.75" customHeight="1">
      <c r="BB974" s="3"/>
      <c r="BC974" s="3"/>
      <c r="BD974" s="3"/>
      <c r="BE974" s="3"/>
    </row>
    <row r="975" spans="54:57" ht="15.75" customHeight="1">
      <c r="BB975" s="3"/>
      <c r="BC975" s="3"/>
      <c r="BD975" s="3"/>
      <c r="BE975" s="3"/>
    </row>
    <row r="976" spans="54:57" ht="15.75" customHeight="1">
      <c r="BB976" s="3"/>
      <c r="BC976" s="3"/>
      <c r="BD976" s="3"/>
      <c r="BE976" s="3"/>
    </row>
    <row r="977" spans="54:57" ht="15.75" customHeight="1">
      <c r="BB977" s="3"/>
      <c r="BC977" s="3"/>
      <c r="BD977" s="3"/>
      <c r="BE977" s="3"/>
    </row>
    <row r="978" spans="54:57" ht="15.75" customHeight="1">
      <c r="BB978" s="3"/>
      <c r="BC978" s="3"/>
      <c r="BD978" s="3"/>
      <c r="BE978" s="3"/>
    </row>
    <row r="979" spans="54:57" ht="15.75" customHeight="1">
      <c r="BB979" s="3"/>
      <c r="BC979" s="3"/>
      <c r="BD979" s="3"/>
      <c r="BE979" s="3"/>
    </row>
    <row r="980" spans="54:57" ht="15.75" customHeight="1">
      <c r="BB980" s="3"/>
      <c r="BC980" s="3"/>
      <c r="BD980" s="3"/>
      <c r="BE980" s="3"/>
    </row>
    <row r="981" spans="54:57" ht="15.75" customHeight="1">
      <c r="BB981" s="3"/>
      <c r="BC981" s="3"/>
      <c r="BD981" s="3"/>
      <c r="BE981" s="3"/>
    </row>
    <row r="982" spans="54:57" ht="15.75" customHeight="1">
      <c r="BB982" s="3"/>
      <c r="BC982" s="3"/>
      <c r="BD982" s="3"/>
      <c r="BE982" s="3"/>
    </row>
    <row r="983" spans="54:57" ht="15.75" customHeight="1">
      <c r="BB983" s="3"/>
      <c r="BC983" s="3"/>
      <c r="BD983" s="3"/>
      <c r="BE983" s="3"/>
    </row>
    <row r="984" spans="54:57" ht="15.75" customHeight="1">
      <c r="BB984" s="3"/>
      <c r="BC984" s="3"/>
      <c r="BD984" s="3"/>
      <c r="BE984" s="3"/>
    </row>
    <row r="985" spans="54:57" ht="15.75" customHeight="1">
      <c r="BB985" s="3"/>
      <c r="BC985" s="3"/>
      <c r="BD985" s="3"/>
      <c r="BE985" s="3"/>
    </row>
    <row r="986" spans="54:57" ht="15.75" customHeight="1">
      <c r="BB986" s="3"/>
      <c r="BC986" s="3"/>
      <c r="BD986" s="3"/>
      <c r="BE986" s="3"/>
    </row>
    <row r="987" spans="54:57" ht="15.75" customHeight="1">
      <c r="BB987" s="3"/>
      <c r="BC987" s="3"/>
      <c r="BD987" s="3"/>
      <c r="BE987" s="3"/>
    </row>
    <row r="988" spans="54:57" ht="15.75" customHeight="1">
      <c r="BB988" s="3"/>
      <c r="BC988" s="3"/>
      <c r="BD988" s="3"/>
      <c r="BE988" s="3"/>
    </row>
    <row r="989" spans="54:57" ht="15.75" customHeight="1">
      <c r="BB989" s="3"/>
      <c r="BC989" s="3"/>
      <c r="BD989" s="3"/>
      <c r="BE989" s="3"/>
    </row>
    <row r="990" spans="54:57" ht="15.75" customHeight="1">
      <c r="BB990" s="3"/>
      <c r="BC990" s="3"/>
      <c r="BD990" s="3"/>
      <c r="BE990" s="3"/>
    </row>
    <row r="991" spans="54:57" ht="15.75" customHeight="1">
      <c r="BB991" s="3"/>
      <c r="BC991" s="3"/>
      <c r="BD991" s="3"/>
      <c r="BE991" s="3"/>
    </row>
    <row r="992" spans="54:57" ht="15.75" customHeight="1">
      <c r="BB992" s="3"/>
      <c r="BC992" s="3"/>
      <c r="BD992" s="3"/>
      <c r="BE992" s="3"/>
    </row>
    <row r="993" spans="54:57" ht="15.75" customHeight="1">
      <c r="BB993" s="3"/>
      <c r="BC993" s="3"/>
      <c r="BD993" s="3"/>
      <c r="BE993" s="3"/>
    </row>
    <row r="994" spans="54:57" ht="15.75" customHeight="1">
      <c r="BB994" s="3"/>
      <c r="BC994" s="3"/>
      <c r="BD994" s="3"/>
      <c r="BE994" s="3"/>
    </row>
    <row r="995" spans="54:57" ht="15.75" customHeight="1">
      <c r="BB995" s="3"/>
      <c r="BC995" s="3"/>
      <c r="BD995" s="3"/>
      <c r="BE995" s="3"/>
    </row>
    <row r="996" spans="54:57" ht="15.75" customHeight="1">
      <c r="BB996" s="3"/>
      <c r="BC996" s="3"/>
      <c r="BD996" s="3"/>
      <c r="BE996" s="3"/>
    </row>
    <row r="997" spans="54:57" ht="15.75" customHeight="1">
      <c r="BB997" s="3"/>
      <c r="BC997" s="3"/>
      <c r="BD997" s="3"/>
      <c r="BE997" s="3"/>
    </row>
    <row r="998" spans="54:57" ht="15.75" customHeight="1">
      <c r="BB998" s="3"/>
      <c r="BC998" s="3"/>
      <c r="BD998" s="3"/>
      <c r="BE998" s="3"/>
    </row>
    <row r="999" spans="54:57" ht="15.75" customHeight="1">
      <c r="BB999" s="3"/>
      <c r="BC999" s="3"/>
      <c r="BD999" s="3"/>
      <c r="BE999" s="3"/>
    </row>
    <row r="1000" spans="54:57" ht="15.75" customHeight="1">
      <c r="BB1000" s="3"/>
      <c r="BC1000" s="3"/>
      <c r="BD1000" s="3"/>
    </row>
  </sheetData>
  <mergeCells count="17">
    <mergeCell ref="BB3:BD3"/>
    <mergeCell ref="B35:C35"/>
    <mergeCell ref="B38:C38"/>
    <mergeCell ref="B39:C39"/>
    <mergeCell ref="C3:C4"/>
    <mergeCell ref="B15:C15"/>
    <mergeCell ref="B27:C27"/>
    <mergeCell ref="B3:B4"/>
    <mergeCell ref="D3:W3"/>
    <mergeCell ref="Z3:AB3"/>
    <mergeCell ref="AD3:AE3"/>
    <mergeCell ref="A31:A32"/>
    <mergeCell ref="B31:C31"/>
    <mergeCell ref="B32:C32"/>
    <mergeCell ref="Z33:AB34"/>
    <mergeCell ref="AG3:AZ3"/>
    <mergeCell ref="A3:A4"/>
  </mergeCells>
  <conditionalFormatting sqref="AW32:AZ32 D32:X32">
    <cfRule type="cellIs" dxfId="34" priority="25" operator="between">
      <formula>0</formula>
      <formula>0.1799</formula>
    </cfRule>
  </conditionalFormatting>
  <conditionalFormatting sqref="AW32:AZ32 D32:X32">
    <cfRule type="cellIs" dxfId="33" priority="26" operator="greaterThanOrEqual">
      <formula>0.18</formula>
    </cfRule>
  </conditionalFormatting>
  <conditionalFormatting sqref="AW32:AZ32 D32:X32">
    <cfRule type="cellIs" dxfId="32" priority="27" operator="lessThan">
      <formula>0</formula>
    </cfRule>
  </conditionalFormatting>
  <conditionalFormatting sqref="AD32:AE32 AG32:AV32">
    <cfRule type="cellIs" dxfId="31" priority="28" operator="between">
      <formula>0</formula>
      <formula>0.1799</formula>
    </cfRule>
  </conditionalFormatting>
  <conditionalFormatting sqref="AD32:AE32 AG32:AV32">
    <cfRule type="cellIs" dxfId="30" priority="29" operator="greaterThanOrEqual">
      <formula>0.18</formula>
    </cfRule>
  </conditionalFormatting>
  <conditionalFormatting sqref="AD32:AE32 AG32:AV32">
    <cfRule type="cellIs" dxfId="29" priority="30" operator="lessThan">
      <formula>0</formula>
    </cfRule>
  </conditionalFormatting>
  <conditionalFormatting sqref="AA32">
    <cfRule type="cellIs" dxfId="28" priority="31" operator="between">
      <formula>0</formula>
      <formula>0.1799</formula>
    </cfRule>
  </conditionalFormatting>
  <conditionalFormatting sqref="AA32">
    <cfRule type="cellIs" dxfId="27" priority="32" operator="greaterThanOrEqual">
      <formula>0.18</formula>
    </cfRule>
  </conditionalFormatting>
  <conditionalFormatting sqref="AA32">
    <cfRule type="cellIs" dxfId="26" priority="33" operator="lessThan">
      <formula>0</formula>
    </cfRule>
  </conditionalFormatting>
  <conditionalFormatting sqref="Z32">
    <cfRule type="cellIs" dxfId="25" priority="4" operator="between">
      <formula>0</formula>
      <formula>0.1799</formula>
    </cfRule>
  </conditionalFormatting>
  <conditionalFormatting sqref="Z32">
    <cfRule type="cellIs" dxfId="24" priority="5" operator="greaterThanOrEqual">
      <formula>0.18</formula>
    </cfRule>
  </conditionalFormatting>
  <conditionalFormatting sqref="Z32">
    <cfRule type="cellIs" dxfId="23" priority="6" operator="lessThan">
      <formula>0</formula>
    </cfRule>
  </conditionalFormatting>
  <conditionalFormatting sqref="AB32">
    <cfRule type="cellIs" dxfId="22" priority="1" operator="between">
      <formula>0</formula>
      <formula>0.1799</formula>
    </cfRule>
  </conditionalFormatting>
  <conditionalFormatting sqref="AB32">
    <cfRule type="cellIs" dxfId="21" priority="2" operator="greaterThanOrEqual">
      <formula>0.18</formula>
    </cfRule>
  </conditionalFormatting>
  <conditionalFormatting sqref="AB32">
    <cfRule type="cellIs" dxfId="20" priority="3" operator="lessThan">
      <formula>0</formula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133D2-E437-4AFD-B5C7-2727765AACA7}">
  <dimension ref="A7:H62"/>
  <sheetViews>
    <sheetView topLeftCell="A58" workbookViewId="0">
      <selection activeCell="F41" sqref="F41:H41"/>
    </sheetView>
  </sheetViews>
  <sheetFormatPr defaultRowHeight="12.75"/>
  <cols>
    <col min="1" max="1" width="57.42578125" customWidth="1"/>
    <col min="2" max="2" width="13.140625" bestFit="1" customWidth="1"/>
  </cols>
  <sheetData>
    <row r="7" spans="1:1" ht="90">
      <c r="A7" s="575" t="s">
        <v>411</v>
      </c>
    </row>
    <row r="8" spans="1:1">
      <c r="A8" s="576"/>
    </row>
    <row r="9" spans="1:1" ht="126">
      <c r="A9" s="577" t="s">
        <v>412</v>
      </c>
    </row>
    <row r="10" spans="1:1" ht="18">
      <c r="A10" s="578"/>
    </row>
    <row r="11" spans="1:1" ht="13.5" thickBot="1">
      <c r="A11" s="579"/>
    </row>
    <row r="12" spans="1:1" ht="13.5" thickBot="1">
      <c r="A12" s="579"/>
    </row>
    <row r="13" spans="1:1">
      <c r="A13" s="580">
        <v>1</v>
      </c>
    </row>
    <row r="14" spans="1:1" ht="23.25">
      <c r="A14" s="581" t="s">
        <v>267</v>
      </c>
    </row>
    <row r="15" spans="1:1">
      <c r="A15" s="582" t="s">
        <v>413</v>
      </c>
    </row>
    <row r="16" spans="1:1">
      <c r="A16" s="582" t="s">
        <v>414</v>
      </c>
    </row>
    <row r="17" spans="1:1">
      <c r="A17" s="582" t="s">
        <v>415</v>
      </c>
    </row>
    <row r="18" spans="1:1">
      <c r="A18" s="582" t="s">
        <v>416</v>
      </c>
    </row>
    <row r="19" spans="1:1">
      <c r="A19" s="582" t="s">
        <v>272</v>
      </c>
    </row>
    <row r="20" spans="1:1">
      <c r="A20" s="582" t="s">
        <v>274</v>
      </c>
    </row>
    <row r="21" spans="1:1">
      <c r="A21" s="582" t="s">
        <v>417</v>
      </c>
    </row>
    <row r="22" spans="1:1">
      <c r="A22" s="580">
        <v>2</v>
      </c>
    </row>
    <row r="23" spans="1:1" ht="23.25">
      <c r="A23" s="581" t="s">
        <v>275</v>
      </c>
    </row>
    <row r="24" spans="1:1">
      <c r="A24" s="582" t="s">
        <v>418</v>
      </c>
    </row>
    <row r="25" spans="1:1">
      <c r="A25" s="582" t="s">
        <v>419</v>
      </c>
    </row>
    <row r="26" spans="1:1">
      <c r="A26" s="582" t="s">
        <v>279</v>
      </c>
    </row>
    <row r="27" spans="1:1">
      <c r="A27" s="582" t="s">
        <v>281</v>
      </c>
    </row>
    <row r="28" spans="1:1">
      <c r="A28" s="582" t="s">
        <v>420</v>
      </c>
    </row>
    <row r="29" spans="1:1">
      <c r="A29" s="582" t="s">
        <v>421</v>
      </c>
    </row>
    <row r="30" spans="1:1">
      <c r="A30" s="582" t="s">
        <v>422</v>
      </c>
    </row>
    <row r="31" spans="1:1">
      <c r="A31" s="582" t="s">
        <v>423</v>
      </c>
    </row>
    <row r="32" spans="1:1">
      <c r="A32" s="580">
        <v>3</v>
      </c>
    </row>
    <row r="33" spans="1:8" ht="23.25">
      <c r="A33" s="581" t="s">
        <v>283</v>
      </c>
    </row>
    <row r="34" spans="1:8">
      <c r="A34" s="582" t="s">
        <v>424</v>
      </c>
    </row>
    <row r="35" spans="1:8">
      <c r="A35" s="583">
        <v>4</v>
      </c>
    </row>
    <row r="36" spans="1:8" ht="23.25">
      <c r="A36" s="584" t="s">
        <v>286</v>
      </c>
    </row>
    <row r="37" spans="1:8">
      <c r="A37" s="585" t="s">
        <v>287</v>
      </c>
    </row>
    <row r="38" spans="1:8">
      <c r="A38" s="586"/>
    </row>
    <row r="39" spans="1:8">
      <c r="A39" s="586"/>
    </row>
    <row r="40" spans="1:8" ht="17.25">
      <c r="A40" s="587" t="s">
        <v>425</v>
      </c>
    </row>
    <row r="41" spans="1:8" ht="13.5" thickBot="1">
      <c r="A41" s="589" t="s">
        <v>426</v>
      </c>
      <c r="B41" s="601">
        <v>174000</v>
      </c>
      <c r="F41" s="602" t="s">
        <v>445</v>
      </c>
      <c r="G41" s="602" t="s">
        <v>444</v>
      </c>
      <c r="H41" s="603"/>
    </row>
    <row r="42" spans="1:8" ht="13.5" thickBot="1">
      <c r="A42" s="589" t="s">
        <v>427</v>
      </c>
      <c r="B42" s="591" t="s">
        <v>292</v>
      </c>
    </row>
    <row r="43" spans="1:8" ht="13.5" thickBot="1">
      <c r="A43" s="589" t="s">
        <v>428</v>
      </c>
      <c r="B43" s="591" t="s">
        <v>292</v>
      </c>
    </row>
    <row r="44" spans="1:8" ht="13.5" thickBot="1">
      <c r="A44" s="589" t="s">
        <v>429</v>
      </c>
      <c r="B44" s="592">
        <v>0.8</v>
      </c>
    </row>
    <row r="45" spans="1:8" ht="13.5" thickBot="1">
      <c r="A45" s="589" t="s">
        <v>430</v>
      </c>
      <c r="B45" s="590">
        <v>34361.75</v>
      </c>
    </row>
    <row r="46" spans="1:8" ht="13.5" thickBot="1">
      <c r="A46" s="589" t="s">
        <v>431</v>
      </c>
      <c r="B46" s="590">
        <v>1227</v>
      </c>
    </row>
    <row r="47" spans="1:8" ht="13.5" thickBot="1">
      <c r="A47" s="589" t="s">
        <v>432</v>
      </c>
      <c r="B47" s="590">
        <v>138411.25</v>
      </c>
    </row>
    <row r="48" spans="1:8" ht="38.25">
      <c r="A48" s="593" t="s">
        <v>433</v>
      </c>
      <c r="B48" s="594" t="s">
        <v>434</v>
      </c>
      <c r="C48" s="595" t="s">
        <v>435</v>
      </c>
    </row>
    <row r="51" spans="1:5">
      <c r="A51" s="596" t="s">
        <v>436</v>
      </c>
    </row>
    <row r="52" spans="1:5">
      <c r="A52" s="586"/>
    </row>
    <row r="53" spans="1:5">
      <c r="A53" s="586"/>
    </row>
    <row r="54" spans="1:5" ht="17.25">
      <c r="A54" s="587" t="s">
        <v>304</v>
      </c>
    </row>
    <row r="55" spans="1:5" ht="39" thickBot="1">
      <c r="A55" s="588"/>
      <c r="B55" s="597" t="s">
        <v>437</v>
      </c>
      <c r="C55" s="597" t="s">
        <v>437</v>
      </c>
      <c r="D55" s="597" t="s">
        <v>437</v>
      </c>
      <c r="E55" s="597" t="s">
        <v>437</v>
      </c>
    </row>
    <row r="56" spans="1:5" ht="13.5" thickBot="1">
      <c r="A56" s="591" t="s">
        <v>438</v>
      </c>
      <c r="B56" s="732" t="s">
        <v>439</v>
      </c>
      <c r="C56" s="732"/>
      <c r="D56" s="732"/>
      <c r="E56" s="732"/>
    </row>
    <row r="57" spans="1:5" ht="13.5" thickBot="1">
      <c r="A57" s="591" t="s">
        <v>440</v>
      </c>
      <c r="B57" s="732" t="s">
        <v>441</v>
      </c>
      <c r="C57" s="732"/>
      <c r="D57" s="732"/>
      <c r="E57" s="732"/>
    </row>
    <row r="58" spans="1:5">
      <c r="A58" s="733" t="s">
        <v>314</v>
      </c>
      <c r="B58" s="598">
        <v>1188.8599999999999</v>
      </c>
      <c r="C58" s="598">
        <v>1200</v>
      </c>
      <c r="D58" s="598">
        <v>1186.97</v>
      </c>
      <c r="E58" s="598">
        <v>1183.3599999999999</v>
      </c>
    </row>
    <row r="59" spans="1:5" ht="39" thickBot="1">
      <c r="A59" s="734"/>
      <c r="B59" s="599" t="s">
        <v>322</v>
      </c>
      <c r="C59" s="599" t="s">
        <v>322</v>
      </c>
      <c r="D59" s="599" t="s">
        <v>322</v>
      </c>
      <c r="E59" s="599" t="s">
        <v>322</v>
      </c>
    </row>
    <row r="60" spans="1:5" ht="13.5" thickBot="1">
      <c r="A60" s="591" t="s">
        <v>323</v>
      </c>
      <c r="B60" s="600">
        <v>411.56</v>
      </c>
      <c r="C60" s="600">
        <v>411.56</v>
      </c>
      <c r="D60" s="600">
        <v>411.56</v>
      </c>
      <c r="E60" s="600">
        <v>411.56</v>
      </c>
    </row>
    <row r="61" spans="1:5" ht="13.5" thickBot="1">
      <c r="A61" s="591" t="s">
        <v>442</v>
      </c>
      <c r="B61" s="735" t="s">
        <v>325</v>
      </c>
      <c r="C61" s="735" t="s">
        <v>325</v>
      </c>
      <c r="D61" s="735" t="s">
        <v>325</v>
      </c>
      <c r="E61" s="735" t="s">
        <v>443</v>
      </c>
    </row>
    <row r="62" spans="1:5" ht="13.5" thickBot="1">
      <c r="B62" s="736"/>
      <c r="C62" s="736"/>
      <c r="D62" s="736"/>
      <c r="E62" s="736"/>
    </row>
  </sheetData>
  <mergeCells count="7">
    <mergeCell ref="B56:E56"/>
    <mergeCell ref="B57:E57"/>
    <mergeCell ref="A58:A59"/>
    <mergeCell ref="B61:B62"/>
    <mergeCell ref="C61:C62"/>
    <mergeCell ref="D61:D62"/>
    <mergeCell ref="E61:E62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00"/>
  <sheetViews>
    <sheetView workbookViewId="0"/>
  </sheetViews>
  <sheetFormatPr defaultColWidth="12.5703125" defaultRowHeight="15" customHeight="1"/>
  <cols>
    <col min="1" max="1" width="81.85546875" customWidth="1"/>
    <col min="2" max="2" width="15.42578125" customWidth="1"/>
    <col min="3" max="3" width="8.7109375" customWidth="1"/>
    <col min="4" max="4" width="18.5703125" customWidth="1"/>
    <col min="5" max="14" width="8.7109375" customWidth="1"/>
    <col min="15" max="26" width="14.42578125" customWidth="1"/>
  </cols>
  <sheetData>
    <row r="1" spans="1:14" ht="12.75" customHeight="1">
      <c r="A1" s="2"/>
      <c r="B1" s="2"/>
      <c r="D1" s="2"/>
    </row>
    <row r="2" spans="1:14" ht="12.75" customHeight="1">
      <c r="A2" s="2"/>
      <c r="B2" s="2"/>
      <c r="D2" s="2"/>
    </row>
    <row r="3" spans="1:14" ht="12.75" customHeight="1">
      <c r="A3" s="2"/>
      <c r="B3" s="2" t="s">
        <v>153</v>
      </c>
      <c r="D3" s="2"/>
    </row>
    <row r="4" spans="1:14" ht="12.75" customHeight="1">
      <c r="A4" s="2"/>
      <c r="B4" s="2" t="s">
        <v>154</v>
      </c>
      <c r="D4" s="2"/>
    </row>
    <row r="5" spans="1:14" ht="12.75" customHeight="1">
      <c r="A5" s="2"/>
      <c r="B5" s="2" t="s">
        <v>155</v>
      </c>
      <c r="D5" s="2"/>
    </row>
    <row r="6" spans="1:14" ht="12.75" customHeight="1">
      <c r="A6" s="2"/>
      <c r="B6" s="2" t="s">
        <v>156</v>
      </c>
      <c r="D6" s="2"/>
    </row>
    <row r="7" spans="1:14" ht="12.75" customHeight="1">
      <c r="A7" s="2"/>
      <c r="B7" s="2" t="s">
        <v>157</v>
      </c>
      <c r="D7" s="2"/>
      <c r="E7" s="2" t="s">
        <v>158</v>
      </c>
    </row>
    <row r="8" spans="1:14" ht="12.75" customHeight="1">
      <c r="A8" s="2"/>
      <c r="B8" s="2"/>
      <c r="D8" s="2"/>
    </row>
    <row r="9" spans="1:14" ht="12.75" customHeight="1">
      <c r="A9" s="2"/>
      <c r="B9" s="2" t="s">
        <v>159</v>
      </c>
      <c r="D9" s="2"/>
    </row>
    <row r="10" spans="1:14" ht="12.75" customHeight="1">
      <c r="A10" s="2"/>
      <c r="B10" s="2"/>
      <c r="C10" s="2" t="s">
        <v>160</v>
      </c>
      <c r="D10" s="2" t="s">
        <v>161</v>
      </c>
      <c r="E10" s="2" t="s">
        <v>162</v>
      </c>
      <c r="F10" s="2" t="s">
        <v>163</v>
      </c>
      <c r="H10" s="2" t="s">
        <v>160</v>
      </c>
      <c r="I10" s="2" t="s">
        <v>161</v>
      </c>
      <c r="J10" s="2" t="s">
        <v>162</v>
      </c>
      <c r="L10" s="2" t="s">
        <v>160</v>
      </c>
      <c r="M10" s="2" t="s">
        <v>161</v>
      </c>
      <c r="N10" s="2"/>
    </row>
    <row r="11" spans="1:14" ht="12.75" customHeight="1">
      <c r="A11" s="374" t="s">
        <v>164</v>
      </c>
      <c r="B11" s="2" t="s">
        <v>165</v>
      </c>
      <c r="D11" s="2">
        <v>984.72</v>
      </c>
      <c r="E11" s="2">
        <v>714.78</v>
      </c>
      <c r="F11" s="2">
        <v>603.97</v>
      </c>
      <c r="G11" s="2" t="s">
        <v>166</v>
      </c>
    </row>
    <row r="12" spans="1:14" ht="12.75" customHeight="1">
      <c r="A12" s="374" t="s">
        <v>167</v>
      </c>
      <c r="B12" s="2" t="s">
        <v>168</v>
      </c>
      <c r="D12" s="2">
        <v>1098.45</v>
      </c>
      <c r="E12" s="2">
        <v>799.7</v>
      </c>
      <c r="F12" s="2">
        <v>676.16</v>
      </c>
      <c r="G12" s="2" t="s">
        <v>166</v>
      </c>
    </row>
    <row r="13" spans="1:14" ht="12.75" customHeight="1">
      <c r="A13" s="374" t="s">
        <v>169</v>
      </c>
      <c r="B13" s="2" t="s">
        <v>170</v>
      </c>
      <c r="D13" s="2">
        <v>1093.06</v>
      </c>
      <c r="E13" s="2">
        <v>814.93</v>
      </c>
      <c r="F13" s="2">
        <v>701.18</v>
      </c>
      <c r="G13" s="2" t="s">
        <v>166</v>
      </c>
    </row>
    <row r="14" spans="1:14" ht="12.75" customHeight="1">
      <c r="A14" s="374" t="s">
        <v>171</v>
      </c>
      <c r="B14" s="2" t="s">
        <v>172</v>
      </c>
      <c r="D14" s="2">
        <v>841.84</v>
      </c>
      <c r="E14" s="375">
        <v>671.55</v>
      </c>
      <c r="F14" s="2">
        <v>583.70000000000005</v>
      </c>
      <c r="G14" s="2" t="s">
        <v>166</v>
      </c>
    </row>
    <row r="15" spans="1:14" ht="12.75" customHeight="1">
      <c r="A15" s="374" t="s">
        <v>173</v>
      </c>
      <c r="B15" s="2" t="s">
        <v>174</v>
      </c>
      <c r="D15" s="2">
        <v>693.17</v>
      </c>
      <c r="E15" s="2">
        <v>551.87</v>
      </c>
      <c r="F15" s="2">
        <v>475.8</v>
      </c>
      <c r="G15" s="2" t="s">
        <v>166</v>
      </c>
    </row>
    <row r="16" spans="1:14" ht="12.75" customHeight="1">
      <c r="A16" s="374" t="s">
        <v>175</v>
      </c>
      <c r="B16" s="2" t="s">
        <v>176</v>
      </c>
      <c r="C16" s="2">
        <v>1099.7</v>
      </c>
      <c r="D16" s="2">
        <v>933.65</v>
      </c>
      <c r="E16" s="2">
        <v>751.96</v>
      </c>
      <c r="G16" s="2" t="s">
        <v>166</v>
      </c>
    </row>
    <row r="17" spans="1:13" ht="12.75" customHeight="1">
      <c r="A17" s="374" t="s">
        <v>177</v>
      </c>
      <c r="B17" s="2" t="s">
        <v>178</v>
      </c>
      <c r="C17" s="2">
        <v>988.49</v>
      </c>
      <c r="D17" s="2">
        <v>818.62</v>
      </c>
      <c r="E17" s="375">
        <v>662.71</v>
      </c>
      <c r="G17" s="2" t="s">
        <v>166</v>
      </c>
      <c r="H17" s="43">
        <f t="shared" ref="H17:J17" si="0">C17/$E$17</f>
        <v>1.4915875722412517</v>
      </c>
      <c r="I17" s="43">
        <f t="shared" si="0"/>
        <v>1.2352612756711079</v>
      </c>
      <c r="J17" s="376">
        <f t="shared" si="0"/>
        <v>1</v>
      </c>
      <c r="L17" s="43">
        <f t="shared" ref="L17:L19" si="1">C17/$C$17</f>
        <v>1</v>
      </c>
      <c r="M17" s="43">
        <f t="shared" ref="M17:M19" si="2">D17/$D$17</f>
        <v>1</v>
      </c>
    </row>
    <row r="18" spans="1:13" ht="12.75" customHeight="1">
      <c r="A18" s="374" t="s">
        <v>179</v>
      </c>
      <c r="B18" s="2" t="s">
        <v>180</v>
      </c>
      <c r="C18" s="2">
        <v>1043.47</v>
      </c>
      <c r="D18" s="2">
        <v>870.97</v>
      </c>
      <c r="G18" s="2" t="s">
        <v>166</v>
      </c>
      <c r="H18" s="43">
        <f t="shared" ref="H18:I18" si="3">C18/$E$17</f>
        <v>1.5745499539768526</v>
      </c>
      <c r="I18" s="43">
        <f t="shared" si="3"/>
        <v>1.3142551040424921</v>
      </c>
      <c r="L18" s="43">
        <f t="shared" si="1"/>
        <v>1.0556201883681171</v>
      </c>
      <c r="M18" s="43">
        <f t="shared" si="2"/>
        <v>1.0639490850455646</v>
      </c>
    </row>
    <row r="19" spans="1:13" ht="12.75" customHeight="1">
      <c r="A19" s="374" t="s">
        <v>181</v>
      </c>
      <c r="B19" s="2" t="s">
        <v>182</v>
      </c>
      <c r="C19" s="2">
        <v>1077.92</v>
      </c>
      <c r="D19" s="2">
        <v>904.02</v>
      </c>
      <c r="G19" s="2" t="s">
        <v>166</v>
      </c>
      <c r="H19" s="43">
        <f t="shared" ref="H19:I19" si="4">C19/$E$17</f>
        <v>1.626533476181135</v>
      </c>
      <c r="I19" s="43">
        <f t="shared" si="4"/>
        <v>1.3641260883342639</v>
      </c>
      <c r="L19" s="43">
        <f t="shared" si="1"/>
        <v>1.0904713249501765</v>
      </c>
      <c r="M19" s="43">
        <f t="shared" si="2"/>
        <v>1.1043219076005961</v>
      </c>
    </row>
    <row r="20" spans="1:13" ht="12.75" customHeight="1">
      <c r="A20" s="2"/>
      <c r="B20" s="2"/>
      <c r="D20" s="2"/>
    </row>
    <row r="21" spans="1:13" ht="12.75" customHeight="1">
      <c r="A21" s="377" t="s">
        <v>183</v>
      </c>
      <c r="B21" s="2"/>
      <c r="D21" s="378">
        <f>D18/D17</f>
        <v>1.0639490850455646</v>
      </c>
    </row>
    <row r="22" spans="1:13" ht="12.75" customHeight="1">
      <c r="A22" s="2"/>
      <c r="B22" s="2"/>
      <c r="D22" s="2"/>
    </row>
    <row r="23" spans="1:13" ht="12.75" customHeight="1">
      <c r="A23" s="2"/>
      <c r="B23" s="2"/>
      <c r="D23" s="2"/>
    </row>
    <row r="24" spans="1:13" ht="12.75" customHeight="1">
      <c r="A24" s="2" t="s">
        <v>184</v>
      </c>
      <c r="B24" s="2"/>
      <c r="D24" s="2"/>
    </row>
    <row r="25" spans="1:13" ht="12.75" customHeight="1">
      <c r="A25" s="379"/>
      <c r="B25" s="2"/>
      <c r="D25" s="2"/>
    </row>
    <row r="26" spans="1:13" ht="12.75" customHeight="1">
      <c r="A26" s="2"/>
      <c r="B26" s="2"/>
      <c r="D26" s="2"/>
    </row>
    <row r="27" spans="1:13" ht="12.75" customHeight="1">
      <c r="A27" s="2"/>
      <c r="B27" s="2"/>
      <c r="D27" s="2"/>
    </row>
    <row r="28" spans="1:13" ht="12.75" customHeight="1">
      <c r="A28" s="2"/>
      <c r="B28" s="2"/>
      <c r="D28" s="2"/>
    </row>
    <row r="29" spans="1:13" ht="12.75" customHeight="1">
      <c r="A29" s="5" t="str">
        <f>HYPERLINK("http://www.sidra.ibge.gov.br/","http://www.sidra.ibge.gov.br/")</f>
        <v>http://www.sidra.ibge.gov.br/</v>
      </c>
      <c r="B29" s="2"/>
      <c r="D29" s="2"/>
    </row>
    <row r="30" spans="1:13" ht="12.75" customHeight="1">
      <c r="A30" s="2" t="s">
        <v>185</v>
      </c>
      <c r="B30" s="2"/>
      <c r="D30" s="2"/>
    </row>
    <row r="31" spans="1:13" ht="12.75" customHeight="1">
      <c r="A31" s="380" t="s">
        <v>186</v>
      </c>
      <c r="B31" s="2"/>
      <c r="D31" s="2"/>
    </row>
    <row r="32" spans="1:13" ht="12.75" customHeight="1">
      <c r="A32" s="381" t="s">
        <v>187</v>
      </c>
      <c r="B32" s="2"/>
      <c r="D32" s="2"/>
    </row>
    <row r="33" spans="1:7" ht="12.75" customHeight="1">
      <c r="A33" s="381" t="s">
        <v>188</v>
      </c>
      <c r="B33" s="2"/>
      <c r="D33" s="2"/>
    </row>
    <row r="34" spans="1:7" ht="31.5" customHeight="1">
      <c r="A34" s="381" t="s">
        <v>189</v>
      </c>
      <c r="B34" s="2"/>
      <c r="D34" s="2"/>
    </row>
    <row r="35" spans="1:7" ht="12.75" customHeight="1">
      <c r="A35" s="381" t="s">
        <v>190</v>
      </c>
      <c r="B35" s="2"/>
      <c r="D35" s="2"/>
    </row>
    <row r="36" spans="1:7" ht="12.75" customHeight="1">
      <c r="A36" s="381" t="s">
        <v>191</v>
      </c>
      <c r="B36" s="2"/>
      <c r="D36" s="2"/>
    </row>
    <row r="37" spans="1:7" ht="12.75" customHeight="1">
      <c r="A37" s="382" t="s">
        <v>192</v>
      </c>
      <c r="B37" s="2">
        <v>690.11</v>
      </c>
      <c r="C37" s="2" t="s">
        <v>193</v>
      </c>
      <c r="D37" s="2"/>
      <c r="G37" s="2">
        <f t="shared" ref="G37:G38" si="5">B37/$E$17</f>
        <v>1.041345384859139</v>
      </c>
    </row>
    <row r="38" spans="1:7" ht="12.75" customHeight="1">
      <c r="A38" s="2"/>
      <c r="B38" s="374">
        <v>737.41</v>
      </c>
      <c r="C38" s="2" t="s">
        <v>194</v>
      </c>
      <c r="D38" s="2"/>
      <c r="G38" s="2">
        <f t="shared" si="5"/>
        <v>1.1127189871889664</v>
      </c>
    </row>
    <row r="39" spans="1:7" ht="12.75" customHeight="1">
      <c r="A39" s="2"/>
      <c r="B39" s="2"/>
      <c r="D39" s="2"/>
    </row>
    <row r="40" spans="1:7" ht="12.75" customHeight="1">
      <c r="A40" s="383" t="s">
        <v>195</v>
      </c>
      <c r="B40" s="2"/>
      <c r="D40" s="2"/>
    </row>
    <row r="41" spans="1:7" ht="12.75" customHeight="1">
      <c r="A41" s="2"/>
      <c r="B41" s="2"/>
      <c r="D41" s="2"/>
    </row>
    <row r="42" spans="1:7" ht="12.75" customHeight="1">
      <c r="A42" s="48" t="s">
        <v>196</v>
      </c>
      <c r="B42" s="2"/>
      <c r="D42" s="2"/>
    </row>
    <row r="43" spans="1:7" ht="12.75" customHeight="1">
      <c r="A43" s="383"/>
      <c r="B43" s="2"/>
      <c r="D43" s="2"/>
    </row>
    <row r="44" spans="1:7" ht="12.75" customHeight="1">
      <c r="A44" s="383"/>
      <c r="B44" s="2"/>
      <c r="D44" s="2"/>
    </row>
    <row r="45" spans="1:7" ht="12.75" customHeight="1">
      <c r="A45" s="383" t="s">
        <v>197</v>
      </c>
      <c r="B45" s="2"/>
      <c r="D45" s="2"/>
    </row>
    <row r="46" spans="1:7" ht="12.75" customHeight="1">
      <c r="A46" s="2"/>
      <c r="B46" s="2"/>
      <c r="D46" s="2"/>
    </row>
    <row r="47" spans="1:7" ht="12.75" customHeight="1">
      <c r="A47" s="2"/>
      <c r="B47" s="2"/>
      <c r="D47" s="2"/>
    </row>
    <row r="48" spans="1:7" ht="12.75" customHeight="1">
      <c r="A48" s="2"/>
      <c r="B48" s="2"/>
      <c r="D48" s="2"/>
    </row>
    <row r="49" spans="1:4" ht="21" customHeight="1">
      <c r="A49" s="737" t="s">
        <v>198</v>
      </c>
      <c r="B49" s="738"/>
      <c r="D49" s="2"/>
    </row>
    <row r="50" spans="1:4" ht="12.75" customHeight="1">
      <c r="A50" s="739" t="s">
        <v>187</v>
      </c>
      <c r="B50" s="738"/>
      <c r="D50" s="2"/>
    </row>
    <row r="51" spans="1:4" ht="12.75" customHeight="1">
      <c r="A51" s="739" t="s">
        <v>199</v>
      </c>
      <c r="B51" s="738"/>
      <c r="D51" s="2"/>
    </row>
    <row r="52" spans="1:4" ht="12.75" customHeight="1">
      <c r="A52" s="739" t="s">
        <v>200</v>
      </c>
      <c r="B52" s="738"/>
      <c r="D52" s="2"/>
    </row>
    <row r="53" spans="1:4" ht="12.75" customHeight="1">
      <c r="A53" s="384">
        <v>40603</v>
      </c>
      <c r="B53" s="384">
        <v>41334</v>
      </c>
      <c r="C53" s="384">
        <v>40603</v>
      </c>
      <c r="D53" s="384">
        <v>42064</v>
      </c>
    </row>
    <row r="54" spans="1:4" ht="12.75" customHeight="1">
      <c r="A54" s="385">
        <v>38090269020</v>
      </c>
      <c r="B54" s="385">
        <v>41742447296</v>
      </c>
      <c r="C54" s="386">
        <v>380.9026902</v>
      </c>
      <c r="D54" s="386">
        <v>443.20163477</v>
      </c>
    </row>
    <row r="55" spans="1:4" ht="12.75" customHeight="1">
      <c r="A55" s="2"/>
      <c r="B55" s="2">
        <f>B54/A54</f>
        <v>1.0958821864472092</v>
      </c>
      <c r="D55" s="2">
        <f>D54/C54</f>
        <v>1.1635560634588555</v>
      </c>
    </row>
    <row r="56" spans="1:4" ht="12.75" customHeight="1">
      <c r="A56" s="2"/>
      <c r="B56" s="374"/>
      <c r="D56" s="2"/>
    </row>
    <row r="57" spans="1:4" ht="12.75" customHeight="1">
      <c r="A57" s="383" t="s">
        <v>201</v>
      </c>
      <c r="B57" s="2"/>
      <c r="D57" s="2"/>
    </row>
    <row r="58" spans="1:4" ht="12.75" customHeight="1">
      <c r="A58" s="2"/>
      <c r="B58" s="2"/>
      <c r="D58" s="2"/>
    </row>
    <row r="59" spans="1:4" ht="12.75" customHeight="1">
      <c r="A59" s="48" t="s">
        <v>202</v>
      </c>
      <c r="B59" s="2"/>
      <c r="D59" s="2"/>
    </row>
    <row r="60" spans="1:4" ht="12.75" customHeight="1">
      <c r="A60" s="2"/>
      <c r="B60" s="2"/>
      <c r="D60" s="2"/>
    </row>
    <row r="61" spans="1:4" ht="12.75" customHeight="1">
      <c r="A61" s="48" t="s">
        <v>203</v>
      </c>
      <c r="B61" s="2"/>
      <c r="D61" s="2"/>
    </row>
    <row r="62" spans="1:4" ht="12.75" customHeight="1">
      <c r="A62" s="2"/>
      <c r="B62" s="2"/>
      <c r="D62" s="2"/>
    </row>
    <row r="63" spans="1:4" ht="12.75" customHeight="1">
      <c r="A63" s="48" t="s">
        <v>204</v>
      </c>
      <c r="B63" s="2"/>
      <c r="D63" s="2"/>
    </row>
    <row r="64" spans="1:4" ht="12.75" customHeight="1">
      <c r="A64" s="2"/>
      <c r="B64" s="2"/>
      <c r="D64" s="2"/>
    </row>
    <row r="65" spans="1:4" ht="12.75" customHeight="1">
      <c r="A65" s="48" t="s">
        <v>205</v>
      </c>
      <c r="B65" s="2"/>
      <c r="D65" s="2"/>
    </row>
    <row r="66" spans="1:4" ht="12.75" customHeight="1">
      <c r="A66" s="2"/>
      <c r="B66" s="2"/>
      <c r="D66" s="2"/>
    </row>
    <row r="67" spans="1:4" ht="12.75" customHeight="1">
      <c r="A67" s="48" t="s">
        <v>206</v>
      </c>
      <c r="B67" s="2"/>
      <c r="D67" s="2"/>
    </row>
    <row r="68" spans="1:4" ht="12.75" customHeight="1">
      <c r="A68" s="2"/>
      <c r="B68" s="2"/>
      <c r="D68" s="2"/>
    </row>
    <row r="69" spans="1:4" ht="12.75" customHeight="1">
      <c r="A69" s="48" t="s">
        <v>207</v>
      </c>
      <c r="B69" s="2"/>
      <c r="D69" s="2"/>
    </row>
    <row r="70" spans="1:4" ht="12.75" customHeight="1">
      <c r="A70" s="2"/>
      <c r="B70" s="2"/>
      <c r="D70" s="2"/>
    </row>
    <row r="71" spans="1:4" ht="12.75" customHeight="1">
      <c r="A71" s="48" t="s">
        <v>208</v>
      </c>
      <c r="B71" s="2"/>
      <c r="D71" s="2"/>
    </row>
    <row r="72" spans="1:4" ht="12.75" customHeight="1">
      <c r="A72" s="2"/>
      <c r="B72" s="2"/>
      <c r="D72" s="2"/>
    </row>
    <row r="73" spans="1:4" ht="12.75" customHeight="1">
      <c r="A73" s="48" t="s">
        <v>209</v>
      </c>
      <c r="B73" s="2"/>
      <c r="D73" s="2"/>
    </row>
    <row r="74" spans="1:4" ht="12.75" customHeight="1">
      <c r="A74" s="2"/>
      <c r="B74" s="2"/>
      <c r="D74" s="2"/>
    </row>
    <row r="75" spans="1:4" ht="12.75" customHeight="1">
      <c r="A75" s="48" t="s">
        <v>210</v>
      </c>
      <c r="B75" s="2"/>
      <c r="D75" s="2"/>
    </row>
    <row r="76" spans="1:4" ht="12.75" customHeight="1">
      <c r="A76" s="2"/>
      <c r="B76" s="2"/>
      <c r="D76" s="2"/>
    </row>
    <row r="77" spans="1:4" ht="12.75" customHeight="1">
      <c r="A77" s="48" t="s">
        <v>211</v>
      </c>
      <c r="B77" s="2"/>
      <c r="D77" s="2"/>
    </row>
    <row r="78" spans="1:4" ht="12.75" customHeight="1">
      <c r="A78" s="48" t="s">
        <v>212</v>
      </c>
      <c r="B78" s="2"/>
      <c r="D78" s="2"/>
    </row>
    <row r="79" spans="1:4" ht="12.75" customHeight="1">
      <c r="A79" s="2"/>
      <c r="B79" s="2"/>
      <c r="D79" s="2"/>
    </row>
    <row r="80" spans="1:4" ht="12.75" customHeight="1">
      <c r="A80" s="2"/>
      <c r="B80" s="2"/>
      <c r="D80" s="2"/>
    </row>
    <row r="81" spans="1:4" ht="12.75" customHeight="1">
      <c r="A81" s="387" t="s">
        <v>213</v>
      </c>
      <c r="B81" s="2"/>
      <c r="D81" s="2"/>
    </row>
    <row r="82" spans="1:4" ht="12.75" customHeight="1">
      <c r="A82" s="48"/>
      <c r="B82" s="2"/>
      <c r="D82" s="2"/>
    </row>
    <row r="83" spans="1:4" ht="12.75" customHeight="1">
      <c r="A83" s="2"/>
      <c r="B83" s="2"/>
      <c r="D83" s="2"/>
    </row>
    <row r="84" spans="1:4" ht="12.75" customHeight="1">
      <c r="A84" s="5" t="str">
        <f>HYPERLINK("http://www.construdata.com.br/packages/data/pages/load_series.tpl.php?level1%5b%5d=40&amp;level2%5b%5d=55&amp;level3%5b%5d=356","http://www.construdata.com.br/packages/data/pages/load_series.tpl.php?level1[]=40&amp;level2[]=55&amp;level3[]=356")</f>
        <v>http://www.construdata.com.br/packages/data/pages/load_series.tpl.php?level1[]=40&amp;level2[]=55&amp;level3[]=356</v>
      </c>
      <c r="B84" s="2"/>
      <c r="D84" s="2"/>
    </row>
    <row r="85" spans="1:4" ht="12.75" customHeight="1">
      <c r="A85" s="388" t="s">
        <v>214</v>
      </c>
      <c r="B85" s="2"/>
      <c r="D85" s="2"/>
    </row>
    <row r="86" spans="1:4" ht="12.75" customHeight="1">
      <c r="A86" s="389" t="s">
        <v>215</v>
      </c>
      <c r="B86" s="2"/>
      <c r="D86" s="2"/>
    </row>
    <row r="87" spans="1:4" ht="12.75" customHeight="1">
      <c r="A87" s="389" t="s">
        <v>216</v>
      </c>
      <c r="B87" s="2"/>
      <c r="D87" s="2"/>
    </row>
    <row r="88" spans="1:4" ht="12.75" customHeight="1">
      <c r="A88" s="389" t="s">
        <v>217</v>
      </c>
      <c r="B88" s="2"/>
      <c r="D88" s="2"/>
    </row>
    <row r="89" spans="1:4" ht="12.75" customHeight="1">
      <c r="A89" s="389" t="s">
        <v>218</v>
      </c>
      <c r="B89" s="2"/>
      <c r="D89" s="2"/>
    </row>
    <row r="90" spans="1:4" ht="12.75" customHeight="1">
      <c r="A90" s="389" t="s">
        <v>219</v>
      </c>
      <c r="B90" s="2"/>
      <c r="D90" s="2"/>
    </row>
    <row r="91" spans="1:4" ht="13.5" customHeight="1">
      <c r="A91" s="389" t="s">
        <v>220</v>
      </c>
      <c r="B91" s="2"/>
      <c r="D91" s="2"/>
    </row>
    <row r="92" spans="1:4" ht="13.5" customHeight="1">
      <c r="A92" s="390">
        <v>40603</v>
      </c>
      <c r="B92" s="391" t="s">
        <v>221</v>
      </c>
      <c r="C92" s="392">
        <v>459360</v>
      </c>
      <c r="D92" s="2"/>
    </row>
    <row r="93" spans="1:4" ht="13.5" customHeight="1">
      <c r="A93" s="393">
        <v>41334</v>
      </c>
      <c r="B93" s="394" t="s">
        <v>222</v>
      </c>
      <c r="C93" s="395">
        <v>531339</v>
      </c>
      <c r="D93" s="2"/>
    </row>
    <row r="94" spans="1:4" ht="12.75" customHeight="1">
      <c r="A94" s="2"/>
      <c r="B94" s="2"/>
      <c r="C94" s="2">
        <f>C93/C92</f>
        <v>1.1566940961337513</v>
      </c>
      <c r="D94" s="2"/>
    </row>
    <row r="95" spans="1:4" ht="12.75" customHeight="1">
      <c r="A95" s="2"/>
      <c r="B95" s="2"/>
      <c r="D95" s="2"/>
    </row>
    <row r="96" spans="1:4" ht="12.75" customHeight="1">
      <c r="A96" s="2"/>
      <c r="B96" s="2"/>
      <c r="D96" s="2"/>
    </row>
    <row r="97" spans="1:4" ht="12.75" customHeight="1">
      <c r="A97" s="176" t="s">
        <v>223</v>
      </c>
      <c r="B97" s="176">
        <v>2015</v>
      </c>
      <c r="C97" s="176">
        <v>2011</v>
      </c>
      <c r="D97" s="2"/>
    </row>
    <row r="98" spans="1:4" ht="12.75" customHeight="1">
      <c r="A98" s="176" t="s">
        <v>224</v>
      </c>
      <c r="B98" s="176">
        <v>462.28</v>
      </c>
      <c r="C98" s="235">
        <v>389.96</v>
      </c>
      <c r="D98" s="2">
        <f>B98/C98</f>
        <v>1.1854549184531746</v>
      </c>
    </row>
    <row r="99" spans="1:4" ht="12.75" customHeight="1">
      <c r="A99" s="2"/>
      <c r="B99" s="2"/>
      <c r="D99" s="2"/>
    </row>
    <row r="100" spans="1:4" ht="12.75" customHeight="1">
      <c r="A100" s="2"/>
      <c r="B100" s="2"/>
      <c r="D100" s="2"/>
    </row>
    <row r="101" spans="1:4" ht="12.75" customHeight="1">
      <c r="A101" s="2"/>
      <c r="B101" s="2"/>
      <c r="D101" s="2"/>
    </row>
    <row r="102" spans="1:4" ht="12.75" customHeight="1">
      <c r="A102" s="2"/>
      <c r="B102" s="2"/>
      <c r="D102" s="2"/>
    </row>
    <row r="103" spans="1:4" ht="12.75" customHeight="1">
      <c r="A103" s="2"/>
      <c r="B103" s="2"/>
      <c r="C103" s="85"/>
      <c r="D103" s="2"/>
    </row>
    <row r="104" spans="1:4" ht="12.75" customHeight="1">
      <c r="A104" s="2"/>
      <c r="B104" s="2"/>
      <c r="D104" s="2"/>
    </row>
    <row r="105" spans="1:4" ht="15.75" customHeight="1"/>
    <row r="106" spans="1:4" ht="15.75" customHeight="1"/>
    <row r="107" spans="1:4" ht="15.75" customHeight="1"/>
    <row r="108" spans="1:4" ht="15.75" customHeight="1"/>
    <row r="109" spans="1:4" ht="15.75" customHeight="1"/>
    <row r="110" spans="1:4" ht="15.75" customHeight="1"/>
    <row r="111" spans="1:4" ht="15.75" customHeight="1"/>
    <row r="112" spans="1:4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49:B49"/>
    <mergeCell ref="A50:B50"/>
    <mergeCell ref="A51:B51"/>
    <mergeCell ref="A52:B52"/>
  </mergeCells>
  <pageMargins left="0.511811024" right="0.511811024" top="0.78740157499999996" bottom="0.78740157499999996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000"/>
  <sheetViews>
    <sheetView workbookViewId="0"/>
  </sheetViews>
  <sheetFormatPr defaultColWidth="12.5703125" defaultRowHeight="15" customHeight="1"/>
  <cols>
    <col min="1" max="19" width="8.7109375" customWidth="1"/>
    <col min="20" max="26" width="14.42578125" customWidth="1"/>
  </cols>
  <sheetData>
    <row r="1" spans="1:19" ht="12.75" customHeight="1">
      <c r="A1" s="5" t="str">
        <f>HYPERLINK("https://webp.caixa.gov.br/casa/sinapi/conjuntura/popup_02.asp?mes=0112","https://webp.caixa.gov.br/casa/sinapi/conjuntura/popup_02.asp?mes=0112")</f>
        <v>https://webp.caixa.gov.br/casa/sinapi/conjuntura/popup_02.asp?mes=0112</v>
      </c>
    </row>
    <row r="2" spans="1:19" ht="12.75" customHeight="1"/>
    <row r="3" spans="1:19" ht="19.5" customHeight="1">
      <c r="A3" s="396" t="s">
        <v>225</v>
      </c>
      <c r="B3" s="397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</row>
    <row r="4" spans="1:19" ht="12.75" customHeight="1">
      <c r="A4" s="749"/>
      <c r="B4" s="692"/>
      <c r="C4" s="130"/>
      <c r="D4" s="752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8"/>
      <c r="S4" s="130"/>
    </row>
    <row r="5" spans="1:19" ht="12.75" customHeight="1">
      <c r="A5" s="750"/>
      <c r="B5" s="751"/>
      <c r="C5" s="752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3"/>
      <c r="Q5" s="743"/>
      <c r="R5" s="743"/>
      <c r="S5" s="748"/>
    </row>
    <row r="6" spans="1:19" ht="19.5" customHeight="1">
      <c r="A6" s="750"/>
      <c r="B6" s="751"/>
      <c r="C6" s="130"/>
      <c r="D6" s="398" t="s">
        <v>226</v>
      </c>
      <c r="E6" s="398" t="s">
        <v>227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</row>
    <row r="7" spans="1:19" ht="12.75" customHeight="1">
      <c r="A7" s="750"/>
      <c r="B7" s="751"/>
      <c r="C7" s="130"/>
      <c r="D7" s="752"/>
      <c r="E7" s="743"/>
      <c r="F7" s="743"/>
      <c r="G7" s="743"/>
      <c r="H7" s="743"/>
      <c r="I7" s="743"/>
      <c r="J7" s="743"/>
      <c r="K7" s="743"/>
      <c r="L7" s="743"/>
      <c r="M7" s="743"/>
      <c r="N7" s="743"/>
      <c r="O7" s="743"/>
      <c r="P7" s="743"/>
      <c r="Q7" s="743"/>
      <c r="R7" s="748"/>
      <c r="S7" s="130"/>
    </row>
    <row r="8" spans="1:19" ht="12.75" customHeight="1">
      <c r="A8" s="750"/>
      <c r="B8" s="751"/>
      <c r="C8" s="753"/>
      <c r="D8" s="130" t="s">
        <v>228</v>
      </c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</row>
    <row r="9" spans="1:19" ht="12.75" customHeight="1">
      <c r="A9" s="750"/>
      <c r="B9" s="751"/>
      <c r="C9" s="684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</row>
    <row r="10" spans="1:19" ht="13.5" customHeight="1">
      <c r="A10" s="750"/>
      <c r="B10" s="751"/>
      <c r="C10" s="684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</row>
    <row r="11" spans="1:19" ht="13.5" customHeight="1">
      <c r="A11" s="750"/>
      <c r="B11" s="751"/>
      <c r="C11" s="684"/>
      <c r="D11" s="754" t="s">
        <v>229</v>
      </c>
      <c r="E11" s="756" t="s">
        <v>230</v>
      </c>
      <c r="F11" s="757"/>
      <c r="G11" s="763" t="s">
        <v>231</v>
      </c>
      <c r="H11" s="757"/>
      <c r="I11" s="763" t="s">
        <v>232</v>
      </c>
      <c r="J11" s="757"/>
      <c r="K11" s="763" t="s">
        <v>233</v>
      </c>
      <c r="L11" s="757"/>
      <c r="M11" s="763" t="s">
        <v>234</v>
      </c>
      <c r="N11" s="757"/>
      <c r="O11" s="758" t="s">
        <v>235</v>
      </c>
      <c r="P11" s="759"/>
      <c r="Q11" s="399"/>
      <c r="R11" s="130"/>
      <c r="S11" s="130"/>
    </row>
    <row r="12" spans="1:19" ht="13.5" customHeight="1">
      <c r="A12" s="750"/>
      <c r="B12" s="751"/>
      <c r="C12" s="684"/>
      <c r="D12" s="755"/>
      <c r="E12" s="400" t="s">
        <v>236</v>
      </c>
      <c r="F12" s="401" t="s">
        <v>106</v>
      </c>
      <c r="G12" s="402" t="s">
        <v>236</v>
      </c>
      <c r="H12" s="403" t="s">
        <v>106</v>
      </c>
      <c r="I12" s="402" t="s">
        <v>236</v>
      </c>
      <c r="J12" s="403" t="s">
        <v>106</v>
      </c>
      <c r="K12" s="402" t="s">
        <v>236</v>
      </c>
      <c r="L12" s="403" t="s">
        <v>106</v>
      </c>
      <c r="M12" s="402" t="s">
        <v>236</v>
      </c>
      <c r="N12" s="403" t="s">
        <v>106</v>
      </c>
      <c r="O12" s="402" t="s">
        <v>236</v>
      </c>
      <c r="P12" s="404" t="s">
        <v>106</v>
      </c>
      <c r="Q12" s="760"/>
      <c r="R12" s="748"/>
      <c r="S12" s="130"/>
    </row>
    <row r="13" spans="1:19" ht="13.5" customHeight="1">
      <c r="A13" s="750"/>
      <c r="B13" s="751"/>
      <c r="C13" s="684"/>
      <c r="D13" s="405">
        <v>40575</v>
      </c>
      <c r="E13" s="406">
        <v>386.09</v>
      </c>
      <c r="F13" s="406">
        <v>0.39</v>
      </c>
      <c r="G13" s="406">
        <v>456.91</v>
      </c>
      <c r="H13" s="406">
        <v>0.28000000000000003</v>
      </c>
      <c r="I13" s="407">
        <v>141696.03</v>
      </c>
      <c r="J13" s="406">
        <v>0.03</v>
      </c>
      <c r="K13" s="407">
        <v>3346.74</v>
      </c>
      <c r="L13" s="406">
        <v>0.54</v>
      </c>
      <c r="M13" s="406">
        <v>458.39</v>
      </c>
      <c r="N13" s="406">
        <v>1</v>
      </c>
      <c r="O13" s="407">
        <v>3248.2</v>
      </c>
      <c r="P13" s="408">
        <v>0.8</v>
      </c>
      <c r="Q13" s="761"/>
      <c r="R13" s="748"/>
      <c r="S13" s="130"/>
    </row>
    <row r="14" spans="1:19" ht="13.5" customHeight="1">
      <c r="A14" s="750"/>
      <c r="B14" s="751"/>
      <c r="C14" s="684"/>
      <c r="D14" s="409">
        <v>40603</v>
      </c>
      <c r="E14" s="406">
        <v>388.1</v>
      </c>
      <c r="F14" s="406">
        <v>0.52</v>
      </c>
      <c r="G14" s="406">
        <v>458.88</v>
      </c>
      <c r="H14" s="406">
        <v>0.43</v>
      </c>
      <c r="I14" s="407">
        <v>141729.44</v>
      </c>
      <c r="J14" s="406">
        <v>0.02</v>
      </c>
      <c r="K14" s="407">
        <v>3368.83</v>
      </c>
      <c r="L14" s="406">
        <v>0.66</v>
      </c>
      <c r="M14" s="406">
        <v>461.24</v>
      </c>
      <c r="N14" s="406">
        <v>0.62</v>
      </c>
      <c r="O14" s="407">
        <v>3273.86</v>
      </c>
      <c r="P14" s="408">
        <v>0.79</v>
      </c>
      <c r="Q14" s="761"/>
      <c r="R14" s="748"/>
      <c r="S14" s="130"/>
    </row>
    <row r="15" spans="1:19" ht="13.5" customHeight="1">
      <c r="A15" s="750"/>
      <c r="B15" s="751"/>
      <c r="C15" s="684"/>
      <c r="D15" s="409">
        <v>40634</v>
      </c>
      <c r="E15" s="406">
        <v>389.96</v>
      </c>
      <c r="F15" s="406">
        <v>0.48</v>
      </c>
      <c r="G15" s="406">
        <v>463.76</v>
      </c>
      <c r="H15" s="406">
        <v>1.06</v>
      </c>
      <c r="I15" s="407">
        <v>141750.96</v>
      </c>
      <c r="J15" s="406">
        <v>0.02</v>
      </c>
      <c r="K15" s="407">
        <v>3393.09</v>
      </c>
      <c r="L15" s="406">
        <v>0.72</v>
      </c>
      <c r="M15" s="406">
        <v>463.31</v>
      </c>
      <c r="N15" s="406">
        <v>0.45</v>
      </c>
      <c r="O15" s="407">
        <v>3299.07</v>
      </c>
      <c r="P15" s="408">
        <v>0.77</v>
      </c>
      <c r="Q15" s="761"/>
      <c r="R15" s="748"/>
      <c r="S15" s="130"/>
    </row>
    <row r="16" spans="1:19" ht="13.5" customHeight="1">
      <c r="A16" s="750"/>
      <c r="B16" s="751"/>
      <c r="C16" s="684"/>
      <c r="D16" s="409">
        <v>40664</v>
      </c>
      <c r="E16" s="406">
        <v>395.81</v>
      </c>
      <c r="F16" s="406">
        <v>1.5</v>
      </c>
      <c r="G16" s="406">
        <v>477.4</v>
      </c>
      <c r="H16" s="406">
        <v>2.94</v>
      </c>
      <c r="I16" s="407">
        <v>148794.41</v>
      </c>
      <c r="J16" s="406">
        <v>4.97</v>
      </c>
      <c r="K16" s="407">
        <v>3412.43</v>
      </c>
      <c r="L16" s="406">
        <v>0.56999999999999995</v>
      </c>
      <c r="M16" s="406">
        <v>465.31</v>
      </c>
      <c r="N16" s="406">
        <v>0.43</v>
      </c>
      <c r="O16" s="407">
        <v>3314.58</v>
      </c>
      <c r="P16" s="408">
        <v>0.47</v>
      </c>
      <c r="Q16" s="761"/>
      <c r="R16" s="748"/>
      <c r="S16" s="130"/>
    </row>
    <row r="17" spans="1:19" ht="13.5" customHeight="1">
      <c r="A17" s="750"/>
      <c r="B17" s="751"/>
      <c r="C17" s="684"/>
      <c r="D17" s="409">
        <v>40695</v>
      </c>
      <c r="E17" s="406">
        <v>398.18</v>
      </c>
      <c r="F17" s="406">
        <v>0.6</v>
      </c>
      <c r="G17" s="406">
        <v>479.18</v>
      </c>
      <c r="H17" s="406">
        <v>0.37</v>
      </c>
      <c r="I17" s="407">
        <v>148822.63</v>
      </c>
      <c r="J17" s="406">
        <v>0.02</v>
      </c>
      <c r="K17" s="407">
        <v>3419.94</v>
      </c>
      <c r="L17" s="406">
        <v>0.22</v>
      </c>
      <c r="M17" s="406">
        <v>464.46</v>
      </c>
      <c r="N17" s="406">
        <v>-0.18</v>
      </c>
      <c r="O17" s="407">
        <v>3319.55</v>
      </c>
      <c r="P17" s="408">
        <v>0.15</v>
      </c>
      <c r="Q17" s="761"/>
      <c r="R17" s="748"/>
      <c r="S17" s="130"/>
    </row>
    <row r="18" spans="1:19" ht="13.5" customHeight="1">
      <c r="A18" s="750"/>
      <c r="B18" s="751"/>
      <c r="C18" s="684"/>
      <c r="D18" s="409">
        <v>40725</v>
      </c>
      <c r="E18" s="406">
        <v>400.37</v>
      </c>
      <c r="F18" s="406">
        <v>0.55000000000000004</v>
      </c>
      <c r="G18" s="406">
        <v>481.33</v>
      </c>
      <c r="H18" s="406">
        <v>0.45</v>
      </c>
      <c r="I18" s="407">
        <v>148442.93</v>
      </c>
      <c r="J18" s="406">
        <v>-0.26</v>
      </c>
      <c r="K18" s="407">
        <v>3419.94</v>
      </c>
      <c r="L18" s="406">
        <v>0</v>
      </c>
      <c r="M18" s="406">
        <v>463.92</v>
      </c>
      <c r="N18" s="406">
        <v>-0.12</v>
      </c>
      <c r="O18" s="407">
        <v>3324.86</v>
      </c>
      <c r="P18" s="408">
        <v>0.16</v>
      </c>
      <c r="Q18" s="761"/>
      <c r="R18" s="748"/>
      <c r="S18" s="130"/>
    </row>
    <row r="19" spans="1:19" ht="13.5" customHeight="1">
      <c r="A19" s="750"/>
      <c r="B19" s="751"/>
      <c r="C19" s="684"/>
      <c r="D19" s="409">
        <v>40756</v>
      </c>
      <c r="E19" s="406">
        <v>400.93</v>
      </c>
      <c r="F19" s="406">
        <v>0.14000000000000001</v>
      </c>
      <c r="G19" s="406">
        <v>481.96</v>
      </c>
      <c r="H19" s="406">
        <v>0.13</v>
      </c>
      <c r="I19" s="407">
        <v>148593.88</v>
      </c>
      <c r="J19" s="406">
        <v>0.1</v>
      </c>
      <c r="K19" s="407">
        <v>3434.3</v>
      </c>
      <c r="L19" s="406">
        <v>0.42</v>
      </c>
      <c r="M19" s="406">
        <v>465.96</v>
      </c>
      <c r="N19" s="406">
        <v>0.44</v>
      </c>
      <c r="O19" s="407">
        <v>3337.16</v>
      </c>
      <c r="P19" s="408">
        <v>0.37</v>
      </c>
      <c r="Q19" s="761"/>
      <c r="R19" s="748"/>
      <c r="S19" s="130"/>
    </row>
    <row r="20" spans="1:19" ht="13.5" customHeight="1">
      <c r="A20" s="750"/>
      <c r="B20" s="751"/>
      <c r="C20" s="684"/>
      <c r="D20" s="409">
        <v>40787</v>
      </c>
      <c r="E20" s="406">
        <v>401.69</v>
      </c>
      <c r="F20" s="406">
        <v>0.19</v>
      </c>
      <c r="G20" s="406">
        <v>482.65</v>
      </c>
      <c r="H20" s="406">
        <v>0.14000000000000001</v>
      </c>
      <c r="I20" s="407">
        <v>148751.10999999999</v>
      </c>
      <c r="J20" s="406">
        <v>0.11</v>
      </c>
      <c r="K20" s="407">
        <v>3449.76</v>
      </c>
      <c r="L20" s="406">
        <v>0.45</v>
      </c>
      <c r="M20" s="406">
        <v>468.97</v>
      </c>
      <c r="N20" s="406">
        <v>0.65</v>
      </c>
      <c r="O20" s="407">
        <v>3354.85</v>
      </c>
      <c r="P20" s="408">
        <v>0.53</v>
      </c>
      <c r="Q20" s="761"/>
      <c r="R20" s="748"/>
      <c r="S20" s="130"/>
    </row>
    <row r="21" spans="1:19" ht="13.5" customHeight="1">
      <c r="A21" s="750"/>
      <c r="B21" s="751"/>
      <c r="C21" s="684"/>
      <c r="D21" s="409">
        <v>40817</v>
      </c>
      <c r="E21" s="406">
        <v>403.22</v>
      </c>
      <c r="F21" s="406">
        <v>0.38</v>
      </c>
      <c r="G21" s="406">
        <v>483.75</v>
      </c>
      <c r="H21" s="406">
        <v>0.23</v>
      </c>
      <c r="I21" s="407">
        <v>148806.12</v>
      </c>
      <c r="J21" s="406">
        <v>0.04</v>
      </c>
      <c r="K21" s="407">
        <v>3460.8</v>
      </c>
      <c r="L21" s="406">
        <v>0.32</v>
      </c>
      <c r="M21" s="406">
        <v>471.46</v>
      </c>
      <c r="N21" s="406">
        <v>0.53</v>
      </c>
      <c r="O21" s="407">
        <v>3369.28</v>
      </c>
      <c r="P21" s="408">
        <v>0.43</v>
      </c>
      <c r="Q21" s="761"/>
      <c r="R21" s="748"/>
      <c r="S21" s="130"/>
    </row>
    <row r="22" spans="1:19" ht="13.5" customHeight="1">
      <c r="A22" s="750"/>
      <c r="B22" s="751"/>
      <c r="C22" s="684"/>
      <c r="D22" s="409">
        <v>40848</v>
      </c>
      <c r="E22" s="406">
        <v>404.71</v>
      </c>
      <c r="F22" s="406">
        <v>0.37</v>
      </c>
      <c r="G22" s="406">
        <v>487.22</v>
      </c>
      <c r="H22" s="406">
        <v>0.72</v>
      </c>
      <c r="I22" s="407">
        <v>149109.44</v>
      </c>
      <c r="J22" s="406">
        <v>0.2</v>
      </c>
      <c r="K22" s="407">
        <v>3480.52</v>
      </c>
      <c r="L22" s="406">
        <v>0.56999999999999995</v>
      </c>
      <c r="M22" s="406">
        <v>473.8</v>
      </c>
      <c r="N22" s="406">
        <v>0.5</v>
      </c>
      <c r="O22" s="407">
        <v>3386.8</v>
      </c>
      <c r="P22" s="408">
        <v>0.52</v>
      </c>
      <c r="Q22" s="761"/>
      <c r="R22" s="748"/>
      <c r="S22" s="130"/>
    </row>
    <row r="23" spans="1:19" ht="13.5" customHeight="1">
      <c r="A23" s="750"/>
      <c r="B23" s="751"/>
      <c r="C23" s="684"/>
      <c r="D23" s="409">
        <v>40878</v>
      </c>
      <c r="E23" s="406">
        <v>405.2</v>
      </c>
      <c r="F23" s="406">
        <v>0.12</v>
      </c>
      <c r="G23" s="406">
        <v>487.74</v>
      </c>
      <c r="H23" s="406">
        <v>0.11</v>
      </c>
      <c r="I23" s="407">
        <v>149057.98000000001</v>
      </c>
      <c r="J23" s="406">
        <v>-0.03</v>
      </c>
      <c r="K23" s="407">
        <v>3498.27</v>
      </c>
      <c r="L23" s="406">
        <v>0.51</v>
      </c>
      <c r="M23" s="406">
        <v>473.25</v>
      </c>
      <c r="N23" s="406">
        <v>-0.12</v>
      </c>
      <c r="O23" s="407">
        <v>3403.73</v>
      </c>
      <c r="P23" s="408">
        <v>0.5</v>
      </c>
      <c r="Q23" s="761"/>
      <c r="R23" s="748"/>
      <c r="S23" s="130"/>
    </row>
    <row r="24" spans="1:19" ht="13.5" customHeight="1">
      <c r="A24" s="750"/>
      <c r="B24" s="751"/>
      <c r="C24" s="684"/>
      <c r="D24" s="409">
        <v>40909</v>
      </c>
      <c r="E24" s="406">
        <v>407.59</v>
      </c>
      <c r="F24" s="406">
        <v>0.59</v>
      </c>
      <c r="G24" s="406">
        <v>492.1</v>
      </c>
      <c r="H24" s="406">
        <v>0.89</v>
      </c>
      <c r="I24" s="407">
        <v>149095.07999999999</v>
      </c>
      <c r="J24" s="406">
        <v>0.02</v>
      </c>
      <c r="K24" s="407">
        <v>3516.11</v>
      </c>
      <c r="L24" s="406">
        <v>0.51</v>
      </c>
      <c r="M24" s="406">
        <v>474.42</v>
      </c>
      <c r="N24" s="406">
        <v>0.25</v>
      </c>
      <c r="O24" s="407">
        <v>3422.79</v>
      </c>
      <c r="P24" s="408">
        <v>0.56000000000000005</v>
      </c>
      <c r="Q24" s="761"/>
      <c r="R24" s="748"/>
      <c r="S24" s="130"/>
    </row>
    <row r="25" spans="1:19" ht="32.25" customHeight="1">
      <c r="A25" s="750"/>
      <c r="B25" s="751"/>
      <c r="C25" s="684"/>
      <c r="D25" s="410" t="s">
        <v>237</v>
      </c>
      <c r="E25" s="411"/>
      <c r="F25" s="412">
        <v>0.59</v>
      </c>
      <c r="G25" s="413"/>
      <c r="H25" s="412">
        <v>0.89</v>
      </c>
      <c r="I25" s="413"/>
      <c r="J25" s="412">
        <v>0.02</v>
      </c>
      <c r="K25" s="413"/>
      <c r="L25" s="412">
        <v>0.51</v>
      </c>
      <c r="M25" s="413"/>
      <c r="N25" s="412">
        <v>0.25</v>
      </c>
      <c r="O25" s="413"/>
      <c r="P25" s="414">
        <v>0.56000000000000005</v>
      </c>
      <c r="Q25" s="762"/>
      <c r="R25" s="748"/>
      <c r="S25" s="130"/>
    </row>
    <row r="26" spans="1:19" ht="32.25" customHeight="1">
      <c r="A26" s="750"/>
      <c r="B26" s="751"/>
      <c r="C26" s="684"/>
      <c r="D26" s="415" t="s">
        <v>238</v>
      </c>
      <c r="E26" s="416"/>
      <c r="F26" s="417">
        <v>5.98</v>
      </c>
      <c r="G26" s="418"/>
      <c r="H26" s="419">
        <v>8.01</v>
      </c>
      <c r="I26" s="418"/>
      <c r="J26" s="417">
        <v>5.25</v>
      </c>
      <c r="K26" s="418"/>
      <c r="L26" s="417">
        <v>5.63</v>
      </c>
      <c r="M26" s="418"/>
      <c r="N26" s="417">
        <v>4.53</v>
      </c>
      <c r="O26" s="418"/>
      <c r="P26" s="420">
        <v>6.22</v>
      </c>
      <c r="Q26" s="762"/>
      <c r="R26" s="748"/>
      <c r="S26" s="130"/>
    </row>
    <row r="27" spans="1:19" ht="12.75" customHeight="1">
      <c r="A27" s="750"/>
      <c r="B27" s="751"/>
      <c r="C27" s="684"/>
      <c r="D27" s="752"/>
      <c r="E27" s="743"/>
      <c r="F27" s="743"/>
      <c r="G27" s="743"/>
      <c r="H27" s="743"/>
      <c r="I27" s="743"/>
      <c r="J27" s="743"/>
      <c r="K27" s="748"/>
      <c r="L27" s="421"/>
      <c r="M27" s="130" t="s">
        <v>239</v>
      </c>
      <c r="N27" s="752"/>
      <c r="O27" s="743"/>
      <c r="P27" s="743"/>
      <c r="Q27" s="743"/>
      <c r="R27" s="748"/>
      <c r="S27" s="130"/>
    </row>
    <row r="28" spans="1:19" ht="12.75" customHeight="1">
      <c r="A28" s="750"/>
      <c r="B28" s="751"/>
      <c r="C28" s="684"/>
      <c r="D28" s="422" t="s">
        <v>240</v>
      </c>
      <c r="E28" s="740" t="s">
        <v>241</v>
      </c>
      <c r="F28" s="741"/>
      <c r="G28" s="742"/>
      <c r="H28" s="743"/>
      <c r="I28" s="743"/>
      <c r="J28" s="743"/>
      <c r="K28" s="743"/>
      <c r="L28" s="744"/>
      <c r="M28" s="745" t="s">
        <v>233</v>
      </c>
      <c r="N28" s="746"/>
      <c r="O28" s="740" t="s">
        <v>242</v>
      </c>
      <c r="P28" s="741"/>
      <c r="Q28" s="423"/>
      <c r="R28" s="424"/>
      <c r="S28" s="130"/>
    </row>
    <row r="29" spans="1:19" ht="12.75" customHeight="1">
      <c r="A29" s="750"/>
      <c r="B29" s="751"/>
      <c r="C29" s="684"/>
      <c r="D29" s="425" t="s">
        <v>231</v>
      </c>
      <c r="E29" s="747" t="s">
        <v>243</v>
      </c>
      <c r="F29" s="744"/>
      <c r="G29" s="742"/>
      <c r="H29" s="743"/>
      <c r="I29" s="743"/>
      <c r="J29" s="743"/>
      <c r="K29" s="743"/>
      <c r="L29" s="744"/>
      <c r="M29" s="742" t="s">
        <v>244</v>
      </c>
      <c r="N29" s="748"/>
      <c r="O29" s="747" t="s">
        <v>243</v>
      </c>
      <c r="P29" s="744"/>
      <c r="Q29" s="423"/>
      <c r="R29" s="424"/>
      <c r="S29" s="130"/>
    </row>
    <row r="30" spans="1:19" ht="12.75" customHeight="1">
      <c r="A30" s="693"/>
      <c r="B30" s="695"/>
      <c r="C30" s="685"/>
      <c r="D30" s="425" t="s">
        <v>232</v>
      </c>
      <c r="E30" s="747" t="s">
        <v>245</v>
      </c>
      <c r="F30" s="744"/>
      <c r="G30" s="742"/>
      <c r="H30" s="743"/>
      <c r="I30" s="743"/>
      <c r="J30" s="743"/>
      <c r="K30" s="743"/>
      <c r="L30" s="744"/>
      <c r="M30" s="742" t="s">
        <v>235</v>
      </c>
      <c r="N30" s="748"/>
      <c r="O30" s="747" t="s">
        <v>242</v>
      </c>
      <c r="P30" s="744"/>
      <c r="Q30" s="130"/>
      <c r="R30" s="130"/>
      <c r="S30" s="130"/>
    </row>
    <row r="31" spans="1:19" ht="12.75" customHeight="1"/>
    <row r="32" spans="1:19" ht="12.75" customHeight="1"/>
    <row r="33" spans="4:7" ht="12.75" customHeight="1">
      <c r="D33" s="426" t="s">
        <v>246</v>
      </c>
      <c r="G33" s="426">
        <v>496.07900000000001</v>
      </c>
    </row>
    <row r="34" spans="4:7" ht="12.75" customHeight="1">
      <c r="D34" s="2" t="s">
        <v>247</v>
      </c>
      <c r="G34" s="378">
        <f>G33/G15</f>
        <v>1.069689063308608</v>
      </c>
    </row>
    <row r="35" spans="4:7" ht="12.75" customHeight="1"/>
    <row r="36" spans="4:7" ht="15.75" customHeight="1"/>
    <row r="37" spans="4:7" ht="15.75" customHeight="1"/>
    <row r="38" spans="4:7" ht="15.75" customHeight="1"/>
    <row r="39" spans="4:7" ht="15.75" customHeight="1"/>
    <row r="40" spans="4:7" ht="15.75" customHeight="1"/>
    <row r="41" spans="4:7" ht="15.75" customHeight="1"/>
    <row r="42" spans="4:7" ht="15.75" customHeight="1"/>
    <row r="43" spans="4:7" ht="15.75" customHeight="1"/>
    <row r="44" spans="4:7" ht="15.75" customHeight="1"/>
    <row r="45" spans="4:7" ht="15.75" customHeight="1"/>
    <row r="46" spans="4:7" ht="15.75" customHeight="1"/>
    <row r="47" spans="4:7" ht="15.75" customHeight="1"/>
    <row r="48" spans="4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G11:H11"/>
    <mergeCell ref="I11:J11"/>
    <mergeCell ref="K11:L11"/>
    <mergeCell ref="M11:N11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D27:K27"/>
    <mergeCell ref="N27:R27"/>
    <mergeCell ref="Q26:R26"/>
    <mergeCell ref="E30:F30"/>
    <mergeCell ref="G30:L30"/>
    <mergeCell ref="M30:N30"/>
    <mergeCell ref="O30:P30"/>
    <mergeCell ref="A4:B30"/>
    <mergeCell ref="D4:R4"/>
    <mergeCell ref="C5:S5"/>
    <mergeCell ref="D7:R7"/>
    <mergeCell ref="C8:C30"/>
    <mergeCell ref="D11:D12"/>
    <mergeCell ref="E11:F11"/>
    <mergeCell ref="O11:P11"/>
    <mergeCell ref="Q12:R12"/>
    <mergeCell ref="Q23:R23"/>
    <mergeCell ref="Q24:R24"/>
    <mergeCell ref="Q25:R25"/>
    <mergeCell ref="E28:F28"/>
    <mergeCell ref="G28:L28"/>
    <mergeCell ref="M28:N28"/>
    <mergeCell ref="O28:P28"/>
    <mergeCell ref="E29:F29"/>
    <mergeCell ref="G29:L29"/>
    <mergeCell ref="M29:N29"/>
    <mergeCell ref="O29:P29"/>
  </mergeCells>
  <pageMargins left="0.511811024" right="0.511811024" top="0.78740157499999996" bottom="0.78740157499999996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</sheetPr>
  <dimension ref="A1:AR10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2.5703125" defaultRowHeight="15" customHeight="1"/>
  <cols>
    <col min="1" max="1" width="34.85546875" customWidth="1"/>
    <col min="2" max="3" width="8.7109375" customWidth="1"/>
    <col min="4" max="5" width="10.28515625" customWidth="1"/>
    <col min="6" max="6" width="8.7109375" customWidth="1"/>
    <col min="7" max="7" width="0.85546875" customWidth="1"/>
    <col min="8" max="9" width="8.7109375" customWidth="1"/>
    <col min="10" max="10" width="1" customWidth="1"/>
    <col min="11" max="11" width="10.28515625" customWidth="1"/>
    <col min="12" max="12" width="8.7109375" customWidth="1"/>
    <col min="13" max="13" width="10.28515625" customWidth="1"/>
    <col min="14" max="14" width="8.7109375" hidden="1" customWidth="1"/>
    <col min="15" max="16" width="10.28515625" hidden="1" customWidth="1"/>
    <col min="17" max="18" width="9.85546875" hidden="1" customWidth="1"/>
    <col min="19" max="19" width="0.85546875" customWidth="1"/>
    <col min="20" max="21" width="14.5703125" customWidth="1"/>
    <col min="22" max="22" width="14.7109375" customWidth="1"/>
    <col min="23" max="23" width="1" customWidth="1"/>
    <col min="24" max="24" width="8.7109375" customWidth="1"/>
    <col min="25" max="25" width="12.28515625" customWidth="1"/>
    <col min="26" max="26" width="1" customWidth="1"/>
    <col min="27" max="29" width="8.7109375" customWidth="1"/>
    <col min="30" max="30" width="1" customWidth="1"/>
    <col min="31" max="31" width="0.85546875" customWidth="1"/>
    <col min="32" max="32" width="8.7109375" customWidth="1"/>
    <col min="33" max="33" width="0.7109375" customWidth="1"/>
    <col min="34" max="35" width="8.7109375" customWidth="1"/>
    <col min="36" max="36" width="0.85546875" customWidth="1"/>
    <col min="37" max="37" width="8.7109375" customWidth="1"/>
    <col min="38" max="38" width="8.7109375" hidden="1" customWidth="1"/>
    <col min="39" max="39" width="7.85546875" hidden="1" customWidth="1"/>
    <col min="40" max="42" width="9.140625" hidden="1" customWidth="1"/>
    <col min="43" max="44" width="9.140625" customWidth="1"/>
  </cols>
  <sheetData>
    <row r="1" spans="1:44" ht="12.75" customHeight="1">
      <c r="A1" s="2" t="s">
        <v>126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2.75" customHeight="1">
      <c r="A2" s="284" t="s">
        <v>127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2.75" customHeight="1">
      <c r="A3" s="718" t="s">
        <v>8</v>
      </c>
      <c r="B3" s="4" t="s">
        <v>75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19"/>
      <c r="T3" s="764" t="s">
        <v>76</v>
      </c>
      <c r="U3" s="699"/>
      <c r="V3" s="713"/>
      <c r="W3" s="119"/>
      <c r="X3" s="705" t="s">
        <v>31</v>
      </c>
      <c r="Y3" s="700"/>
      <c r="Z3" s="119"/>
      <c r="AA3" s="173"/>
      <c r="AB3" s="173"/>
      <c r="AC3" s="173"/>
      <c r="AD3" s="173"/>
      <c r="AE3" s="173"/>
      <c r="AF3" s="173"/>
      <c r="AG3" s="173"/>
      <c r="AH3" s="427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2.75" customHeight="1">
      <c r="A4" s="697"/>
      <c r="B4" s="176">
        <v>3</v>
      </c>
      <c r="C4" s="176">
        <v>5</v>
      </c>
      <c r="D4" s="176">
        <v>7</v>
      </c>
      <c r="E4" s="176">
        <v>9</v>
      </c>
      <c r="F4" s="176">
        <v>11</v>
      </c>
      <c r="G4" s="176">
        <v>13</v>
      </c>
      <c r="H4" s="176">
        <v>15</v>
      </c>
      <c r="I4" s="176">
        <f>'CustoXReceita Empreend$'!K4</f>
        <v>17</v>
      </c>
      <c r="J4" s="176"/>
      <c r="K4" s="176">
        <f>'CustoXReceita Empreend$'!M4</f>
        <v>21</v>
      </c>
      <c r="L4" s="109">
        <f>'CustoXReceita Empreend$'!N4</f>
        <v>23</v>
      </c>
      <c r="M4" s="176">
        <f>'CustoXReceita Empreend$'!O4</f>
        <v>25</v>
      </c>
      <c r="N4" s="109">
        <f>'CustoXReceita Empreend$'!P4</f>
        <v>27</v>
      </c>
      <c r="O4" s="176">
        <f>'CustoXReceita Empreend$'!Q4</f>
        <v>29</v>
      </c>
      <c r="P4" s="109">
        <f>'CustoXReceita Empreend$'!R4</f>
        <v>31</v>
      </c>
      <c r="Q4" s="176">
        <f>'CustoXReceita Empreend$'!S4</f>
        <v>33</v>
      </c>
      <c r="R4" s="176">
        <f>'CustoXReceita Empreend$'!T4</f>
        <v>33</v>
      </c>
      <c r="S4" s="252"/>
      <c r="T4" s="177" t="s">
        <v>96</v>
      </c>
      <c r="U4" s="177" t="s">
        <v>31</v>
      </c>
      <c r="V4" s="177" t="s">
        <v>97</v>
      </c>
      <c r="W4" s="252"/>
      <c r="X4" s="428">
        <v>1</v>
      </c>
      <c r="Y4" s="428">
        <v>2</v>
      </c>
      <c r="Z4" s="252"/>
      <c r="AA4" s="176">
        <v>4</v>
      </c>
      <c r="AB4" s="176">
        <v>6</v>
      </c>
      <c r="AC4" s="176">
        <v>8</v>
      </c>
      <c r="AD4" s="176">
        <v>10</v>
      </c>
      <c r="AE4" s="176">
        <v>12</v>
      </c>
      <c r="AF4" s="176">
        <v>14</v>
      </c>
      <c r="AG4" s="176">
        <v>16</v>
      </c>
      <c r="AH4" s="176">
        <f>'CustoXReceita Empreend$'!AN4</f>
        <v>18</v>
      </c>
      <c r="AI4" s="176">
        <f>'CustoXReceita Empreend$'!AO4</f>
        <v>20</v>
      </c>
      <c r="AJ4" s="176">
        <f>'CustoXReceita Empreend$'!AP4</f>
        <v>22</v>
      </c>
      <c r="AK4" s="176">
        <f>'CustoXReceita Empreend$'!AQ4</f>
        <v>24</v>
      </c>
      <c r="AL4" s="176">
        <f>'CustoXReceita Empreend$'!AR4</f>
        <v>26</v>
      </c>
      <c r="AM4" s="176">
        <f>'CustoXReceita Empreend$'!AS4</f>
        <v>28</v>
      </c>
      <c r="AN4" s="176">
        <f>'CustoXReceita Empreend$'!AT4</f>
        <v>30</v>
      </c>
      <c r="AO4" s="176">
        <f>'CustoXReceita Empreend$'!AU4</f>
        <v>32</v>
      </c>
      <c r="AP4" s="176">
        <f>'CustoXReceita Empreend$'!AV4</f>
        <v>34</v>
      </c>
      <c r="AQ4" s="2"/>
      <c r="AR4" s="2"/>
    </row>
    <row r="5" spans="1:44" ht="12.75">
      <c r="A5" s="254" t="s">
        <v>98</v>
      </c>
      <c r="B5" s="143">
        <f>'CustoXReceita Empreend$'!D5/'CustoXReceita Empreend$'!D$29</f>
        <v>8.096998725892918E-3</v>
      </c>
      <c r="C5" s="143">
        <f>'CustoXReceita Empreend$'!E5/'CustoXReceita Empreend$'!E$29</f>
        <v>4.0710545176288662E-3</v>
      </c>
      <c r="D5" s="143">
        <f>'CustoXReceita Empreend$'!F5/'CustoXReceita Empreend$'!F$29</f>
        <v>5.545100795427315E-3</v>
      </c>
      <c r="E5" s="143">
        <f>'CustoXReceita Empreend$'!G5/'CustoXReceita Empreend$'!G$29</f>
        <v>1.2244377749115385E-3</v>
      </c>
      <c r="F5" s="143">
        <f>'CustoXReceita Empreend$'!H5/'CustoXReceita Empreend$'!H$29</f>
        <v>4.7816997640912512E-4</v>
      </c>
      <c r="G5" s="143" t="e">
        <f>'CustoXReceita Empreend$'!I5/'CustoXReceita Empreend$'!I$29</f>
        <v>#DIV/0!</v>
      </c>
      <c r="H5" s="143">
        <f>'CustoXReceita Empreend$'!J5/'CustoXReceita Empreend$'!J$29</f>
        <v>1.9364669583220857E-3</v>
      </c>
      <c r="I5" s="143">
        <f>'CustoXReceita Empreend$'!K5/'CustoXReceita Empreend$'!K$29</f>
        <v>3.1434956374997037E-3</v>
      </c>
      <c r="J5" s="143"/>
      <c r="K5" s="143">
        <f>'CustoXReceita Empreend$'!M5/'CustoXReceita Empreend$'!M$29</f>
        <v>9.5302946172793109E-3</v>
      </c>
      <c r="L5" s="143">
        <f>'CustoXReceita Empreend$'!N5/'CustoXReceita Empreend$'!N$29</f>
        <v>2.9642867542128285E-3</v>
      </c>
      <c r="M5" s="143">
        <f>'CustoXReceita Empreend$'!O5/'CustoXReceita Empreend$'!O$29</f>
        <v>2.8951555828289738E-3</v>
      </c>
      <c r="N5" s="143">
        <f>'CustoXReceita Empreend$'!P5/'CustoXReceita Empreend$'!P$29</f>
        <v>1.5813803070032807E-2</v>
      </c>
      <c r="O5" s="143">
        <f>'CustoXReceita Empreend$'!Q5/'CustoXReceita Empreend$'!Q$29</f>
        <v>1.8971337839544999E-3</v>
      </c>
      <c r="P5" s="143">
        <f>'CustoXReceita Empreend$'!R5/'CustoXReceita Empreend$'!R$29</f>
        <v>5.8594532719357141E-3</v>
      </c>
      <c r="Q5" s="143">
        <f>'CustoXReceita Empreend$'!S5/'CustoXReceita Empreend$'!S$29</f>
        <v>1.0248816928769252E-3</v>
      </c>
      <c r="R5" s="143" t="e">
        <f>'CustoXReceita Empreend$'!T5/'CustoXReceita Empreend$'!T$29</f>
        <v>#DIV/0!</v>
      </c>
      <c r="S5" s="255"/>
      <c r="T5" s="256">
        <f>AVERAGE(B5:F5,H5:I5,K5:M5)</f>
        <v>3.9885461340412667E-3</v>
      </c>
      <c r="U5" s="256">
        <f t="shared" ref="U5:U6" si="0">AVERAGE(X5:Y5)</f>
        <v>5.8564631650200011E-2</v>
      </c>
      <c r="V5" s="256">
        <f>AVERAGE(AA5:AC5,AF5,AH5:AI5,AK5)</f>
        <v>7.4856767860300476E-3</v>
      </c>
      <c r="W5" s="255"/>
      <c r="X5" s="143">
        <f>'CustoXReceita Empreend$'!AD5/'CustoXReceita Empreend$'!$AD$29</f>
        <v>6.8154010014350008E-2</v>
      </c>
      <c r="Y5" s="143">
        <f>'CustoXReceita Empreend$'!AE5/'CustoXReceita Empreend$'!$AD$29</f>
        <v>4.8975253286050006E-2</v>
      </c>
      <c r="Z5" s="255"/>
      <c r="AA5" s="143">
        <f>'CustoXReceita Empreend$'!AG5/'CustoXReceita Empreend$'!AG$29</f>
        <v>7.4729423718415556E-3</v>
      </c>
      <c r="AB5" s="143">
        <f>'CustoXReceita Empreend$'!AH5/'CustoXReceita Empreend$'!AH$29</f>
        <v>3.3777639316478572E-3</v>
      </c>
      <c r="AC5" s="143">
        <f>'CustoXReceita Empreend$'!AI5/'CustoXReceita Empreend$'!AI$29</f>
        <v>7.4891696543698859E-3</v>
      </c>
      <c r="AD5" s="143">
        <f>'CustoXReceita Empreend$'!AJ5/'CustoXReceita Empreend$'!AJ$29</f>
        <v>6.587017284354001E-3</v>
      </c>
      <c r="AE5" s="143">
        <f>'CustoXReceita Empreend$'!AK5/'CustoXReceita Empreend$'!AK$29</f>
        <v>1.6310493840084737E-2</v>
      </c>
      <c r="AF5" s="143">
        <f>'CustoXReceita Empreend$'!AL5/'CustoXReceita Empreend$'!AL$29</f>
        <v>2.0692002623459377E-3</v>
      </c>
      <c r="AG5" s="143">
        <f>'CustoXReceita Empreend$'!AM5/'CustoXReceita Empreend$'!AM$29</f>
        <v>1.5103609750478891E-2</v>
      </c>
      <c r="AH5" s="143">
        <f>'CustoXReceita Empreend$'!AN5/'CustoXReceita Empreend$'!AN$29</f>
        <v>1.3385816461254547E-2</v>
      </c>
      <c r="AI5" s="143">
        <f>'CustoXReceita Empreend$'!AO5/'CustoXReceita Empreend$'!AO$29</f>
        <v>1.0642601565094001E-2</v>
      </c>
      <c r="AJ5" s="143">
        <f>'CustoXReceita Empreend$'!AP5/'CustoXReceita Empreend$'!AP$29</f>
        <v>4.2774043370760011E-3</v>
      </c>
      <c r="AK5" s="143">
        <f>'CustoXReceita Empreend$'!AQ5/'CustoXReceita Empreend$'!AQ$29</f>
        <v>7.9622432556565471E-3</v>
      </c>
      <c r="AL5" s="143">
        <f>'CustoXReceita Empreend$'!AR5/'CustoXReceita Empreend$'!AR$29</f>
        <v>8.1106633952426135E-3</v>
      </c>
      <c r="AM5" s="143">
        <f>'CustoXReceita Empreend$'!AS5/'CustoXReceita Empreend$'!AS$29</f>
        <v>1.9151707085880914E-2</v>
      </c>
      <c r="AN5" s="143">
        <f>'CustoXReceita Empreend$'!AT5/'CustoXReceita Empreend$'!AT$29</f>
        <v>4.9657818978665622E-3</v>
      </c>
      <c r="AO5" s="143">
        <f>'CustoXReceita Empreend$'!AU5/'CustoXReceita Empreend$'!AU$29</f>
        <v>3.772316419175368E-3</v>
      </c>
      <c r="AP5" s="143" t="e">
        <f>'CustoXReceita Empreend$'!AV5/'CustoXReceita Empreend$'!AV$29</f>
        <v>#DIV/0!</v>
      </c>
      <c r="AQ5" s="2"/>
      <c r="AR5" s="2"/>
    </row>
    <row r="6" spans="1:44" ht="12.75" customHeight="1">
      <c r="A6" s="15" t="s">
        <v>128</v>
      </c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171"/>
      <c r="T6" s="295"/>
      <c r="U6" s="256">
        <f t="shared" si="0"/>
        <v>0.27157999999999999</v>
      </c>
      <c r="V6" s="265"/>
      <c r="W6" s="171"/>
      <c r="X6" s="143">
        <f>'CustoXReceita Empreend$'!AD6/'CustoXReceita Empreend$'!AD29</f>
        <v>0.27157999999999999</v>
      </c>
      <c r="Y6" s="143">
        <f>'CustoXReceita Empreend$'!AE6/'CustoXReceita Empreend$'!AE29</f>
        <v>0.27157999999999999</v>
      </c>
      <c r="Z6" s="171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292"/>
      <c r="AN6" s="292"/>
      <c r="AO6" s="292"/>
      <c r="AP6" s="292"/>
      <c r="AQ6" s="2"/>
      <c r="AR6" s="2"/>
    </row>
    <row r="7" spans="1:44" ht="12.75" customHeight="1">
      <c r="A7" s="264" t="s">
        <v>101</v>
      </c>
      <c r="B7" s="143">
        <f>'CustoXReceita Empreend$'!D8/'CustoXReceita Empreend$'!D$29</f>
        <v>0.32569752599999996</v>
      </c>
      <c r="C7" s="143">
        <f>'CustoXReceita Empreend$'!E8/'CustoXReceita Empreend$'!E$29</f>
        <v>0.32569752600000001</v>
      </c>
      <c r="D7" s="143">
        <f>'CustoXReceita Empreend$'!F8/'CustoXReceita Empreend$'!F$29</f>
        <v>0.32569752599999996</v>
      </c>
      <c r="E7" s="143">
        <f>'CustoXReceita Empreend$'!G8/'CustoXReceita Empreend$'!G$29</f>
        <v>0.32569752599999996</v>
      </c>
      <c r="F7" s="143">
        <f>'CustoXReceita Empreend$'!H8/'CustoXReceita Empreend$'!H$29</f>
        <v>0.32569752599999996</v>
      </c>
      <c r="G7" s="143" t="e">
        <f>'CustoXReceita Empreend$'!I8/'CustoXReceita Empreend$'!I$29</f>
        <v>#DIV/0!</v>
      </c>
      <c r="H7" s="143">
        <f>'CustoXReceita Empreend$'!J8/'CustoXReceita Empreend$'!J$29</f>
        <v>0.32569752599999996</v>
      </c>
      <c r="I7" s="143">
        <f>'CustoXReceita Empreend$'!K8/'CustoXReceita Empreend$'!K$29</f>
        <v>0.32569752599999996</v>
      </c>
      <c r="J7" s="143"/>
      <c r="K7" s="143">
        <f>'CustoXReceita Empreend$'!M8/'CustoXReceita Empreend$'!M$29</f>
        <v>0.32569752599999996</v>
      </c>
      <c r="L7" s="143">
        <f>'CustoXReceita Empreend$'!N8/'CustoXReceita Empreend$'!N$29</f>
        <v>0.32569752599999996</v>
      </c>
      <c r="M7" s="143">
        <f>'CustoXReceita Empreend$'!O8/'CustoXReceita Empreend$'!O$29</f>
        <v>0.32569752600000001</v>
      </c>
      <c r="N7" s="143">
        <f>'CustoXReceita Empreend$'!P8/'CustoXReceita Empreend$'!P$29</f>
        <v>0.32569752599999996</v>
      </c>
      <c r="O7" s="143">
        <f>'CustoXReceita Empreend$'!Q8/'CustoXReceita Empreend$'!Q$29</f>
        <v>0.32569752599999996</v>
      </c>
      <c r="P7" s="143">
        <f>'CustoXReceita Empreend$'!R8/'CustoXReceita Empreend$'!R$29</f>
        <v>0.32569752599999996</v>
      </c>
      <c r="Q7" s="143">
        <f>'CustoXReceita Empreend$'!S8/'CustoXReceita Empreend$'!S$29</f>
        <v>0.32569752599999996</v>
      </c>
      <c r="R7" s="143" t="e">
        <f>'CustoXReceita Empreend$'!T8/'CustoXReceita Empreend$'!T$29</f>
        <v>#DIV/0!</v>
      </c>
      <c r="S7" s="262"/>
      <c r="T7" s="256">
        <f>AVERAGE(B7:F7,H7:I7,K7:M7)</f>
        <v>0.32569752599999996</v>
      </c>
      <c r="U7" s="263"/>
      <c r="V7" s="267"/>
      <c r="W7" s="171"/>
      <c r="X7" s="263"/>
      <c r="Y7" s="263"/>
      <c r="Z7" s="171"/>
      <c r="AA7" s="267"/>
      <c r="AB7" s="267"/>
      <c r="AC7" s="267"/>
      <c r="AD7" s="267"/>
      <c r="AE7" s="267"/>
      <c r="AF7" s="202"/>
      <c r="AG7" s="202"/>
      <c r="AH7" s="202"/>
      <c r="AI7" s="202"/>
      <c r="AJ7" s="202"/>
      <c r="AK7" s="202"/>
      <c r="AL7" s="202"/>
      <c r="AM7" s="296"/>
      <c r="AN7" s="109"/>
      <c r="AO7" s="109"/>
      <c r="AP7" s="109"/>
      <c r="AQ7" s="2"/>
      <c r="AR7" s="2"/>
    </row>
    <row r="8" spans="1:44" ht="12.75" customHeight="1">
      <c r="A8" s="268" t="s">
        <v>100</v>
      </c>
      <c r="B8" s="227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6"/>
      <c r="R8" s="109"/>
      <c r="S8" s="171"/>
      <c r="T8" s="267"/>
      <c r="U8" s="261"/>
      <c r="V8" s="256">
        <f>AVERAGE(AA8:AC8,AF8,AH8:AI8,AK8)</f>
        <v>0.30651</v>
      </c>
      <c r="W8" s="171"/>
      <c r="X8" s="171"/>
      <c r="Y8" s="171"/>
      <c r="Z8" s="171"/>
      <c r="AA8" s="143">
        <f>'CustoXReceita Empreend$'!AG7/'CustoXReceita Empreend$'!AG$29</f>
        <v>0.30651</v>
      </c>
      <c r="AB8" s="143">
        <f>'CustoXReceita Empreend$'!AH7/'CustoXReceita Empreend$'!AH$29</f>
        <v>0.30651</v>
      </c>
      <c r="AC8" s="143">
        <f>'CustoXReceita Empreend$'!AI7/'CustoXReceita Empreend$'!AI$29</f>
        <v>0.30651</v>
      </c>
      <c r="AD8" s="143">
        <f>'CustoXReceita Empreend$'!AJ7/'CustoXReceita Empreend$'!AJ$29</f>
        <v>0.30651</v>
      </c>
      <c r="AE8" s="143">
        <f>'CustoXReceita Empreend$'!AK7/'CustoXReceita Empreend$'!AK$29</f>
        <v>0.30651</v>
      </c>
      <c r="AF8" s="143">
        <f>'CustoXReceita Empreend$'!AL7/'CustoXReceita Empreend$'!AL$29</f>
        <v>0.30651</v>
      </c>
      <c r="AG8" s="143">
        <f>'CustoXReceita Empreend$'!AM7/'CustoXReceita Empreend$'!AM$29</f>
        <v>0.30651</v>
      </c>
      <c r="AH8" s="143">
        <f>'CustoXReceita Empreend$'!AN7/'CustoXReceita Empreend$'!AN$29</f>
        <v>0.30651</v>
      </c>
      <c r="AI8" s="143">
        <f>'CustoXReceita Empreend$'!AO7/'CustoXReceita Empreend$'!AO$29</f>
        <v>0.30651</v>
      </c>
      <c r="AJ8" s="143">
        <f>'CustoXReceita Empreend$'!AP7/'CustoXReceita Empreend$'!AP$29</f>
        <v>0.30651</v>
      </c>
      <c r="AK8" s="143">
        <f>'CustoXReceita Empreend$'!AQ7/'CustoXReceita Empreend$'!AQ$29</f>
        <v>0.30651</v>
      </c>
      <c r="AL8" s="143">
        <f>'CustoXReceita Empreend$'!AR7/'CustoXReceita Empreend$'!AR$29</f>
        <v>0.30651</v>
      </c>
      <c r="AM8" s="143">
        <f>'CustoXReceita Empreend$'!AS7/'CustoXReceita Empreend$'!AS$29</f>
        <v>0.30651</v>
      </c>
      <c r="AN8" s="143">
        <f>'CustoXReceita Empreend$'!AT7/'CustoXReceita Empreend$'!AT$29</f>
        <v>0.30651</v>
      </c>
      <c r="AO8" s="143">
        <f>'CustoXReceita Empreend$'!AU7/'CustoXReceita Empreend$'!AU$29</f>
        <v>0.30651</v>
      </c>
      <c r="AP8" s="143" t="e">
        <f>'CustoXReceita Empreend$'!AV7/'CustoXReceita Empreend$'!AV$29</f>
        <v>#DIV/0!</v>
      </c>
      <c r="AQ8" s="2"/>
      <c r="AR8" s="2"/>
    </row>
    <row r="9" spans="1:44" ht="12.75" customHeight="1">
      <c r="A9" s="176" t="s">
        <v>102</v>
      </c>
      <c r="B9" s="143">
        <f>'CustoXReceita Empreend$'!D9/'CustoXReceita Empreend$'!D$29</f>
        <v>1.9661490000000004E-2</v>
      </c>
      <c r="C9" s="143">
        <f>'CustoXReceita Empreend$'!E9/'CustoXReceita Empreend$'!E$29</f>
        <v>1.9931751030927834E-2</v>
      </c>
      <c r="D9" s="143">
        <f>'CustoXReceita Empreend$'!F9/'CustoXReceita Empreend$'!F$29</f>
        <v>1.7395968518518521E-2</v>
      </c>
      <c r="E9" s="143">
        <f>'CustoXReceita Empreend$'!G9/'CustoXReceita Empreend$'!G$29</f>
        <v>1.4283988461538463E-2</v>
      </c>
      <c r="F9" s="143">
        <f>'CustoXReceita Empreend$'!H9/'CustoXReceita Empreend$'!H$29</f>
        <v>1.1141511E-2</v>
      </c>
      <c r="G9" s="143" t="e">
        <f>'CustoXReceita Empreend$'!I9/'CustoXReceita Empreend$'!I$29</f>
        <v>#DIV/0!</v>
      </c>
      <c r="H9" s="143">
        <f>'CustoXReceita Empreend$'!J9/'CustoXReceita Empreend$'!J$29</f>
        <v>1.9661490000000004E-2</v>
      </c>
      <c r="I9" s="143">
        <f>'CustoXReceita Empreend$'!K9/'CustoXReceita Empreend$'!K$29</f>
        <v>1.966149E-2</v>
      </c>
      <c r="J9" s="143"/>
      <c r="K9" s="143">
        <f>'CustoXReceita Empreend$'!M9/'CustoXReceita Empreend$'!M$29</f>
        <v>2.1846100000000004E-2</v>
      </c>
      <c r="L9" s="143">
        <f>'CustoXReceita Empreend$'!N9/'CustoXReceita Empreend$'!N$29</f>
        <v>1.966149E-2</v>
      </c>
      <c r="M9" s="143">
        <f>'CustoXReceita Empreend$'!O9/'CustoXReceita Empreend$'!O$29</f>
        <v>2.18461E-2</v>
      </c>
      <c r="N9" s="143">
        <f>'CustoXReceita Empreend$'!P9/'CustoXReceita Empreend$'!P$29</f>
        <v>1.966149E-2</v>
      </c>
      <c r="O9" s="143">
        <f>'CustoXReceita Empreend$'!Q9/'CustoXReceita Empreend$'!Q$29</f>
        <v>1.5292270000000004E-2</v>
      </c>
      <c r="P9" s="143">
        <f>'CustoXReceita Empreend$'!R9/'CustoXReceita Empreend$'!R$29</f>
        <v>2.1846100000000004E-2</v>
      </c>
      <c r="Q9" s="143">
        <f>'CustoXReceita Empreend$'!S9/'CustoXReceita Empreend$'!S$29</f>
        <v>1.3835863333333335E-2</v>
      </c>
      <c r="R9" s="143" t="e">
        <f>'CustoXReceita Empreend$'!T9/'CustoXReceita Empreend$'!T$29</f>
        <v>#DIV/0!</v>
      </c>
      <c r="S9" s="255"/>
      <c r="T9" s="256">
        <f>AVERAGE(B9:F9,H9:I9,K9:M9)</f>
        <v>1.8509137901098486E-2</v>
      </c>
      <c r="U9" s="262"/>
      <c r="V9" s="263"/>
      <c r="W9" s="171"/>
      <c r="X9" s="37"/>
      <c r="Y9" s="37"/>
      <c r="Z9" s="171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296">
        <f>'custo obra$'!AR9</f>
        <v>0</v>
      </c>
      <c r="AN9" s="109">
        <f>'custo obra$'!AS9</f>
        <v>0</v>
      </c>
      <c r="AO9" s="109">
        <f>'custo obra$'!AT9</f>
        <v>0</v>
      </c>
      <c r="AP9" s="109">
        <f>'custo obra$'!AU9</f>
        <v>0</v>
      </c>
      <c r="AQ9" s="2"/>
      <c r="AR9" s="2"/>
    </row>
    <row r="10" spans="1:44" ht="12.75" customHeight="1">
      <c r="A10" s="173"/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143"/>
      <c r="R10" s="143"/>
      <c r="S10" s="262"/>
      <c r="T10" s="258"/>
      <c r="U10" s="267"/>
      <c r="V10" s="267"/>
      <c r="W10" s="171"/>
      <c r="X10" s="37"/>
      <c r="Y10" s="37"/>
      <c r="Z10" s="171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96"/>
      <c r="AN10" s="109"/>
      <c r="AO10" s="109"/>
      <c r="AP10" s="109"/>
      <c r="AQ10" s="2"/>
      <c r="AR10" s="2"/>
    </row>
    <row r="11" spans="1:44" ht="15.75" customHeight="1">
      <c r="A11" s="299" t="s">
        <v>129</v>
      </c>
      <c r="B11" s="306">
        <f t="shared" ref="B11:I11" si="1">SUM(B5:B9)</f>
        <v>0.35345601472589289</v>
      </c>
      <c r="C11" s="306">
        <f t="shared" si="1"/>
        <v>0.34970033154855668</v>
      </c>
      <c r="D11" s="306">
        <f t="shared" si="1"/>
        <v>0.34863859531394581</v>
      </c>
      <c r="E11" s="306">
        <f t="shared" si="1"/>
        <v>0.34120595223644995</v>
      </c>
      <c r="F11" s="306">
        <f t="shared" si="1"/>
        <v>0.3373172069764091</v>
      </c>
      <c r="G11" s="306" t="e">
        <f t="shared" si="1"/>
        <v>#DIV/0!</v>
      </c>
      <c r="H11" s="306">
        <f t="shared" si="1"/>
        <v>0.34729548295832202</v>
      </c>
      <c r="I11" s="306">
        <f t="shared" si="1"/>
        <v>0.34850251163749968</v>
      </c>
      <c r="J11" s="306"/>
      <c r="K11" s="306">
        <f t="shared" ref="K11:P11" si="2">SUM(K5:K9)</f>
        <v>0.35707392061727927</v>
      </c>
      <c r="L11" s="306">
        <f t="shared" si="2"/>
        <v>0.3483233027542128</v>
      </c>
      <c r="M11" s="306">
        <f t="shared" si="2"/>
        <v>0.35043878158282898</v>
      </c>
      <c r="N11" s="429">
        <f t="shared" si="2"/>
        <v>0.36117281907003279</v>
      </c>
      <c r="O11" s="429">
        <f t="shared" si="2"/>
        <v>0.34288692978395446</v>
      </c>
      <c r="P11" s="429">
        <f t="shared" si="2"/>
        <v>0.35340307927193565</v>
      </c>
      <c r="Q11" s="430">
        <f t="shared" ref="Q11:R11" si="3">SUM(Q5:Q8)</f>
        <v>0.32672240769287686</v>
      </c>
      <c r="R11" s="430" t="e">
        <f t="shared" si="3"/>
        <v>#DIV/0!</v>
      </c>
      <c r="S11" s="255"/>
      <c r="T11" s="306">
        <f>AVERAGE(B11:F11,H11:I11,K11:M11)</f>
        <v>0.34819521003513976</v>
      </c>
      <c r="U11" s="306">
        <f>AVERAGE(X11:Y11)</f>
        <v>0.33014463165020003</v>
      </c>
      <c r="V11" s="306">
        <f>AVERAGE(AA11:AC11,AF11,AH11:AI11,AK11)</f>
        <v>0.31399567678603008</v>
      </c>
      <c r="W11" s="262"/>
      <c r="X11" s="306">
        <f t="shared" ref="X11:Y11" si="4">SUM(X5:X9)</f>
        <v>0.33973401001435</v>
      </c>
      <c r="Y11" s="306">
        <f t="shared" si="4"/>
        <v>0.32055525328605</v>
      </c>
      <c r="Z11" s="261"/>
      <c r="AA11" s="306">
        <f t="shared" ref="AA11:AL11" si="5">SUM(AA5:AA9)</f>
        <v>0.31398294237184154</v>
      </c>
      <c r="AB11" s="306">
        <f t="shared" si="5"/>
        <v>0.30988776393164785</v>
      </c>
      <c r="AC11" s="306">
        <f t="shared" si="5"/>
        <v>0.31399916965436991</v>
      </c>
      <c r="AD11" s="306">
        <f t="shared" si="5"/>
        <v>0.31309701728435402</v>
      </c>
      <c r="AE11" s="306">
        <f t="shared" si="5"/>
        <v>0.32282049384008477</v>
      </c>
      <c r="AF11" s="306">
        <f t="shared" si="5"/>
        <v>0.30857920026234592</v>
      </c>
      <c r="AG11" s="306">
        <f t="shared" si="5"/>
        <v>0.32161360975047892</v>
      </c>
      <c r="AH11" s="306">
        <f t="shared" si="5"/>
        <v>0.31989581646125453</v>
      </c>
      <c r="AI11" s="306">
        <f t="shared" si="5"/>
        <v>0.31715260156509401</v>
      </c>
      <c r="AJ11" s="306">
        <f t="shared" si="5"/>
        <v>0.31078740433707602</v>
      </c>
      <c r="AK11" s="306">
        <f t="shared" si="5"/>
        <v>0.31447224325565654</v>
      </c>
      <c r="AL11" s="306">
        <f t="shared" si="5"/>
        <v>0.31462066339524264</v>
      </c>
      <c r="AM11" s="430">
        <f t="shared" ref="AM11:AP11" si="6">SUM(AM5:AM8)</f>
        <v>0.32566170708588094</v>
      </c>
      <c r="AN11" s="430">
        <f t="shared" si="6"/>
        <v>0.31147578189786657</v>
      </c>
      <c r="AO11" s="430">
        <f t="shared" si="6"/>
        <v>0.31028231641917536</v>
      </c>
      <c r="AP11" s="430" t="e">
        <f t="shared" si="6"/>
        <v>#DIV/0!</v>
      </c>
      <c r="AQ11" s="50"/>
      <c r="AR11" s="50"/>
    </row>
    <row r="12" spans="1:44" ht="12.75" customHeight="1">
      <c r="A12" s="2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43"/>
      <c r="T12" s="258"/>
      <c r="U12" s="258"/>
      <c r="V12" s="258"/>
      <c r="W12" s="43"/>
      <c r="X12" s="37"/>
      <c r="Y12" s="37"/>
      <c r="Z12" s="43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2"/>
      <c r="AR12" s="2"/>
    </row>
    <row r="13" spans="1:44" ht="12.75" customHeight="1">
      <c r="A13" s="176" t="s">
        <v>107</v>
      </c>
      <c r="B13" s="143">
        <f>'CustoXReceita Empreend$'!D13/'CustoXReceita Empreend$'!D$29</f>
        <v>7.7760323239696449E-2</v>
      </c>
      <c r="C13" s="143">
        <f>'CustoXReceita Empreend$'!E13/'CustoXReceita Empreend$'!E$29</f>
        <v>7.6934072940682469E-2</v>
      </c>
      <c r="D13" s="143">
        <f>'CustoXReceita Empreend$'!F13/'CustoXReceita Empreend$'!F$29</f>
        <v>7.6700490969068086E-2</v>
      </c>
      <c r="E13" s="143">
        <f>'CustoXReceita Empreend$'!G13/'CustoXReceita Empreend$'!G$29</f>
        <v>7.5065309492018992E-2</v>
      </c>
      <c r="F13" s="143">
        <f>'CustoXReceita Empreend$'!H13/'CustoXReceita Empreend$'!H$29</f>
        <v>7.4209785534810016E-2</v>
      </c>
      <c r="G13" s="143" t="e">
        <f>'CustoXReceita Empreend$'!I13/'CustoXReceita Empreend$'!I$29</f>
        <v>#DIV/0!</v>
      </c>
      <c r="H13" s="143">
        <f>'CustoXReceita Empreend$'!J13/'CustoXReceita Empreend$'!J$29</f>
        <v>7.640500625083084E-2</v>
      </c>
      <c r="I13" s="143">
        <f>'CustoXReceita Empreend$'!K13/'CustoXReceita Empreend$'!K$29</f>
        <v>7.6670552560249919E-2</v>
      </c>
      <c r="J13" s="143"/>
      <c r="K13" s="143">
        <f>'CustoXReceita Empreend$'!M13/'CustoXReceita Empreend$'!M$29</f>
        <v>7.8556262535801447E-2</v>
      </c>
      <c r="L13" s="143">
        <f>'CustoXReceita Empreend$'!N13/'CustoXReceita Empreend$'!N$29</f>
        <v>7.6631126605926803E-2</v>
      </c>
      <c r="M13" s="143">
        <f>'CustoXReceita Empreend$'!O13/'CustoXReceita Empreend$'!O$29</f>
        <v>7.7096531948222372E-2</v>
      </c>
      <c r="N13" s="143">
        <f>'CustoXReceita Empreend$'!P13/'CustoXReceita Empreend$'!P$29</f>
        <v>7.9458020195407222E-2</v>
      </c>
      <c r="O13" s="143">
        <f>'CustoXReceita Empreend$'!Q13/'CustoXReceita Empreend$'!Q$29</f>
        <v>7.5435124552469979E-2</v>
      </c>
      <c r="P13" s="143">
        <f>'CustoXReceita Empreend$'!R13/'CustoXReceita Empreend$'!R$29</f>
        <v>7.7748677439825858E-2</v>
      </c>
      <c r="Q13" s="143">
        <f>'CustoXReceita Empreend$'!S13/'CustoXReceita Empreend$'!S$29</f>
        <v>7.4922819625766246E-2</v>
      </c>
      <c r="R13" s="143" t="e">
        <f>'CustoXReceita Empreend$'!T13/'CustoXReceita Empreend$'!T$29</f>
        <v>#REF!</v>
      </c>
      <c r="S13" s="2"/>
      <c r="T13" s="256">
        <f t="shared" ref="T13:T15" si="7">AVERAGE(B13:F13,H13:I13,K13:M13)</f>
        <v>7.660294620773074E-2</v>
      </c>
      <c r="U13" s="256">
        <f t="shared" ref="U13:U15" si="8">AVERAGE(X13:Y13)</f>
        <v>6.8940535983891715E-2</v>
      </c>
      <c r="V13" s="256">
        <f t="shared" ref="V13:V15" si="9">AVERAGE(AA13:AC13,AF13,AH13:AI13,AK13)</f>
        <v>6.9079048892926612E-2</v>
      </c>
      <c r="W13" s="2"/>
      <c r="X13" s="143">
        <f>'CustoXReceita Empreend$'!AD13/'CustoXReceita Empreend$'!AD$29</f>
        <v>7.4741482203157003E-2</v>
      </c>
      <c r="Y13" s="143">
        <f>'CustoXReceita Empreend$'!AE13/'CustoXReceita Empreend$'!AE$29</f>
        <v>6.3139589764626428E-2</v>
      </c>
      <c r="Z13" s="2"/>
      <c r="AA13" s="143">
        <f>'CustoXReceita Empreend$'!AG13/'CustoXReceita Empreend$'!AG$29</f>
        <v>6.9076247321805145E-2</v>
      </c>
      <c r="AB13" s="143">
        <f>'CustoXReceita Empreend$'!AH13/'CustoXReceita Empreend$'!AH$29</f>
        <v>6.8175308064962539E-2</v>
      </c>
      <c r="AC13" s="143">
        <f>'CustoXReceita Empreend$'!AI13/'CustoXReceita Empreend$'!AI$29</f>
        <v>6.9079817323961373E-2</v>
      </c>
      <c r="AD13" s="143">
        <f>'CustoXReceita Empreend$'!AJ13/'CustoXReceita Empreend$'!AJ$29</f>
        <v>6.8881343802557879E-2</v>
      </c>
      <c r="AE13" s="143">
        <f>'CustoXReceita Empreend$'!AK13/'CustoXReceita Empreend$'!AK$29</f>
        <v>7.1020508644818639E-2</v>
      </c>
      <c r="AF13" s="143">
        <f>'CustoXReceita Empreend$'!AL13/'CustoXReceita Empreend$'!AL$29</f>
        <v>6.7887424057716111E-2</v>
      </c>
      <c r="AG13" s="143">
        <f>'CustoXReceita Empreend$'!AM13/'CustoXReceita Empreend$'!AM$29</f>
        <v>7.075499414510536E-2</v>
      </c>
      <c r="AH13" s="143">
        <f>'CustoXReceita Empreend$'!AN13/'CustoXReceita Empreend$'!AN$29</f>
        <v>7.0377079621475991E-2</v>
      </c>
      <c r="AI13" s="143">
        <f>'CustoXReceita Empreend$'!AO13/'CustoXReceita Empreend$'!AO$29</f>
        <v>6.9773572344320675E-2</v>
      </c>
      <c r="AJ13" s="143">
        <f>'CustoXReceita Empreend$'!AP13/'CustoXReceita Empreend$'!AP$29</f>
        <v>6.837322895415672E-2</v>
      </c>
      <c r="AK13" s="143">
        <f>'CustoXReceita Empreend$'!AQ13/'CustoXReceita Empreend$'!AQ$29</f>
        <v>6.9183893516244432E-2</v>
      </c>
      <c r="AL13" s="143">
        <f>'CustoXReceita Empreend$'!AR13/'CustoXReceita Empreend$'!AR$29</f>
        <v>6.9216545946953381E-2</v>
      </c>
      <c r="AM13" s="143">
        <f>'CustoXReceita Empreend$'!AS13/'CustoXReceita Empreend$'!AS$29</f>
        <v>7.1645575558893809E-2</v>
      </c>
      <c r="AN13" s="143">
        <f>'CustoXReceita Empreend$'!AT13/'CustoXReceita Empreend$'!AT$29</f>
        <v>6.8524672017530638E-2</v>
      </c>
      <c r="AO13" s="143">
        <f>'CustoXReceita Empreend$'!AU13/'CustoXReceita Empreend$'!AU$29</f>
        <v>6.8262109612218569E-2</v>
      </c>
      <c r="AP13" s="143" t="e">
        <f>'CustoXReceita Empreend$'!AV13/'CustoXReceita Empreend$'!AV$29</f>
        <v>#DIV/0!</v>
      </c>
      <c r="AQ13" s="2"/>
      <c r="AR13" s="2"/>
    </row>
    <row r="14" spans="1:44" ht="12.75" customHeight="1">
      <c r="A14" s="176" t="s">
        <v>109</v>
      </c>
      <c r="B14" s="143">
        <f>'CustoXReceita Empreend$'!D14/'CustoXReceita Empreend$'!D$29</f>
        <v>1.4138240589035718E-2</v>
      </c>
      <c r="C14" s="143">
        <f>'CustoXReceita Empreend$'!E14/'CustoXReceita Empreend$'!E$29</f>
        <v>1.3988013261942267E-2</v>
      </c>
      <c r="D14" s="143">
        <f>'CustoXReceita Empreend$'!F14/'CustoXReceita Empreend$'!F$29</f>
        <v>1.3945543812557833E-2</v>
      </c>
      <c r="E14" s="143">
        <f>'CustoXReceita Empreend$'!G14/'CustoXReceita Empreend$'!G$29</f>
        <v>1.3648238089457997E-2</v>
      </c>
      <c r="F14" s="143">
        <f>'CustoXReceita Empreend$'!H14/'CustoXReceita Empreend$'!H$29</f>
        <v>1.3492688279056364E-2</v>
      </c>
      <c r="G14" s="143" t="e">
        <f>'CustoXReceita Empreend$'!I14/'CustoXReceita Empreend$'!I$29</f>
        <v>#DIV/0!</v>
      </c>
      <c r="H14" s="143">
        <f>'CustoXReceita Empreend$'!J14/'CustoXReceita Empreend$'!J$29</f>
        <v>1.3891819318332881E-2</v>
      </c>
      <c r="I14" s="143">
        <f>'CustoXReceita Empreend$'!K14/'CustoXReceita Empreend$'!K$29</f>
        <v>1.3940100465499988E-2</v>
      </c>
      <c r="J14" s="143"/>
      <c r="K14" s="143">
        <f>'CustoXReceita Empreend$'!M14/'CustoXReceita Empreend$'!M$29</f>
        <v>1.4282956824691172E-2</v>
      </c>
      <c r="L14" s="143">
        <f>'CustoXReceita Empreend$'!N14/'CustoXReceita Empreend$'!N$29</f>
        <v>1.3932932110168512E-2</v>
      </c>
      <c r="M14" s="143">
        <f>'CustoXReceita Empreend$'!O14/'CustoXReceita Empreend$'!O$29</f>
        <v>1.4017551263313157E-2</v>
      </c>
      <c r="N14" s="143">
        <f>'CustoXReceita Empreend$'!P14/'CustoXReceita Empreend$'!P$29</f>
        <v>1.4446912762801313E-2</v>
      </c>
      <c r="O14" s="143">
        <f>'CustoXReceita Empreend$'!Q14/'CustoXReceita Empreend$'!Q$29</f>
        <v>1.3715477191358178E-2</v>
      </c>
      <c r="P14" s="143">
        <f>'CustoXReceita Empreend$'!R14/'CustoXReceita Empreend$'!R$29</f>
        <v>1.4136123170877427E-2</v>
      </c>
      <c r="Q14" s="143">
        <f>'CustoXReceita Empreend$'!S14/'CustoXReceita Empreend$'!S$29</f>
        <v>1.3622330841048408E-2</v>
      </c>
      <c r="R14" s="143" t="e">
        <f>'CustoXReceita Empreend$'!T14/'CustoXReceita Empreend$'!T$29</f>
        <v>#REF!</v>
      </c>
      <c r="S14" s="279"/>
      <c r="T14" s="256">
        <f t="shared" si="7"/>
        <v>1.3927808401405589E-2</v>
      </c>
      <c r="U14" s="256">
        <f t="shared" si="8"/>
        <v>1.253464290616213E-2</v>
      </c>
      <c r="V14" s="256">
        <f t="shared" si="9"/>
        <v>1.2559827071441201E-2</v>
      </c>
      <c r="W14" s="279"/>
      <c r="X14" s="143">
        <f>'CustoXReceita Empreend$'!AD14/'CustoXReceita Empreend$'!AD$29</f>
        <v>1.3589360400574001E-2</v>
      </c>
      <c r="Y14" s="143">
        <f>'CustoXReceita Empreend$'!AE14/'CustoXReceita Empreend$'!AE$29</f>
        <v>1.1479925411750259E-2</v>
      </c>
      <c r="Z14" s="279"/>
      <c r="AA14" s="143">
        <f>'CustoXReceita Empreend$'!AG14/'CustoXReceita Empreend$'!AG$29</f>
        <v>1.2559317694873662E-2</v>
      </c>
      <c r="AB14" s="143">
        <f>'CustoXReceita Empreend$'!AH14/'CustoXReceita Empreend$'!AH$29</f>
        <v>1.2395510557265914E-2</v>
      </c>
      <c r="AC14" s="143">
        <f>'CustoXReceita Empreend$'!AI14/'CustoXReceita Empreend$'!AI$29</f>
        <v>1.2559966786174794E-2</v>
      </c>
      <c r="AD14" s="143">
        <f>'CustoXReceita Empreend$'!AJ14/'CustoXReceita Empreend$'!AJ$29</f>
        <v>1.252388069137416E-2</v>
      </c>
      <c r="AE14" s="143">
        <f>'CustoXReceita Empreend$'!AK14/'CustoXReceita Empreend$'!AK$29</f>
        <v>1.2912819753603389E-2</v>
      </c>
      <c r="AF14" s="143">
        <f>'CustoXReceita Empreend$'!AL14/'CustoXReceita Empreend$'!AL$29</f>
        <v>1.2343168010493838E-2</v>
      </c>
      <c r="AG14" s="143">
        <f>'CustoXReceita Empreend$'!AM14/'CustoXReceita Empreend$'!AM$29</f>
        <v>1.2864544390019156E-2</v>
      </c>
      <c r="AH14" s="143">
        <f>'CustoXReceita Empreend$'!AN14/'CustoXReceita Empreend$'!AN$29</f>
        <v>1.2795832658450182E-2</v>
      </c>
      <c r="AI14" s="143">
        <f>'CustoXReceita Empreend$'!AO14/'CustoXReceita Empreend$'!AO$29</f>
        <v>1.2686104062603761E-2</v>
      </c>
      <c r="AJ14" s="143">
        <f>'CustoXReceita Empreend$'!AP14/'CustoXReceita Empreend$'!AP$29</f>
        <v>1.2431496173483041E-2</v>
      </c>
      <c r="AK14" s="143">
        <f>'CustoXReceita Empreend$'!AQ14/'CustoXReceita Empreend$'!AQ$29</f>
        <v>1.2578889730226261E-2</v>
      </c>
      <c r="AL14" s="143">
        <f>'CustoXReceita Empreend$'!AR14/'CustoXReceita Empreend$'!AR$29</f>
        <v>1.2584826535809704E-2</v>
      </c>
      <c r="AM14" s="143">
        <f>'CustoXReceita Empreend$'!AS14/'CustoXReceita Empreend$'!AS$29</f>
        <v>1.3026468283435238E-2</v>
      </c>
      <c r="AN14" s="143">
        <f>'CustoXReceita Empreend$'!AT14/'CustoXReceita Empreend$'!AT$29</f>
        <v>1.2459031275914662E-2</v>
      </c>
      <c r="AO14" s="143">
        <f>'CustoXReceita Empreend$'!AU14/'CustoXReceita Empreend$'!AU$29</f>
        <v>1.2411292656767015E-2</v>
      </c>
      <c r="AP14" s="143" t="e">
        <f>'CustoXReceita Empreend$'!AV14/'CustoXReceita Empreend$'!AV$29</f>
        <v>#DIV/0!</v>
      </c>
      <c r="AQ14" s="2"/>
      <c r="AR14" s="2"/>
    </row>
    <row r="15" spans="1:44" ht="15.75" customHeight="1">
      <c r="A15" s="308" t="s">
        <v>125</v>
      </c>
      <c r="B15" s="313">
        <f t="shared" ref="B15:I15" si="10">SUM(B11:B14)</f>
        <v>0.44535457855462507</v>
      </c>
      <c r="C15" s="313">
        <f t="shared" si="10"/>
        <v>0.44062241775118144</v>
      </c>
      <c r="D15" s="313">
        <f t="shared" si="10"/>
        <v>0.43928463009557173</v>
      </c>
      <c r="E15" s="313">
        <f t="shared" si="10"/>
        <v>0.42991949981792693</v>
      </c>
      <c r="F15" s="313">
        <f t="shared" si="10"/>
        <v>0.42501968079027547</v>
      </c>
      <c r="G15" s="313" t="e">
        <f t="shared" si="10"/>
        <v>#DIV/0!</v>
      </c>
      <c r="H15" s="313">
        <f t="shared" si="10"/>
        <v>0.43759230852748576</v>
      </c>
      <c r="I15" s="313">
        <f t="shared" si="10"/>
        <v>0.43911316466324957</v>
      </c>
      <c r="J15" s="313"/>
      <c r="K15" s="313">
        <f t="shared" ref="K15:R15" si="11">SUM(K11:K14)</f>
        <v>0.44991313997777188</v>
      </c>
      <c r="L15" s="313">
        <f t="shared" si="11"/>
        <v>0.4388873614703081</v>
      </c>
      <c r="M15" s="313">
        <f t="shared" si="11"/>
        <v>0.44155286479436451</v>
      </c>
      <c r="N15" s="145">
        <f t="shared" si="11"/>
        <v>0.4550777520282413</v>
      </c>
      <c r="O15" s="145">
        <f t="shared" si="11"/>
        <v>0.43203753152778263</v>
      </c>
      <c r="P15" s="145">
        <f t="shared" si="11"/>
        <v>0.44528787988263896</v>
      </c>
      <c r="Q15" s="145">
        <f t="shared" si="11"/>
        <v>0.41526755815969152</v>
      </c>
      <c r="R15" s="145" t="e">
        <f t="shared" si="11"/>
        <v>#DIV/0!</v>
      </c>
      <c r="S15" s="283"/>
      <c r="T15" s="313">
        <f t="shared" si="7"/>
        <v>0.4387259646442761</v>
      </c>
      <c r="U15" s="313">
        <f t="shared" si="8"/>
        <v>0.41161981054025387</v>
      </c>
      <c r="V15" s="313">
        <f t="shared" si="9"/>
        <v>0.39563455275039783</v>
      </c>
      <c r="W15" s="283"/>
      <c r="X15" s="313">
        <f t="shared" ref="X15:Y15" si="12">SUM(X11:X14)</f>
        <v>0.42806485261808103</v>
      </c>
      <c r="Y15" s="313">
        <f t="shared" si="12"/>
        <v>0.39517476846242666</v>
      </c>
      <c r="Z15" s="283"/>
      <c r="AA15" s="313">
        <f t="shared" ref="AA15:AP15" si="13">SUM(AA11:AA14)</f>
        <v>0.39561850738852039</v>
      </c>
      <c r="AB15" s="313">
        <f t="shared" si="13"/>
        <v>0.39045858255387628</v>
      </c>
      <c r="AC15" s="313">
        <f t="shared" si="13"/>
        <v>0.39563895376450608</v>
      </c>
      <c r="AD15" s="313">
        <f t="shared" si="13"/>
        <v>0.39450224177828608</v>
      </c>
      <c r="AE15" s="313">
        <f t="shared" si="13"/>
        <v>0.40675382223850676</v>
      </c>
      <c r="AF15" s="313">
        <f t="shared" si="13"/>
        <v>0.3888097923305559</v>
      </c>
      <c r="AG15" s="313">
        <f t="shared" si="13"/>
        <v>0.40523314828560342</v>
      </c>
      <c r="AH15" s="313">
        <f t="shared" si="13"/>
        <v>0.40306872874118072</v>
      </c>
      <c r="AI15" s="313">
        <f t="shared" si="13"/>
        <v>0.39961227797201848</v>
      </c>
      <c r="AJ15" s="313">
        <f t="shared" si="13"/>
        <v>0.39159212946471578</v>
      </c>
      <c r="AK15" s="313">
        <f t="shared" si="13"/>
        <v>0.39623502650212722</v>
      </c>
      <c r="AL15" s="431">
        <f t="shared" si="13"/>
        <v>0.39642203587800573</v>
      </c>
      <c r="AM15" s="145">
        <f t="shared" si="13"/>
        <v>0.41033375092821001</v>
      </c>
      <c r="AN15" s="145">
        <f t="shared" si="13"/>
        <v>0.39245948519131191</v>
      </c>
      <c r="AO15" s="145">
        <f t="shared" si="13"/>
        <v>0.39095571868816092</v>
      </c>
      <c r="AP15" s="145" t="e">
        <f t="shared" si="13"/>
        <v>#DIV/0!</v>
      </c>
      <c r="AQ15" s="312"/>
      <c r="AR15" s="312"/>
    </row>
    <row r="16" spans="1:44" ht="6" customHeight="1">
      <c r="A16" s="314"/>
      <c r="B16" s="316"/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283"/>
      <c r="T16" s="258"/>
      <c r="U16" s="258"/>
      <c r="V16" s="258"/>
      <c r="W16" s="283"/>
      <c r="X16" s="316"/>
      <c r="Y16" s="316"/>
      <c r="Z16" s="283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50"/>
      <c r="AR16" s="50"/>
    </row>
    <row r="17" spans="1:44" ht="12.75" hidden="1" customHeight="1">
      <c r="A17" s="176" t="s">
        <v>132</v>
      </c>
      <c r="B17" s="143">
        <f>'CustoXReceita Empreend$'!D17/'CustoXReceita Empreend$'!D$29</f>
        <v>0.05</v>
      </c>
      <c r="C17" s="143">
        <f>'CustoXReceita Empreend$'!E17/'CustoXReceita Empreend$'!E$29</f>
        <v>0.05</v>
      </c>
      <c r="D17" s="143">
        <f>'CustoXReceita Empreend$'!F17/'CustoXReceita Empreend$'!F$29</f>
        <v>0.05</v>
      </c>
      <c r="E17" s="143">
        <f>'CustoXReceita Empreend$'!G17/'CustoXReceita Empreend$'!G$29</f>
        <v>0.05</v>
      </c>
      <c r="F17" s="143">
        <f>'CustoXReceita Empreend$'!H17/'CustoXReceita Empreend$'!H$29</f>
        <v>0.05</v>
      </c>
      <c r="G17" s="143" t="e">
        <f>'CustoXReceita Empreend$'!I17/'CustoXReceita Empreend$'!I$29</f>
        <v>#DIV/0!</v>
      </c>
      <c r="H17" s="143">
        <f>'CustoXReceita Empreend$'!J17/'CustoXReceita Empreend$'!J$29</f>
        <v>0.05</v>
      </c>
      <c r="I17" s="143">
        <f>'CustoXReceita Empreend$'!K17/'CustoXReceita Empreend$'!K$29</f>
        <v>0.05</v>
      </c>
      <c r="J17" s="143"/>
      <c r="K17" s="143">
        <f>'CustoXReceita Empreend$'!M17/'CustoXReceita Empreend$'!M$29</f>
        <v>0.05</v>
      </c>
      <c r="L17" s="143">
        <f>'CustoXReceita Empreend$'!N17/'CustoXReceita Empreend$'!N$29</f>
        <v>0.05</v>
      </c>
      <c r="M17" s="143">
        <f>'CustoXReceita Empreend$'!O17/'CustoXReceita Empreend$'!O$29</f>
        <v>0.05</v>
      </c>
      <c r="N17" s="143">
        <f>'CustoXReceita Empreend$'!P17/'CustoXReceita Empreend$'!P$29</f>
        <v>0.05</v>
      </c>
      <c r="O17" s="143">
        <f>'CustoXReceita Empreend$'!Q17/'CustoXReceita Empreend$'!Q$29</f>
        <v>0.05</v>
      </c>
      <c r="P17" s="143">
        <f>'CustoXReceita Empreend$'!R17/'CustoXReceita Empreend$'!R$29</f>
        <v>0.05</v>
      </c>
      <c r="Q17" s="143">
        <f>'CustoXReceita Empreend$'!S17/'CustoXReceita Empreend$'!S$29</f>
        <v>0.05</v>
      </c>
      <c r="R17" s="143" t="e">
        <f>'CustoXReceita Empreend$'!T17/'CustoXReceita Empreend$'!T$29</f>
        <v>#DIV/0!</v>
      </c>
      <c r="S17" s="2"/>
      <c r="T17" s="256" t="e">
        <f t="shared" ref="T17:T22" si="14">AVERAGE(B17:E17,G17:R17)</f>
        <v>#DIV/0!</v>
      </c>
      <c r="U17" s="256"/>
      <c r="V17" s="256" t="e">
        <f t="shared" ref="V17:V22" si="15">AVERAGE(AA17:AK17,AN17:AP17)</f>
        <v>#DIV/0!</v>
      </c>
      <c r="W17" s="2"/>
      <c r="X17" s="143">
        <f>'CustoXReceita Empreend$'!AD17/'CustoXReceita Empreend$'!AD$29</f>
        <v>0.05</v>
      </c>
      <c r="Y17" s="143">
        <f>'CustoXReceita Empreend$'!AE17/'CustoXReceita Empreend$'!AE$29</f>
        <v>0.05</v>
      </c>
      <c r="Z17" s="2"/>
      <c r="AA17" s="143">
        <f>'CustoXReceita Empreend$'!AG17/'CustoXReceita Empreend$'!AG$29</f>
        <v>0.05</v>
      </c>
      <c r="AB17" s="143">
        <f>'CustoXReceita Empreend$'!AH17/'CustoXReceita Empreend$'!AH$29</f>
        <v>0.05</v>
      </c>
      <c r="AC17" s="143">
        <f>'CustoXReceita Empreend$'!AI17/'CustoXReceita Empreend$'!AI$29</f>
        <v>0.05</v>
      </c>
      <c r="AD17" s="143">
        <f>'CustoXReceita Empreend$'!AJ17/'CustoXReceita Empreend$'!AJ$29</f>
        <v>0.05</v>
      </c>
      <c r="AE17" s="143">
        <f>'CustoXReceita Empreend$'!AK17/'CustoXReceita Empreend$'!AK$29</f>
        <v>0.05</v>
      </c>
      <c r="AF17" s="143">
        <f>'CustoXReceita Empreend$'!AL17/'CustoXReceita Empreend$'!AL$29</f>
        <v>0.05</v>
      </c>
      <c r="AG17" s="143">
        <f>'CustoXReceita Empreend$'!AM17/'CustoXReceita Empreend$'!AM$29</f>
        <v>0.05</v>
      </c>
      <c r="AH17" s="143">
        <f>'CustoXReceita Empreend$'!AN17/'CustoXReceita Empreend$'!AN$29</f>
        <v>0.05</v>
      </c>
      <c r="AI17" s="143">
        <f>'CustoXReceita Empreend$'!AO17/'CustoXReceita Empreend$'!AO$29</f>
        <v>0.05</v>
      </c>
      <c r="AJ17" s="143">
        <f>'CustoXReceita Empreend$'!AP17/'CustoXReceita Empreend$'!AP$29</f>
        <v>0.05</v>
      </c>
      <c r="AK17" s="143">
        <f>'CustoXReceita Empreend$'!AQ17/'CustoXReceita Empreend$'!AQ$29</f>
        <v>0.05</v>
      </c>
      <c r="AL17" s="143">
        <f>'CustoXReceita Empreend$'!AR17/'CustoXReceita Empreend$'!AR$29</f>
        <v>0.05</v>
      </c>
      <c r="AM17" s="143">
        <f>'CustoXReceita Empreend$'!AS17/'CustoXReceita Empreend$'!AS$29</f>
        <v>0.05</v>
      </c>
      <c r="AN17" s="143">
        <f>'CustoXReceita Empreend$'!AT17/'CustoXReceita Empreend$'!AT$29</f>
        <v>0.05</v>
      </c>
      <c r="AO17" s="143">
        <f>'CustoXReceita Empreend$'!AU17/'CustoXReceita Empreend$'!AU$29</f>
        <v>0.05</v>
      </c>
      <c r="AP17" s="143" t="e">
        <f>'CustoXReceita Empreend$'!AV17/'CustoXReceita Empreend$'!AV$29</f>
        <v>#DIV/0!</v>
      </c>
      <c r="AQ17" s="2"/>
      <c r="AR17" s="2"/>
    </row>
    <row r="18" spans="1:44" ht="12.75" hidden="1" customHeight="1">
      <c r="A18" s="176" t="s">
        <v>134</v>
      </c>
      <c r="B18" s="143">
        <f>'CustoXReceita Empreend$'!D18/'CustoXReceita Empreend$'!D$29</f>
        <v>0.05</v>
      </c>
      <c r="C18" s="143">
        <f>'CustoXReceita Empreend$'!E18/'CustoXReceita Empreend$'!E$29</f>
        <v>0.05</v>
      </c>
      <c r="D18" s="143">
        <f>'CustoXReceita Empreend$'!F18/'CustoXReceita Empreend$'!F$29</f>
        <v>0.05</v>
      </c>
      <c r="E18" s="143">
        <f>'CustoXReceita Empreend$'!G18/'CustoXReceita Empreend$'!G$29</f>
        <v>0.05</v>
      </c>
      <c r="F18" s="143">
        <f>'CustoXReceita Empreend$'!H18/'CustoXReceita Empreend$'!H$29</f>
        <v>0.05</v>
      </c>
      <c r="G18" s="143" t="e">
        <f>'CustoXReceita Empreend$'!I18/'CustoXReceita Empreend$'!I$29</f>
        <v>#DIV/0!</v>
      </c>
      <c r="H18" s="143">
        <f>'CustoXReceita Empreend$'!J18/'CustoXReceita Empreend$'!J$29</f>
        <v>0.05</v>
      </c>
      <c r="I18" s="143">
        <f>'CustoXReceita Empreend$'!K18/'CustoXReceita Empreend$'!K$29</f>
        <v>0.05</v>
      </c>
      <c r="J18" s="143"/>
      <c r="K18" s="143">
        <f>'CustoXReceita Empreend$'!M18/'CustoXReceita Empreend$'!M$29</f>
        <v>0.05</v>
      </c>
      <c r="L18" s="143">
        <f>'CustoXReceita Empreend$'!N18/'CustoXReceita Empreend$'!N$29</f>
        <v>0.05</v>
      </c>
      <c r="M18" s="143">
        <f>'CustoXReceita Empreend$'!O18/'CustoXReceita Empreend$'!O$29</f>
        <v>0.05</v>
      </c>
      <c r="N18" s="143">
        <f>'CustoXReceita Empreend$'!P18/'CustoXReceita Empreend$'!P$29</f>
        <v>0.05</v>
      </c>
      <c r="O18" s="143">
        <f>'CustoXReceita Empreend$'!Q18/'CustoXReceita Empreend$'!Q$29</f>
        <v>0.05</v>
      </c>
      <c r="P18" s="143">
        <f>'CustoXReceita Empreend$'!R18/'CustoXReceita Empreend$'!R$29</f>
        <v>0.05</v>
      </c>
      <c r="Q18" s="143">
        <f>'CustoXReceita Empreend$'!S18/'CustoXReceita Empreend$'!S$29</f>
        <v>0.05</v>
      </c>
      <c r="R18" s="143" t="e">
        <f>'CustoXReceita Empreend$'!T18/'CustoXReceita Empreend$'!T$29</f>
        <v>#DIV/0!</v>
      </c>
      <c r="S18" s="2"/>
      <c r="T18" s="256" t="e">
        <f t="shared" si="14"/>
        <v>#DIV/0!</v>
      </c>
      <c r="U18" s="256"/>
      <c r="V18" s="256" t="e">
        <f t="shared" si="15"/>
        <v>#DIV/0!</v>
      </c>
      <c r="W18" s="2"/>
      <c r="X18" s="143">
        <f>'CustoXReceita Empreend$'!AD18/'CustoXReceita Empreend$'!AD$29</f>
        <v>0.05</v>
      </c>
      <c r="Y18" s="143">
        <f>'CustoXReceita Empreend$'!AE18/'CustoXReceita Empreend$'!AE$29</f>
        <v>0.05</v>
      </c>
      <c r="Z18" s="2"/>
      <c r="AA18" s="143">
        <f>'CustoXReceita Empreend$'!AG18/'CustoXReceita Empreend$'!AG$29</f>
        <v>0.05</v>
      </c>
      <c r="AB18" s="143">
        <f>'CustoXReceita Empreend$'!AH18/'CustoXReceita Empreend$'!AH$29</f>
        <v>0.05</v>
      </c>
      <c r="AC18" s="143">
        <f>'CustoXReceita Empreend$'!AI18/'CustoXReceita Empreend$'!AI$29</f>
        <v>0.05</v>
      </c>
      <c r="AD18" s="143">
        <f>'CustoXReceita Empreend$'!AJ18/'CustoXReceita Empreend$'!AJ$29</f>
        <v>0.05</v>
      </c>
      <c r="AE18" s="143">
        <f>'CustoXReceita Empreend$'!AK18/'CustoXReceita Empreend$'!AK$29</f>
        <v>0.05</v>
      </c>
      <c r="AF18" s="143">
        <f>'CustoXReceita Empreend$'!AL18/'CustoXReceita Empreend$'!AL$29</f>
        <v>0.05</v>
      </c>
      <c r="AG18" s="143">
        <f>'CustoXReceita Empreend$'!AM18/'CustoXReceita Empreend$'!AM$29</f>
        <v>0.05</v>
      </c>
      <c r="AH18" s="143">
        <f>'CustoXReceita Empreend$'!AN18/'CustoXReceita Empreend$'!AN$29</f>
        <v>0.05</v>
      </c>
      <c r="AI18" s="143">
        <f>'CustoXReceita Empreend$'!AO18/'CustoXReceita Empreend$'!AO$29</f>
        <v>0.05</v>
      </c>
      <c r="AJ18" s="143">
        <f>'CustoXReceita Empreend$'!AP18/'CustoXReceita Empreend$'!AP$29</f>
        <v>0.05</v>
      </c>
      <c r="AK18" s="143">
        <f>'CustoXReceita Empreend$'!AQ18/'CustoXReceita Empreend$'!AQ$29</f>
        <v>0.05</v>
      </c>
      <c r="AL18" s="143">
        <f>'CustoXReceita Empreend$'!AR18/'CustoXReceita Empreend$'!AR$29</f>
        <v>0.05</v>
      </c>
      <c r="AM18" s="143">
        <f>'CustoXReceita Empreend$'!AS18/'CustoXReceita Empreend$'!AS$29</f>
        <v>0.05</v>
      </c>
      <c r="AN18" s="143">
        <f>'CustoXReceita Empreend$'!AT18/'CustoXReceita Empreend$'!AT$29</f>
        <v>0.05</v>
      </c>
      <c r="AO18" s="143">
        <f>'CustoXReceita Empreend$'!AU18/'CustoXReceita Empreend$'!AU$29</f>
        <v>0.05</v>
      </c>
      <c r="AP18" s="143" t="e">
        <f>'CustoXReceita Empreend$'!AV18/'CustoXReceita Empreend$'!AV$29</f>
        <v>#DIV/0!</v>
      </c>
      <c r="AQ18" s="2"/>
      <c r="AR18" s="2"/>
    </row>
    <row r="19" spans="1:44" ht="12.75" hidden="1" customHeight="1">
      <c r="A19" s="176" t="s">
        <v>135</v>
      </c>
      <c r="B19" s="143">
        <f>'CustoXReceita Empreend$'!D19/'CustoXReceita Empreend$'!D$29</f>
        <v>0.03</v>
      </c>
      <c r="C19" s="143">
        <f>'CustoXReceita Empreend$'!E19/'CustoXReceita Empreend$'!E$29</f>
        <v>0.03</v>
      </c>
      <c r="D19" s="143">
        <f>'CustoXReceita Empreend$'!F19/'CustoXReceita Empreend$'!F$29</f>
        <v>0.03</v>
      </c>
      <c r="E19" s="143">
        <f>'CustoXReceita Empreend$'!G19/'CustoXReceita Empreend$'!G$29</f>
        <v>0.03</v>
      </c>
      <c r="F19" s="143">
        <f>'CustoXReceita Empreend$'!H19/'CustoXReceita Empreend$'!H$29</f>
        <v>0.03</v>
      </c>
      <c r="G19" s="143" t="e">
        <f>'CustoXReceita Empreend$'!I19/'CustoXReceita Empreend$'!I$29</f>
        <v>#DIV/0!</v>
      </c>
      <c r="H19" s="143">
        <f>'CustoXReceita Empreend$'!J19/'CustoXReceita Empreend$'!J$29</f>
        <v>0.03</v>
      </c>
      <c r="I19" s="143">
        <f>'CustoXReceita Empreend$'!K19/'CustoXReceita Empreend$'!K$29</f>
        <v>0.03</v>
      </c>
      <c r="J19" s="143"/>
      <c r="K19" s="143">
        <f>'CustoXReceita Empreend$'!M19/'CustoXReceita Empreend$'!M$29</f>
        <v>0.03</v>
      </c>
      <c r="L19" s="143">
        <f>'CustoXReceita Empreend$'!N19/'CustoXReceita Empreend$'!N$29</f>
        <v>0.03</v>
      </c>
      <c r="M19" s="143">
        <f>'CustoXReceita Empreend$'!O19/'CustoXReceita Empreend$'!O$29</f>
        <v>0.03</v>
      </c>
      <c r="N19" s="143">
        <f>'CustoXReceita Empreend$'!P19/'CustoXReceita Empreend$'!P$29</f>
        <v>0.03</v>
      </c>
      <c r="O19" s="143">
        <f>'CustoXReceita Empreend$'!Q19/'CustoXReceita Empreend$'!Q$29</f>
        <v>0.03</v>
      </c>
      <c r="P19" s="143">
        <f>'CustoXReceita Empreend$'!R19/'CustoXReceita Empreend$'!R$29</f>
        <v>0.03</v>
      </c>
      <c r="Q19" s="143">
        <f>'CustoXReceita Empreend$'!S19/'CustoXReceita Empreend$'!S$29</f>
        <v>0.03</v>
      </c>
      <c r="R19" s="143" t="e">
        <f>'CustoXReceita Empreend$'!T19/'CustoXReceita Empreend$'!T$29</f>
        <v>#DIV/0!</v>
      </c>
      <c r="S19" s="2"/>
      <c r="T19" s="256" t="e">
        <f t="shared" si="14"/>
        <v>#DIV/0!</v>
      </c>
      <c r="U19" s="256"/>
      <c r="V19" s="256" t="e">
        <f t="shared" si="15"/>
        <v>#DIV/0!</v>
      </c>
      <c r="W19" s="2"/>
      <c r="X19" s="143">
        <f>'CustoXReceita Empreend$'!AD19/'CustoXReceita Empreend$'!AD$29</f>
        <v>0.03</v>
      </c>
      <c r="Y19" s="143">
        <f>'CustoXReceita Empreend$'!AE19/'CustoXReceita Empreend$'!AE$29</f>
        <v>0.03</v>
      </c>
      <c r="Z19" s="2"/>
      <c r="AA19" s="143">
        <f>'CustoXReceita Empreend$'!AG19/'CustoXReceita Empreend$'!AG$29</f>
        <v>0.03</v>
      </c>
      <c r="AB19" s="143">
        <f>'CustoXReceita Empreend$'!AH19/'CustoXReceita Empreend$'!AH$29</f>
        <v>0.03</v>
      </c>
      <c r="AC19" s="143">
        <f>'CustoXReceita Empreend$'!AI19/'CustoXReceita Empreend$'!AI$29</f>
        <v>0.03</v>
      </c>
      <c r="AD19" s="143">
        <f>'CustoXReceita Empreend$'!AJ19/'CustoXReceita Empreend$'!AJ$29</f>
        <v>0.03</v>
      </c>
      <c r="AE19" s="143">
        <f>'CustoXReceita Empreend$'!AK19/'CustoXReceita Empreend$'!AK$29</f>
        <v>0.03</v>
      </c>
      <c r="AF19" s="143">
        <f>'CustoXReceita Empreend$'!AL19/'CustoXReceita Empreend$'!AL$29</f>
        <v>0.03</v>
      </c>
      <c r="AG19" s="143">
        <f>'CustoXReceita Empreend$'!AM19/'CustoXReceita Empreend$'!AM$29</f>
        <v>0.03</v>
      </c>
      <c r="AH19" s="143">
        <f>'CustoXReceita Empreend$'!AN19/'CustoXReceita Empreend$'!AN$29</f>
        <v>0.03</v>
      </c>
      <c r="AI19" s="143">
        <f>'CustoXReceita Empreend$'!AO19/'CustoXReceita Empreend$'!AO$29</f>
        <v>0.03</v>
      </c>
      <c r="AJ19" s="143">
        <f>'CustoXReceita Empreend$'!AP19/'CustoXReceita Empreend$'!AP$29</f>
        <v>0.03</v>
      </c>
      <c r="AK19" s="143">
        <f>'CustoXReceita Empreend$'!AQ19/'CustoXReceita Empreend$'!AQ$29</f>
        <v>0.03</v>
      </c>
      <c r="AL19" s="143">
        <f>'CustoXReceita Empreend$'!AR19/'CustoXReceita Empreend$'!AR$29</f>
        <v>0.03</v>
      </c>
      <c r="AM19" s="143">
        <f>'CustoXReceita Empreend$'!AS19/'CustoXReceita Empreend$'!AS$29</f>
        <v>0.03</v>
      </c>
      <c r="AN19" s="143">
        <f>'CustoXReceita Empreend$'!AT19/'CustoXReceita Empreend$'!AT$29</f>
        <v>0.03</v>
      </c>
      <c r="AO19" s="143">
        <f>'CustoXReceita Empreend$'!AU19/'CustoXReceita Empreend$'!AU$29</f>
        <v>0.03</v>
      </c>
      <c r="AP19" s="143" t="e">
        <f>'CustoXReceita Empreend$'!AV19/'CustoXReceita Empreend$'!AV$29</f>
        <v>#DIV/0!</v>
      </c>
      <c r="AQ19" s="2"/>
      <c r="AR19" s="2"/>
    </row>
    <row r="20" spans="1:44" ht="12.75" hidden="1" customHeight="1">
      <c r="A20" s="176" t="s">
        <v>136</v>
      </c>
      <c r="B20" s="143">
        <f>'CustoXReceita Empreend$'!D20/'CustoXReceita Empreend$'!D$29</f>
        <v>0.06</v>
      </c>
      <c r="C20" s="143">
        <f>'CustoXReceita Empreend$'!E20/'CustoXReceita Empreend$'!E$29</f>
        <v>0.06</v>
      </c>
      <c r="D20" s="143">
        <f>'CustoXReceita Empreend$'!F20/'CustoXReceita Empreend$'!F$29</f>
        <v>0.06</v>
      </c>
      <c r="E20" s="143">
        <f>'CustoXReceita Empreend$'!G20/'CustoXReceita Empreend$'!G$29</f>
        <v>0.06</v>
      </c>
      <c r="F20" s="143">
        <f>'CustoXReceita Empreend$'!H20/'CustoXReceita Empreend$'!H$29</f>
        <v>0.06</v>
      </c>
      <c r="G20" s="143" t="e">
        <f>'CustoXReceita Empreend$'!I20/'CustoXReceita Empreend$'!I$29</f>
        <v>#DIV/0!</v>
      </c>
      <c r="H20" s="143">
        <f>'CustoXReceita Empreend$'!J20/'CustoXReceita Empreend$'!J$29</f>
        <v>0.06</v>
      </c>
      <c r="I20" s="143">
        <f>'CustoXReceita Empreend$'!K20/'CustoXReceita Empreend$'!K$29</f>
        <v>0.06</v>
      </c>
      <c r="J20" s="143"/>
      <c r="K20" s="143">
        <f>'CustoXReceita Empreend$'!M20/'CustoXReceita Empreend$'!M$29</f>
        <v>0.06</v>
      </c>
      <c r="L20" s="143">
        <f>'CustoXReceita Empreend$'!N20/'CustoXReceita Empreend$'!N$29</f>
        <v>0.06</v>
      </c>
      <c r="M20" s="143">
        <f>'CustoXReceita Empreend$'!O20/'CustoXReceita Empreend$'!O$29</f>
        <v>0.06</v>
      </c>
      <c r="N20" s="143">
        <f>'CustoXReceita Empreend$'!P20/'CustoXReceita Empreend$'!P$29</f>
        <v>0.06</v>
      </c>
      <c r="O20" s="143">
        <f>'CustoXReceita Empreend$'!Q20/'CustoXReceita Empreend$'!Q$29</f>
        <v>0.06</v>
      </c>
      <c r="P20" s="143">
        <f>'CustoXReceita Empreend$'!R20/'CustoXReceita Empreend$'!R$29</f>
        <v>0.06</v>
      </c>
      <c r="Q20" s="143">
        <f>'CustoXReceita Empreend$'!S20/'CustoXReceita Empreend$'!S$29</f>
        <v>0.06</v>
      </c>
      <c r="R20" s="143" t="e">
        <f>'CustoXReceita Empreend$'!T20/'CustoXReceita Empreend$'!T$29</f>
        <v>#DIV/0!</v>
      </c>
      <c r="S20" s="3"/>
      <c r="T20" s="256" t="e">
        <f t="shared" si="14"/>
        <v>#DIV/0!</v>
      </c>
      <c r="U20" s="256"/>
      <c r="V20" s="256" t="e">
        <f t="shared" si="15"/>
        <v>#DIV/0!</v>
      </c>
      <c r="W20" s="3"/>
      <c r="X20" s="143">
        <f>'CustoXReceita Empreend$'!AD20/'CustoXReceita Empreend$'!AD$29</f>
        <v>0.06</v>
      </c>
      <c r="Y20" s="143">
        <f>'CustoXReceita Empreend$'!AE20/'CustoXReceita Empreend$'!AE$29</f>
        <v>0.06</v>
      </c>
      <c r="Z20" s="3"/>
      <c r="AA20" s="143">
        <f>'CustoXReceita Empreend$'!AG20/'CustoXReceita Empreend$'!AG$29</f>
        <v>0.06</v>
      </c>
      <c r="AB20" s="143">
        <f>'CustoXReceita Empreend$'!AH20/'CustoXReceita Empreend$'!AH$29</f>
        <v>0.06</v>
      </c>
      <c r="AC20" s="143">
        <f>'CustoXReceita Empreend$'!AI20/'CustoXReceita Empreend$'!AI$29</f>
        <v>0.06</v>
      </c>
      <c r="AD20" s="143">
        <f>'CustoXReceita Empreend$'!AJ20/'CustoXReceita Empreend$'!AJ$29</f>
        <v>0.06</v>
      </c>
      <c r="AE20" s="143">
        <f>'CustoXReceita Empreend$'!AK20/'CustoXReceita Empreend$'!AK$29</f>
        <v>0.06</v>
      </c>
      <c r="AF20" s="143">
        <f>'CustoXReceita Empreend$'!AL20/'CustoXReceita Empreend$'!AL$29</f>
        <v>0.06</v>
      </c>
      <c r="AG20" s="143">
        <f>'CustoXReceita Empreend$'!AM20/'CustoXReceita Empreend$'!AM$29</f>
        <v>0.06</v>
      </c>
      <c r="AH20" s="143">
        <f>'CustoXReceita Empreend$'!AN20/'CustoXReceita Empreend$'!AN$29</f>
        <v>0.06</v>
      </c>
      <c r="AI20" s="143">
        <f>'CustoXReceita Empreend$'!AO20/'CustoXReceita Empreend$'!AO$29</f>
        <v>0.06</v>
      </c>
      <c r="AJ20" s="143">
        <f>'CustoXReceita Empreend$'!AP20/'CustoXReceita Empreend$'!AP$29</f>
        <v>0.06</v>
      </c>
      <c r="AK20" s="143">
        <f>'CustoXReceita Empreend$'!AQ20/'CustoXReceita Empreend$'!AQ$29</f>
        <v>0.06</v>
      </c>
      <c r="AL20" s="143">
        <f>'CustoXReceita Empreend$'!AR20/'CustoXReceita Empreend$'!AR$29</f>
        <v>0.06</v>
      </c>
      <c r="AM20" s="143">
        <f>'CustoXReceita Empreend$'!AS20/'CustoXReceita Empreend$'!AS$29</f>
        <v>0.06</v>
      </c>
      <c r="AN20" s="143">
        <f>'CustoXReceita Empreend$'!AT20/'CustoXReceita Empreend$'!AT$29</f>
        <v>0.06</v>
      </c>
      <c r="AO20" s="143">
        <f>'CustoXReceita Empreend$'!AU20/'CustoXReceita Empreend$'!AU$29</f>
        <v>0.06</v>
      </c>
      <c r="AP20" s="143" t="e">
        <f>'CustoXReceita Empreend$'!AV20/'CustoXReceita Empreend$'!AV$29</f>
        <v>#DIV/0!</v>
      </c>
      <c r="AQ20" s="2"/>
      <c r="AR20" s="2"/>
    </row>
    <row r="21" spans="1:44" ht="12.75" hidden="1" customHeight="1">
      <c r="A21" s="176" t="s">
        <v>137</v>
      </c>
      <c r="B21" s="143">
        <f>'CustoXReceita Empreend$'!D21/'CustoXReceita Empreend$'!D$29</f>
        <v>0.02</v>
      </c>
      <c r="C21" s="143">
        <f>'CustoXReceita Empreend$'!E21/'CustoXReceita Empreend$'!E$29</f>
        <v>0.02</v>
      </c>
      <c r="D21" s="143">
        <f>'CustoXReceita Empreend$'!F21/'CustoXReceita Empreend$'!F$29</f>
        <v>0.02</v>
      </c>
      <c r="E21" s="143">
        <f>'CustoXReceita Empreend$'!G21/'CustoXReceita Empreend$'!G$29</f>
        <v>0.02</v>
      </c>
      <c r="F21" s="143">
        <f>'CustoXReceita Empreend$'!H21/'CustoXReceita Empreend$'!H$29</f>
        <v>0.02</v>
      </c>
      <c r="G21" s="143" t="e">
        <f>'CustoXReceita Empreend$'!I21/'CustoXReceita Empreend$'!I$29</f>
        <v>#DIV/0!</v>
      </c>
      <c r="H21" s="143">
        <f>'CustoXReceita Empreend$'!J21/'CustoXReceita Empreend$'!J$29</f>
        <v>0.02</v>
      </c>
      <c r="I21" s="143">
        <f>'CustoXReceita Empreend$'!K21/'CustoXReceita Empreend$'!K$29</f>
        <v>0.02</v>
      </c>
      <c r="J21" s="143"/>
      <c r="K21" s="143">
        <f>'CustoXReceita Empreend$'!M21/'CustoXReceita Empreend$'!M$29</f>
        <v>0.02</v>
      </c>
      <c r="L21" s="143">
        <f>'CustoXReceita Empreend$'!N21/'CustoXReceita Empreend$'!N$29</f>
        <v>0.02</v>
      </c>
      <c r="M21" s="143">
        <f>'CustoXReceita Empreend$'!O21/'CustoXReceita Empreend$'!O$29</f>
        <v>0.02</v>
      </c>
      <c r="N21" s="143">
        <f>'CustoXReceita Empreend$'!P21/'CustoXReceita Empreend$'!P$29</f>
        <v>0.02</v>
      </c>
      <c r="O21" s="143">
        <f>'CustoXReceita Empreend$'!Q21/'CustoXReceita Empreend$'!Q$29</f>
        <v>0.02</v>
      </c>
      <c r="P21" s="143">
        <f>'CustoXReceita Empreend$'!R21/'CustoXReceita Empreend$'!R$29</f>
        <v>0.02</v>
      </c>
      <c r="Q21" s="143">
        <f>'CustoXReceita Empreend$'!S21/'CustoXReceita Empreend$'!S$29</f>
        <v>0.02</v>
      </c>
      <c r="R21" s="143" t="e">
        <f>'CustoXReceita Empreend$'!T21/'CustoXReceita Empreend$'!T$29</f>
        <v>#DIV/0!</v>
      </c>
      <c r="S21" s="3"/>
      <c r="T21" s="256" t="e">
        <f t="shared" si="14"/>
        <v>#DIV/0!</v>
      </c>
      <c r="U21" s="256"/>
      <c r="V21" s="256" t="e">
        <f t="shared" si="15"/>
        <v>#DIV/0!</v>
      </c>
      <c r="W21" s="3"/>
      <c r="X21" s="143">
        <f>'CustoXReceita Empreend$'!AD21/'CustoXReceita Empreend$'!AD$29</f>
        <v>0.02</v>
      </c>
      <c r="Y21" s="143">
        <f>'CustoXReceita Empreend$'!AE21/'CustoXReceita Empreend$'!AE$29</f>
        <v>0.02</v>
      </c>
      <c r="Z21" s="3"/>
      <c r="AA21" s="143">
        <f>'CustoXReceita Empreend$'!AG21/'CustoXReceita Empreend$'!AG$29</f>
        <v>0.02</v>
      </c>
      <c r="AB21" s="143">
        <f>'CustoXReceita Empreend$'!AH21/'CustoXReceita Empreend$'!AH$29</f>
        <v>0.02</v>
      </c>
      <c r="AC21" s="143">
        <f>'CustoXReceita Empreend$'!AI21/'CustoXReceita Empreend$'!AI$29</f>
        <v>0.02</v>
      </c>
      <c r="AD21" s="143">
        <f>'CustoXReceita Empreend$'!AJ21/'CustoXReceita Empreend$'!AJ$29</f>
        <v>0.02</v>
      </c>
      <c r="AE21" s="143">
        <f>'CustoXReceita Empreend$'!AK21/'CustoXReceita Empreend$'!AK$29</f>
        <v>0.02</v>
      </c>
      <c r="AF21" s="143">
        <f>'CustoXReceita Empreend$'!AL21/'CustoXReceita Empreend$'!AL$29</f>
        <v>0.02</v>
      </c>
      <c r="AG21" s="143">
        <f>'CustoXReceita Empreend$'!AM21/'CustoXReceita Empreend$'!AM$29</f>
        <v>0.02</v>
      </c>
      <c r="AH21" s="143">
        <f>'CustoXReceita Empreend$'!AN21/'CustoXReceita Empreend$'!AN$29</f>
        <v>0.02</v>
      </c>
      <c r="AI21" s="143">
        <f>'CustoXReceita Empreend$'!AO21/'CustoXReceita Empreend$'!AO$29</f>
        <v>0.02</v>
      </c>
      <c r="AJ21" s="143">
        <f>'CustoXReceita Empreend$'!AP21/'CustoXReceita Empreend$'!AP$29</f>
        <v>0.02</v>
      </c>
      <c r="AK21" s="143">
        <f>'CustoXReceita Empreend$'!AQ21/'CustoXReceita Empreend$'!AQ$29</f>
        <v>0.02</v>
      </c>
      <c r="AL21" s="143">
        <f>'CustoXReceita Empreend$'!AR21/'CustoXReceita Empreend$'!AR$29</f>
        <v>0.02</v>
      </c>
      <c r="AM21" s="143">
        <f>'CustoXReceita Empreend$'!AS21/'CustoXReceita Empreend$'!AS$29</f>
        <v>0.02</v>
      </c>
      <c r="AN21" s="143">
        <f>'CustoXReceita Empreend$'!AT21/'CustoXReceita Empreend$'!AT$29</f>
        <v>0.02</v>
      </c>
      <c r="AO21" s="143">
        <f>'CustoXReceita Empreend$'!AU21/'CustoXReceita Empreend$'!AU$29</f>
        <v>0.02</v>
      </c>
      <c r="AP21" s="143" t="e">
        <f>'CustoXReceita Empreend$'!AV21/'CustoXReceita Empreend$'!AV$29</f>
        <v>#DIV/0!</v>
      </c>
      <c r="AQ21" s="2"/>
      <c r="AR21" s="2"/>
    </row>
    <row r="22" spans="1:44" ht="12.75" hidden="1" customHeight="1">
      <c r="A22" s="176" t="s">
        <v>138</v>
      </c>
      <c r="B22" s="143">
        <f>'CustoXReceita Empreend$'!D22/'CustoXReceita Empreend$'!D$29</f>
        <v>0</v>
      </c>
      <c r="C22" s="143">
        <f>'CustoXReceita Empreend$'!E22/'CustoXReceita Empreend$'!E$29</f>
        <v>0</v>
      </c>
      <c r="D22" s="143">
        <f>'CustoXReceita Empreend$'!F22/'CustoXReceita Empreend$'!F$29</f>
        <v>0</v>
      </c>
      <c r="E22" s="143">
        <f>'CustoXReceita Empreend$'!G22/'CustoXReceita Empreend$'!G$29</f>
        <v>0</v>
      </c>
      <c r="F22" s="143">
        <f>'CustoXReceita Empreend$'!H22/'CustoXReceita Empreend$'!H$29</f>
        <v>0</v>
      </c>
      <c r="G22" s="143" t="e">
        <f>'CustoXReceita Empreend$'!I22/'CustoXReceita Empreend$'!I$29</f>
        <v>#DIV/0!</v>
      </c>
      <c r="H22" s="143">
        <f>'CustoXReceita Empreend$'!J22/'CustoXReceita Empreend$'!J$29</f>
        <v>0</v>
      </c>
      <c r="I22" s="143">
        <f>'CustoXReceita Empreend$'!K22/'CustoXReceita Empreend$'!K$29</f>
        <v>0</v>
      </c>
      <c r="J22" s="143"/>
      <c r="K22" s="143">
        <f>'CustoXReceita Empreend$'!M22/'CustoXReceita Empreend$'!M$29</f>
        <v>0</v>
      </c>
      <c r="L22" s="143">
        <f>'CustoXReceita Empreend$'!N22/'CustoXReceita Empreend$'!N$29</f>
        <v>0</v>
      </c>
      <c r="M22" s="143">
        <f>'CustoXReceita Empreend$'!O22/'CustoXReceita Empreend$'!O$29</f>
        <v>0</v>
      </c>
      <c r="N22" s="143">
        <f>'CustoXReceita Empreend$'!P22/'CustoXReceita Empreend$'!P$29</f>
        <v>0</v>
      </c>
      <c r="O22" s="143">
        <f>'CustoXReceita Empreend$'!Q22/'CustoXReceita Empreend$'!Q$29</f>
        <v>0</v>
      </c>
      <c r="P22" s="143">
        <f>'CustoXReceita Empreend$'!R22/'CustoXReceita Empreend$'!R$29</f>
        <v>0</v>
      </c>
      <c r="Q22" s="143">
        <f>'CustoXReceita Empreend$'!S22/'CustoXReceita Empreend$'!S$29</f>
        <v>0</v>
      </c>
      <c r="R22" s="143" t="e">
        <f>'CustoXReceita Empreend$'!T22/'CustoXReceita Empreend$'!T$29</f>
        <v>#DIV/0!</v>
      </c>
      <c r="S22" s="3"/>
      <c r="T22" s="256" t="e">
        <f t="shared" si="14"/>
        <v>#DIV/0!</v>
      </c>
      <c r="U22" s="256"/>
      <c r="V22" s="256" t="e">
        <f t="shared" si="15"/>
        <v>#DIV/0!</v>
      </c>
      <c r="W22" s="3"/>
      <c r="X22" s="143">
        <f>'CustoXReceita Empreend$'!AD22/'CustoXReceita Empreend$'!AD$29</f>
        <v>0</v>
      </c>
      <c r="Y22" s="143">
        <f>'CustoXReceita Empreend$'!AE22/'CustoXReceita Empreend$'!AE$29</f>
        <v>0</v>
      </c>
      <c r="Z22" s="3"/>
      <c r="AA22" s="143">
        <f>'CustoXReceita Empreend$'!AG22/'CustoXReceita Empreend$'!AG$29</f>
        <v>0</v>
      </c>
      <c r="AB22" s="143">
        <f>'CustoXReceita Empreend$'!AH22/'CustoXReceita Empreend$'!AH$29</f>
        <v>0</v>
      </c>
      <c r="AC22" s="143">
        <f>'CustoXReceita Empreend$'!AI22/'CustoXReceita Empreend$'!AI$29</f>
        <v>0</v>
      </c>
      <c r="AD22" s="143">
        <f>'CustoXReceita Empreend$'!AJ22/'CustoXReceita Empreend$'!AJ$29</f>
        <v>0</v>
      </c>
      <c r="AE22" s="143">
        <f>'CustoXReceita Empreend$'!AK22/'CustoXReceita Empreend$'!AK$29</f>
        <v>0</v>
      </c>
      <c r="AF22" s="143">
        <f>'CustoXReceita Empreend$'!AL22/'CustoXReceita Empreend$'!AL$29</f>
        <v>0</v>
      </c>
      <c r="AG22" s="143">
        <f>'CustoXReceita Empreend$'!AM22/'CustoXReceita Empreend$'!AM$29</f>
        <v>0</v>
      </c>
      <c r="AH22" s="143">
        <f>'CustoXReceita Empreend$'!AN22/'CustoXReceita Empreend$'!AN$29</f>
        <v>0</v>
      </c>
      <c r="AI22" s="143">
        <f>'CustoXReceita Empreend$'!AO22/'CustoXReceita Empreend$'!AO$29</f>
        <v>0</v>
      </c>
      <c r="AJ22" s="143">
        <f>'CustoXReceita Empreend$'!AP22/'CustoXReceita Empreend$'!AP$29</f>
        <v>0</v>
      </c>
      <c r="AK22" s="143">
        <f>'CustoXReceita Empreend$'!AQ22/'CustoXReceita Empreend$'!AQ$29</f>
        <v>0</v>
      </c>
      <c r="AL22" s="143">
        <f>'CustoXReceita Empreend$'!AR22/'CustoXReceita Empreend$'!AR$29</f>
        <v>0</v>
      </c>
      <c r="AM22" s="143">
        <f>'CustoXReceita Empreend$'!AS22/'CustoXReceita Empreend$'!AS$29</f>
        <v>0</v>
      </c>
      <c r="AN22" s="143">
        <f>'CustoXReceita Empreend$'!AT22/'CustoXReceita Empreend$'!AT$29</f>
        <v>0</v>
      </c>
      <c r="AO22" s="143">
        <f>'CustoXReceita Empreend$'!AU22/'CustoXReceita Empreend$'!AU$29</f>
        <v>0</v>
      </c>
      <c r="AP22" s="143" t="e">
        <f>'CustoXReceita Empreend$'!AV22/'CustoXReceita Empreend$'!AV$29</f>
        <v>#DIV/0!</v>
      </c>
      <c r="AQ22" s="2"/>
      <c r="AR22" s="2"/>
    </row>
    <row r="23" spans="1:44" ht="15.75" customHeight="1">
      <c r="A23" s="308" t="s">
        <v>140</v>
      </c>
      <c r="B23" s="313">
        <f t="shared" ref="B23:I23" si="16">SUM(B17:B22)</f>
        <v>0.21</v>
      </c>
      <c r="C23" s="313">
        <f t="shared" si="16"/>
        <v>0.21</v>
      </c>
      <c r="D23" s="313">
        <f t="shared" si="16"/>
        <v>0.21</v>
      </c>
      <c r="E23" s="313">
        <f t="shared" si="16"/>
        <v>0.21</v>
      </c>
      <c r="F23" s="313">
        <f t="shared" si="16"/>
        <v>0.21</v>
      </c>
      <c r="G23" s="313" t="e">
        <f t="shared" si="16"/>
        <v>#DIV/0!</v>
      </c>
      <c r="H23" s="313">
        <f t="shared" si="16"/>
        <v>0.21</v>
      </c>
      <c r="I23" s="313">
        <f t="shared" si="16"/>
        <v>0.21</v>
      </c>
      <c r="J23" s="313"/>
      <c r="K23" s="313">
        <f t="shared" ref="K23:R23" si="17">SUM(K17:K22)</f>
        <v>0.21</v>
      </c>
      <c r="L23" s="313">
        <f t="shared" si="17"/>
        <v>0.21</v>
      </c>
      <c r="M23" s="313">
        <f t="shared" si="17"/>
        <v>0.21</v>
      </c>
      <c r="N23" s="145">
        <f t="shared" si="17"/>
        <v>0.21</v>
      </c>
      <c r="O23" s="145">
        <f t="shared" si="17"/>
        <v>0.21</v>
      </c>
      <c r="P23" s="145">
        <f t="shared" si="17"/>
        <v>0.21</v>
      </c>
      <c r="Q23" s="145">
        <f t="shared" si="17"/>
        <v>0.21</v>
      </c>
      <c r="R23" s="145" t="e">
        <f t="shared" si="17"/>
        <v>#DIV/0!</v>
      </c>
      <c r="S23" s="283"/>
      <c r="T23" s="313">
        <f>AVERAGE(B23:F23,H23:I23,K23:M23)</f>
        <v>0.21000000000000002</v>
      </c>
      <c r="U23" s="313">
        <f>AVERAGE(X23:Y23)</f>
        <v>0.21</v>
      </c>
      <c r="V23" s="313">
        <f>AVERAGE(AA23:AC23,AF23,AH23:AI23,AK23)</f>
        <v>0.21</v>
      </c>
      <c r="W23" s="283"/>
      <c r="X23" s="313">
        <f t="shared" ref="X23:Y23" si="18">SUM(X17:X22)</f>
        <v>0.21</v>
      </c>
      <c r="Y23" s="313">
        <f t="shared" si="18"/>
        <v>0.21</v>
      </c>
      <c r="Z23" s="283"/>
      <c r="AA23" s="313">
        <f t="shared" ref="AA23:AP23" si="19">SUM(AA17:AA22)</f>
        <v>0.21</v>
      </c>
      <c r="AB23" s="313">
        <f t="shared" si="19"/>
        <v>0.21</v>
      </c>
      <c r="AC23" s="313">
        <f t="shared" si="19"/>
        <v>0.21</v>
      </c>
      <c r="AD23" s="313">
        <f t="shared" si="19"/>
        <v>0.21</v>
      </c>
      <c r="AE23" s="313">
        <f t="shared" si="19"/>
        <v>0.21</v>
      </c>
      <c r="AF23" s="313">
        <f t="shared" si="19"/>
        <v>0.21</v>
      </c>
      <c r="AG23" s="313">
        <f t="shared" si="19"/>
        <v>0.21</v>
      </c>
      <c r="AH23" s="313">
        <f t="shared" si="19"/>
        <v>0.21</v>
      </c>
      <c r="AI23" s="313">
        <f t="shared" si="19"/>
        <v>0.21</v>
      </c>
      <c r="AJ23" s="313">
        <f t="shared" si="19"/>
        <v>0.21</v>
      </c>
      <c r="AK23" s="313">
        <f t="shared" si="19"/>
        <v>0.21</v>
      </c>
      <c r="AL23" s="431">
        <f t="shared" si="19"/>
        <v>0.21</v>
      </c>
      <c r="AM23" s="145">
        <f t="shared" si="19"/>
        <v>0.21</v>
      </c>
      <c r="AN23" s="145">
        <f t="shared" si="19"/>
        <v>0.21</v>
      </c>
      <c r="AO23" s="145">
        <f t="shared" si="19"/>
        <v>0.21</v>
      </c>
      <c r="AP23" s="145" t="e">
        <f t="shared" si="19"/>
        <v>#DIV/0!</v>
      </c>
      <c r="AQ23" s="312"/>
      <c r="AR23" s="312"/>
    </row>
    <row r="24" spans="1:44" ht="4.5" customHeight="1">
      <c r="A24" s="330"/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"/>
      <c r="T24" s="316"/>
      <c r="U24" s="316"/>
      <c r="V24" s="316"/>
      <c r="W24" s="3"/>
      <c r="X24" s="316"/>
      <c r="Y24" s="316"/>
      <c r="Z24" s="3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  <c r="AQ24" s="50"/>
      <c r="AR24" s="50"/>
    </row>
    <row r="25" spans="1:44" ht="18" customHeight="1">
      <c r="A25" s="308" t="s">
        <v>141</v>
      </c>
      <c r="B25" s="313">
        <f>'CustoXReceita Empreend$'!D25/'CustoXReceita Empreend$'!D$29</f>
        <v>0.29416666666666669</v>
      </c>
      <c r="C25" s="313">
        <f>'CustoXReceita Empreend$'!E25/'CustoXReceita Empreend$'!E$29</f>
        <v>0.27993655828707376</v>
      </c>
      <c r="D25" s="313">
        <f>'CustoXReceita Empreend$'!F25/'CustoXReceita Empreend$'!F$29</f>
        <v>0.32685185185185184</v>
      </c>
      <c r="E25" s="313">
        <f>'CustoXReceita Empreend$'!G25/'CustoXReceita Empreend$'!G$29</f>
        <v>5.2218934911242604E-2</v>
      </c>
      <c r="F25" s="313">
        <f>'CustoXReceita Empreend$'!H25/'CustoXReceita Empreend$'!H$29</f>
        <v>4.4124999999999998E-2</v>
      </c>
      <c r="G25" s="313" t="e">
        <f>'CustoXReceita Empreend$'!I25/'CustoXReceita Empreend$'!I$29</f>
        <v>#DIV/0!</v>
      </c>
      <c r="H25" s="313">
        <f>'CustoXReceita Empreend$'!J25/'CustoXReceita Empreend$'!J$29</f>
        <v>9.2894736842105266E-2</v>
      </c>
      <c r="I25" s="313">
        <f>'CustoXReceita Empreend$'!K25/'CustoXReceita Empreend$'!K$29</f>
        <v>0.25214285714285717</v>
      </c>
      <c r="J25" s="313"/>
      <c r="K25" s="313">
        <f>'CustoXReceita Empreend$'!M25/'CustoXReceita Empreend$'!M$29</f>
        <v>0.29416666666666669</v>
      </c>
      <c r="L25" s="313">
        <f>'CustoXReceita Empreend$'!N25/'CustoXReceita Empreend$'!N$29</f>
        <v>0.1680952380952381</v>
      </c>
      <c r="M25" s="313">
        <f>'CustoXReceita Empreend$'!O25/'CustoXReceita Empreend$'!O$29</f>
        <v>0.23223684210526316</v>
      </c>
      <c r="N25" s="145">
        <f>'CustoXReceita Empreend$'!P25/'CustoXReceita Empreend$'!P$29</f>
        <v>0.44124999999999998</v>
      </c>
      <c r="O25" s="145">
        <f>'CustoXReceita Empreend$'!Q25/'CustoXReceita Empreend$'!Q$29</f>
        <v>0.11766666666666667</v>
      </c>
      <c r="P25" s="145">
        <f>'CustoXReceita Empreend$'!R25/'CustoXReceita Empreend$'!R$29</f>
        <v>0.31517857142857142</v>
      </c>
      <c r="Q25" s="145">
        <f>'CustoXReceita Empreend$'!S25/'CustoXReceita Empreend$'!S$29</f>
        <v>5.8833333333333335E-2</v>
      </c>
      <c r="R25" s="145" t="e">
        <f>'CustoXReceita Empreend$'!T25/'CustoXReceita Empreend$'!T$29</f>
        <v>#DIV/0!</v>
      </c>
      <c r="S25" s="283"/>
      <c r="T25" s="313">
        <f>AVERAGE(B25:F25,H25:I25,K25:M25)</f>
        <v>0.2036835352568965</v>
      </c>
      <c r="U25" s="313">
        <f>AVERAGE(X25:Y25)</f>
        <v>1.3650871459694991</v>
      </c>
      <c r="V25" s="313">
        <f>AVERAGE(AA25:AC25,AF25,AH25:AI25,AK25)</f>
        <v>0.41605740489669063</v>
      </c>
      <c r="W25" s="283"/>
      <c r="X25" s="313">
        <f>'CustoXReceita Empreend$'!AD25/'CustoXReceita Empreend$'!AD$29</f>
        <v>2.0764705882352943</v>
      </c>
      <c r="Y25" s="313">
        <f>'CustoXReceita Empreend$'!AE25/'CustoXReceita Empreend$'!AE$29</f>
        <v>0.65370370370370368</v>
      </c>
      <c r="Z25" s="283"/>
      <c r="AA25" s="313">
        <f>'CustoXReceita Empreend$'!AG25/'CustoXReceita Empreend$'!AG$29</f>
        <v>0.39222222222222225</v>
      </c>
      <c r="AB25" s="313">
        <f>'CustoXReceita Empreend$'!AH25/'CustoXReceita Empreend$'!AH$29</f>
        <v>0.25214285714285717</v>
      </c>
      <c r="AC25" s="313">
        <f>'CustoXReceita Empreend$'!AI25/'CustoXReceita Empreend$'!AI$29</f>
        <v>0.40113636363636362</v>
      </c>
      <c r="AD25" s="313">
        <f>'CustoXReceita Empreend$'!AJ25/'CustoXReceita Empreend$'!AJ$29</f>
        <v>0.70599999999999996</v>
      </c>
      <c r="AE25" s="313">
        <f>'CustoXReceita Empreend$'!AK25/'CustoXReceita Empreend$'!AK$29</f>
        <v>0.37157894736842106</v>
      </c>
      <c r="AF25" s="313">
        <f>'CustoXReceita Empreend$'!AL25/'CustoXReceita Empreend$'!AL$29</f>
        <v>0.22062499999999999</v>
      </c>
      <c r="AG25" s="313">
        <f>'CustoXReceita Empreend$'!AM25/'CustoXReceita Empreend$'!AM$29</f>
        <v>0.39222222222222225</v>
      </c>
      <c r="AH25" s="313">
        <f>'CustoXReceita Empreend$'!AN25/'CustoXReceita Empreend$'!AN$29</f>
        <v>0.32090909090909092</v>
      </c>
      <c r="AI25" s="313">
        <f>'CustoXReceita Empreend$'!AO25/'CustoXReceita Empreend$'!AO$29</f>
        <v>0.90512820512820513</v>
      </c>
      <c r="AJ25" s="313">
        <f>'CustoXReceita Empreend$'!AP25/'CustoXReceita Empreend$'!AP$29</f>
        <v>0.23533333333333334</v>
      </c>
      <c r="AK25" s="313">
        <f>'CustoXReceita Empreend$'!AQ25/'CustoXReceita Empreend$'!AQ$29</f>
        <v>0.42023809523809524</v>
      </c>
      <c r="AL25" s="431">
        <f>'CustoXReceita Empreend$'!AR25/'CustoXReceita Empreend$'!AR$29</f>
        <v>0.40113636363636362</v>
      </c>
      <c r="AM25" s="145">
        <f>'CustoXReceita Empreend$'!AS25/'CustoXReceita Empreend$'!AS$29</f>
        <v>0.64181818181818184</v>
      </c>
      <c r="AN25" s="145">
        <f>'CustoXReceita Empreend$'!AT25/'CustoXReceita Empreend$'!AT$29</f>
        <v>0.22062499999999999</v>
      </c>
      <c r="AO25" s="145">
        <f>'CustoXReceita Empreend$'!AU25/'CustoXReceita Empreend$'!AU$29</f>
        <v>0.22774193548387098</v>
      </c>
      <c r="AP25" s="145" t="e">
        <f>'CustoXReceita Empreend$'!AV25/'CustoXReceita Empreend$'!AV$29</f>
        <v>#DIV/0!</v>
      </c>
      <c r="AQ25" s="312"/>
      <c r="AR25" s="312"/>
    </row>
    <row r="26" spans="1:44" ht="4.5" customHeight="1">
      <c r="A26" s="330"/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"/>
      <c r="T26" s="316"/>
      <c r="U26" s="316"/>
      <c r="V26" s="316"/>
      <c r="W26" s="3"/>
      <c r="X26" s="316"/>
      <c r="Y26" s="316"/>
      <c r="Z26" s="3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50"/>
      <c r="AR26" s="50"/>
    </row>
    <row r="27" spans="1:44" ht="20.25" customHeight="1">
      <c r="A27" s="332" t="s">
        <v>143</v>
      </c>
      <c r="B27" s="338">
        <f t="shared" ref="B27:I27" si="20">SUM(B15,B23,B25)</f>
        <v>0.94952124522129178</v>
      </c>
      <c r="C27" s="338">
        <f t="shared" si="20"/>
        <v>0.93055897603825521</v>
      </c>
      <c r="D27" s="338">
        <f t="shared" si="20"/>
        <v>0.97613648194742353</v>
      </c>
      <c r="E27" s="338">
        <f t="shared" si="20"/>
        <v>0.69213843472916958</v>
      </c>
      <c r="F27" s="338">
        <f t="shared" si="20"/>
        <v>0.67914468079027546</v>
      </c>
      <c r="G27" s="338" t="e">
        <f t="shared" si="20"/>
        <v>#DIV/0!</v>
      </c>
      <c r="H27" s="338">
        <f t="shared" si="20"/>
        <v>0.74048704536959098</v>
      </c>
      <c r="I27" s="338">
        <f t="shared" si="20"/>
        <v>0.90125602180610676</v>
      </c>
      <c r="J27" s="338"/>
      <c r="K27" s="338">
        <f t="shared" ref="K27:R27" si="21">SUM(K15,K23,K25)</f>
        <v>0.95407980664443859</v>
      </c>
      <c r="L27" s="338">
        <f t="shared" si="21"/>
        <v>0.8169825995655462</v>
      </c>
      <c r="M27" s="338">
        <f t="shared" si="21"/>
        <v>0.88378970689962766</v>
      </c>
      <c r="N27" s="432">
        <f t="shared" si="21"/>
        <v>1.1063277520282413</v>
      </c>
      <c r="O27" s="432">
        <f t="shared" si="21"/>
        <v>0.75970419819444934</v>
      </c>
      <c r="P27" s="432">
        <f t="shared" si="21"/>
        <v>0.97046645131121034</v>
      </c>
      <c r="Q27" s="432">
        <f t="shared" si="21"/>
        <v>0.68410089149302478</v>
      </c>
      <c r="R27" s="432" t="e">
        <f t="shared" si="21"/>
        <v>#DIV/0!</v>
      </c>
      <c r="S27" s="3"/>
      <c r="T27" s="433">
        <f>AVERAGE(B27:F27,H27:I27,K27:M27)</f>
        <v>0.85240949990117243</v>
      </c>
      <c r="U27" s="433">
        <f>AVERAGE(X27:Y27)</f>
        <v>1.9867069565097528</v>
      </c>
      <c r="V27" s="433">
        <f>AVERAGE(AA27:AC27,AF27,AH27:AI27,AK27)</f>
        <v>1.0216919576470886</v>
      </c>
      <c r="W27" s="3"/>
      <c r="X27" s="338">
        <f t="shared" ref="X27:Y27" si="22">SUM(X15,X23,X25)</f>
        <v>2.7145354408533753</v>
      </c>
      <c r="Y27" s="338">
        <f t="shared" si="22"/>
        <v>1.2588784721661304</v>
      </c>
      <c r="Z27" s="3"/>
      <c r="AA27" s="338">
        <f t="shared" ref="AA27:AP27" si="23">SUM(AA15,AA23,AA25)</f>
        <v>0.99784072961074266</v>
      </c>
      <c r="AB27" s="338">
        <f t="shared" si="23"/>
        <v>0.85260143969673341</v>
      </c>
      <c r="AC27" s="338">
        <f t="shared" si="23"/>
        <v>1.0067753174008698</v>
      </c>
      <c r="AD27" s="338">
        <f t="shared" si="23"/>
        <v>1.3105022417782859</v>
      </c>
      <c r="AE27" s="338">
        <f t="shared" si="23"/>
        <v>0.98833276960692773</v>
      </c>
      <c r="AF27" s="338">
        <f t="shared" si="23"/>
        <v>0.81943479233055583</v>
      </c>
      <c r="AG27" s="338">
        <f t="shared" si="23"/>
        <v>1.0074553705078255</v>
      </c>
      <c r="AH27" s="338">
        <f t="shared" si="23"/>
        <v>0.9339778196502716</v>
      </c>
      <c r="AI27" s="338">
        <f t="shared" si="23"/>
        <v>1.5147404831002236</v>
      </c>
      <c r="AJ27" s="338">
        <f t="shared" si="23"/>
        <v>0.83692546279804914</v>
      </c>
      <c r="AK27" s="338">
        <f t="shared" si="23"/>
        <v>1.0264731217402225</v>
      </c>
      <c r="AL27" s="432">
        <f t="shared" si="23"/>
        <v>1.0075583995143693</v>
      </c>
      <c r="AM27" s="432">
        <f t="shared" si="23"/>
        <v>1.2621519327463919</v>
      </c>
      <c r="AN27" s="432">
        <f t="shared" si="23"/>
        <v>0.82308448519131183</v>
      </c>
      <c r="AO27" s="432">
        <f t="shared" si="23"/>
        <v>0.82869765417203189</v>
      </c>
      <c r="AP27" s="432" t="e">
        <f t="shared" si="23"/>
        <v>#DIV/0!</v>
      </c>
      <c r="AQ27" s="312"/>
      <c r="AR27" s="312"/>
    </row>
    <row r="28" spans="1:44" ht="4.5" customHeight="1">
      <c r="A28" s="50"/>
      <c r="B28" s="331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"/>
      <c r="T28" s="316"/>
      <c r="U28" s="316"/>
      <c r="V28" s="316">
        <f>SUM(V15,V23,V25)</f>
        <v>1.0216919576470884</v>
      </c>
      <c r="W28" s="3"/>
      <c r="X28" s="316"/>
      <c r="Y28" s="316"/>
      <c r="Z28" s="3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50"/>
      <c r="AR28" s="50"/>
    </row>
    <row r="29" spans="1:44" ht="22.5" customHeight="1">
      <c r="A29" s="332" t="s">
        <v>144</v>
      </c>
      <c r="B29" s="338">
        <f>'CustoXReceita Empreend$'!D29/'CustoXReceita Empreend$'!D$29</f>
        <v>1</v>
      </c>
      <c r="C29" s="338">
        <f>'CustoXReceita Empreend$'!E29/'CustoXReceita Empreend$'!E$29</f>
        <v>1</v>
      </c>
      <c r="D29" s="338">
        <f>'CustoXReceita Empreend$'!F29/'CustoXReceita Empreend$'!F$29</f>
        <v>1</v>
      </c>
      <c r="E29" s="338">
        <f>'CustoXReceita Empreend$'!G29/'CustoXReceita Empreend$'!G$29</f>
        <v>1</v>
      </c>
      <c r="F29" s="338">
        <f>'CustoXReceita Empreend$'!H29/'CustoXReceita Empreend$'!H$29</f>
        <v>1</v>
      </c>
      <c r="G29" s="338" t="e">
        <f>'CustoXReceita Empreend$'!I29/'CustoXReceita Empreend$'!I$29</f>
        <v>#DIV/0!</v>
      </c>
      <c r="H29" s="338">
        <f>'CustoXReceita Empreend$'!J29/'CustoXReceita Empreend$'!J$29</f>
        <v>1</v>
      </c>
      <c r="I29" s="338">
        <f>'CustoXReceita Empreend$'!K29/'CustoXReceita Empreend$'!K$29</f>
        <v>1</v>
      </c>
      <c r="J29" s="338"/>
      <c r="K29" s="338">
        <f>'CustoXReceita Empreend$'!M29/'CustoXReceita Empreend$'!M$29</f>
        <v>1</v>
      </c>
      <c r="L29" s="338">
        <f>'CustoXReceita Empreend$'!N29/'CustoXReceita Empreend$'!N$29</f>
        <v>1</v>
      </c>
      <c r="M29" s="338">
        <f>'CustoXReceita Empreend$'!O29/'CustoXReceita Empreend$'!O$29</f>
        <v>1</v>
      </c>
      <c r="N29" s="432">
        <f>'CustoXReceita Empreend$'!P29/'CustoXReceita Empreend$'!P$29</f>
        <v>1</v>
      </c>
      <c r="O29" s="432">
        <f>'CustoXReceita Empreend$'!Q29/'CustoXReceita Empreend$'!Q$29</f>
        <v>1</v>
      </c>
      <c r="P29" s="432">
        <f>'CustoXReceita Empreend$'!R29/'CustoXReceita Empreend$'!R$29</f>
        <v>1</v>
      </c>
      <c r="Q29" s="432">
        <f>'CustoXReceita Empreend$'!S29/'CustoXReceita Empreend$'!S$29</f>
        <v>1</v>
      </c>
      <c r="R29" s="432" t="e">
        <f>'CustoXReceita Empreend$'!T29/'CustoXReceita Empreend$'!T$29</f>
        <v>#DIV/0!</v>
      </c>
      <c r="S29" s="3"/>
      <c r="T29" s="433">
        <f>AVERAGE(B29:F29,H29:I29,K29:M29)</f>
        <v>1</v>
      </c>
      <c r="U29" s="433">
        <f>AVERAGE(X29:Y29)</f>
        <v>1</v>
      </c>
      <c r="V29" s="433">
        <f>AVERAGE(AA29:AC29,AF29,AH29:AI29,AK29)</f>
        <v>1</v>
      </c>
      <c r="W29" s="3"/>
      <c r="X29" s="338">
        <f>'CustoXReceita Empreend$'!AD29/'CustoXReceita Empreend$'!AD$29</f>
        <v>1</v>
      </c>
      <c r="Y29" s="338">
        <f>'CustoXReceita Empreend$'!AE29/'CustoXReceita Empreend$'!AE$29</f>
        <v>1</v>
      </c>
      <c r="Z29" s="3"/>
      <c r="AA29" s="338">
        <f>'CustoXReceita Empreend$'!AG29/'CustoXReceita Empreend$'!AG$29</f>
        <v>1</v>
      </c>
      <c r="AB29" s="338">
        <f>'CustoXReceita Empreend$'!AH29/'CustoXReceita Empreend$'!AH$29</f>
        <v>1</v>
      </c>
      <c r="AC29" s="338">
        <f>'CustoXReceita Empreend$'!AI29/'CustoXReceita Empreend$'!AI$29</f>
        <v>1</v>
      </c>
      <c r="AD29" s="338">
        <f>'CustoXReceita Empreend$'!AJ29/'CustoXReceita Empreend$'!AJ$29</f>
        <v>1</v>
      </c>
      <c r="AE29" s="338">
        <f>'CustoXReceita Empreend$'!AK29/'CustoXReceita Empreend$'!AK$29</f>
        <v>1</v>
      </c>
      <c r="AF29" s="338">
        <f>'CustoXReceita Empreend$'!AL29/'CustoXReceita Empreend$'!AL$29</f>
        <v>1</v>
      </c>
      <c r="AG29" s="338">
        <f>'CustoXReceita Empreend$'!AM29/'CustoXReceita Empreend$'!AM$29</f>
        <v>1</v>
      </c>
      <c r="AH29" s="338">
        <f>'CustoXReceita Empreend$'!AN29/'CustoXReceita Empreend$'!AN$29</f>
        <v>1</v>
      </c>
      <c r="AI29" s="338">
        <f>'CustoXReceita Empreend$'!AO29/'CustoXReceita Empreend$'!AO$29</f>
        <v>1</v>
      </c>
      <c r="AJ29" s="338">
        <f>'CustoXReceita Empreend$'!AP29/'CustoXReceita Empreend$'!AP$29</f>
        <v>1</v>
      </c>
      <c r="AK29" s="338">
        <f>'CustoXReceita Empreend$'!AQ29/'CustoXReceita Empreend$'!AQ$29</f>
        <v>1</v>
      </c>
      <c r="AL29" s="432">
        <f>'CustoXReceita Empreend$'!AR29/'CustoXReceita Empreend$'!AR$29</f>
        <v>1</v>
      </c>
      <c r="AM29" s="432">
        <f>'CustoXReceita Empreend$'!AS29/'CustoXReceita Empreend$'!AS$29</f>
        <v>1</v>
      </c>
      <c r="AN29" s="432">
        <f>'CustoXReceita Empreend$'!AT29/'CustoXReceita Empreend$'!AT$29</f>
        <v>1</v>
      </c>
      <c r="AO29" s="432">
        <f>'CustoXReceita Empreend$'!AU29/'CustoXReceita Empreend$'!AU$29</f>
        <v>1</v>
      </c>
      <c r="AP29" s="432" t="e">
        <f>'CustoXReceita Empreend$'!AV29/'CustoXReceita Empreend$'!AV$29</f>
        <v>#DIV/0!</v>
      </c>
      <c r="AQ29" s="312"/>
      <c r="AR29" s="312"/>
    </row>
    <row r="30" spans="1:44" ht="15.75" customHeight="1">
      <c r="A30" s="344"/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"/>
      <c r="T30" s="316"/>
      <c r="U30" s="316"/>
      <c r="V30" s="434"/>
      <c r="W30" s="3"/>
      <c r="X30" s="316"/>
      <c r="Y30" s="316"/>
      <c r="Z30" s="3"/>
      <c r="AA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316"/>
      <c r="AP30" s="316"/>
      <c r="AQ30" s="50"/>
      <c r="AR30" s="50"/>
    </row>
    <row r="31" spans="1:44" ht="18" customHeight="1">
      <c r="A31" s="435" t="s">
        <v>248</v>
      </c>
      <c r="B31" s="436">
        <f>'CustoXReceita Empreend$'!D31/'CustoXReceita Empreend$'!D$29</f>
        <v>5.0478754778708231E-2</v>
      </c>
      <c r="C31" s="436">
        <f>'CustoXReceita Empreend$'!E31/'CustoXReceita Empreend$'!E$29</f>
        <v>6.944102396174473E-2</v>
      </c>
      <c r="D31" s="436">
        <f>'CustoXReceita Empreend$'!F31/'CustoXReceita Empreend$'!F$29</f>
        <v>2.3863518052576339E-2</v>
      </c>
      <c r="E31" s="436">
        <f>'CustoXReceita Empreend$'!G31/'CustoXReceita Empreend$'!G$29</f>
        <v>0.30786156527083053</v>
      </c>
      <c r="F31" s="436">
        <f>'CustoXReceita Empreend$'!H31/'CustoXReceita Empreend$'!H$29</f>
        <v>0.32085531920972443</v>
      </c>
      <c r="G31" s="436" t="e">
        <f>'CustoXReceita Empreend$'!I31/'CustoXReceita Empreend$'!I$29</f>
        <v>#DIV/0!</v>
      </c>
      <c r="H31" s="436">
        <f>'CustoXReceita Empreend$'!J31/'CustoXReceita Empreend$'!J$29</f>
        <v>0.25951295463040891</v>
      </c>
      <c r="I31" s="436">
        <f>'CustoXReceita Empreend$'!K31/'CustoXReceita Empreend$'!K$29</f>
        <v>9.8743978193893314E-2</v>
      </c>
      <c r="J31" s="436"/>
      <c r="K31" s="436">
        <f>'CustoXReceita Empreend$'!M31/'CustoXReceita Empreend$'!M$29</f>
        <v>4.5920193355561335E-2</v>
      </c>
      <c r="L31" s="436">
        <f>'CustoXReceita Empreend$'!N31/'CustoXReceita Empreend$'!N$29</f>
        <v>0.1830174004344538</v>
      </c>
      <c r="M31" s="436">
        <f>'CustoXReceita Empreend$'!O31/'CustoXReceita Empreend$'!O$29</f>
        <v>0.11621029310037236</v>
      </c>
      <c r="N31" s="436">
        <f>'CustoXReceita Empreend$'!P31/'CustoXReceita Empreend$'!P$29</f>
        <v>-0.10632775202824145</v>
      </c>
      <c r="O31" s="436">
        <f>'CustoXReceita Empreend$'!Q31/'CustoXReceita Empreend$'!Q$29</f>
        <v>0.24029580180555085</v>
      </c>
      <c r="P31" s="436">
        <f>'CustoXReceita Empreend$'!R31/'CustoXReceita Empreend$'!R$29</f>
        <v>2.9533548688789654E-2</v>
      </c>
      <c r="Q31" s="436">
        <f>'CustoXReceita Empreend$'!S31/'CustoXReceita Empreend$'!S$29</f>
        <v>0.30206324517364186</v>
      </c>
      <c r="R31" s="436" t="e">
        <f>'CustoXReceita Empreend$'!T31/'CustoXReceita Empreend$'!T$29</f>
        <v>#REF!</v>
      </c>
      <c r="S31" s="3"/>
      <c r="T31" s="437">
        <f>AVERAGE(B31:F31,H31:I31,K31:M31)</f>
        <v>0.14759050009882738</v>
      </c>
      <c r="U31" s="437">
        <f>AVERAGE(X31:Y31)</f>
        <v>-0.98670695650975282</v>
      </c>
      <c r="V31" s="437">
        <f>AVERAGE(AA31:AC31,AF31,AH31:AI31,AK31)</f>
        <v>-2.1691957647088485E-2</v>
      </c>
      <c r="W31" s="3"/>
      <c r="X31" s="436">
        <f t="shared" ref="X31:Y31" si="24">X29-X27</f>
        <v>-1.7145354408533753</v>
      </c>
      <c r="Y31" s="436">
        <f t="shared" si="24"/>
        <v>-0.25887847216613036</v>
      </c>
      <c r="Z31" s="3"/>
      <c r="AA31" s="436">
        <f t="shared" ref="AA31:AP31" si="25">AA29-AA27</f>
        <v>2.1592703892573395E-3</v>
      </c>
      <c r="AB31" s="436">
        <f t="shared" si="25"/>
        <v>0.14739856030326659</v>
      </c>
      <c r="AC31" s="436">
        <f t="shared" si="25"/>
        <v>-6.7753174008697847E-3</v>
      </c>
      <c r="AD31" s="436">
        <f t="shared" si="25"/>
        <v>-0.31050224177828589</v>
      </c>
      <c r="AE31" s="436">
        <f t="shared" si="25"/>
        <v>1.166723039307227E-2</v>
      </c>
      <c r="AF31" s="436">
        <f t="shared" si="25"/>
        <v>0.18056520766944417</v>
      </c>
      <c r="AG31" s="436">
        <f t="shared" si="25"/>
        <v>-7.4553705078255206E-3</v>
      </c>
      <c r="AH31" s="436">
        <f t="shared" si="25"/>
        <v>6.6022180349728399E-2</v>
      </c>
      <c r="AI31" s="436">
        <f t="shared" si="25"/>
        <v>-0.51474048310022358</v>
      </c>
      <c r="AJ31" s="436">
        <f t="shared" si="25"/>
        <v>0.16307453720195086</v>
      </c>
      <c r="AK31" s="436">
        <f t="shared" si="25"/>
        <v>-2.6473121740222538E-2</v>
      </c>
      <c r="AL31" s="436">
        <f t="shared" si="25"/>
        <v>-7.5583995143693183E-3</v>
      </c>
      <c r="AM31" s="436">
        <f t="shared" si="25"/>
        <v>-0.26215193274639192</v>
      </c>
      <c r="AN31" s="436">
        <f t="shared" si="25"/>
        <v>0.17691551480868817</v>
      </c>
      <c r="AO31" s="436">
        <f t="shared" si="25"/>
        <v>0.17130234582796811</v>
      </c>
      <c r="AP31" s="436" t="e">
        <f t="shared" si="25"/>
        <v>#DIV/0!</v>
      </c>
      <c r="AQ31" s="50"/>
      <c r="AR31" s="50"/>
    </row>
    <row r="32" spans="1:44" ht="12.75" customHeight="1">
      <c r="A32" s="252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3"/>
      <c r="T32" s="171"/>
      <c r="U32" s="171"/>
      <c r="V32" s="171"/>
      <c r="W32" s="3"/>
      <c r="X32" s="171"/>
      <c r="Y32" s="171"/>
      <c r="Z32" s="3"/>
      <c r="AA32" s="171"/>
      <c r="AB32" s="171"/>
      <c r="AC32" s="171"/>
      <c r="AD32" s="171"/>
      <c r="AE32" s="171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ht="12.75" customHeight="1">
      <c r="A33" s="252"/>
      <c r="B33" s="2"/>
      <c r="C33" s="2"/>
      <c r="D33" s="2"/>
      <c r="E33" s="2"/>
      <c r="F33" s="2"/>
      <c r="K33" s="3"/>
      <c r="L33" s="3"/>
      <c r="M33" s="3"/>
      <c r="N33" s="765" t="s">
        <v>249</v>
      </c>
      <c r="O33" s="723"/>
      <c r="P33" s="723"/>
      <c r="Q33" s="723"/>
      <c r="R33" s="724"/>
      <c r="S33" s="3"/>
      <c r="T33" s="171"/>
      <c r="U33" s="171"/>
      <c r="V33" s="171"/>
      <c r="W33" s="3"/>
      <c r="X33" s="171"/>
      <c r="Y33" s="171"/>
      <c r="Z33" s="3"/>
      <c r="AA33" s="171"/>
      <c r="AB33" s="171"/>
      <c r="AC33" s="171"/>
      <c r="AD33" s="171"/>
      <c r="AE33" s="171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ht="12.75" customHeight="1">
      <c r="A34" s="252"/>
      <c r="B34" s="2"/>
      <c r="C34" s="2"/>
      <c r="D34" s="2"/>
      <c r="E34" s="2"/>
      <c r="F34" s="2"/>
      <c r="K34" s="3"/>
      <c r="L34" s="3"/>
      <c r="M34" s="3"/>
      <c r="N34" s="766"/>
      <c r="O34" s="767"/>
      <c r="P34" s="767"/>
      <c r="Q34" s="767"/>
      <c r="R34" s="768"/>
      <c r="S34" s="3"/>
      <c r="T34" s="171"/>
      <c r="U34" s="171"/>
      <c r="V34" s="438"/>
      <c r="W34" s="3"/>
      <c r="X34" s="171"/>
      <c r="Y34" s="2"/>
      <c r="Z34" s="3"/>
      <c r="AA34" s="171"/>
      <c r="AB34" s="171"/>
      <c r="AC34" s="171"/>
      <c r="AD34" s="171"/>
      <c r="AE34" s="171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ht="12.75" customHeight="1">
      <c r="A35" s="252"/>
      <c r="B35" s="2"/>
      <c r="C35" s="2"/>
      <c r="D35" s="2"/>
      <c r="E35" s="2"/>
      <c r="F35" s="2"/>
      <c r="K35" s="3"/>
      <c r="L35" s="3"/>
      <c r="M35" s="3"/>
      <c r="N35" s="704"/>
      <c r="O35" s="725"/>
      <c r="P35" s="725"/>
      <c r="Q35" s="725"/>
      <c r="R35" s="707"/>
      <c r="S35" s="3"/>
      <c r="T35" s="171"/>
      <c r="U35" s="171"/>
      <c r="V35" s="2"/>
      <c r="W35" s="3"/>
      <c r="X35" s="171"/>
      <c r="Y35" s="2"/>
      <c r="Z35" s="3"/>
      <c r="AA35" s="171"/>
      <c r="AB35" s="171"/>
      <c r="AC35" s="171"/>
      <c r="AD35" s="171"/>
      <c r="AE35" s="171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ht="12.75" customHeight="1">
      <c r="A36" s="252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3"/>
      <c r="T36" s="171"/>
      <c r="U36" s="171"/>
      <c r="V36" s="171"/>
      <c r="W36" s="3"/>
      <c r="X36" s="171"/>
      <c r="Y36" s="171"/>
      <c r="Z36" s="3"/>
      <c r="AA36" s="171"/>
      <c r="AB36" s="171"/>
      <c r="AC36" s="171"/>
      <c r="AD36" s="171"/>
      <c r="AE36" s="171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ht="12.75" customHeight="1">
      <c r="A37" s="176" t="s">
        <v>67</v>
      </c>
      <c r="B37" s="109">
        <f>+Entrada!C17</f>
        <v>480</v>
      </c>
      <c r="C37" s="109">
        <f>+Entrada!D17</f>
        <v>504.4</v>
      </c>
      <c r="D37" s="109">
        <f>+Entrada!E17</f>
        <v>432</v>
      </c>
      <c r="E37" s="109">
        <f>+Entrada!F17</f>
        <v>2704</v>
      </c>
      <c r="F37" s="109">
        <f>+Entrada!G17</f>
        <v>3200</v>
      </c>
      <c r="G37" s="109">
        <f>+Entrada!H17</f>
        <v>0</v>
      </c>
      <c r="H37" s="109">
        <f>+Entrada!I17</f>
        <v>1520</v>
      </c>
      <c r="I37" s="109">
        <f>+Entrada!J17</f>
        <v>560</v>
      </c>
      <c r="J37" s="109">
        <f>+Entrada!K17</f>
        <v>800</v>
      </c>
      <c r="K37" s="109" t="e">
        <f>+Entrada!#REF!</f>
        <v>#REF!</v>
      </c>
      <c r="L37" s="109">
        <f>+Entrada!L17</f>
        <v>480</v>
      </c>
      <c r="M37" s="109">
        <f>+Entrada!M17</f>
        <v>840</v>
      </c>
      <c r="N37" s="109" t="e">
        <f>+Entrada!#REF!</f>
        <v>#REF!</v>
      </c>
      <c r="O37" s="109" t="e">
        <f>+Entrada!#REF!</f>
        <v>#REF!</v>
      </c>
      <c r="P37" s="109">
        <f>+Entrada!P17</f>
        <v>1200</v>
      </c>
      <c r="Q37" s="109">
        <f>+Entrada!Q17</f>
        <v>448</v>
      </c>
      <c r="R37" s="109">
        <f>+Entrada!R17</f>
        <v>2400</v>
      </c>
      <c r="S37" s="3"/>
      <c r="T37" s="282" t="e">
        <f t="shared" ref="T37:T41" si="26">AVERAGE(B37:P37)</f>
        <v>#REF!</v>
      </c>
      <c r="U37" s="282">
        <f t="shared" ref="U37:U41" si="27">AVERAGE(X37:Y37)</f>
        <v>142</v>
      </c>
      <c r="V37" s="282">
        <f t="shared" ref="V37:V41" si="28">AVERAGE(AA37:AC37,AF37:AL37)</f>
        <v>415.6</v>
      </c>
      <c r="W37" s="3"/>
      <c r="X37" s="109">
        <f>+Entrada!Z17</f>
        <v>68</v>
      </c>
      <c r="Y37" s="109">
        <f>+Entrada!AA17</f>
        <v>216</v>
      </c>
      <c r="Z37" s="3"/>
      <c r="AA37" s="109">
        <f>+Entrada!AC17</f>
        <v>360</v>
      </c>
      <c r="AB37" s="109">
        <f>+Entrada!AD17</f>
        <v>560</v>
      </c>
      <c r="AC37" s="109">
        <f>+Entrada!AE17</f>
        <v>352</v>
      </c>
      <c r="AD37" s="109">
        <f>+Entrada!AF17</f>
        <v>200</v>
      </c>
      <c r="AE37" s="109">
        <f>+Entrada!AG17</f>
        <v>380</v>
      </c>
      <c r="AF37" s="109">
        <f>+Entrada!AH17</f>
        <v>640</v>
      </c>
      <c r="AG37" s="109">
        <f>+Entrada!AI17</f>
        <v>360</v>
      </c>
      <c r="AH37" s="109">
        <f>+Entrada!AJ17</f>
        <v>440</v>
      </c>
      <c r="AI37" s="109">
        <f>+Entrada!AK17</f>
        <v>156</v>
      </c>
      <c r="AJ37" s="109">
        <f>+Entrada!AL17</f>
        <v>600</v>
      </c>
      <c r="AK37" s="109">
        <f>+Entrada!AM17</f>
        <v>336</v>
      </c>
      <c r="AL37" s="109">
        <f>+Entrada!AN17</f>
        <v>352</v>
      </c>
      <c r="AM37" s="109" t="e">
        <f>+Entrada!#REF!</f>
        <v>#REF!</v>
      </c>
      <c r="AN37" s="109">
        <f>+Entrada!AP17</f>
        <v>640</v>
      </c>
      <c r="AO37" s="109">
        <f>+Entrada!AQ17</f>
        <v>620</v>
      </c>
      <c r="AP37" s="109">
        <f>+Entrada!AR17</f>
        <v>0</v>
      </c>
      <c r="AQ37" s="2"/>
      <c r="AR37" s="2"/>
    </row>
    <row r="38" spans="1:44" ht="12.75" customHeight="1">
      <c r="A38" s="176" t="s">
        <v>112</v>
      </c>
      <c r="B38" s="109">
        <f>Entrada!C21</f>
        <v>28800</v>
      </c>
      <c r="C38" s="109">
        <f>Entrada!D21</f>
        <v>30264</v>
      </c>
      <c r="D38" s="109">
        <f>Entrada!E21</f>
        <v>25920</v>
      </c>
      <c r="E38" s="109">
        <f>Entrada!F21</f>
        <v>162240</v>
      </c>
      <c r="F38" s="109">
        <f>Entrada!G21</f>
        <v>192000</v>
      </c>
      <c r="G38" s="109">
        <f>Entrada!H21</f>
        <v>0</v>
      </c>
      <c r="H38" s="109">
        <f>Entrada!I21</f>
        <v>91200</v>
      </c>
      <c r="I38" s="109">
        <f>Entrada!J21</f>
        <v>33600</v>
      </c>
      <c r="J38" s="109">
        <f>Entrada!K21</f>
        <v>48000</v>
      </c>
      <c r="K38" s="109" t="e">
        <f>Entrada!#REF!</f>
        <v>#REF!</v>
      </c>
      <c r="L38" s="109">
        <f>Entrada!L21</f>
        <v>28800</v>
      </c>
      <c r="M38" s="109">
        <f>Entrada!M21</f>
        <v>50400</v>
      </c>
      <c r="N38" s="109" t="e">
        <f>Entrada!#REF!</f>
        <v>#REF!</v>
      </c>
      <c r="O38" s="109" t="e">
        <f>Entrada!#REF!</f>
        <v>#REF!</v>
      </c>
      <c r="P38" s="109">
        <f>Entrada!P21</f>
        <v>72000</v>
      </c>
      <c r="Q38" s="109">
        <f>Entrada!Q21</f>
        <v>26880</v>
      </c>
      <c r="R38" s="109">
        <f>Entrada!R21</f>
        <v>144000</v>
      </c>
      <c r="S38" s="3"/>
      <c r="T38" s="282" t="e">
        <f t="shared" si="26"/>
        <v>#REF!</v>
      </c>
      <c r="U38" s="282">
        <f t="shared" si="27"/>
        <v>8520</v>
      </c>
      <c r="V38" s="282">
        <f t="shared" si="28"/>
        <v>24936</v>
      </c>
      <c r="W38" s="3"/>
      <c r="X38" s="109">
        <f>Entrada!Z21</f>
        <v>4080</v>
      </c>
      <c r="Y38" s="109">
        <f>Entrada!AA21</f>
        <v>12960</v>
      </c>
      <c r="Z38" s="3"/>
      <c r="AA38" s="109">
        <f>Entrada!AC21</f>
        <v>21600</v>
      </c>
      <c r="AB38" s="109">
        <f>Entrada!AD21</f>
        <v>33600</v>
      </c>
      <c r="AC38" s="109">
        <f>Entrada!AE21</f>
        <v>21120</v>
      </c>
      <c r="AD38" s="109">
        <f>Entrada!AF21</f>
        <v>12000</v>
      </c>
      <c r="AE38" s="109">
        <f>Entrada!AG21</f>
        <v>22800</v>
      </c>
      <c r="AF38" s="109">
        <f>Entrada!AH21</f>
        <v>38400</v>
      </c>
      <c r="AG38" s="109">
        <f>Entrada!AI21</f>
        <v>21600</v>
      </c>
      <c r="AH38" s="109">
        <f>Entrada!AJ21</f>
        <v>26400</v>
      </c>
      <c r="AI38" s="109">
        <f>Entrada!AK21</f>
        <v>9360</v>
      </c>
      <c r="AJ38" s="109">
        <f>Entrada!AL21</f>
        <v>36000</v>
      </c>
      <c r="AK38" s="109">
        <f>Entrada!AM21</f>
        <v>20160</v>
      </c>
      <c r="AL38" s="109">
        <f>Entrada!AN21</f>
        <v>21120</v>
      </c>
      <c r="AM38" s="109" t="e">
        <f>Entrada!#REF!</f>
        <v>#REF!</v>
      </c>
      <c r="AN38" s="109">
        <f>Entrada!AP21</f>
        <v>38400</v>
      </c>
      <c r="AO38" s="109">
        <f>Entrada!AQ21</f>
        <v>37200</v>
      </c>
      <c r="AP38" s="109">
        <f>Entrada!AR21</f>
        <v>0</v>
      </c>
      <c r="AQ38" s="2"/>
      <c r="AR38" s="2"/>
    </row>
    <row r="39" spans="1:44" ht="12.75" customHeight="1">
      <c r="A39" s="176" t="s">
        <v>250</v>
      </c>
      <c r="B39" s="109">
        <f>Entrada!C17*Parâmetros!$C$32</f>
        <v>24000</v>
      </c>
      <c r="C39" s="109">
        <f>Entrada!D17*Parâmetros!$C$32</f>
        <v>25220</v>
      </c>
      <c r="D39" s="109">
        <f>Entrada!E17*Parâmetros!$C$32</f>
        <v>21600</v>
      </c>
      <c r="E39" s="109">
        <f>Entrada!F17*Parâmetros!$C$32</f>
        <v>135200</v>
      </c>
      <c r="F39" s="109">
        <f>Entrada!G17*Parâmetros!$C$32</f>
        <v>160000</v>
      </c>
      <c r="G39" s="109">
        <f>Entrada!H17*Parâmetros!$C$32</f>
        <v>0</v>
      </c>
      <c r="H39" s="109">
        <f>Entrada!I17*Parâmetros!$C$32</f>
        <v>76000</v>
      </c>
      <c r="I39" s="109">
        <f>Entrada!J17*Parâmetros!$C$32</f>
        <v>28000</v>
      </c>
      <c r="J39" s="109">
        <f>Entrada!K17*Parâmetros!$C$32</f>
        <v>40000</v>
      </c>
      <c r="K39" s="109" t="e">
        <f>Entrada!#REF!*Parâmetros!$C$32</f>
        <v>#REF!</v>
      </c>
      <c r="L39" s="109">
        <f>Entrada!L17*Parâmetros!$C$32</f>
        <v>24000</v>
      </c>
      <c r="M39" s="109">
        <f>Entrada!M17*Parâmetros!$C$32</f>
        <v>42000</v>
      </c>
      <c r="N39" s="109" t="e">
        <f>Entrada!#REF!*Parâmetros!$C$32</f>
        <v>#REF!</v>
      </c>
      <c r="O39" s="109" t="e">
        <f>Entrada!#REF!*Parâmetros!$C$32</f>
        <v>#REF!</v>
      </c>
      <c r="P39" s="109">
        <f>Entrada!P17*Parâmetros!$C$32</f>
        <v>60000</v>
      </c>
      <c r="Q39" s="109">
        <f>Entrada!Q17*Parâmetros!$C$32</f>
        <v>22400</v>
      </c>
      <c r="R39" s="109">
        <f>Entrada!R17*Parâmetros!$C$32</f>
        <v>120000</v>
      </c>
      <c r="S39" s="3"/>
      <c r="T39" s="282" t="e">
        <f t="shared" si="26"/>
        <v>#REF!</v>
      </c>
      <c r="U39" s="282">
        <f t="shared" si="27"/>
        <v>7100</v>
      </c>
      <c r="V39" s="282">
        <f t="shared" si="28"/>
        <v>20780</v>
      </c>
      <c r="W39" s="3"/>
      <c r="X39" s="109">
        <f>Entrada!Z17*Parâmetros!$C$32</f>
        <v>3400</v>
      </c>
      <c r="Y39" s="109">
        <f>Entrada!AA17*Parâmetros!$C$32</f>
        <v>10800</v>
      </c>
      <c r="Z39" s="3"/>
      <c r="AA39" s="109">
        <f>Entrada!AC17*Parâmetros!$C$32</f>
        <v>18000</v>
      </c>
      <c r="AB39" s="109">
        <f>Entrada!AD17*Parâmetros!$C$32</f>
        <v>28000</v>
      </c>
      <c r="AC39" s="109">
        <f>Entrada!AE17*Parâmetros!$C$32</f>
        <v>17600</v>
      </c>
      <c r="AD39" s="109">
        <f>Entrada!AF17*Parâmetros!$C$32</f>
        <v>10000</v>
      </c>
      <c r="AE39" s="109">
        <f>Entrada!AG17*Parâmetros!$C$32</f>
        <v>19000</v>
      </c>
      <c r="AF39" s="109">
        <f>Entrada!AH17*Parâmetros!$C$32</f>
        <v>32000</v>
      </c>
      <c r="AG39" s="109">
        <f>Entrada!AI17*Parâmetros!$C$32</f>
        <v>18000</v>
      </c>
      <c r="AH39" s="109">
        <f>Entrada!AJ17*Parâmetros!$C$32</f>
        <v>22000</v>
      </c>
      <c r="AI39" s="109">
        <f>Entrada!AK17*Parâmetros!$C$32</f>
        <v>7800</v>
      </c>
      <c r="AJ39" s="109">
        <f>Entrada!AL17*Parâmetros!$C$32</f>
        <v>30000</v>
      </c>
      <c r="AK39" s="109">
        <f>Entrada!AM17*Parâmetros!$C$32</f>
        <v>16800</v>
      </c>
      <c r="AL39" s="109">
        <f>Entrada!AN17*Parâmetros!$C$32</f>
        <v>17600</v>
      </c>
      <c r="AM39" s="109" t="e">
        <f>Entrada!#REF!*Parâmetros!$C$32</f>
        <v>#REF!</v>
      </c>
      <c r="AN39" s="109">
        <f>Entrada!AP17*Parâmetros!$C$32</f>
        <v>32000</v>
      </c>
      <c r="AO39" s="109">
        <f>Entrada!AQ17*Parâmetros!$C$32</f>
        <v>31000</v>
      </c>
      <c r="AP39" s="109">
        <f>Entrada!AR17*Parâmetros!$C$32</f>
        <v>0</v>
      </c>
      <c r="AQ39" s="2"/>
      <c r="AR39" s="2"/>
    </row>
    <row r="40" spans="1:44" ht="12.75" customHeight="1">
      <c r="A40" s="176" t="s">
        <v>113</v>
      </c>
      <c r="B40" s="109">
        <f>'CustoXReceita Empreend$'!D40</f>
        <v>12</v>
      </c>
      <c r="C40" s="109">
        <f>'CustoXReceita Empreend$'!E40</f>
        <v>13</v>
      </c>
      <c r="D40" s="109">
        <f>'CustoXReceita Empreend$'!F40</f>
        <v>8</v>
      </c>
      <c r="E40" s="109">
        <f>'CustoXReceita Empreend$'!G40</f>
        <v>26</v>
      </c>
      <c r="F40" s="109">
        <f>'CustoXReceita Empreend$'!H40</f>
        <v>2</v>
      </c>
      <c r="G40" s="109">
        <f>'CustoXReceita Empreend$'!I40</f>
        <v>0</v>
      </c>
      <c r="H40" s="109">
        <f>'CustoXReceita Empreend$'!J40</f>
        <v>38</v>
      </c>
      <c r="I40" s="109">
        <f>'CustoXReceita Empreend$'!K40</f>
        <v>14</v>
      </c>
      <c r="J40" s="109">
        <f>'CustoXReceita Empreend$'!L40</f>
        <v>4</v>
      </c>
      <c r="K40" s="109">
        <f>'CustoXReceita Empreend$'!M40</f>
        <v>15</v>
      </c>
      <c r="L40" s="109">
        <f>'CustoXReceita Empreend$'!N40</f>
        <v>21</v>
      </c>
      <c r="M40" s="109">
        <f>'CustoXReceita Empreend$'!O40</f>
        <v>19</v>
      </c>
      <c r="N40" s="109">
        <f>'CustoXReceita Empreend$'!P40</f>
        <v>8</v>
      </c>
      <c r="O40" s="109">
        <f>'CustoXReceita Empreend$'!Q40</f>
        <v>15</v>
      </c>
      <c r="P40" s="109">
        <f>'CustoXReceita Empreend$'!R40</f>
        <v>14</v>
      </c>
      <c r="Q40" s="109">
        <f>'CustoXReceita Empreend$'!S40</f>
        <v>20</v>
      </c>
      <c r="R40" s="109">
        <f>'CustoXReceita Empreend$'!T40</f>
        <v>0</v>
      </c>
      <c r="S40" s="3"/>
      <c r="T40" s="282">
        <f t="shared" si="26"/>
        <v>13.933333333333334</v>
      </c>
      <c r="U40" s="282">
        <f t="shared" si="27"/>
        <v>22</v>
      </c>
      <c r="V40" s="282">
        <f t="shared" si="28"/>
        <v>21.9</v>
      </c>
      <c r="W40" s="3"/>
      <c r="X40" s="109">
        <f>'CustoXReceita Empreend$'!AD40</f>
        <v>17</v>
      </c>
      <c r="Y40" s="109">
        <f>'CustoXReceita Empreend$'!AE40</f>
        <v>27</v>
      </c>
      <c r="Z40" s="3"/>
      <c r="AA40" s="109">
        <f>'CustoXReceita Empreend$'!AG40</f>
        <v>18</v>
      </c>
      <c r="AB40" s="109">
        <f>'CustoXReceita Empreend$'!AH40</f>
        <v>28</v>
      </c>
      <c r="AC40" s="109">
        <f>'CustoXReceita Empreend$'!AI40</f>
        <v>22</v>
      </c>
      <c r="AD40" s="109">
        <f>'CustoXReceita Empreend$'!AJ40</f>
        <v>10</v>
      </c>
      <c r="AE40" s="109">
        <f>'CustoXReceita Empreend$'!AK40</f>
        <v>19</v>
      </c>
      <c r="AF40" s="109">
        <f>'CustoXReceita Empreend$'!AL40</f>
        <v>32</v>
      </c>
      <c r="AG40" s="109">
        <f>'CustoXReceita Empreend$'!AM40</f>
        <v>18</v>
      </c>
      <c r="AH40" s="109">
        <f>'CustoXReceita Empreend$'!AN40</f>
        <v>22</v>
      </c>
      <c r="AI40" s="109">
        <f>'CustoXReceita Empreend$'!AO40</f>
        <v>6</v>
      </c>
      <c r="AJ40" s="109">
        <f>'CustoXReceita Empreend$'!AP40</f>
        <v>30</v>
      </c>
      <c r="AK40" s="109">
        <f>'CustoXReceita Empreend$'!AQ40</f>
        <v>21</v>
      </c>
      <c r="AL40" s="109">
        <f>'CustoXReceita Empreend$'!AR40</f>
        <v>22</v>
      </c>
      <c r="AM40" s="109">
        <f>'CustoXReceita Empreend$'!AS40</f>
        <v>11</v>
      </c>
      <c r="AN40" s="109">
        <f>'CustoXReceita Empreend$'!AT40</f>
        <v>32</v>
      </c>
      <c r="AO40" s="109">
        <f>'CustoXReceita Empreend$'!AU40</f>
        <v>31</v>
      </c>
      <c r="AP40" s="109">
        <f>'CustoXReceita Empreend$'!AV40</f>
        <v>0</v>
      </c>
      <c r="AQ40" s="2"/>
      <c r="AR40" s="2"/>
    </row>
    <row r="41" spans="1:44" ht="12.75" customHeight="1">
      <c r="A41" s="176" t="s">
        <v>63</v>
      </c>
      <c r="B41" s="109">
        <f>'CustoXReceita Empreend$'!D41</f>
        <v>10</v>
      </c>
      <c r="C41" s="109">
        <f>'CustoXReceita Empreend$'!E41</f>
        <v>9.6999999999999993</v>
      </c>
      <c r="D41" s="109">
        <f>'CustoXReceita Empreend$'!F41</f>
        <v>13.5</v>
      </c>
      <c r="E41" s="109">
        <f>'CustoXReceita Empreend$'!G41</f>
        <v>26</v>
      </c>
      <c r="F41" s="109">
        <f>'CustoXReceita Empreend$'!H41</f>
        <v>400</v>
      </c>
      <c r="G41" s="109">
        <f>'CustoXReceita Empreend$'!I41</f>
        <v>0</v>
      </c>
      <c r="H41" s="109">
        <f>'CustoXReceita Empreend$'!J41</f>
        <v>10</v>
      </c>
      <c r="I41" s="109">
        <f>'CustoXReceita Empreend$'!K41</f>
        <v>10</v>
      </c>
      <c r="J41" s="109">
        <f>'CustoXReceita Empreend$'!L41</f>
        <v>50</v>
      </c>
      <c r="K41" s="109">
        <f>'CustoXReceita Empreend$'!M41</f>
        <v>8</v>
      </c>
      <c r="L41" s="109">
        <f>'CustoXReceita Empreend$'!N41</f>
        <v>10</v>
      </c>
      <c r="M41" s="109">
        <f>'CustoXReceita Empreend$'!O41</f>
        <v>8</v>
      </c>
      <c r="N41" s="109">
        <f>'CustoXReceita Empreend$'!P41</f>
        <v>10</v>
      </c>
      <c r="O41" s="109">
        <f>'CustoXReceita Empreend$'!Q41</f>
        <v>20</v>
      </c>
      <c r="P41" s="109">
        <f>'CustoXReceita Empreend$'!R41</f>
        <v>8</v>
      </c>
      <c r="Q41" s="361">
        <f>'CustoXReceita Empreend$'!S41</f>
        <v>30</v>
      </c>
      <c r="R41" s="361">
        <f>'CustoXReceita Empreend$'!T41</f>
        <v>0</v>
      </c>
      <c r="S41" s="3"/>
      <c r="T41" s="282">
        <f t="shared" si="26"/>
        <v>39.546666666666667</v>
      </c>
      <c r="U41" s="282">
        <f t="shared" si="27"/>
        <v>1.5</v>
      </c>
      <c r="V41" s="282">
        <f t="shared" si="28"/>
        <v>4.8499999999999996</v>
      </c>
      <c r="W41" s="3"/>
      <c r="X41" s="109">
        <f>'CustoXReceita Empreend$'!AD41</f>
        <v>1</v>
      </c>
      <c r="Y41" s="109">
        <f>'CustoXReceita Empreend$'!AE41</f>
        <v>2</v>
      </c>
      <c r="Z41" s="439"/>
      <c r="AA41" s="109">
        <f>'CustoXReceita Empreend$'!AG41</f>
        <v>5</v>
      </c>
      <c r="AB41" s="109">
        <f>'CustoXReceita Empreend$'!AH41</f>
        <v>5</v>
      </c>
      <c r="AC41" s="109">
        <f>'CustoXReceita Empreend$'!AI41</f>
        <v>4</v>
      </c>
      <c r="AD41" s="109">
        <f>'CustoXReceita Empreend$'!AJ41</f>
        <v>5</v>
      </c>
      <c r="AE41" s="109">
        <f>'CustoXReceita Empreend$'!AK41</f>
        <v>5</v>
      </c>
      <c r="AF41" s="109">
        <f>'CustoXReceita Empreend$'!AL41</f>
        <v>5</v>
      </c>
      <c r="AG41" s="109">
        <f>'CustoXReceita Empreend$'!AM41</f>
        <v>5</v>
      </c>
      <c r="AH41" s="109">
        <f>'CustoXReceita Empreend$'!AN41</f>
        <v>5</v>
      </c>
      <c r="AI41" s="109">
        <f>'CustoXReceita Empreend$'!AO41</f>
        <v>6.5</v>
      </c>
      <c r="AJ41" s="109">
        <f>'CustoXReceita Empreend$'!AP41</f>
        <v>5</v>
      </c>
      <c r="AK41" s="109">
        <f>'CustoXReceita Empreend$'!AQ41</f>
        <v>4</v>
      </c>
      <c r="AL41" s="109">
        <f>'CustoXReceita Empreend$'!AR41</f>
        <v>4</v>
      </c>
      <c r="AM41" s="440">
        <f>'CustoXReceita Empreend$'!AS41</f>
        <v>5</v>
      </c>
      <c r="AN41" s="440">
        <f>'CustoXReceita Empreend$'!AT41</f>
        <v>5</v>
      </c>
      <c r="AO41" s="440">
        <f>'CustoXReceita Empreend$'!AU41</f>
        <v>5</v>
      </c>
      <c r="AP41" s="440">
        <f>'CustoXReceita Empreend$'!AV41</f>
        <v>0</v>
      </c>
      <c r="AQ41" s="2"/>
      <c r="AR41" s="2"/>
    </row>
    <row r="42" spans="1:44" ht="12.75" customHeight="1">
      <c r="A42" s="2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"/>
      <c r="T42" s="37"/>
      <c r="U42" s="37"/>
      <c r="V42" s="37"/>
      <c r="W42" s="3"/>
      <c r="X42" s="37"/>
      <c r="Y42" s="37"/>
      <c r="Z42" s="3"/>
      <c r="AA42" s="37"/>
      <c r="AB42" s="3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2"/>
      <c r="U43" s="2"/>
      <c r="V43" s="2"/>
      <c r="W43" s="3"/>
      <c r="X43" s="2"/>
      <c r="Y43" s="2"/>
      <c r="Z43" s="3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ht="15.75" customHeight="1">
      <c r="A44" s="2" t="s">
        <v>251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  <c r="Q44" s="3"/>
      <c r="R44" s="3"/>
      <c r="S44" s="3"/>
      <c r="T44" s="2"/>
      <c r="U44" s="2"/>
      <c r="V44" s="2"/>
      <c r="W44" s="3"/>
      <c r="X44" s="2"/>
      <c r="Y44" s="2"/>
      <c r="Z44" s="3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/>
      <c r="Q45" s="3"/>
      <c r="R45" s="3"/>
      <c r="S45" s="3"/>
      <c r="T45" s="2"/>
      <c r="U45" s="2"/>
      <c r="V45" s="2"/>
      <c r="W45" s="3"/>
      <c r="X45" s="2"/>
      <c r="Y45" s="2"/>
      <c r="Z45" s="3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15.75" customHeight="1">
      <c r="K46" s="3"/>
      <c r="L46" s="3"/>
      <c r="M46" s="3"/>
      <c r="N46" s="3"/>
      <c r="O46" s="3"/>
      <c r="P46" s="3"/>
      <c r="Q46" s="3"/>
      <c r="R46" s="3"/>
      <c r="S46" s="3"/>
      <c r="U46" s="3"/>
      <c r="W46" s="3"/>
      <c r="X46" s="3"/>
      <c r="Z46" s="3"/>
      <c r="AQ46" s="3"/>
      <c r="AR46" s="3"/>
    </row>
    <row r="47" spans="1:44" ht="15.75" customHeight="1">
      <c r="K47" s="3"/>
      <c r="L47" s="3"/>
      <c r="M47" s="3"/>
      <c r="N47" s="3"/>
      <c r="O47" s="3"/>
      <c r="P47" s="3"/>
      <c r="Q47" s="3"/>
      <c r="R47" s="3"/>
      <c r="S47" s="3"/>
      <c r="U47" s="3"/>
      <c r="W47" s="3"/>
      <c r="X47" s="3"/>
      <c r="Z47" s="3"/>
      <c r="AQ47" s="3"/>
      <c r="AR47" s="3"/>
    </row>
    <row r="48" spans="1:44" ht="15.75" customHeight="1">
      <c r="K48" s="3"/>
      <c r="L48" s="3"/>
      <c r="M48" s="3"/>
      <c r="N48" s="3"/>
      <c r="O48" s="3"/>
      <c r="P48" s="3"/>
      <c r="Q48" s="3"/>
      <c r="R48" s="3"/>
      <c r="S48" s="3"/>
      <c r="U48" s="3"/>
      <c r="W48" s="3"/>
      <c r="X48" s="3"/>
      <c r="Z48" s="3"/>
      <c r="AQ48" s="3"/>
      <c r="AR48" s="3"/>
    </row>
    <row r="49" spans="11:44" ht="15.75" customHeight="1">
      <c r="K49" s="3"/>
      <c r="L49" s="3"/>
      <c r="M49" s="3"/>
      <c r="N49" s="3"/>
      <c r="O49" s="3"/>
      <c r="P49" s="3"/>
      <c r="Q49" s="3"/>
      <c r="R49" s="3"/>
      <c r="S49" s="3"/>
      <c r="U49" s="3"/>
      <c r="W49" s="3"/>
      <c r="X49" s="3"/>
      <c r="Z49" s="3"/>
      <c r="AQ49" s="3"/>
      <c r="AR49" s="3"/>
    </row>
    <row r="50" spans="11:44" ht="15.75" customHeight="1">
      <c r="K50" s="3"/>
      <c r="L50" s="3"/>
      <c r="M50" s="3"/>
      <c r="N50" s="3"/>
      <c r="O50" s="3"/>
      <c r="P50" s="3"/>
      <c r="Q50" s="3"/>
      <c r="R50" s="3"/>
      <c r="S50" s="3"/>
      <c r="U50" s="3"/>
      <c r="W50" s="3"/>
      <c r="X50" s="3"/>
      <c r="Z50" s="3"/>
      <c r="AQ50" s="3"/>
      <c r="AR50" s="3"/>
    </row>
    <row r="51" spans="11:44" ht="15.75" customHeight="1">
      <c r="K51" s="3"/>
      <c r="L51" s="3"/>
      <c r="M51" s="3"/>
      <c r="N51" s="3"/>
      <c r="O51" s="3"/>
      <c r="P51" s="3"/>
      <c r="Q51" s="3"/>
      <c r="R51" s="3"/>
      <c r="S51" s="3"/>
      <c r="U51" s="3"/>
      <c r="W51" s="3"/>
      <c r="X51" s="3"/>
      <c r="Z51" s="3"/>
      <c r="AQ51" s="3"/>
      <c r="AR51" s="3"/>
    </row>
    <row r="52" spans="11:44" ht="15.75" customHeight="1">
      <c r="K52" s="3"/>
      <c r="L52" s="3"/>
      <c r="M52" s="3"/>
      <c r="N52" s="3"/>
      <c r="O52" s="3"/>
      <c r="P52" s="3"/>
      <c r="Q52" s="3"/>
      <c r="R52" s="3"/>
      <c r="S52" s="3"/>
      <c r="U52" s="3"/>
      <c r="W52" s="3"/>
      <c r="X52" s="3"/>
      <c r="Z52" s="3"/>
      <c r="AQ52" s="3"/>
      <c r="AR52" s="3"/>
    </row>
    <row r="53" spans="11:44" ht="15.75" customHeight="1">
      <c r="K53" s="3"/>
      <c r="L53" s="3"/>
      <c r="M53" s="3"/>
      <c r="N53" s="3"/>
      <c r="O53" s="3"/>
      <c r="P53" s="3"/>
      <c r="Q53" s="3"/>
      <c r="R53" s="3"/>
      <c r="S53" s="3"/>
      <c r="U53" s="3"/>
      <c r="W53" s="3"/>
      <c r="X53" s="3"/>
      <c r="Z53" s="3"/>
      <c r="AQ53" s="3"/>
      <c r="AR53" s="3"/>
    </row>
    <row r="54" spans="11:44" ht="15.75" customHeight="1">
      <c r="K54" s="3"/>
      <c r="L54" s="3"/>
      <c r="M54" s="3"/>
      <c r="N54" s="3"/>
      <c r="O54" s="3"/>
      <c r="P54" s="3"/>
      <c r="Q54" s="3"/>
      <c r="R54" s="3"/>
      <c r="S54" s="3"/>
      <c r="U54" s="3"/>
      <c r="W54" s="3"/>
      <c r="X54" s="3"/>
      <c r="Z54" s="3"/>
      <c r="AQ54" s="3"/>
      <c r="AR54" s="3"/>
    </row>
    <row r="55" spans="11:44" ht="15.75" customHeight="1">
      <c r="K55" s="3"/>
      <c r="L55" s="3"/>
      <c r="M55" s="3"/>
      <c r="N55" s="3"/>
      <c r="O55" s="3"/>
      <c r="P55" s="3"/>
      <c r="Q55" s="3"/>
      <c r="R55" s="3"/>
      <c r="S55" s="3"/>
      <c r="U55" s="3"/>
      <c r="W55" s="3"/>
      <c r="X55" s="3"/>
      <c r="Z55" s="3"/>
      <c r="AQ55" s="3"/>
      <c r="AR55" s="3"/>
    </row>
    <row r="56" spans="11:44" ht="15.75" customHeight="1">
      <c r="K56" s="3"/>
      <c r="L56" s="3"/>
      <c r="M56" s="3"/>
      <c r="N56" s="3"/>
      <c r="O56" s="3"/>
      <c r="P56" s="3"/>
      <c r="Q56" s="3"/>
      <c r="R56" s="3"/>
      <c r="S56" s="3"/>
      <c r="U56" s="3"/>
      <c r="W56" s="3"/>
      <c r="X56" s="3"/>
      <c r="Z56" s="3"/>
      <c r="AQ56" s="3"/>
      <c r="AR56" s="3"/>
    </row>
    <row r="57" spans="11:44" ht="15.75" customHeight="1">
      <c r="K57" s="3"/>
      <c r="L57" s="3"/>
      <c r="M57" s="3"/>
      <c r="N57" s="3"/>
      <c r="O57" s="3"/>
      <c r="P57" s="3"/>
      <c r="Q57" s="3"/>
      <c r="R57" s="3"/>
      <c r="S57" s="3"/>
      <c r="U57" s="3"/>
      <c r="W57" s="3"/>
      <c r="X57" s="3"/>
      <c r="Z57" s="3"/>
      <c r="AQ57" s="3"/>
      <c r="AR57" s="3"/>
    </row>
    <row r="58" spans="11:44" ht="15.75" customHeight="1">
      <c r="K58" s="3"/>
      <c r="L58" s="3"/>
      <c r="M58" s="3"/>
      <c r="N58" s="3"/>
      <c r="O58" s="3"/>
      <c r="P58" s="3"/>
      <c r="Q58" s="3"/>
      <c r="R58" s="3"/>
      <c r="S58" s="3"/>
      <c r="U58" s="3"/>
      <c r="W58" s="3"/>
      <c r="X58" s="3"/>
      <c r="Z58" s="3"/>
      <c r="AQ58" s="3"/>
      <c r="AR58" s="3"/>
    </row>
    <row r="59" spans="11:44" ht="15.75" customHeight="1">
      <c r="K59" s="3"/>
      <c r="L59" s="3"/>
      <c r="M59" s="3"/>
      <c r="N59" s="3"/>
      <c r="O59" s="3"/>
      <c r="P59" s="3"/>
      <c r="Q59" s="3"/>
      <c r="R59" s="3"/>
      <c r="S59" s="3"/>
      <c r="U59" s="3"/>
      <c r="W59" s="3"/>
      <c r="X59" s="3"/>
      <c r="Z59" s="3"/>
      <c r="AQ59" s="3"/>
      <c r="AR59" s="3"/>
    </row>
    <row r="60" spans="11:44" ht="15.75" customHeight="1">
      <c r="K60" s="3"/>
      <c r="L60" s="3"/>
      <c r="M60" s="3"/>
      <c r="N60" s="3"/>
      <c r="O60" s="3"/>
      <c r="P60" s="3"/>
      <c r="Q60" s="3"/>
      <c r="R60" s="3"/>
      <c r="S60" s="3"/>
      <c r="U60" s="3"/>
      <c r="W60" s="3"/>
      <c r="X60" s="3"/>
      <c r="Z60" s="3"/>
      <c r="AQ60" s="3"/>
      <c r="AR60" s="3"/>
    </row>
    <row r="61" spans="11:44" ht="15.75" customHeight="1">
      <c r="K61" s="3"/>
      <c r="L61" s="3"/>
      <c r="M61" s="3"/>
      <c r="N61" s="3"/>
      <c r="O61" s="3"/>
      <c r="P61" s="3"/>
      <c r="Q61" s="3"/>
      <c r="R61" s="3"/>
      <c r="S61" s="3"/>
      <c r="U61" s="3"/>
      <c r="W61" s="3"/>
      <c r="X61" s="3"/>
      <c r="Z61" s="3"/>
      <c r="AQ61" s="3"/>
      <c r="AR61" s="3"/>
    </row>
    <row r="62" spans="11:44" ht="15.75" customHeight="1">
      <c r="K62" s="3"/>
      <c r="L62" s="3"/>
      <c r="M62" s="3"/>
      <c r="N62" s="3"/>
      <c r="O62" s="3"/>
      <c r="P62" s="3"/>
      <c r="Q62" s="3"/>
      <c r="R62" s="3"/>
      <c r="S62" s="3"/>
      <c r="U62" s="3"/>
      <c r="W62" s="3"/>
      <c r="X62" s="3"/>
      <c r="Z62" s="3"/>
      <c r="AQ62" s="3"/>
      <c r="AR62" s="3"/>
    </row>
    <row r="63" spans="11:44" ht="15.75" customHeight="1">
      <c r="K63" s="3"/>
      <c r="L63" s="3"/>
      <c r="M63" s="3"/>
      <c r="N63" s="3"/>
      <c r="O63" s="3"/>
      <c r="P63" s="3"/>
      <c r="Q63" s="3"/>
      <c r="R63" s="3"/>
      <c r="S63" s="3"/>
      <c r="U63" s="3"/>
      <c r="W63" s="3"/>
      <c r="X63" s="3"/>
      <c r="Z63" s="3"/>
      <c r="AQ63" s="3"/>
      <c r="AR63" s="3"/>
    </row>
    <row r="64" spans="11:44" ht="15.75" customHeight="1">
      <c r="K64" s="3"/>
      <c r="L64" s="3"/>
      <c r="M64" s="3"/>
      <c r="N64" s="3"/>
      <c r="O64" s="3"/>
      <c r="P64" s="3"/>
      <c r="Q64" s="3"/>
      <c r="R64" s="3"/>
      <c r="S64" s="3"/>
      <c r="U64" s="3"/>
      <c r="W64" s="3"/>
      <c r="X64" s="3"/>
      <c r="Z64" s="3"/>
      <c r="AQ64" s="3"/>
      <c r="AR64" s="3"/>
    </row>
    <row r="65" spans="11:44" ht="15.75" customHeight="1">
      <c r="K65" s="3"/>
      <c r="L65" s="3"/>
      <c r="M65" s="3"/>
      <c r="N65" s="3"/>
      <c r="O65" s="3"/>
      <c r="P65" s="3"/>
      <c r="Q65" s="3"/>
      <c r="R65" s="3"/>
      <c r="S65" s="3"/>
      <c r="U65" s="3"/>
      <c r="W65" s="3"/>
      <c r="X65" s="3"/>
      <c r="Z65" s="3"/>
      <c r="AQ65" s="3"/>
      <c r="AR65" s="3"/>
    </row>
    <row r="66" spans="11:44" ht="15.75" customHeight="1">
      <c r="K66" s="3"/>
      <c r="L66" s="3"/>
      <c r="M66" s="3"/>
      <c r="N66" s="3"/>
      <c r="O66" s="3"/>
      <c r="P66" s="3"/>
      <c r="Q66" s="3"/>
      <c r="R66" s="3"/>
      <c r="S66" s="3"/>
      <c r="U66" s="3"/>
      <c r="W66" s="3"/>
      <c r="X66" s="3"/>
      <c r="Z66" s="3"/>
      <c r="AQ66" s="3"/>
      <c r="AR66" s="3"/>
    </row>
    <row r="67" spans="11:44" ht="15.75" customHeight="1">
      <c r="K67" s="3"/>
      <c r="L67" s="3"/>
      <c r="M67" s="3"/>
      <c r="N67" s="3"/>
      <c r="O67" s="3"/>
      <c r="P67" s="3"/>
      <c r="Q67" s="3"/>
      <c r="R67" s="3"/>
      <c r="S67" s="3"/>
      <c r="U67" s="3"/>
      <c r="W67" s="3"/>
      <c r="X67" s="3"/>
      <c r="Z67" s="3"/>
      <c r="AQ67" s="3"/>
      <c r="AR67" s="3"/>
    </row>
    <row r="68" spans="11:44" ht="15.75" customHeight="1">
      <c r="K68" s="3"/>
      <c r="L68" s="3"/>
      <c r="M68" s="3"/>
      <c r="N68" s="3"/>
      <c r="O68" s="3"/>
      <c r="P68" s="3"/>
      <c r="Q68" s="3"/>
      <c r="R68" s="3"/>
      <c r="S68" s="3"/>
      <c r="U68" s="3"/>
      <c r="W68" s="3"/>
      <c r="X68" s="3"/>
      <c r="Z68" s="3"/>
      <c r="AQ68" s="3"/>
      <c r="AR68" s="3"/>
    </row>
    <row r="69" spans="11:44" ht="15.75" customHeight="1">
      <c r="K69" s="3"/>
      <c r="L69" s="3"/>
      <c r="M69" s="3"/>
      <c r="N69" s="3"/>
      <c r="O69" s="3"/>
      <c r="P69" s="3"/>
      <c r="Q69" s="3"/>
      <c r="R69" s="3"/>
      <c r="S69" s="3"/>
      <c r="U69" s="3"/>
      <c r="W69" s="3"/>
      <c r="X69" s="3"/>
      <c r="Z69" s="3"/>
      <c r="AQ69" s="3"/>
      <c r="AR69" s="3"/>
    </row>
    <row r="70" spans="11:44" ht="15.75" customHeight="1">
      <c r="K70" s="3"/>
      <c r="L70" s="3"/>
      <c r="M70" s="3"/>
      <c r="N70" s="3"/>
      <c r="O70" s="3"/>
      <c r="P70" s="3"/>
      <c r="Q70" s="3"/>
      <c r="R70" s="3"/>
      <c r="S70" s="3"/>
      <c r="U70" s="3"/>
      <c r="W70" s="3"/>
      <c r="X70" s="3"/>
      <c r="Z70" s="3"/>
      <c r="AQ70" s="3"/>
      <c r="AR70" s="3"/>
    </row>
    <row r="71" spans="11:44" ht="15.75" customHeight="1">
      <c r="K71" s="3"/>
      <c r="L71" s="3"/>
      <c r="M71" s="3"/>
      <c r="N71" s="3"/>
      <c r="O71" s="3"/>
      <c r="P71" s="3"/>
      <c r="Q71" s="3"/>
      <c r="R71" s="3"/>
      <c r="S71" s="3"/>
      <c r="U71" s="3"/>
      <c r="W71" s="3"/>
      <c r="X71" s="3"/>
      <c r="Z71" s="3"/>
      <c r="AQ71" s="3"/>
      <c r="AR71" s="3"/>
    </row>
    <row r="72" spans="11:44" ht="15.75" customHeight="1">
      <c r="K72" s="3"/>
      <c r="L72" s="3"/>
      <c r="M72" s="3"/>
      <c r="N72" s="3"/>
      <c r="O72" s="3"/>
      <c r="P72" s="3"/>
      <c r="Q72" s="3"/>
      <c r="R72" s="3"/>
      <c r="S72" s="3"/>
      <c r="U72" s="3"/>
      <c r="W72" s="3"/>
      <c r="X72" s="3"/>
      <c r="Z72" s="3"/>
      <c r="AQ72" s="3"/>
      <c r="AR72" s="3"/>
    </row>
    <row r="73" spans="11:44" ht="15.75" customHeight="1">
      <c r="K73" s="3"/>
      <c r="L73" s="3"/>
      <c r="M73" s="3"/>
      <c r="N73" s="3"/>
      <c r="O73" s="3"/>
      <c r="P73" s="3"/>
      <c r="Q73" s="3"/>
      <c r="R73" s="3"/>
      <c r="S73" s="3"/>
      <c r="U73" s="3"/>
      <c r="W73" s="3"/>
      <c r="X73" s="3"/>
      <c r="Z73" s="3"/>
      <c r="AQ73" s="3"/>
      <c r="AR73" s="3"/>
    </row>
    <row r="74" spans="11:44" ht="15.75" customHeight="1">
      <c r="K74" s="3"/>
      <c r="L74" s="3"/>
      <c r="M74" s="3"/>
      <c r="N74" s="3"/>
      <c r="O74" s="3"/>
      <c r="P74" s="3"/>
      <c r="Q74" s="3"/>
      <c r="R74" s="3"/>
      <c r="S74" s="3"/>
      <c r="U74" s="3"/>
      <c r="W74" s="3"/>
      <c r="X74" s="3"/>
      <c r="Z74" s="3"/>
      <c r="AQ74" s="3"/>
      <c r="AR74" s="3"/>
    </row>
    <row r="75" spans="11:44" ht="15.75" customHeight="1">
      <c r="K75" s="3"/>
      <c r="L75" s="3"/>
      <c r="M75" s="3"/>
      <c r="N75" s="3"/>
      <c r="O75" s="3"/>
      <c r="P75" s="3"/>
      <c r="Q75" s="3"/>
      <c r="R75" s="3"/>
      <c r="S75" s="3"/>
      <c r="U75" s="3"/>
      <c r="W75" s="3"/>
      <c r="X75" s="3"/>
      <c r="Z75" s="3"/>
      <c r="AQ75" s="3"/>
      <c r="AR75" s="3"/>
    </row>
    <row r="76" spans="11:44" ht="15.75" customHeight="1">
      <c r="K76" s="3"/>
      <c r="L76" s="3"/>
      <c r="M76" s="3"/>
      <c r="N76" s="3"/>
      <c r="O76" s="3"/>
      <c r="P76" s="3"/>
      <c r="Q76" s="3"/>
      <c r="R76" s="3"/>
      <c r="S76" s="3"/>
      <c r="U76" s="3"/>
      <c r="W76" s="3"/>
      <c r="X76" s="3"/>
      <c r="Z76" s="3"/>
      <c r="AQ76" s="3"/>
      <c r="AR76" s="3"/>
    </row>
    <row r="77" spans="11:44" ht="15.75" customHeight="1">
      <c r="K77" s="3"/>
      <c r="L77" s="3"/>
      <c r="M77" s="3"/>
      <c r="N77" s="3"/>
      <c r="O77" s="3"/>
      <c r="P77" s="3"/>
      <c r="Q77" s="3"/>
      <c r="R77" s="3"/>
      <c r="S77" s="3"/>
      <c r="U77" s="3"/>
      <c r="W77" s="3"/>
      <c r="X77" s="3"/>
      <c r="Z77" s="3"/>
      <c r="AQ77" s="3"/>
      <c r="AR77" s="3"/>
    </row>
    <row r="78" spans="11:44" ht="15.75" customHeight="1">
      <c r="K78" s="3"/>
      <c r="L78" s="3"/>
      <c r="M78" s="3"/>
      <c r="N78" s="3"/>
      <c r="O78" s="3"/>
      <c r="P78" s="3"/>
      <c r="Q78" s="3"/>
      <c r="R78" s="3"/>
      <c r="S78" s="3"/>
      <c r="U78" s="3"/>
      <c r="W78" s="3"/>
      <c r="X78" s="3"/>
      <c r="Z78" s="3"/>
      <c r="AQ78" s="3"/>
      <c r="AR78" s="3"/>
    </row>
    <row r="79" spans="11:44" ht="15.75" customHeight="1">
      <c r="K79" s="3"/>
      <c r="L79" s="3"/>
      <c r="M79" s="3"/>
      <c r="N79" s="3"/>
      <c r="O79" s="3"/>
      <c r="P79" s="3"/>
      <c r="Q79" s="3"/>
      <c r="R79" s="3"/>
      <c r="S79" s="3"/>
      <c r="U79" s="3"/>
      <c r="W79" s="3"/>
      <c r="X79" s="3"/>
      <c r="Z79" s="3"/>
      <c r="AQ79" s="3"/>
      <c r="AR79" s="3"/>
    </row>
    <row r="80" spans="11:44" ht="15.75" customHeight="1">
      <c r="K80" s="3"/>
      <c r="L80" s="3"/>
      <c r="M80" s="3"/>
      <c r="N80" s="3"/>
      <c r="O80" s="3"/>
      <c r="P80" s="3"/>
      <c r="Q80" s="3"/>
      <c r="R80" s="3"/>
      <c r="S80" s="3"/>
      <c r="U80" s="3"/>
      <c r="W80" s="3"/>
      <c r="X80" s="3"/>
      <c r="Z80" s="3"/>
      <c r="AQ80" s="3"/>
      <c r="AR80" s="3"/>
    </row>
    <row r="81" spans="11:44" ht="15.75" customHeight="1">
      <c r="K81" s="3"/>
      <c r="L81" s="3"/>
      <c r="M81" s="3"/>
      <c r="N81" s="3"/>
      <c r="O81" s="3"/>
      <c r="P81" s="3"/>
      <c r="Q81" s="3"/>
      <c r="R81" s="3"/>
      <c r="S81" s="3"/>
      <c r="U81" s="3"/>
      <c r="W81" s="3"/>
      <c r="X81" s="3"/>
      <c r="Z81" s="3"/>
      <c r="AQ81" s="3"/>
      <c r="AR81" s="3"/>
    </row>
    <row r="82" spans="11:44" ht="15.75" customHeight="1">
      <c r="K82" s="3"/>
      <c r="L82" s="3"/>
      <c r="M82" s="3"/>
      <c r="N82" s="3"/>
      <c r="O82" s="3"/>
      <c r="P82" s="3"/>
      <c r="Q82" s="3"/>
      <c r="R82" s="3"/>
      <c r="S82" s="3"/>
      <c r="U82" s="3"/>
      <c r="W82" s="3"/>
      <c r="X82" s="3"/>
      <c r="Z82" s="3"/>
      <c r="AQ82" s="3"/>
      <c r="AR82" s="3"/>
    </row>
    <row r="83" spans="11:44" ht="15.75" customHeight="1">
      <c r="K83" s="3"/>
      <c r="L83" s="3"/>
      <c r="M83" s="3"/>
      <c r="N83" s="3"/>
      <c r="O83" s="3"/>
      <c r="P83" s="3"/>
      <c r="Q83" s="3"/>
      <c r="R83" s="3"/>
      <c r="S83" s="3"/>
      <c r="U83" s="3"/>
      <c r="W83" s="3"/>
      <c r="X83" s="3"/>
      <c r="Z83" s="3"/>
      <c r="AQ83" s="3"/>
      <c r="AR83" s="3"/>
    </row>
    <row r="84" spans="11:44" ht="15.75" customHeight="1">
      <c r="K84" s="3"/>
      <c r="L84" s="3"/>
      <c r="M84" s="3"/>
      <c r="N84" s="3"/>
      <c r="O84" s="3"/>
      <c r="P84" s="3"/>
      <c r="Q84" s="3"/>
      <c r="R84" s="3"/>
      <c r="S84" s="3"/>
      <c r="U84" s="3"/>
      <c r="W84" s="3"/>
      <c r="X84" s="3"/>
      <c r="Z84" s="3"/>
      <c r="AQ84" s="3"/>
      <c r="AR84" s="3"/>
    </row>
    <row r="85" spans="11:44" ht="15.75" customHeight="1">
      <c r="K85" s="3"/>
      <c r="L85" s="3"/>
      <c r="M85" s="3"/>
      <c r="N85" s="3"/>
      <c r="O85" s="3"/>
      <c r="P85" s="3"/>
      <c r="Q85" s="3"/>
      <c r="R85" s="3"/>
      <c r="S85" s="3"/>
      <c r="U85" s="3"/>
      <c r="W85" s="3"/>
      <c r="X85" s="3"/>
      <c r="Z85" s="3"/>
      <c r="AQ85" s="3"/>
      <c r="AR85" s="3"/>
    </row>
    <row r="86" spans="11:44" ht="15.75" customHeight="1">
      <c r="K86" s="3"/>
      <c r="L86" s="3"/>
      <c r="M86" s="3"/>
      <c r="N86" s="3"/>
      <c r="O86" s="3"/>
      <c r="P86" s="3"/>
      <c r="Q86" s="3"/>
      <c r="R86" s="3"/>
      <c r="S86" s="3"/>
      <c r="U86" s="3"/>
      <c r="W86" s="3"/>
      <c r="X86" s="3"/>
      <c r="Z86" s="3"/>
      <c r="AQ86" s="3"/>
      <c r="AR86" s="3"/>
    </row>
    <row r="87" spans="11:44" ht="15.75" customHeight="1">
      <c r="K87" s="3"/>
      <c r="L87" s="3"/>
      <c r="M87" s="3"/>
      <c r="N87" s="3"/>
      <c r="O87" s="3"/>
      <c r="P87" s="3"/>
      <c r="Q87" s="3"/>
      <c r="R87" s="3"/>
      <c r="S87" s="3"/>
      <c r="U87" s="3"/>
      <c r="W87" s="3"/>
      <c r="X87" s="3"/>
      <c r="Z87" s="3"/>
      <c r="AQ87" s="3"/>
      <c r="AR87" s="3"/>
    </row>
    <row r="88" spans="11:44" ht="15.75" customHeight="1">
      <c r="K88" s="3"/>
      <c r="L88" s="3"/>
      <c r="M88" s="3"/>
      <c r="N88" s="3"/>
      <c r="O88" s="3"/>
      <c r="P88" s="3"/>
      <c r="Q88" s="3"/>
      <c r="R88" s="3"/>
      <c r="S88" s="3"/>
      <c r="U88" s="3"/>
      <c r="W88" s="3"/>
      <c r="X88" s="3"/>
      <c r="Z88" s="3"/>
      <c r="AQ88" s="3"/>
      <c r="AR88" s="3"/>
    </row>
    <row r="89" spans="11:44" ht="15.75" customHeight="1">
      <c r="K89" s="3"/>
      <c r="L89" s="3"/>
      <c r="M89" s="3"/>
      <c r="N89" s="3"/>
      <c r="O89" s="3"/>
      <c r="P89" s="3"/>
      <c r="Q89" s="3"/>
      <c r="R89" s="3"/>
      <c r="S89" s="3"/>
      <c r="U89" s="3"/>
      <c r="W89" s="3"/>
      <c r="X89" s="3"/>
      <c r="Z89" s="3"/>
      <c r="AQ89" s="3"/>
      <c r="AR89" s="3"/>
    </row>
    <row r="90" spans="11:44" ht="15.75" customHeight="1">
      <c r="K90" s="3"/>
      <c r="L90" s="3"/>
      <c r="M90" s="3"/>
      <c r="N90" s="3"/>
      <c r="O90" s="3"/>
      <c r="P90" s="3"/>
      <c r="Q90" s="3"/>
      <c r="R90" s="3"/>
      <c r="S90" s="3"/>
      <c r="U90" s="3"/>
      <c r="W90" s="3"/>
      <c r="X90" s="3"/>
      <c r="Z90" s="3"/>
      <c r="AQ90" s="3"/>
      <c r="AR90" s="3"/>
    </row>
    <row r="91" spans="11:44" ht="15.75" customHeight="1">
      <c r="K91" s="3"/>
      <c r="L91" s="3"/>
      <c r="M91" s="3"/>
      <c r="N91" s="3"/>
      <c r="O91" s="3"/>
      <c r="P91" s="3"/>
      <c r="Q91" s="3"/>
      <c r="R91" s="3"/>
      <c r="S91" s="3"/>
      <c r="U91" s="3"/>
      <c r="W91" s="3"/>
      <c r="X91" s="3"/>
      <c r="Z91" s="3"/>
      <c r="AQ91" s="3"/>
      <c r="AR91" s="3"/>
    </row>
    <row r="92" spans="11:44" ht="15.75" customHeight="1">
      <c r="K92" s="3"/>
      <c r="L92" s="3"/>
      <c r="M92" s="3"/>
      <c r="N92" s="3"/>
      <c r="O92" s="3"/>
      <c r="P92" s="3"/>
      <c r="Q92" s="3"/>
      <c r="R92" s="3"/>
      <c r="S92" s="3"/>
      <c r="U92" s="3"/>
      <c r="W92" s="3"/>
      <c r="X92" s="3"/>
      <c r="Z92" s="3"/>
      <c r="AQ92" s="3"/>
      <c r="AR92" s="3"/>
    </row>
    <row r="93" spans="11:44" ht="15.75" customHeight="1">
      <c r="K93" s="3"/>
      <c r="L93" s="3"/>
      <c r="M93" s="3"/>
      <c r="N93" s="3"/>
      <c r="O93" s="3"/>
      <c r="P93" s="3"/>
      <c r="Q93" s="3"/>
      <c r="R93" s="3"/>
      <c r="S93" s="3"/>
      <c r="U93" s="3"/>
      <c r="W93" s="3"/>
      <c r="X93" s="3"/>
      <c r="Z93" s="3"/>
      <c r="AQ93" s="3"/>
      <c r="AR93" s="3"/>
    </row>
    <row r="94" spans="11:44" ht="15.75" customHeight="1">
      <c r="K94" s="3"/>
      <c r="L94" s="3"/>
      <c r="M94" s="3"/>
      <c r="N94" s="3"/>
      <c r="O94" s="3"/>
      <c r="P94" s="3"/>
      <c r="Q94" s="3"/>
      <c r="R94" s="3"/>
      <c r="S94" s="3"/>
      <c r="U94" s="3"/>
      <c r="W94" s="3"/>
      <c r="X94" s="3"/>
      <c r="Z94" s="3"/>
      <c r="AQ94" s="3"/>
      <c r="AR94" s="3"/>
    </row>
    <row r="95" spans="11:44" ht="15.75" customHeight="1">
      <c r="K95" s="3"/>
      <c r="L95" s="3"/>
      <c r="M95" s="3"/>
      <c r="N95" s="3"/>
      <c r="O95" s="3"/>
      <c r="P95" s="3"/>
      <c r="Q95" s="3"/>
      <c r="R95" s="3"/>
      <c r="S95" s="3"/>
      <c r="U95" s="3"/>
      <c r="W95" s="3"/>
      <c r="X95" s="3"/>
      <c r="Z95" s="3"/>
      <c r="AQ95" s="3"/>
      <c r="AR95" s="3"/>
    </row>
    <row r="96" spans="11:44" ht="15.75" customHeight="1">
      <c r="K96" s="3"/>
      <c r="L96" s="3"/>
      <c r="M96" s="3"/>
      <c r="N96" s="3"/>
      <c r="O96" s="3"/>
      <c r="P96" s="3"/>
      <c r="Q96" s="3"/>
      <c r="R96" s="3"/>
      <c r="S96" s="3"/>
      <c r="U96" s="3"/>
      <c r="W96" s="3"/>
      <c r="X96" s="3"/>
      <c r="Z96" s="3"/>
      <c r="AQ96" s="3"/>
      <c r="AR96" s="3"/>
    </row>
    <row r="97" spans="11:44" ht="15.75" customHeight="1">
      <c r="K97" s="3"/>
      <c r="L97" s="3"/>
      <c r="M97" s="3"/>
      <c r="N97" s="3"/>
      <c r="O97" s="3"/>
      <c r="P97" s="3"/>
      <c r="Q97" s="3"/>
      <c r="R97" s="3"/>
      <c r="S97" s="3"/>
      <c r="U97" s="3"/>
      <c r="W97" s="3"/>
      <c r="X97" s="3"/>
      <c r="Z97" s="3"/>
      <c r="AQ97" s="3"/>
      <c r="AR97" s="3"/>
    </row>
    <row r="98" spans="11:44" ht="15.75" customHeight="1">
      <c r="K98" s="3"/>
      <c r="L98" s="3"/>
      <c r="M98" s="3"/>
      <c r="N98" s="3"/>
      <c r="O98" s="3"/>
      <c r="P98" s="3"/>
      <c r="Q98" s="3"/>
      <c r="R98" s="3"/>
      <c r="S98" s="3"/>
      <c r="U98" s="3"/>
      <c r="W98" s="3"/>
      <c r="X98" s="3"/>
      <c r="Z98" s="3"/>
      <c r="AQ98" s="3"/>
      <c r="AR98" s="3"/>
    </row>
    <row r="99" spans="11:44" ht="15.75" customHeight="1">
      <c r="K99" s="3"/>
      <c r="L99" s="3"/>
      <c r="M99" s="3"/>
      <c r="N99" s="3"/>
      <c r="O99" s="3"/>
      <c r="P99" s="3"/>
      <c r="Q99" s="3"/>
      <c r="R99" s="3"/>
      <c r="S99" s="3"/>
      <c r="U99" s="3"/>
      <c r="W99" s="3"/>
      <c r="X99" s="3"/>
      <c r="Z99" s="3"/>
      <c r="AQ99" s="3"/>
      <c r="AR99" s="3"/>
    </row>
    <row r="100" spans="11:44" ht="15.75" customHeight="1">
      <c r="K100" s="3"/>
      <c r="L100" s="3"/>
      <c r="M100" s="3"/>
      <c r="N100" s="3"/>
      <c r="O100" s="3"/>
      <c r="P100" s="3"/>
      <c r="Q100" s="3"/>
      <c r="R100" s="3"/>
      <c r="S100" s="3"/>
      <c r="U100" s="3"/>
      <c r="W100" s="3"/>
      <c r="X100" s="3"/>
      <c r="Z100" s="3"/>
      <c r="AQ100" s="3"/>
      <c r="AR100" s="3"/>
    </row>
    <row r="101" spans="11:44" ht="15.75" customHeight="1">
      <c r="K101" s="3"/>
      <c r="L101" s="3"/>
      <c r="M101" s="3"/>
      <c r="N101" s="3"/>
      <c r="O101" s="3"/>
      <c r="P101" s="3"/>
      <c r="Q101" s="3"/>
      <c r="R101" s="3"/>
      <c r="S101" s="3"/>
      <c r="U101" s="3"/>
      <c r="W101" s="3"/>
      <c r="X101" s="3"/>
      <c r="Z101" s="3"/>
      <c r="AQ101" s="3"/>
      <c r="AR101" s="3"/>
    </row>
    <row r="102" spans="11:44" ht="15.75" customHeight="1">
      <c r="K102" s="3"/>
      <c r="L102" s="3"/>
      <c r="M102" s="3"/>
      <c r="N102" s="3"/>
      <c r="O102" s="3"/>
      <c r="P102" s="3"/>
      <c r="Q102" s="3"/>
      <c r="R102" s="3"/>
      <c r="S102" s="3"/>
      <c r="U102" s="3"/>
      <c r="W102" s="3"/>
      <c r="X102" s="3"/>
      <c r="Z102" s="3"/>
      <c r="AQ102" s="3"/>
      <c r="AR102" s="3"/>
    </row>
    <row r="103" spans="11:44" ht="15.75" customHeight="1">
      <c r="K103" s="3"/>
      <c r="L103" s="3"/>
      <c r="M103" s="3"/>
      <c r="N103" s="3"/>
      <c r="O103" s="3"/>
      <c r="P103" s="3"/>
      <c r="Q103" s="3"/>
      <c r="R103" s="3"/>
      <c r="S103" s="3"/>
      <c r="U103" s="3"/>
      <c r="W103" s="3"/>
      <c r="X103" s="3"/>
      <c r="Z103" s="3"/>
      <c r="AQ103" s="3"/>
      <c r="AR103" s="3"/>
    </row>
    <row r="104" spans="11:44" ht="15.75" customHeight="1">
      <c r="K104" s="3"/>
      <c r="L104" s="3"/>
      <c r="M104" s="3"/>
      <c r="N104" s="3"/>
      <c r="O104" s="3"/>
      <c r="P104" s="3"/>
      <c r="Q104" s="3"/>
      <c r="R104" s="3"/>
      <c r="S104" s="3"/>
      <c r="U104" s="3"/>
      <c r="W104" s="3"/>
      <c r="X104" s="3"/>
      <c r="Z104" s="3"/>
      <c r="AQ104" s="3"/>
      <c r="AR104" s="3"/>
    </row>
    <row r="105" spans="11:44" ht="15.75" customHeight="1">
      <c r="K105" s="3"/>
      <c r="L105" s="3"/>
      <c r="M105" s="3"/>
      <c r="N105" s="3"/>
      <c r="O105" s="3"/>
      <c r="P105" s="3"/>
      <c r="Q105" s="3"/>
      <c r="R105" s="3"/>
      <c r="S105" s="3"/>
      <c r="U105" s="3"/>
      <c r="W105" s="3"/>
      <c r="X105" s="3"/>
      <c r="Z105" s="3"/>
      <c r="AQ105" s="3"/>
      <c r="AR105" s="3"/>
    </row>
    <row r="106" spans="11:44" ht="15.75" customHeight="1">
      <c r="K106" s="3"/>
      <c r="L106" s="3"/>
      <c r="M106" s="3"/>
      <c r="N106" s="3"/>
      <c r="O106" s="3"/>
      <c r="P106" s="3"/>
      <c r="Q106" s="3"/>
      <c r="R106" s="3"/>
      <c r="S106" s="3"/>
      <c r="U106" s="3"/>
      <c r="W106" s="3"/>
      <c r="X106" s="3"/>
      <c r="Z106" s="3"/>
      <c r="AQ106" s="3"/>
      <c r="AR106" s="3"/>
    </row>
    <row r="107" spans="11:44" ht="15.75" customHeight="1">
      <c r="K107" s="3"/>
      <c r="L107" s="3"/>
      <c r="M107" s="3"/>
      <c r="N107" s="3"/>
      <c r="O107" s="3"/>
      <c r="P107" s="3"/>
      <c r="Q107" s="3"/>
      <c r="R107" s="3"/>
      <c r="S107" s="3"/>
      <c r="U107" s="3"/>
      <c r="W107" s="3"/>
      <c r="X107" s="3"/>
      <c r="Z107" s="3"/>
      <c r="AQ107" s="3"/>
      <c r="AR107" s="3"/>
    </row>
    <row r="108" spans="11:44" ht="15.75" customHeight="1">
      <c r="K108" s="3"/>
      <c r="L108" s="3"/>
      <c r="M108" s="3"/>
      <c r="N108" s="3"/>
      <c r="O108" s="3"/>
      <c r="P108" s="3"/>
      <c r="Q108" s="3"/>
      <c r="R108" s="3"/>
      <c r="S108" s="3"/>
      <c r="U108" s="3"/>
      <c r="W108" s="3"/>
      <c r="X108" s="3"/>
      <c r="Z108" s="3"/>
      <c r="AQ108" s="3"/>
      <c r="AR108" s="3"/>
    </row>
    <row r="109" spans="11:44" ht="15.75" customHeight="1">
      <c r="K109" s="3"/>
      <c r="L109" s="3"/>
      <c r="M109" s="3"/>
      <c r="N109" s="3"/>
      <c r="O109" s="3"/>
      <c r="P109" s="3"/>
      <c r="Q109" s="3"/>
      <c r="R109" s="3"/>
      <c r="S109" s="3"/>
      <c r="U109" s="3"/>
      <c r="W109" s="3"/>
      <c r="X109" s="3"/>
      <c r="Z109" s="3"/>
      <c r="AQ109" s="3"/>
      <c r="AR109" s="3"/>
    </row>
    <row r="110" spans="11:44" ht="15.75" customHeight="1">
      <c r="K110" s="3"/>
      <c r="L110" s="3"/>
      <c r="M110" s="3"/>
      <c r="N110" s="3"/>
      <c r="O110" s="3"/>
      <c r="P110" s="3"/>
      <c r="Q110" s="3"/>
      <c r="R110" s="3"/>
      <c r="S110" s="3"/>
      <c r="U110" s="3"/>
      <c r="W110" s="3"/>
      <c r="X110" s="3"/>
      <c r="Z110" s="3"/>
      <c r="AQ110" s="3"/>
      <c r="AR110" s="3"/>
    </row>
    <row r="111" spans="11:44" ht="15.75" customHeight="1">
      <c r="K111" s="3"/>
      <c r="L111" s="3"/>
      <c r="M111" s="3"/>
      <c r="N111" s="3"/>
      <c r="O111" s="3"/>
      <c r="P111" s="3"/>
      <c r="Q111" s="3"/>
      <c r="R111" s="3"/>
      <c r="S111" s="3"/>
      <c r="U111" s="3"/>
      <c r="W111" s="3"/>
      <c r="X111" s="3"/>
      <c r="Z111" s="3"/>
      <c r="AQ111" s="3"/>
      <c r="AR111" s="3"/>
    </row>
    <row r="112" spans="11:44" ht="15.75" customHeight="1">
      <c r="K112" s="3"/>
      <c r="L112" s="3"/>
      <c r="M112" s="3"/>
      <c r="N112" s="3"/>
      <c r="O112" s="3"/>
      <c r="P112" s="3"/>
      <c r="Q112" s="3"/>
      <c r="R112" s="3"/>
      <c r="S112" s="3"/>
      <c r="U112" s="3"/>
      <c r="W112" s="3"/>
      <c r="X112" s="3"/>
      <c r="Z112" s="3"/>
      <c r="AQ112" s="3"/>
      <c r="AR112" s="3"/>
    </row>
    <row r="113" spans="11:44" ht="15.75" customHeight="1">
      <c r="K113" s="3"/>
      <c r="L113" s="3"/>
      <c r="M113" s="3"/>
      <c r="N113" s="3"/>
      <c r="O113" s="3"/>
      <c r="P113" s="3"/>
      <c r="Q113" s="3"/>
      <c r="R113" s="3"/>
      <c r="S113" s="3"/>
      <c r="U113" s="3"/>
      <c r="W113" s="3"/>
      <c r="X113" s="3"/>
      <c r="Z113" s="3"/>
      <c r="AQ113" s="3"/>
      <c r="AR113" s="3"/>
    </row>
    <row r="114" spans="11:44" ht="15.75" customHeight="1">
      <c r="K114" s="3"/>
      <c r="L114" s="3"/>
      <c r="M114" s="3"/>
      <c r="N114" s="3"/>
      <c r="O114" s="3"/>
      <c r="P114" s="3"/>
      <c r="Q114" s="3"/>
      <c r="R114" s="3"/>
      <c r="S114" s="3"/>
      <c r="U114" s="3"/>
      <c r="W114" s="3"/>
      <c r="X114" s="3"/>
      <c r="Z114" s="3"/>
      <c r="AQ114" s="3"/>
      <c r="AR114" s="3"/>
    </row>
    <row r="115" spans="11:44" ht="15.75" customHeight="1">
      <c r="K115" s="3"/>
      <c r="L115" s="3"/>
      <c r="M115" s="3"/>
      <c r="N115" s="3"/>
      <c r="O115" s="3"/>
      <c r="P115" s="3"/>
      <c r="Q115" s="3"/>
      <c r="R115" s="3"/>
      <c r="S115" s="3"/>
      <c r="U115" s="3"/>
      <c r="W115" s="3"/>
      <c r="X115" s="3"/>
      <c r="Z115" s="3"/>
      <c r="AQ115" s="3"/>
      <c r="AR115" s="3"/>
    </row>
    <row r="116" spans="11:44" ht="15.75" customHeight="1">
      <c r="K116" s="3"/>
      <c r="L116" s="3"/>
      <c r="M116" s="3"/>
      <c r="N116" s="3"/>
      <c r="O116" s="3"/>
      <c r="P116" s="3"/>
      <c r="Q116" s="3"/>
      <c r="R116" s="3"/>
      <c r="S116" s="3"/>
      <c r="U116" s="3"/>
      <c r="W116" s="3"/>
      <c r="X116" s="3"/>
      <c r="Z116" s="3"/>
      <c r="AQ116" s="3"/>
      <c r="AR116" s="3"/>
    </row>
    <row r="117" spans="11:44" ht="15.75" customHeight="1">
      <c r="K117" s="3"/>
      <c r="L117" s="3"/>
      <c r="M117" s="3"/>
      <c r="N117" s="3"/>
      <c r="O117" s="3"/>
      <c r="P117" s="3"/>
      <c r="Q117" s="3"/>
      <c r="R117" s="3"/>
      <c r="S117" s="3"/>
      <c r="U117" s="3"/>
      <c r="W117" s="3"/>
      <c r="X117" s="3"/>
      <c r="Z117" s="3"/>
      <c r="AQ117" s="3"/>
      <c r="AR117" s="3"/>
    </row>
    <row r="118" spans="11:44" ht="15.75" customHeight="1">
      <c r="K118" s="3"/>
      <c r="L118" s="3"/>
      <c r="M118" s="3"/>
      <c r="N118" s="3"/>
      <c r="O118" s="3"/>
      <c r="P118" s="3"/>
      <c r="Q118" s="3"/>
      <c r="R118" s="3"/>
      <c r="S118" s="3"/>
      <c r="U118" s="3"/>
      <c r="W118" s="3"/>
      <c r="X118" s="3"/>
      <c r="Z118" s="3"/>
      <c r="AQ118" s="3"/>
      <c r="AR118" s="3"/>
    </row>
    <row r="119" spans="11:44" ht="15.75" customHeight="1">
      <c r="K119" s="3"/>
      <c r="L119" s="3"/>
      <c r="M119" s="3"/>
      <c r="N119" s="3"/>
      <c r="O119" s="3"/>
      <c r="P119" s="3"/>
      <c r="Q119" s="3"/>
      <c r="R119" s="3"/>
      <c r="S119" s="3"/>
      <c r="U119" s="3"/>
      <c r="W119" s="3"/>
      <c r="X119" s="3"/>
      <c r="Z119" s="3"/>
      <c r="AQ119" s="3"/>
      <c r="AR119" s="3"/>
    </row>
    <row r="120" spans="11:44" ht="15.75" customHeight="1">
      <c r="K120" s="3"/>
      <c r="L120" s="3"/>
      <c r="M120" s="3"/>
      <c r="N120" s="3"/>
      <c r="O120" s="3"/>
      <c r="P120" s="3"/>
      <c r="Q120" s="3"/>
      <c r="R120" s="3"/>
      <c r="S120" s="3"/>
      <c r="U120" s="3"/>
      <c r="W120" s="3"/>
      <c r="X120" s="3"/>
      <c r="Z120" s="3"/>
      <c r="AQ120" s="3"/>
      <c r="AR120" s="3"/>
    </row>
    <row r="121" spans="11:44" ht="15.75" customHeight="1">
      <c r="K121" s="3"/>
      <c r="L121" s="3"/>
      <c r="M121" s="3"/>
      <c r="N121" s="3"/>
      <c r="O121" s="3"/>
      <c r="P121" s="3"/>
      <c r="Q121" s="3"/>
      <c r="R121" s="3"/>
      <c r="S121" s="3"/>
      <c r="U121" s="3"/>
      <c r="W121" s="3"/>
      <c r="X121" s="3"/>
      <c r="Z121" s="3"/>
      <c r="AQ121" s="3"/>
      <c r="AR121" s="3"/>
    </row>
    <row r="122" spans="11:44" ht="15.75" customHeight="1">
      <c r="K122" s="3"/>
      <c r="L122" s="3"/>
      <c r="M122" s="3"/>
      <c r="N122" s="3"/>
      <c r="O122" s="3"/>
      <c r="P122" s="3"/>
      <c r="Q122" s="3"/>
      <c r="R122" s="3"/>
      <c r="S122" s="3"/>
      <c r="U122" s="3"/>
      <c r="W122" s="3"/>
      <c r="X122" s="3"/>
      <c r="Z122" s="3"/>
      <c r="AQ122" s="3"/>
      <c r="AR122" s="3"/>
    </row>
    <row r="123" spans="11:44" ht="15.75" customHeight="1">
      <c r="K123" s="3"/>
      <c r="L123" s="3"/>
      <c r="M123" s="3"/>
      <c r="N123" s="3"/>
      <c r="O123" s="3"/>
      <c r="P123" s="3"/>
      <c r="Q123" s="3"/>
      <c r="R123" s="3"/>
      <c r="S123" s="3"/>
      <c r="U123" s="3"/>
      <c r="W123" s="3"/>
      <c r="X123" s="3"/>
      <c r="Z123" s="3"/>
      <c r="AQ123" s="3"/>
      <c r="AR123" s="3"/>
    </row>
    <row r="124" spans="11:44" ht="15.75" customHeight="1">
      <c r="K124" s="3"/>
      <c r="L124" s="3"/>
      <c r="M124" s="3"/>
      <c r="N124" s="3"/>
      <c r="O124" s="3"/>
      <c r="P124" s="3"/>
      <c r="Q124" s="3"/>
      <c r="R124" s="3"/>
      <c r="S124" s="3"/>
      <c r="U124" s="3"/>
      <c r="W124" s="3"/>
      <c r="X124" s="3"/>
      <c r="Z124" s="3"/>
      <c r="AQ124" s="3"/>
      <c r="AR124" s="3"/>
    </row>
    <row r="125" spans="11:44" ht="15.75" customHeight="1">
      <c r="K125" s="3"/>
      <c r="L125" s="3"/>
      <c r="M125" s="3"/>
      <c r="N125" s="3"/>
      <c r="O125" s="3"/>
      <c r="P125" s="3"/>
      <c r="Q125" s="3"/>
      <c r="R125" s="3"/>
      <c r="S125" s="3"/>
      <c r="U125" s="3"/>
      <c r="W125" s="3"/>
      <c r="X125" s="3"/>
      <c r="Z125" s="3"/>
      <c r="AQ125" s="3"/>
      <c r="AR125" s="3"/>
    </row>
    <row r="126" spans="11:44" ht="15.75" customHeight="1">
      <c r="K126" s="3"/>
      <c r="L126" s="3"/>
      <c r="M126" s="3"/>
      <c r="N126" s="3"/>
      <c r="O126" s="3"/>
      <c r="P126" s="3"/>
      <c r="Q126" s="3"/>
      <c r="R126" s="3"/>
      <c r="S126" s="3"/>
      <c r="U126" s="3"/>
      <c r="W126" s="3"/>
      <c r="X126" s="3"/>
      <c r="Z126" s="3"/>
      <c r="AQ126" s="3"/>
      <c r="AR126" s="3"/>
    </row>
    <row r="127" spans="11:44" ht="15.75" customHeight="1">
      <c r="K127" s="3"/>
      <c r="L127" s="3"/>
      <c r="M127" s="3"/>
      <c r="N127" s="3"/>
      <c r="O127" s="3"/>
      <c r="P127" s="3"/>
      <c r="Q127" s="3"/>
      <c r="R127" s="3"/>
      <c r="S127" s="3"/>
      <c r="U127" s="3"/>
      <c r="W127" s="3"/>
      <c r="X127" s="3"/>
      <c r="Z127" s="3"/>
      <c r="AQ127" s="3"/>
      <c r="AR127" s="3"/>
    </row>
    <row r="128" spans="11:44" ht="15.75" customHeight="1">
      <c r="K128" s="3"/>
      <c r="L128" s="3"/>
      <c r="M128" s="3"/>
      <c r="N128" s="3"/>
      <c r="O128" s="3"/>
      <c r="P128" s="3"/>
      <c r="Q128" s="3"/>
      <c r="R128" s="3"/>
      <c r="S128" s="3"/>
      <c r="U128" s="3"/>
      <c r="W128" s="3"/>
      <c r="X128" s="3"/>
      <c r="Z128" s="3"/>
      <c r="AQ128" s="3"/>
      <c r="AR128" s="3"/>
    </row>
    <row r="129" spans="11:44" ht="15.75" customHeight="1">
      <c r="K129" s="3"/>
      <c r="L129" s="3"/>
      <c r="M129" s="3"/>
      <c r="N129" s="3"/>
      <c r="O129" s="3"/>
      <c r="P129" s="3"/>
      <c r="Q129" s="3"/>
      <c r="R129" s="3"/>
      <c r="S129" s="3"/>
      <c r="U129" s="3"/>
      <c r="W129" s="3"/>
      <c r="X129" s="3"/>
      <c r="Z129" s="3"/>
      <c r="AQ129" s="3"/>
      <c r="AR129" s="3"/>
    </row>
    <row r="130" spans="11:44" ht="15.75" customHeight="1">
      <c r="K130" s="3"/>
      <c r="L130" s="3"/>
      <c r="M130" s="3"/>
      <c r="N130" s="3"/>
      <c r="O130" s="3"/>
      <c r="P130" s="3"/>
      <c r="Q130" s="3"/>
      <c r="R130" s="3"/>
      <c r="S130" s="3"/>
      <c r="U130" s="3"/>
      <c r="W130" s="3"/>
      <c r="X130" s="3"/>
      <c r="Z130" s="3"/>
      <c r="AQ130" s="3"/>
      <c r="AR130" s="3"/>
    </row>
    <row r="131" spans="11:44" ht="15.75" customHeight="1">
      <c r="K131" s="3"/>
      <c r="L131" s="3"/>
      <c r="M131" s="3"/>
      <c r="N131" s="3"/>
      <c r="O131" s="3"/>
      <c r="P131" s="3"/>
      <c r="Q131" s="3"/>
      <c r="R131" s="3"/>
      <c r="S131" s="3"/>
      <c r="U131" s="3"/>
      <c r="W131" s="3"/>
      <c r="X131" s="3"/>
      <c r="Z131" s="3"/>
      <c r="AQ131" s="3"/>
      <c r="AR131" s="3"/>
    </row>
    <row r="132" spans="11:44" ht="15.75" customHeight="1">
      <c r="K132" s="3"/>
      <c r="L132" s="3"/>
      <c r="M132" s="3"/>
      <c r="N132" s="3"/>
      <c r="O132" s="3"/>
      <c r="P132" s="3"/>
      <c r="Q132" s="3"/>
      <c r="R132" s="3"/>
      <c r="S132" s="3"/>
      <c r="U132" s="3"/>
      <c r="W132" s="3"/>
      <c r="X132" s="3"/>
      <c r="Z132" s="3"/>
      <c r="AQ132" s="3"/>
      <c r="AR132" s="3"/>
    </row>
    <row r="133" spans="11:44" ht="15.75" customHeight="1">
      <c r="K133" s="3"/>
      <c r="L133" s="3"/>
      <c r="M133" s="3"/>
      <c r="N133" s="3"/>
      <c r="O133" s="3"/>
      <c r="P133" s="3"/>
      <c r="Q133" s="3"/>
      <c r="R133" s="3"/>
      <c r="S133" s="3"/>
      <c r="U133" s="3"/>
      <c r="W133" s="3"/>
      <c r="X133" s="3"/>
      <c r="Z133" s="3"/>
      <c r="AQ133" s="3"/>
      <c r="AR133" s="3"/>
    </row>
    <row r="134" spans="11:44" ht="15.75" customHeight="1">
      <c r="K134" s="3"/>
      <c r="L134" s="3"/>
      <c r="M134" s="3"/>
      <c r="N134" s="3"/>
      <c r="O134" s="3"/>
      <c r="P134" s="3"/>
      <c r="Q134" s="3"/>
      <c r="R134" s="3"/>
      <c r="S134" s="3"/>
      <c r="U134" s="3"/>
      <c r="W134" s="3"/>
      <c r="X134" s="3"/>
      <c r="Z134" s="3"/>
      <c r="AQ134" s="3"/>
      <c r="AR134" s="3"/>
    </row>
    <row r="135" spans="11:44" ht="15.75" customHeight="1">
      <c r="K135" s="3"/>
      <c r="L135" s="3"/>
      <c r="M135" s="3"/>
      <c r="N135" s="3"/>
      <c r="O135" s="3"/>
      <c r="P135" s="3"/>
      <c r="Q135" s="3"/>
      <c r="R135" s="3"/>
      <c r="S135" s="3"/>
      <c r="U135" s="3"/>
      <c r="W135" s="3"/>
      <c r="X135" s="3"/>
      <c r="Z135" s="3"/>
      <c r="AQ135" s="3"/>
      <c r="AR135" s="3"/>
    </row>
    <row r="136" spans="11:44" ht="15.75" customHeight="1">
      <c r="K136" s="3"/>
      <c r="L136" s="3"/>
      <c r="M136" s="3"/>
      <c r="N136" s="3"/>
      <c r="O136" s="3"/>
      <c r="P136" s="3"/>
      <c r="Q136" s="3"/>
      <c r="R136" s="3"/>
      <c r="S136" s="3"/>
      <c r="U136" s="3"/>
      <c r="W136" s="3"/>
      <c r="X136" s="3"/>
      <c r="Z136" s="3"/>
      <c r="AQ136" s="3"/>
      <c r="AR136" s="3"/>
    </row>
    <row r="137" spans="11:44" ht="15.75" customHeight="1">
      <c r="K137" s="3"/>
      <c r="L137" s="3"/>
      <c r="M137" s="3"/>
      <c r="N137" s="3"/>
      <c r="O137" s="3"/>
      <c r="P137" s="3"/>
      <c r="Q137" s="3"/>
      <c r="R137" s="3"/>
      <c r="S137" s="3"/>
      <c r="U137" s="3"/>
      <c r="W137" s="3"/>
      <c r="X137" s="3"/>
      <c r="Z137" s="3"/>
      <c r="AQ137" s="3"/>
      <c r="AR137" s="3"/>
    </row>
    <row r="138" spans="11:44" ht="15.75" customHeight="1">
      <c r="K138" s="3"/>
      <c r="L138" s="3"/>
      <c r="M138" s="3"/>
      <c r="N138" s="3"/>
      <c r="O138" s="3"/>
      <c r="P138" s="3"/>
      <c r="Q138" s="3"/>
      <c r="R138" s="3"/>
      <c r="S138" s="3"/>
      <c r="U138" s="3"/>
      <c r="W138" s="3"/>
      <c r="X138" s="3"/>
      <c r="Z138" s="3"/>
      <c r="AQ138" s="3"/>
      <c r="AR138" s="3"/>
    </row>
    <row r="139" spans="11:44" ht="15.75" customHeight="1">
      <c r="K139" s="3"/>
      <c r="L139" s="3"/>
      <c r="M139" s="3"/>
      <c r="N139" s="3"/>
      <c r="O139" s="3"/>
      <c r="P139" s="3"/>
      <c r="Q139" s="3"/>
      <c r="R139" s="3"/>
      <c r="S139" s="3"/>
      <c r="U139" s="3"/>
      <c r="W139" s="3"/>
      <c r="X139" s="3"/>
      <c r="Z139" s="3"/>
      <c r="AQ139" s="3"/>
      <c r="AR139" s="3"/>
    </row>
    <row r="140" spans="11:44" ht="15.75" customHeight="1">
      <c r="K140" s="3"/>
      <c r="L140" s="3"/>
      <c r="M140" s="3"/>
      <c r="N140" s="3"/>
      <c r="O140" s="3"/>
      <c r="P140" s="3"/>
      <c r="Q140" s="3"/>
      <c r="R140" s="3"/>
      <c r="S140" s="3"/>
      <c r="U140" s="3"/>
      <c r="W140" s="3"/>
      <c r="X140" s="3"/>
      <c r="Z140" s="3"/>
      <c r="AQ140" s="3"/>
      <c r="AR140" s="3"/>
    </row>
    <row r="141" spans="11:44" ht="15.75" customHeight="1">
      <c r="K141" s="3"/>
      <c r="L141" s="3"/>
      <c r="M141" s="3"/>
      <c r="N141" s="3"/>
      <c r="O141" s="3"/>
      <c r="P141" s="3"/>
      <c r="Q141" s="3"/>
      <c r="R141" s="3"/>
      <c r="S141" s="3"/>
      <c r="U141" s="3"/>
      <c r="W141" s="3"/>
      <c r="X141" s="3"/>
      <c r="Z141" s="3"/>
      <c r="AQ141" s="3"/>
      <c r="AR141" s="3"/>
    </row>
    <row r="142" spans="11:44" ht="15.75" customHeight="1">
      <c r="K142" s="3"/>
      <c r="L142" s="3"/>
      <c r="M142" s="3"/>
      <c r="N142" s="3"/>
      <c r="O142" s="3"/>
      <c r="P142" s="3"/>
      <c r="Q142" s="3"/>
      <c r="R142" s="3"/>
      <c r="S142" s="3"/>
      <c r="U142" s="3"/>
      <c r="W142" s="3"/>
      <c r="X142" s="3"/>
      <c r="Z142" s="3"/>
      <c r="AQ142" s="3"/>
      <c r="AR142" s="3"/>
    </row>
    <row r="143" spans="11:44" ht="15.75" customHeight="1">
      <c r="K143" s="3"/>
      <c r="L143" s="3"/>
      <c r="M143" s="3"/>
      <c r="N143" s="3"/>
      <c r="O143" s="3"/>
      <c r="P143" s="3"/>
      <c r="Q143" s="3"/>
      <c r="R143" s="3"/>
      <c r="S143" s="3"/>
      <c r="U143" s="3"/>
      <c r="W143" s="3"/>
      <c r="X143" s="3"/>
      <c r="Z143" s="3"/>
      <c r="AQ143" s="3"/>
      <c r="AR143" s="3"/>
    </row>
    <row r="144" spans="11:44" ht="15.75" customHeight="1">
      <c r="K144" s="3"/>
      <c r="L144" s="3"/>
      <c r="M144" s="3"/>
      <c r="N144" s="3"/>
      <c r="O144" s="3"/>
      <c r="P144" s="3"/>
      <c r="Q144" s="3"/>
      <c r="R144" s="3"/>
      <c r="S144" s="3"/>
      <c r="U144" s="3"/>
      <c r="W144" s="3"/>
      <c r="X144" s="3"/>
      <c r="Z144" s="3"/>
      <c r="AQ144" s="3"/>
      <c r="AR144" s="3"/>
    </row>
    <row r="145" spans="11:44" ht="15.75" customHeight="1">
      <c r="K145" s="3"/>
      <c r="L145" s="3"/>
      <c r="M145" s="3"/>
      <c r="N145" s="3"/>
      <c r="O145" s="3"/>
      <c r="P145" s="3"/>
      <c r="Q145" s="3"/>
      <c r="R145" s="3"/>
      <c r="S145" s="3"/>
      <c r="U145" s="3"/>
      <c r="W145" s="3"/>
      <c r="X145" s="3"/>
      <c r="Z145" s="3"/>
      <c r="AQ145" s="3"/>
      <c r="AR145" s="3"/>
    </row>
    <row r="146" spans="11:44" ht="15.75" customHeight="1">
      <c r="K146" s="3"/>
      <c r="L146" s="3"/>
      <c r="M146" s="3"/>
      <c r="N146" s="3"/>
      <c r="O146" s="3"/>
      <c r="P146" s="3"/>
      <c r="Q146" s="3"/>
      <c r="R146" s="3"/>
      <c r="S146" s="3"/>
      <c r="U146" s="3"/>
      <c r="W146" s="3"/>
      <c r="X146" s="3"/>
      <c r="Z146" s="3"/>
      <c r="AQ146" s="3"/>
      <c r="AR146" s="3"/>
    </row>
    <row r="147" spans="11:44" ht="15.75" customHeight="1">
      <c r="K147" s="3"/>
      <c r="L147" s="3"/>
      <c r="M147" s="3"/>
      <c r="N147" s="3"/>
      <c r="O147" s="3"/>
      <c r="P147" s="3"/>
      <c r="Q147" s="3"/>
      <c r="R147" s="3"/>
      <c r="S147" s="3"/>
      <c r="U147" s="3"/>
      <c r="W147" s="3"/>
      <c r="X147" s="3"/>
      <c r="Z147" s="3"/>
      <c r="AQ147" s="3"/>
      <c r="AR147" s="3"/>
    </row>
    <row r="148" spans="11:44" ht="15.75" customHeight="1">
      <c r="K148" s="3"/>
      <c r="L148" s="3"/>
      <c r="M148" s="3"/>
      <c r="N148" s="3"/>
      <c r="O148" s="3"/>
      <c r="P148" s="3"/>
      <c r="Q148" s="3"/>
      <c r="R148" s="3"/>
      <c r="S148" s="3"/>
      <c r="U148" s="3"/>
      <c r="W148" s="3"/>
      <c r="X148" s="3"/>
      <c r="Z148" s="3"/>
      <c r="AQ148" s="3"/>
      <c r="AR148" s="3"/>
    </row>
    <row r="149" spans="11:44" ht="15.75" customHeight="1">
      <c r="K149" s="3"/>
      <c r="L149" s="3"/>
      <c r="M149" s="3"/>
      <c r="N149" s="3"/>
      <c r="O149" s="3"/>
      <c r="P149" s="3"/>
      <c r="Q149" s="3"/>
      <c r="R149" s="3"/>
      <c r="S149" s="3"/>
      <c r="U149" s="3"/>
      <c r="W149" s="3"/>
      <c r="X149" s="3"/>
      <c r="Z149" s="3"/>
      <c r="AQ149" s="3"/>
      <c r="AR149" s="3"/>
    </row>
    <row r="150" spans="11:44" ht="15.75" customHeight="1">
      <c r="K150" s="3"/>
      <c r="L150" s="3"/>
      <c r="M150" s="3"/>
      <c r="N150" s="3"/>
      <c r="O150" s="3"/>
      <c r="P150" s="3"/>
      <c r="Q150" s="3"/>
      <c r="R150" s="3"/>
      <c r="S150" s="3"/>
      <c r="U150" s="3"/>
      <c r="W150" s="3"/>
      <c r="X150" s="3"/>
      <c r="Z150" s="3"/>
      <c r="AQ150" s="3"/>
      <c r="AR150" s="3"/>
    </row>
    <row r="151" spans="11:44" ht="15.75" customHeight="1">
      <c r="K151" s="3"/>
      <c r="L151" s="3"/>
      <c r="M151" s="3"/>
      <c r="N151" s="3"/>
      <c r="O151" s="3"/>
      <c r="P151" s="3"/>
      <c r="Q151" s="3"/>
      <c r="R151" s="3"/>
      <c r="S151" s="3"/>
      <c r="U151" s="3"/>
      <c r="W151" s="3"/>
      <c r="X151" s="3"/>
      <c r="Z151" s="3"/>
      <c r="AQ151" s="3"/>
      <c r="AR151" s="3"/>
    </row>
    <row r="152" spans="11:44" ht="15.75" customHeight="1">
      <c r="K152" s="3"/>
      <c r="L152" s="3"/>
      <c r="M152" s="3"/>
      <c r="N152" s="3"/>
      <c r="O152" s="3"/>
      <c r="P152" s="3"/>
      <c r="Q152" s="3"/>
      <c r="R152" s="3"/>
      <c r="S152" s="3"/>
      <c r="U152" s="3"/>
      <c r="W152" s="3"/>
      <c r="X152" s="3"/>
      <c r="Z152" s="3"/>
      <c r="AQ152" s="3"/>
      <c r="AR152" s="3"/>
    </row>
    <row r="153" spans="11:44" ht="15.75" customHeight="1">
      <c r="K153" s="3"/>
      <c r="L153" s="3"/>
      <c r="M153" s="3"/>
      <c r="N153" s="3"/>
      <c r="O153" s="3"/>
      <c r="P153" s="3"/>
      <c r="Q153" s="3"/>
      <c r="R153" s="3"/>
      <c r="S153" s="3"/>
      <c r="U153" s="3"/>
      <c r="W153" s="3"/>
      <c r="X153" s="3"/>
      <c r="Z153" s="3"/>
      <c r="AQ153" s="3"/>
      <c r="AR153" s="3"/>
    </row>
    <row r="154" spans="11:44" ht="15.75" customHeight="1">
      <c r="K154" s="3"/>
      <c r="L154" s="3"/>
      <c r="M154" s="3"/>
      <c r="N154" s="3"/>
      <c r="O154" s="3"/>
      <c r="P154" s="3"/>
      <c r="Q154" s="3"/>
      <c r="R154" s="3"/>
      <c r="S154" s="3"/>
      <c r="U154" s="3"/>
      <c r="W154" s="3"/>
      <c r="X154" s="3"/>
      <c r="Z154" s="3"/>
      <c r="AQ154" s="3"/>
      <c r="AR154" s="3"/>
    </row>
    <row r="155" spans="11:44" ht="15.75" customHeight="1">
      <c r="K155" s="3"/>
      <c r="L155" s="3"/>
      <c r="M155" s="3"/>
      <c r="N155" s="3"/>
      <c r="O155" s="3"/>
      <c r="P155" s="3"/>
      <c r="Q155" s="3"/>
      <c r="R155" s="3"/>
      <c r="S155" s="3"/>
      <c r="U155" s="3"/>
      <c r="W155" s="3"/>
      <c r="X155" s="3"/>
      <c r="Z155" s="3"/>
      <c r="AQ155" s="3"/>
      <c r="AR155" s="3"/>
    </row>
    <row r="156" spans="11:44" ht="15.75" customHeight="1">
      <c r="K156" s="3"/>
      <c r="L156" s="3"/>
      <c r="M156" s="3"/>
      <c r="N156" s="3"/>
      <c r="O156" s="3"/>
      <c r="P156" s="3"/>
      <c r="Q156" s="3"/>
      <c r="R156" s="3"/>
      <c r="S156" s="3"/>
      <c r="U156" s="3"/>
      <c r="W156" s="3"/>
      <c r="X156" s="3"/>
      <c r="Z156" s="3"/>
      <c r="AQ156" s="3"/>
      <c r="AR156" s="3"/>
    </row>
    <row r="157" spans="11:44" ht="15.75" customHeight="1">
      <c r="K157" s="3"/>
      <c r="L157" s="3"/>
      <c r="M157" s="3"/>
      <c r="N157" s="3"/>
      <c r="O157" s="3"/>
      <c r="P157" s="3"/>
      <c r="Q157" s="3"/>
      <c r="R157" s="3"/>
      <c r="S157" s="3"/>
      <c r="U157" s="3"/>
      <c r="W157" s="3"/>
      <c r="X157" s="3"/>
      <c r="Z157" s="3"/>
      <c r="AQ157" s="3"/>
      <c r="AR157" s="3"/>
    </row>
    <row r="158" spans="11:44" ht="15.75" customHeight="1">
      <c r="K158" s="3"/>
      <c r="L158" s="3"/>
      <c r="M158" s="3"/>
      <c r="N158" s="3"/>
      <c r="O158" s="3"/>
      <c r="P158" s="3"/>
      <c r="Q158" s="3"/>
      <c r="R158" s="3"/>
      <c r="S158" s="3"/>
      <c r="U158" s="3"/>
      <c r="W158" s="3"/>
      <c r="X158" s="3"/>
      <c r="Z158" s="3"/>
      <c r="AQ158" s="3"/>
      <c r="AR158" s="3"/>
    </row>
    <row r="159" spans="11:44" ht="15.75" customHeight="1">
      <c r="K159" s="3"/>
      <c r="L159" s="3"/>
      <c r="M159" s="3"/>
      <c r="N159" s="3"/>
      <c r="O159" s="3"/>
      <c r="P159" s="3"/>
      <c r="Q159" s="3"/>
      <c r="R159" s="3"/>
      <c r="S159" s="3"/>
      <c r="U159" s="3"/>
      <c r="W159" s="3"/>
      <c r="X159" s="3"/>
      <c r="Z159" s="3"/>
      <c r="AQ159" s="3"/>
      <c r="AR159" s="3"/>
    </row>
    <row r="160" spans="11:44" ht="15.75" customHeight="1">
      <c r="K160" s="3"/>
      <c r="L160" s="3"/>
      <c r="M160" s="3"/>
      <c r="N160" s="3"/>
      <c r="O160" s="3"/>
      <c r="P160" s="3"/>
      <c r="Q160" s="3"/>
      <c r="R160" s="3"/>
      <c r="S160" s="3"/>
      <c r="U160" s="3"/>
      <c r="W160" s="3"/>
      <c r="X160" s="3"/>
      <c r="Z160" s="3"/>
      <c r="AQ160" s="3"/>
      <c r="AR160" s="3"/>
    </row>
    <row r="161" spans="11:44" ht="15.75" customHeight="1">
      <c r="K161" s="3"/>
      <c r="L161" s="3"/>
      <c r="M161" s="3"/>
      <c r="N161" s="3"/>
      <c r="O161" s="3"/>
      <c r="P161" s="3"/>
      <c r="Q161" s="3"/>
      <c r="R161" s="3"/>
      <c r="S161" s="3"/>
      <c r="U161" s="3"/>
      <c r="W161" s="3"/>
      <c r="X161" s="3"/>
      <c r="Z161" s="3"/>
      <c r="AQ161" s="3"/>
      <c r="AR161" s="3"/>
    </row>
    <row r="162" spans="11:44" ht="15.75" customHeight="1">
      <c r="K162" s="3"/>
      <c r="L162" s="3"/>
      <c r="M162" s="3"/>
      <c r="N162" s="3"/>
      <c r="O162" s="3"/>
      <c r="P162" s="3"/>
      <c r="Q162" s="3"/>
      <c r="R162" s="3"/>
      <c r="S162" s="3"/>
      <c r="U162" s="3"/>
      <c r="W162" s="3"/>
      <c r="X162" s="3"/>
      <c r="Z162" s="3"/>
      <c r="AQ162" s="3"/>
      <c r="AR162" s="3"/>
    </row>
    <row r="163" spans="11:44" ht="15.75" customHeight="1">
      <c r="K163" s="3"/>
      <c r="L163" s="3"/>
      <c r="M163" s="3"/>
      <c r="N163" s="3"/>
      <c r="O163" s="3"/>
      <c r="P163" s="3"/>
      <c r="Q163" s="3"/>
      <c r="R163" s="3"/>
      <c r="S163" s="3"/>
      <c r="U163" s="3"/>
      <c r="W163" s="3"/>
      <c r="X163" s="3"/>
      <c r="Z163" s="3"/>
      <c r="AQ163" s="3"/>
      <c r="AR163" s="3"/>
    </row>
    <row r="164" spans="11:44" ht="15.75" customHeight="1">
      <c r="K164" s="3"/>
      <c r="L164" s="3"/>
      <c r="M164" s="3"/>
      <c r="N164" s="3"/>
      <c r="O164" s="3"/>
      <c r="P164" s="3"/>
      <c r="Q164" s="3"/>
      <c r="R164" s="3"/>
      <c r="S164" s="3"/>
      <c r="U164" s="3"/>
      <c r="W164" s="3"/>
      <c r="X164" s="3"/>
      <c r="Z164" s="3"/>
      <c r="AQ164" s="3"/>
      <c r="AR164" s="3"/>
    </row>
    <row r="165" spans="11:44" ht="15.75" customHeight="1">
      <c r="K165" s="3"/>
      <c r="L165" s="3"/>
      <c r="M165" s="3"/>
      <c r="N165" s="3"/>
      <c r="O165" s="3"/>
      <c r="P165" s="3"/>
      <c r="Q165" s="3"/>
      <c r="R165" s="3"/>
      <c r="S165" s="3"/>
      <c r="U165" s="3"/>
      <c r="W165" s="3"/>
      <c r="X165" s="3"/>
      <c r="Z165" s="3"/>
      <c r="AQ165" s="3"/>
      <c r="AR165" s="3"/>
    </row>
    <row r="166" spans="11:44" ht="15.75" customHeight="1">
      <c r="K166" s="3"/>
      <c r="L166" s="3"/>
      <c r="M166" s="3"/>
      <c r="N166" s="3"/>
      <c r="O166" s="3"/>
      <c r="P166" s="3"/>
      <c r="Q166" s="3"/>
      <c r="R166" s="3"/>
      <c r="S166" s="3"/>
      <c r="U166" s="3"/>
      <c r="W166" s="3"/>
      <c r="X166" s="3"/>
      <c r="Z166" s="3"/>
      <c r="AQ166" s="3"/>
      <c r="AR166" s="3"/>
    </row>
    <row r="167" spans="11:44" ht="15.75" customHeight="1">
      <c r="K167" s="3"/>
      <c r="L167" s="3"/>
      <c r="M167" s="3"/>
      <c r="N167" s="3"/>
      <c r="O167" s="3"/>
      <c r="P167" s="3"/>
      <c r="Q167" s="3"/>
      <c r="R167" s="3"/>
      <c r="S167" s="3"/>
      <c r="U167" s="3"/>
      <c r="W167" s="3"/>
      <c r="X167" s="3"/>
      <c r="Z167" s="3"/>
      <c r="AQ167" s="3"/>
      <c r="AR167" s="3"/>
    </row>
    <row r="168" spans="11:44" ht="15.75" customHeight="1">
      <c r="K168" s="3"/>
      <c r="L168" s="3"/>
      <c r="M168" s="3"/>
      <c r="N168" s="3"/>
      <c r="O168" s="3"/>
      <c r="P168" s="3"/>
      <c r="Q168" s="3"/>
      <c r="R168" s="3"/>
      <c r="S168" s="3"/>
      <c r="U168" s="3"/>
      <c r="W168" s="3"/>
      <c r="X168" s="3"/>
      <c r="Z168" s="3"/>
      <c r="AQ168" s="3"/>
      <c r="AR168" s="3"/>
    </row>
    <row r="169" spans="11:44" ht="15.75" customHeight="1">
      <c r="K169" s="3"/>
      <c r="L169" s="3"/>
      <c r="M169" s="3"/>
      <c r="N169" s="3"/>
      <c r="O169" s="3"/>
      <c r="P169" s="3"/>
      <c r="Q169" s="3"/>
      <c r="R169" s="3"/>
      <c r="S169" s="3"/>
      <c r="U169" s="3"/>
      <c r="W169" s="3"/>
      <c r="X169" s="3"/>
      <c r="Z169" s="3"/>
      <c r="AQ169" s="3"/>
      <c r="AR169" s="3"/>
    </row>
    <row r="170" spans="11:44" ht="15.75" customHeight="1">
      <c r="K170" s="3"/>
      <c r="L170" s="3"/>
      <c r="M170" s="3"/>
      <c r="N170" s="3"/>
      <c r="O170" s="3"/>
      <c r="P170" s="3"/>
      <c r="Q170" s="3"/>
      <c r="R170" s="3"/>
      <c r="S170" s="3"/>
      <c r="U170" s="3"/>
      <c r="W170" s="3"/>
      <c r="X170" s="3"/>
      <c r="Z170" s="3"/>
      <c r="AQ170" s="3"/>
      <c r="AR170" s="3"/>
    </row>
    <row r="171" spans="11:44" ht="15.75" customHeight="1">
      <c r="K171" s="3"/>
      <c r="L171" s="3"/>
      <c r="M171" s="3"/>
      <c r="N171" s="3"/>
      <c r="O171" s="3"/>
      <c r="P171" s="3"/>
      <c r="Q171" s="3"/>
      <c r="R171" s="3"/>
      <c r="S171" s="3"/>
      <c r="U171" s="3"/>
      <c r="W171" s="3"/>
      <c r="X171" s="3"/>
      <c r="Z171" s="3"/>
      <c r="AQ171" s="3"/>
      <c r="AR171" s="3"/>
    </row>
    <row r="172" spans="11:44" ht="15.75" customHeight="1">
      <c r="K172" s="3"/>
      <c r="L172" s="3"/>
      <c r="M172" s="3"/>
      <c r="N172" s="3"/>
      <c r="O172" s="3"/>
      <c r="P172" s="3"/>
      <c r="Q172" s="3"/>
      <c r="R172" s="3"/>
      <c r="S172" s="3"/>
      <c r="U172" s="3"/>
      <c r="W172" s="3"/>
      <c r="X172" s="3"/>
      <c r="Z172" s="3"/>
      <c r="AQ172" s="3"/>
      <c r="AR172" s="3"/>
    </row>
    <row r="173" spans="11:44" ht="15.75" customHeight="1">
      <c r="K173" s="3"/>
      <c r="L173" s="3"/>
      <c r="M173" s="3"/>
      <c r="N173" s="3"/>
      <c r="O173" s="3"/>
      <c r="P173" s="3"/>
      <c r="Q173" s="3"/>
      <c r="R173" s="3"/>
      <c r="S173" s="3"/>
      <c r="U173" s="3"/>
      <c r="W173" s="3"/>
      <c r="X173" s="3"/>
      <c r="Z173" s="3"/>
      <c r="AQ173" s="3"/>
      <c r="AR173" s="3"/>
    </row>
    <row r="174" spans="11:44" ht="15.75" customHeight="1">
      <c r="K174" s="3"/>
      <c r="L174" s="3"/>
      <c r="M174" s="3"/>
      <c r="N174" s="3"/>
      <c r="O174" s="3"/>
      <c r="P174" s="3"/>
      <c r="Q174" s="3"/>
      <c r="R174" s="3"/>
      <c r="S174" s="3"/>
      <c r="U174" s="3"/>
      <c r="W174" s="3"/>
      <c r="X174" s="3"/>
      <c r="Z174" s="3"/>
      <c r="AQ174" s="3"/>
      <c r="AR174" s="3"/>
    </row>
    <row r="175" spans="11:44" ht="15.75" customHeight="1">
      <c r="K175" s="3"/>
      <c r="L175" s="3"/>
      <c r="M175" s="3"/>
      <c r="N175" s="3"/>
      <c r="O175" s="3"/>
      <c r="P175" s="3"/>
      <c r="Q175" s="3"/>
      <c r="R175" s="3"/>
      <c r="S175" s="3"/>
      <c r="U175" s="3"/>
      <c r="W175" s="3"/>
      <c r="X175" s="3"/>
      <c r="Z175" s="3"/>
      <c r="AQ175" s="3"/>
      <c r="AR175" s="3"/>
    </row>
    <row r="176" spans="11:44" ht="15.75" customHeight="1">
      <c r="K176" s="3"/>
      <c r="L176" s="3"/>
      <c r="M176" s="3"/>
      <c r="N176" s="3"/>
      <c r="O176" s="3"/>
      <c r="P176" s="3"/>
      <c r="Q176" s="3"/>
      <c r="R176" s="3"/>
      <c r="S176" s="3"/>
      <c r="U176" s="3"/>
      <c r="W176" s="3"/>
      <c r="X176" s="3"/>
      <c r="Z176" s="3"/>
      <c r="AQ176" s="3"/>
      <c r="AR176" s="3"/>
    </row>
    <row r="177" spans="11:44" ht="15.75" customHeight="1">
      <c r="K177" s="3"/>
      <c r="L177" s="3"/>
      <c r="M177" s="3"/>
      <c r="N177" s="3"/>
      <c r="O177" s="3"/>
      <c r="P177" s="3"/>
      <c r="Q177" s="3"/>
      <c r="R177" s="3"/>
      <c r="S177" s="3"/>
      <c r="U177" s="3"/>
      <c r="W177" s="3"/>
      <c r="X177" s="3"/>
      <c r="Z177" s="3"/>
      <c r="AQ177" s="3"/>
      <c r="AR177" s="3"/>
    </row>
    <row r="178" spans="11:44" ht="15.75" customHeight="1">
      <c r="K178" s="3"/>
      <c r="L178" s="3"/>
      <c r="M178" s="3"/>
      <c r="N178" s="3"/>
      <c r="O178" s="3"/>
      <c r="P178" s="3"/>
      <c r="Q178" s="3"/>
      <c r="R178" s="3"/>
      <c r="S178" s="3"/>
      <c r="U178" s="3"/>
      <c r="W178" s="3"/>
      <c r="X178" s="3"/>
      <c r="Z178" s="3"/>
      <c r="AQ178" s="3"/>
      <c r="AR178" s="3"/>
    </row>
    <row r="179" spans="11:44" ht="15.75" customHeight="1">
      <c r="K179" s="3"/>
      <c r="L179" s="3"/>
      <c r="M179" s="3"/>
      <c r="N179" s="3"/>
      <c r="O179" s="3"/>
      <c r="P179" s="3"/>
      <c r="Q179" s="3"/>
      <c r="R179" s="3"/>
      <c r="S179" s="3"/>
      <c r="U179" s="3"/>
      <c r="W179" s="3"/>
      <c r="X179" s="3"/>
      <c r="Z179" s="3"/>
      <c r="AQ179" s="3"/>
      <c r="AR179" s="3"/>
    </row>
    <row r="180" spans="11:44" ht="15.75" customHeight="1">
      <c r="K180" s="3"/>
      <c r="L180" s="3"/>
      <c r="M180" s="3"/>
      <c r="N180" s="3"/>
      <c r="O180" s="3"/>
      <c r="P180" s="3"/>
      <c r="Q180" s="3"/>
      <c r="R180" s="3"/>
      <c r="S180" s="3"/>
      <c r="U180" s="3"/>
      <c r="W180" s="3"/>
      <c r="X180" s="3"/>
      <c r="Z180" s="3"/>
      <c r="AQ180" s="3"/>
      <c r="AR180" s="3"/>
    </row>
    <row r="181" spans="11:44" ht="15.75" customHeight="1">
      <c r="K181" s="3"/>
      <c r="L181" s="3"/>
      <c r="M181" s="3"/>
      <c r="N181" s="3"/>
      <c r="O181" s="3"/>
      <c r="P181" s="3"/>
      <c r="Q181" s="3"/>
      <c r="R181" s="3"/>
      <c r="S181" s="3"/>
      <c r="U181" s="3"/>
      <c r="W181" s="3"/>
      <c r="X181" s="3"/>
      <c r="Z181" s="3"/>
      <c r="AQ181" s="3"/>
      <c r="AR181" s="3"/>
    </row>
    <row r="182" spans="11:44" ht="15.75" customHeight="1">
      <c r="K182" s="3"/>
      <c r="L182" s="3"/>
      <c r="M182" s="3"/>
      <c r="N182" s="3"/>
      <c r="O182" s="3"/>
      <c r="P182" s="3"/>
      <c r="Q182" s="3"/>
      <c r="R182" s="3"/>
      <c r="S182" s="3"/>
      <c r="U182" s="3"/>
      <c r="W182" s="3"/>
      <c r="X182" s="3"/>
      <c r="Z182" s="3"/>
      <c r="AQ182" s="3"/>
      <c r="AR182" s="3"/>
    </row>
    <row r="183" spans="11:44" ht="15.75" customHeight="1">
      <c r="K183" s="3"/>
      <c r="L183" s="3"/>
      <c r="M183" s="3"/>
      <c r="N183" s="3"/>
      <c r="O183" s="3"/>
      <c r="P183" s="3"/>
      <c r="Q183" s="3"/>
      <c r="R183" s="3"/>
      <c r="S183" s="3"/>
      <c r="U183" s="3"/>
      <c r="W183" s="3"/>
      <c r="X183" s="3"/>
      <c r="Z183" s="3"/>
      <c r="AQ183" s="3"/>
      <c r="AR183" s="3"/>
    </row>
    <row r="184" spans="11:44" ht="15.75" customHeight="1">
      <c r="K184" s="3"/>
      <c r="L184" s="3"/>
      <c r="M184" s="3"/>
      <c r="N184" s="3"/>
      <c r="O184" s="3"/>
      <c r="P184" s="3"/>
      <c r="Q184" s="3"/>
      <c r="R184" s="3"/>
      <c r="S184" s="3"/>
      <c r="U184" s="3"/>
      <c r="W184" s="3"/>
      <c r="X184" s="3"/>
      <c r="Z184" s="3"/>
      <c r="AQ184" s="3"/>
      <c r="AR184" s="3"/>
    </row>
    <row r="185" spans="11:44" ht="15.75" customHeight="1">
      <c r="K185" s="3"/>
      <c r="L185" s="3"/>
      <c r="M185" s="3"/>
      <c r="N185" s="3"/>
      <c r="O185" s="3"/>
      <c r="P185" s="3"/>
      <c r="Q185" s="3"/>
      <c r="R185" s="3"/>
      <c r="S185" s="3"/>
      <c r="U185" s="3"/>
      <c r="W185" s="3"/>
      <c r="X185" s="3"/>
      <c r="Z185" s="3"/>
      <c r="AQ185" s="3"/>
      <c r="AR185" s="3"/>
    </row>
    <row r="186" spans="11:44" ht="15.75" customHeight="1">
      <c r="K186" s="3"/>
      <c r="L186" s="3"/>
      <c r="M186" s="3"/>
      <c r="N186" s="3"/>
      <c r="O186" s="3"/>
      <c r="P186" s="3"/>
      <c r="Q186" s="3"/>
      <c r="R186" s="3"/>
      <c r="S186" s="3"/>
      <c r="U186" s="3"/>
      <c r="W186" s="3"/>
      <c r="X186" s="3"/>
      <c r="Z186" s="3"/>
      <c r="AQ186" s="3"/>
      <c r="AR186" s="3"/>
    </row>
    <row r="187" spans="11:44" ht="15.75" customHeight="1">
      <c r="K187" s="3"/>
      <c r="L187" s="3"/>
      <c r="M187" s="3"/>
      <c r="N187" s="3"/>
      <c r="O187" s="3"/>
      <c r="P187" s="3"/>
      <c r="Q187" s="3"/>
      <c r="R187" s="3"/>
      <c r="S187" s="3"/>
      <c r="U187" s="3"/>
      <c r="W187" s="3"/>
      <c r="X187" s="3"/>
      <c r="Z187" s="3"/>
      <c r="AQ187" s="3"/>
      <c r="AR187" s="3"/>
    </row>
    <row r="188" spans="11:44" ht="15.75" customHeight="1">
      <c r="K188" s="3"/>
      <c r="L188" s="3"/>
      <c r="M188" s="3"/>
      <c r="N188" s="3"/>
      <c r="O188" s="3"/>
      <c r="P188" s="3"/>
      <c r="Q188" s="3"/>
      <c r="R188" s="3"/>
      <c r="S188" s="3"/>
      <c r="U188" s="3"/>
      <c r="W188" s="3"/>
      <c r="X188" s="3"/>
      <c r="Z188" s="3"/>
      <c r="AQ188" s="3"/>
      <c r="AR188" s="3"/>
    </row>
    <row r="189" spans="11:44" ht="15.75" customHeight="1">
      <c r="K189" s="3"/>
      <c r="L189" s="3"/>
      <c r="M189" s="3"/>
      <c r="N189" s="3"/>
      <c r="O189" s="3"/>
      <c r="P189" s="3"/>
      <c r="Q189" s="3"/>
      <c r="R189" s="3"/>
      <c r="S189" s="3"/>
      <c r="U189" s="3"/>
      <c r="W189" s="3"/>
      <c r="X189" s="3"/>
      <c r="Z189" s="3"/>
      <c r="AQ189" s="3"/>
      <c r="AR189" s="3"/>
    </row>
    <row r="190" spans="11:44" ht="15.75" customHeight="1">
      <c r="K190" s="3"/>
      <c r="L190" s="3"/>
      <c r="M190" s="3"/>
      <c r="N190" s="3"/>
      <c r="O190" s="3"/>
      <c r="P190" s="3"/>
      <c r="Q190" s="3"/>
      <c r="R190" s="3"/>
      <c r="S190" s="3"/>
      <c r="U190" s="3"/>
      <c r="W190" s="3"/>
      <c r="X190" s="3"/>
      <c r="Z190" s="3"/>
      <c r="AQ190" s="3"/>
      <c r="AR190" s="3"/>
    </row>
    <row r="191" spans="11:44" ht="15.75" customHeight="1">
      <c r="K191" s="3"/>
      <c r="L191" s="3"/>
      <c r="M191" s="3"/>
      <c r="N191" s="3"/>
      <c r="O191" s="3"/>
      <c r="P191" s="3"/>
      <c r="Q191" s="3"/>
      <c r="R191" s="3"/>
      <c r="S191" s="3"/>
      <c r="U191" s="3"/>
      <c r="W191" s="3"/>
      <c r="X191" s="3"/>
      <c r="Z191" s="3"/>
      <c r="AQ191" s="3"/>
      <c r="AR191" s="3"/>
    </row>
    <row r="192" spans="11:44" ht="15.75" customHeight="1">
      <c r="K192" s="3"/>
      <c r="L192" s="3"/>
      <c r="M192" s="3"/>
      <c r="N192" s="3"/>
      <c r="O192" s="3"/>
      <c r="P192" s="3"/>
      <c r="Q192" s="3"/>
      <c r="R192" s="3"/>
      <c r="S192" s="3"/>
      <c r="U192" s="3"/>
      <c r="W192" s="3"/>
      <c r="X192" s="3"/>
      <c r="Z192" s="3"/>
      <c r="AQ192" s="3"/>
      <c r="AR192" s="3"/>
    </row>
    <row r="193" spans="11:44" ht="15.75" customHeight="1">
      <c r="K193" s="3"/>
      <c r="L193" s="3"/>
      <c r="M193" s="3"/>
      <c r="N193" s="3"/>
      <c r="O193" s="3"/>
      <c r="P193" s="3"/>
      <c r="Q193" s="3"/>
      <c r="R193" s="3"/>
      <c r="S193" s="3"/>
      <c r="U193" s="3"/>
      <c r="W193" s="3"/>
      <c r="X193" s="3"/>
      <c r="Z193" s="3"/>
      <c r="AQ193" s="3"/>
      <c r="AR193" s="3"/>
    </row>
    <row r="194" spans="11:44" ht="15.75" customHeight="1">
      <c r="K194" s="3"/>
      <c r="L194" s="3"/>
      <c r="M194" s="3"/>
      <c r="N194" s="3"/>
      <c r="O194" s="3"/>
      <c r="P194" s="3"/>
      <c r="Q194" s="3"/>
      <c r="R194" s="3"/>
      <c r="S194" s="3"/>
      <c r="U194" s="3"/>
      <c r="W194" s="3"/>
      <c r="X194" s="3"/>
      <c r="Z194" s="3"/>
      <c r="AQ194" s="3"/>
      <c r="AR194" s="3"/>
    </row>
    <row r="195" spans="11:44" ht="15.75" customHeight="1">
      <c r="K195" s="3"/>
      <c r="L195" s="3"/>
      <c r="M195" s="3"/>
      <c r="N195" s="3"/>
      <c r="O195" s="3"/>
      <c r="P195" s="3"/>
      <c r="Q195" s="3"/>
      <c r="R195" s="3"/>
      <c r="S195" s="3"/>
      <c r="U195" s="3"/>
      <c r="W195" s="3"/>
      <c r="X195" s="3"/>
      <c r="Z195" s="3"/>
      <c r="AQ195" s="3"/>
      <c r="AR195" s="3"/>
    </row>
    <row r="196" spans="11:44" ht="15.75" customHeight="1">
      <c r="K196" s="3"/>
      <c r="L196" s="3"/>
      <c r="M196" s="3"/>
      <c r="N196" s="3"/>
      <c r="O196" s="3"/>
      <c r="P196" s="3"/>
      <c r="Q196" s="3"/>
      <c r="R196" s="3"/>
      <c r="S196" s="3"/>
      <c r="U196" s="3"/>
      <c r="W196" s="3"/>
      <c r="X196" s="3"/>
      <c r="Z196" s="3"/>
      <c r="AQ196" s="3"/>
      <c r="AR196" s="3"/>
    </row>
    <row r="197" spans="11:44" ht="15.75" customHeight="1">
      <c r="K197" s="3"/>
      <c r="L197" s="3"/>
      <c r="M197" s="3"/>
      <c r="N197" s="3"/>
      <c r="O197" s="3"/>
      <c r="P197" s="3"/>
      <c r="Q197" s="3"/>
      <c r="R197" s="3"/>
      <c r="S197" s="3"/>
      <c r="U197" s="3"/>
      <c r="W197" s="3"/>
      <c r="X197" s="3"/>
      <c r="Z197" s="3"/>
      <c r="AQ197" s="3"/>
      <c r="AR197" s="3"/>
    </row>
    <row r="198" spans="11:44" ht="15.75" customHeight="1">
      <c r="K198" s="3"/>
      <c r="L198" s="3"/>
      <c r="M198" s="3"/>
      <c r="N198" s="3"/>
      <c r="O198" s="3"/>
      <c r="P198" s="3"/>
      <c r="Q198" s="3"/>
      <c r="R198" s="3"/>
      <c r="S198" s="3"/>
      <c r="U198" s="3"/>
      <c r="W198" s="3"/>
      <c r="X198" s="3"/>
      <c r="Z198" s="3"/>
      <c r="AQ198" s="3"/>
      <c r="AR198" s="3"/>
    </row>
    <row r="199" spans="11:44" ht="15.75" customHeight="1">
      <c r="K199" s="3"/>
      <c r="L199" s="3"/>
      <c r="M199" s="3"/>
      <c r="N199" s="3"/>
      <c r="O199" s="3"/>
      <c r="P199" s="3"/>
      <c r="Q199" s="3"/>
      <c r="R199" s="3"/>
      <c r="S199" s="3"/>
      <c r="U199" s="3"/>
      <c r="W199" s="3"/>
      <c r="X199" s="3"/>
      <c r="Z199" s="3"/>
      <c r="AQ199" s="3"/>
      <c r="AR199" s="3"/>
    </row>
    <row r="200" spans="11:44" ht="15.75" customHeight="1">
      <c r="K200" s="3"/>
      <c r="L200" s="3"/>
      <c r="M200" s="3"/>
      <c r="N200" s="3"/>
      <c r="O200" s="3"/>
      <c r="P200" s="3"/>
      <c r="Q200" s="3"/>
      <c r="R200" s="3"/>
      <c r="S200" s="3"/>
      <c r="U200" s="3"/>
      <c r="W200" s="3"/>
      <c r="X200" s="3"/>
      <c r="Z200" s="3"/>
      <c r="AQ200" s="3"/>
      <c r="AR200" s="3"/>
    </row>
    <row r="201" spans="11:44" ht="15.75" customHeight="1">
      <c r="K201" s="3"/>
      <c r="L201" s="3"/>
      <c r="M201" s="3"/>
      <c r="N201" s="3"/>
      <c r="O201" s="3"/>
      <c r="P201" s="3"/>
      <c r="Q201" s="3"/>
      <c r="R201" s="3"/>
      <c r="S201" s="3"/>
      <c r="U201" s="3"/>
      <c r="W201" s="3"/>
      <c r="X201" s="3"/>
      <c r="Z201" s="3"/>
      <c r="AQ201" s="3"/>
      <c r="AR201" s="3"/>
    </row>
    <row r="202" spans="11:44" ht="15.75" customHeight="1">
      <c r="K202" s="3"/>
      <c r="L202" s="3"/>
      <c r="M202" s="3"/>
      <c r="N202" s="3"/>
      <c r="O202" s="3"/>
      <c r="P202" s="3"/>
      <c r="Q202" s="3"/>
      <c r="R202" s="3"/>
      <c r="S202" s="3"/>
      <c r="U202" s="3"/>
      <c r="W202" s="3"/>
      <c r="X202" s="3"/>
      <c r="Z202" s="3"/>
      <c r="AQ202" s="3"/>
      <c r="AR202" s="3"/>
    </row>
    <row r="203" spans="11:44" ht="15.75" customHeight="1">
      <c r="K203" s="3"/>
      <c r="L203" s="3"/>
      <c r="M203" s="3"/>
      <c r="N203" s="3"/>
      <c r="O203" s="3"/>
      <c r="P203" s="3"/>
      <c r="Q203" s="3"/>
      <c r="R203" s="3"/>
      <c r="S203" s="3"/>
      <c r="U203" s="3"/>
      <c r="W203" s="3"/>
      <c r="X203" s="3"/>
      <c r="Z203" s="3"/>
      <c r="AQ203" s="3"/>
      <c r="AR203" s="3"/>
    </row>
    <row r="204" spans="11:44" ht="15.75" customHeight="1">
      <c r="K204" s="3"/>
      <c r="L204" s="3"/>
      <c r="M204" s="3"/>
      <c r="N204" s="3"/>
      <c r="O204" s="3"/>
      <c r="P204" s="3"/>
      <c r="Q204" s="3"/>
      <c r="R204" s="3"/>
      <c r="S204" s="3"/>
      <c r="U204" s="3"/>
      <c r="W204" s="3"/>
      <c r="X204" s="3"/>
      <c r="Z204" s="3"/>
      <c r="AQ204" s="3"/>
      <c r="AR204" s="3"/>
    </row>
    <row r="205" spans="11:44" ht="15.75" customHeight="1">
      <c r="K205" s="3"/>
      <c r="L205" s="3"/>
      <c r="M205" s="3"/>
      <c r="N205" s="3"/>
      <c r="O205" s="3"/>
      <c r="P205" s="3"/>
      <c r="Q205" s="3"/>
      <c r="R205" s="3"/>
      <c r="S205" s="3"/>
      <c r="U205" s="3"/>
      <c r="W205" s="3"/>
      <c r="X205" s="3"/>
      <c r="Z205" s="3"/>
      <c r="AQ205" s="3"/>
      <c r="AR205" s="3"/>
    </row>
    <row r="206" spans="11:44" ht="15.75" customHeight="1">
      <c r="K206" s="3"/>
      <c r="L206" s="3"/>
      <c r="M206" s="3"/>
      <c r="N206" s="3"/>
      <c r="O206" s="3"/>
      <c r="P206" s="3"/>
      <c r="Q206" s="3"/>
      <c r="R206" s="3"/>
      <c r="S206" s="3"/>
      <c r="U206" s="3"/>
      <c r="W206" s="3"/>
      <c r="X206" s="3"/>
      <c r="Z206" s="3"/>
      <c r="AQ206" s="3"/>
      <c r="AR206" s="3"/>
    </row>
    <row r="207" spans="11:44" ht="15.75" customHeight="1">
      <c r="K207" s="3"/>
      <c r="L207" s="3"/>
      <c r="M207" s="3"/>
      <c r="N207" s="3"/>
      <c r="O207" s="3"/>
      <c r="P207" s="3"/>
      <c r="Q207" s="3"/>
      <c r="R207" s="3"/>
      <c r="S207" s="3"/>
      <c r="U207" s="3"/>
      <c r="W207" s="3"/>
      <c r="X207" s="3"/>
      <c r="Z207" s="3"/>
      <c r="AQ207" s="3"/>
      <c r="AR207" s="3"/>
    </row>
    <row r="208" spans="11:44" ht="15.75" customHeight="1">
      <c r="K208" s="3"/>
      <c r="L208" s="3"/>
      <c r="M208" s="3"/>
      <c r="N208" s="3"/>
      <c r="O208" s="3"/>
      <c r="P208" s="3"/>
      <c r="Q208" s="3"/>
      <c r="R208" s="3"/>
      <c r="S208" s="3"/>
      <c r="U208" s="3"/>
      <c r="W208" s="3"/>
      <c r="X208" s="3"/>
      <c r="Z208" s="3"/>
      <c r="AQ208" s="3"/>
      <c r="AR208" s="3"/>
    </row>
    <row r="209" spans="11:44" ht="15.75" customHeight="1">
      <c r="K209" s="3"/>
      <c r="L209" s="3"/>
      <c r="M209" s="3"/>
      <c r="N209" s="3"/>
      <c r="O209" s="3"/>
      <c r="P209" s="3"/>
      <c r="Q209" s="3"/>
      <c r="R209" s="3"/>
      <c r="S209" s="3"/>
      <c r="U209" s="3"/>
      <c r="W209" s="3"/>
      <c r="X209" s="3"/>
      <c r="Z209" s="3"/>
      <c r="AQ209" s="3"/>
      <c r="AR209" s="3"/>
    </row>
    <row r="210" spans="11:44" ht="15.75" customHeight="1">
      <c r="K210" s="3"/>
      <c r="L210" s="3"/>
      <c r="M210" s="3"/>
      <c r="N210" s="3"/>
      <c r="O210" s="3"/>
      <c r="P210" s="3"/>
      <c r="Q210" s="3"/>
      <c r="R210" s="3"/>
      <c r="S210" s="3"/>
      <c r="U210" s="3"/>
      <c r="W210" s="3"/>
      <c r="X210" s="3"/>
      <c r="Z210" s="3"/>
      <c r="AQ210" s="3"/>
      <c r="AR210" s="3"/>
    </row>
    <row r="211" spans="11:44" ht="15.75" customHeight="1">
      <c r="K211" s="3"/>
      <c r="L211" s="3"/>
      <c r="M211" s="3"/>
      <c r="N211" s="3"/>
      <c r="O211" s="3"/>
      <c r="P211" s="3"/>
      <c r="Q211" s="3"/>
      <c r="R211" s="3"/>
      <c r="S211" s="3"/>
      <c r="U211" s="3"/>
      <c r="W211" s="3"/>
      <c r="X211" s="3"/>
      <c r="Z211" s="3"/>
      <c r="AQ211" s="3"/>
      <c r="AR211" s="3"/>
    </row>
    <row r="212" spans="11:44" ht="15.75" customHeight="1">
      <c r="K212" s="3"/>
      <c r="L212" s="3"/>
      <c r="M212" s="3"/>
      <c r="N212" s="3"/>
      <c r="O212" s="3"/>
      <c r="P212" s="3"/>
      <c r="Q212" s="3"/>
      <c r="R212" s="3"/>
      <c r="S212" s="3"/>
      <c r="U212" s="3"/>
      <c r="W212" s="3"/>
      <c r="X212" s="3"/>
      <c r="Z212" s="3"/>
      <c r="AQ212" s="3"/>
      <c r="AR212" s="3"/>
    </row>
    <row r="213" spans="11:44" ht="15.75" customHeight="1">
      <c r="K213" s="3"/>
      <c r="L213" s="3"/>
      <c r="M213" s="3"/>
      <c r="N213" s="3"/>
      <c r="O213" s="3"/>
      <c r="P213" s="3"/>
      <c r="Q213" s="3"/>
      <c r="R213" s="3"/>
      <c r="S213" s="3"/>
      <c r="U213" s="3"/>
      <c r="W213" s="3"/>
      <c r="X213" s="3"/>
      <c r="Z213" s="3"/>
      <c r="AQ213" s="3"/>
      <c r="AR213" s="3"/>
    </row>
    <row r="214" spans="11:44" ht="15.75" customHeight="1">
      <c r="K214" s="3"/>
      <c r="L214" s="3"/>
      <c r="M214" s="3"/>
      <c r="N214" s="3"/>
      <c r="O214" s="3"/>
      <c r="P214" s="3"/>
      <c r="Q214" s="3"/>
      <c r="R214" s="3"/>
      <c r="S214" s="3"/>
      <c r="U214" s="3"/>
      <c r="W214" s="3"/>
      <c r="X214" s="3"/>
      <c r="Z214" s="3"/>
      <c r="AQ214" s="3"/>
      <c r="AR214" s="3"/>
    </row>
    <row r="215" spans="11:44" ht="15.75" customHeight="1">
      <c r="K215" s="3"/>
      <c r="L215" s="3"/>
      <c r="M215" s="3"/>
      <c r="N215" s="3"/>
      <c r="O215" s="3"/>
      <c r="P215" s="3"/>
      <c r="Q215" s="3"/>
      <c r="R215" s="3"/>
      <c r="S215" s="3"/>
      <c r="U215" s="3"/>
      <c r="W215" s="3"/>
      <c r="X215" s="3"/>
      <c r="Z215" s="3"/>
      <c r="AQ215" s="3"/>
      <c r="AR215" s="3"/>
    </row>
    <row r="216" spans="11:44" ht="15.75" customHeight="1">
      <c r="K216" s="3"/>
      <c r="L216" s="3"/>
      <c r="M216" s="3"/>
      <c r="N216" s="3"/>
      <c r="O216" s="3"/>
      <c r="P216" s="3"/>
      <c r="Q216" s="3"/>
      <c r="R216" s="3"/>
      <c r="S216" s="3"/>
      <c r="U216" s="3"/>
      <c r="W216" s="3"/>
      <c r="X216" s="3"/>
      <c r="Z216" s="3"/>
      <c r="AQ216" s="3"/>
      <c r="AR216" s="3"/>
    </row>
    <row r="217" spans="11:44" ht="15.75" customHeight="1">
      <c r="K217" s="3"/>
      <c r="L217" s="3"/>
      <c r="M217" s="3"/>
      <c r="N217" s="3"/>
      <c r="O217" s="3"/>
      <c r="P217" s="3"/>
      <c r="Q217" s="3"/>
      <c r="R217" s="3"/>
      <c r="S217" s="3"/>
      <c r="U217" s="3"/>
      <c r="W217" s="3"/>
      <c r="X217" s="3"/>
      <c r="Z217" s="3"/>
      <c r="AQ217" s="3"/>
      <c r="AR217" s="3"/>
    </row>
    <row r="218" spans="11:44" ht="15.75" customHeight="1">
      <c r="K218" s="3"/>
      <c r="L218" s="3"/>
      <c r="M218" s="3"/>
      <c r="N218" s="3"/>
      <c r="O218" s="3"/>
      <c r="P218" s="3"/>
      <c r="Q218" s="3"/>
      <c r="R218" s="3"/>
      <c r="S218" s="3"/>
      <c r="U218" s="3"/>
      <c r="W218" s="3"/>
      <c r="X218" s="3"/>
      <c r="Z218" s="3"/>
      <c r="AQ218" s="3"/>
      <c r="AR218" s="3"/>
    </row>
    <row r="219" spans="11:44" ht="15.75" customHeight="1">
      <c r="K219" s="3"/>
      <c r="L219" s="3"/>
      <c r="M219" s="3"/>
      <c r="N219" s="3"/>
      <c r="O219" s="3"/>
      <c r="P219" s="3"/>
      <c r="Q219" s="3"/>
      <c r="R219" s="3"/>
      <c r="S219" s="3"/>
      <c r="U219" s="3"/>
      <c r="W219" s="3"/>
      <c r="X219" s="3"/>
      <c r="Z219" s="3"/>
      <c r="AQ219" s="3"/>
      <c r="AR219" s="3"/>
    </row>
    <row r="220" spans="11:44" ht="15.75" customHeight="1">
      <c r="K220" s="3"/>
      <c r="L220" s="3"/>
      <c r="M220" s="3"/>
      <c r="N220" s="3"/>
      <c r="O220" s="3"/>
      <c r="P220" s="3"/>
      <c r="Q220" s="3"/>
      <c r="R220" s="3"/>
      <c r="S220" s="3"/>
      <c r="U220" s="3"/>
      <c r="W220" s="3"/>
      <c r="X220" s="3"/>
      <c r="Z220" s="3"/>
      <c r="AQ220" s="3"/>
      <c r="AR220" s="3"/>
    </row>
    <row r="221" spans="11:44" ht="15.75" customHeight="1">
      <c r="K221" s="3"/>
      <c r="L221" s="3"/>
      <c r="M221" s="3"/>
      <c r="N221" s="3"/>
      <c r="O221" s="3"/>
      <c r="P221" s="3"/>
      <c r="Q221" s="3"/>
      <c r="R221" s="3"/>
      <c r="S221" s="3"/>
      <c r="U221" s="3"/>
      <c r="W221" s="3"/>
      <c r="X221" s="3"/>
      <c r="Z221" s="3"/>
      <c r="AQ221" s="3"/>
      <c r="AR221" s="3"/>
    </row>
    <row r="222" spans="11:44" ht="15.75" customHeight="1">
      <c r="K222" s="3"/>
      <c r="L222" s="3"/>
      <c r="M222" s="3"/>
      <c r="N222" s="3"/>
      <c r="O222" s="3"/>
      <c r="P222" s="3"/>
      <c r="Q222" s="3"/>
      <c r="R222" s="3"/>
      <c r="S222" s="3"/>
      <c r="U222" s="3"/>
      <c r="W222" s="3"/>
      <c r="X222" s="3"/>
      <c r="Z222" s="3"/>
      <c r="AQ222" s="3"/>
      <c r="AR222" s="3"/>
    </row>
    <row r="223" spans="11:44" ht="15.75" customHeight="1">
      <c r="K223" s="3"/>
      <c r="L223" s="3"/>
      <c r="M223" s="3"/>
      <c r="N223" s="3"/>
      <c r="O223" s="3"/>
      <c r="P223" s="3"/>
      <c r="Q223" s="3"/>
      <c r="R223" s="3"/>
      <c r="S223" s="3"/>
      <c r="U223" s="3"/>
      <c r="W223" s="3"/>
      <c r="X223" s="3"/>
      <c r="Z223" s="3"/>
      <c r="AQ223" s="3"/>
      <c r="AR223" s="3"/>
    </row>
    <row r="224" spans="11:44" ht="15.75" customHeight="1">
      <c r="K224" s="3"/>
      <c r="L224" s="3"/>
      <c r="M224" s="3"/>
      <c r="N224" s="3"/>
      <c r="O224" s="3"/>
      <c r="P224" s="3"/>
      <c r="Q224" s="3"/>
      <c r="R224" s="3"/>
      <c r="S224" s="3"/>
      <c r="U224" s="3"/>
      <c r="W224" s="3"/>
      <c r="X224" s="3"/>
      <c r="Z224" s="3"/>
      <c r="AQ224" s="3"/>
      <c r="AR224" s="3"/>
    </row>
    <row r="225" spans="11:44" ht="15.75" customHeight="1">
      <c r="K225" s="3"/>
      <c r="L225" s="3"/>
      <c r="M225" s="3"/>
      <c r="N225" s="3"/>
      <c r="O225" s="3"/>
      <c r="P225" s="3"/>
      <c r="Q225" s="3"/>
      <c r="R225" s="3"/>
      <c r="S225" s="3"/>
      <c r="U225" s="3"/>
      <c r="W225" s="3"/>
      <c r="X225" s="3"/>
      <c r="Z225" s="3"/>
      <c r="AQ225" s="3"/>
      <c r="AR225" s="3"/>
    </row>
    <row r="226" spans="11:44" ht="15.75" customHeight="1">
      <c r="K226" s="3"/>
      <c r="L226" s="3"/>
      <c r="M226" s="3"/>
      <c r="N226" s="3"/>
      <c r="O226" s="3"/>
      <c r="P226" s="3"/>
      <c r="Q226" s="3"/>
      <c r="R226" s="3"/>
      <c r="S226" s="3"/>
      <c r="U226" s="3"/>
      <c r="W226" s="3"/>
      <c r="X226" s="3"/>
      <c r="Z226" s="3"/>
      <c r="AQ226" s="3"/>
      <c r="AR226" s="3"/>
    </row>
    <row r="227" spans="11:44" ht="15.75" customHeight="1">
      <c r="K227" s="3"/>
      <c r="L227" s="3"/>
      <c r="M227" s="3"/>
      <c r="N227" s="3"/>
      <c r="O227" s="3"/>
      <c r="P227" s="3"/>
      <c r="Q227" s="3"/>
      <c r="R227" s="3"/>
      <c r="S227" s="3"/>
      <c r="U227" s="3"/>
      <c r="W227" s="3"/>
      <c r="X227" s="3"/>
      <c r="Z227" s="3"/>
      <c r="AQ227" s="3"/>
      <c r="AR227" s="3"/>
    </row>
    <row r="228" spans="11:44" ht="15.75" customHeight="1">
      <c r="K228" s="3"/>
      <c r="L228" s="3"/>
      <c r="M228" s="3"/>
      <c r="N228" s="3"/>
      <c r="O228" s="3"/>
      <c r="P228" s="3"/>
      <c r="Q228" s="3"/>
      <c r="R228" s="3"/>
      <c r="S228" s="3"/>
      <c r="U228" s="3"/>
      <c r="W228" s="3"/>
      <c r="X228" s="3"/>
      <c r="Z228" s="3"/>
      <c r="AQ228" s="3"/>
      <c r="AR228" s="3"/>
    </row>
    <row r="229" spans="11:44" ht="15.75" customHeight="1">
      <c r="K229" s="3"/>
      <c r="L229" s="3"/>
      <c r="M229" s="3"/>
      <c r="N229" s="3"/>
      <c r="O229" s="3"/>
      <c r="P229" s="3"/>
      <c r="Q229" s="3"/>
      <c r="R229" s="3"/>
      <c r="S229" s="3"/>
      <c r="U229" s="3"/>
      <c r="W229" s="3"/>
      <c r="X229" s="3"/>
      <c r="Z229" s="3"/>
      <c r="AQ229" s="3"/>
      <c r="AR229" s="3"/>
    </row>
    <row r="230" spans="11:44" ht="15.75" customHeight="1">
      <c r="K230" s="3"/>
      <c r="L230" s="3"/>
      <c r="M230" s="3"/>
      <c r="N230" s="3"/>
      <c r="O230" s="3"/>
      <c r="P230" s="3"/>
      <c r="Q230" s="3"/>
      <c r="R230" s="3"/>
      <c r="S230" s="3"/>
      <c r="U230" s="3"/>
      <c r="W230" s="3"/>
      <c r="X230" s="3"/>
      <c r="Z230" s="3"/>
      <c r="AQ230" s="3"/>
      <c r="AR230" s="3"/>
    </row>
    <row r="231" spans="11:44" ht="15.75" customHeight="1">
      <c r="K231" s="3"/>
      <c r="L231" s="3"/>
      <c r="M231" s="3"/>
      <c r="N231" s="3"/>
      <c r="O231" s="3"/>
      <c r="P231" s="3"/>
      <c r="Q231" s="3"/>
      <c r="R231" s="3"/>
      <c r="S231" s="3"/>
      <c r="U231" s="3"/>
      <c r="W231" s="3"/>
      <c r="X231" s="3"/>
      <c r="Z231" s="3"/>
      <c r="AQ231" s="3"/>
      <c r="AR231" s="3"/>
    </row>
    <row r="232" spans="11:44" ht="15.75" customHeight="1">
      <c r="K232" s="3"/>
      <c r="L232" s="3"/>
      <c r="M232" s="3"/>
      <c r="N232" s="3"/>
      <c r="O232" s="3"/>
      <c r="P232" s="3"/>
      <c r="Q232" s="3"/>
      <c r="R232" s="3"/>
      <c r="S232" s="3"/>
      <c r="U232" s="3"/>
      <c r="W232" s="3"/>
      <c r="X232" s="3"/>
      <c r="Z232" s="3"/>
      <c r="AQ232" s="3"/>
      <c r="AR232" s="3"/>
    </row>
    <row r="233" spans="11:44" ht="15.75" customHeight="1">
      <c r="K233" s="3"/>
      <c r="L233" s="3"/>
      <c r="M233" s="3"/>
      <c r="N233" s="3"/>
      <c r="O233" s="3"/>
      <c r="P233" s="3"/>
      <c r="Q233" s="3"/>
      <c r="R233" s="3"/>
      <c r="S233" s="3"/>
      <c r="U233" s="3"/>
      <c r="W233" s="3"/>
      <c r="X233" s="3"/>
      <c r="Z233" s="3"/>
      <c r="AQ233" s="3"/>
      <c r="AR233" s="3"/>
    </row>
    <row r="234" spans="11:44" ht="15.75" customHeight="1">
      <c r="K234" s="3"/>
      <c r="L234" s="3"/>
      <c r="M234" s="3"/>
      <c r="N234" s="3"/>
      <c r="O234" s="3"/>
      <c r="P234" s="3"/>
      <c r="Q234" s="3"/>
      <c r="R234" s="3"/>
      <c r="S234" s="3"/>
      <c r="U234" s="3"/>
      <c r="W234" s="3"/>
      <c r="X234" s="3"/>
      <c r="Z234" s="3"/>
      <c r="AQ234" s="3"/>
      <c r="AR234" s="3"/>
    </row>
    <row r="235" spans="11:44" ht="15.75" customHeight="1">
      <c r="K235" s="3"/>
      <c r="L235" s="3"/>
      <c r="M235" s="3"/>
      <c r="N235" s="3"/>
      <c r="O235" s="3"/>
      <c r="P235" s="3"/>
      <c r="Q235" s="3"/>
      <c r="R235" s="3"/>
      <c r="S235" s="3"/>
      <c r="U235" s="3"/>
      <c r="W235" s="3"/>
      <c r="X235" s="3"/>
      <c r="Z235" s="3"/>
      <c r="AQ235" s="3"/>
      <c r="AR235" s="3"/>
    </row>
    <row r="236" spans="11:44" ht="15.75" customHeight="1">
      <c r="K236" s="3"/>
      <c r="L236" s="3"/>
      <c r="M236" s="3"/>
      <c r="N236" s="3"/>
      <c r="O236" s="3"/>
      <c r="P236" s="3"/>
      <c r="Q236" s="3"/>
      <c r="R236" s="3"/>
      <c r="S236" s="3"/>
      <c r="U236" s="3"/>
      <c r="W236" s="3"/>
      <c r="X236" s="3"/>
      <c r="Z236" s="3"/>
      <c r="AQ236" s="3"/>
      <c r="AR236" s="3"/>
    </row>
    <row r="237" spans="11:44" ht="15.75" customHeight="1">
      <c r="K237" s="3"/>
      <c r="L237" s="3"/>
      <c r="M237" s="3"/>
      <c r="N237" s="3"/>
      <c r="O237" s="3"/>
      <c r="P237" s="3"/>
      <c r="Q237" s="3"/>
      <c r="R237" s="3"/>
      <c r="S237" s="3"/>
      <c r="U237" s="3"/>
      <c r="W237" s="3"/>
      <c r="X237" s="3"/>
      <c r="Z237" s="3"/>
      <c r="AQ237" s="3"/>
      <c r="AR237" s="3"/>
    </row>
    <row r="238" spans="11:44" ht="15.75" customHeight="1">
      <c r="K238" s="3"/>
      <c r="L238" s="3"/>
      <c r="M238" s="3"/>
      <c r="N238" s="3"/>
      <c r="O238" s="3"/>
      <c r="P238" s="3"/>
      <c r="Q238" s="3"/>
      <c r="R238" s="3"/>
      <c r="S238" s="3"/>
      <c r="U238" s="3"/>
      <c r="W238" s="3"/>
      <c r="X238" s="3"/>
      <c r="Z238" s="3"/>
      <c r="AQ238" s="3"/>
      <c r="AR238" s="3"/>
    </row>
    <row r="239" spans="11:44" ht="15.75" customHeight="1">
      <c r="K239" s="3"/>
      <c r="L239" s="3"/>
      <c r="M239" s="3"/>
      <c r="N239" s="3"/>
      <c r="O239" s="3"/>
      <c r="P239" s="3"/>
      <c r="Q239" s="3"/>
      <c r="R239" s="3"/>
      <c r="S239" s="3"/>
      <c r="U239" s="3"/>
      <c r="W239" s="3"/>
      <c r="X239" s="3"/>
      <c r="Z239" s="3"/>
      <c r="AQ239" s="3"/>
      <c r="AR239" s="3"/>
    </row>
    <row r="240" spans="11:44" ht="15.75" customHeight="1">
      <c r="K240" s="3"/>
      <c r="L240" s="3"/>
      <c r="M240" s="3"/>
      <c r="N240" s="3"/>
      <c r="O240" s="3"/>
      <c r="P240" s="3"/>
      <c r="Q240" s="3"/>
      <c r="R240" s="3"/>
      <c r="S240" s="3"/>
      <c r="U240" s="3"/>
      <c r="W240" s="3"/>
      <c r="X240" s="3"/>
      <c r="Z240" s="3"/>
      <c r="AQ240" s="3"/>
      <c r="AR240" s="3"/>
    </row>
    <row r="241" spans="11:44" ht="15.75" customHeight="1">
      <c r="K241" s="3"/>
      <c r="L241" s="3"/>
      <c r="M241" s="3"/>
      <c r="N241" s="3"/>
      <c r="O241" s="3"/>
      <c r="P241" s="3"/>
      <c r="Q241" s="3"/>
      <c r="R241" s="3"/>
      <c r="S241" s="3"/>
      <c r="U241" s="3"/>
      <c r="W241" s="3"/>
      <c r="X241" s="3"/>
      <c r="Z241" s="3"/>
      <c r="AQ241" s="3"/>
      <c r="AR241" s="3"/>
    </row>
    <row r="242" spans="11:44" ht="15.75" customHeight="1">
      <c r="K242" s="3"/>
      <c r="L242" s="3"/>
      <c r="M242" s="3"/>
      <c r="N242" s="3"/>
      <c r="O242" s="3"/>
      <c r="P242" s="3"/>
      <c r="Q242" s="3"/>
      <c r="R242" s="3"/>
      <c r="S242" s="3"/>
      <c r="U242" s="3"/>
      <c r="W242" s="3"/>
      <c r="X242" s="3"/>
      <c r="Z242" s="3"/>
      <c r="AQ242" s="3"/>
      <c r="AR242" s="3"/>
    </row>
    <row r="243" spans="11:44" ht="15.75" customHeight="1">
      <c r="K243" s="3"/>
      <c r="L243" s="3"/>
      <c r="M243" s="3"/>
      <c r="N243" s="3"/>
      <c r="O243" s="3"/>
      <c r="P243" s="3"/>
      <c r="Q243" s="3"/>
      <c r="R243" s="3"/>
      <c r="S243" s="3"/>
      <c r="U243" s="3"/>
      <c r="W243" s="3"/>
      <c r="X243" s="3"/>
      <c r="Z243" s="3"/>
      <c r="AQ243" s="3"/>
      <c r="AR243" s="3"/>
    </row>
    <row r="244" spans="11:44" ht="15.75" customHeight="1">
      <c r="K244" s="3"/>
      <c r="L244" s="3"/>
      <c r="M244" s="3"/>
      <c r="N244" s="3"/>
      <c r="O244" s="3"/>
      <c r="P244" s="3"/>
      <c r="Q244" s="3"/>
      <c r="R244" s="3"/>
      <c r="S244" s="3"/>
      <c r="U244" s="3"/>
      <c r="W244" s="3"/>
      <c r="X244" s="3"/>
      <c r="Z244" s="3"/>
      <c r="AQ244" s="3"/>
      <c r="AR244" s="3"/>
    </row>
    <row r="245" spans="11:44" ht="15.75" customHeight="1"/>
    <row r="246" spans="11:44" ht="15.75" customHeight="1"/>
    <row r="247" spans="11:44" ht="15.75" customHeight="1"/>
    <row r="248" spans="11:44" ht="15.75" customHeight="1"/>
    <row r="249" spans="11:44" ht="15.75" customHeight="1"/>
    <row r="250" spans="11:44" ht="15.75" customHeight="1"/>
    <row r="251" spans="11:44" ht="15.75" customHeight="1"/>
    <row r="252" spans="11:44" ht="15.75" customHeight="1"/>
    <row r="253" spans="11:44" ht="15.75" customHeight="1"/>
    <row r="254" spans="11:44" ht="15.75" customHeight="1"/>
    <row r="255" spans="11:44" ht="15.75" customHeight="1"/>
    <row r="256" spans="11:44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3:A4"/>
    <mergeCell ref="T3:V3"/>
    <mergeCell ref="X3:Y3"/>
    <mergeCell ref="N33:R35"/>
  </mergeCells>
  <conditionalFormatting sqref="B31:P31">
    <cfRule type="cellIs" dxfId="19" priority="1" operator="between">
      <formula>0</formula>
      <formula>0.18</formula>
    </cfRule>
  </conditionalFormatting>
  <conditionalFormatting sqref="B31:P31">
    <cfRule type="cellIs" dxfId="18" priority="2" operator="greaterThanOrEqual">
      <formula>0.18</formula>
    </cfRule>
  </conditionalFormatting>
  <conditionalFormatting sqref="B31:P31">
    <cfRule type="cellIs" dxfId="17" priority="3" operator="lessThan">
      <formula>0</formula>
    </cfRule>
  </conditionalFormatting>
  <conditionalFormatting sqref="Q31:R31">
    <cfRule type="cellIs" dxfId="16" priority="4" operator="between">
      <formula>0</formula>
      <formula>0.18</formula>
    </cfRule>
  </conditionalFormatting>
  <conditionalFormatting sqref="Q31:R31">
    <cfRule type="cellIs" dxfId="15" priority="5" operator="greaterThanOrEqual">
      <formula>0.18</formula>
    </cfRule>
  </conditionalFormatting>
  <conditionalFormatting sqref="Q31:R31">
    <cfRule type="cellIs" dxfId="14" priority="6" operator="lessThan">
      <formula>0</formula>
    </cfRule>
  </conditionalFormatting>
  <conditionalFormatting sqref="X31:Y31 AA31:AB31">
    <cfRule type="cellIs" dxfId="13" priority="7" operator="between">
      <formula>0</formula>
      <formula>0.18</formula>
    </cfRule>
  </conditionalFormatting>
  <conditionalFormatting sqref="X31:Y31 AA31:AB31">
    <cfRule type="cellIs" dxfId="12" priority="8" operator="greaterThanOrEqual">
      <formula>0.18</formula>
    </cfRule>
  </conditionalFormatting>
  <conditionalFormatting sqref="X31:Y31 AA31:AB31">
    <cfRule type="cellIs" dxfId="11" priority="9" operator="lessThan">
      <formula>0</formula>
    </cfRule>
  </conditionalFormatting>
  <conditionalFormatting sqref="AC31:AF31">
    <cfRule type="cellIs" dxfId="10" priority="10" operator="between">
      <formula>0</formula>
      <formula>0.18</formula>
    </cfRule>
  </conditionalFormatting>
  <conditionalFormatting sqref="AC31:AF31">
    <cfRule type="cellIs" dxfId="9" priority="11" operator="greaterThanOrEqual">
      <formula>0.18</formula>
    </cfRule>
  </conditionalFormatting>
  <conditionalFormatting sqref="AC31:AF31">
    <cfRule type="cellIs" dxfId="8" priority="12" operator="lessThan">
      <formula>0</formula>
    </cfRule>
  </conditionalFormatting>
  <conditionalFormatting sqref="AG31:AP31">
    <cfRule type="cellIs" dxfId="7" priority="13" operator="between">
      <formula>0</formula>
      <formula>0.18</formula>
    </cfRule>
  </conditionalFormatting>
  <conditionalFormatting sqref="AG31:AP31">
    <cfRule type="cellIs" dxfId="6" priority="14" operator="greaterThanOrEqual">
      <formula>0.18</formula>
    </cfRule>
  </conditionalFormatting>
  <conditionalFormatting sqref="AG31:AP31">
    <cfRule type="cellIs" dxfId="5" priority="15" operator="lessThan">
      <formula>0</formula>
    </cfRule>
  </conditionalFormatting>
  <conditionalFormatting sqref="T31:V31">
    <cfRule type="cellIs" dxfId="4" priority="16" operator="between">
      <formula>0</formula>
      <formula>0.18</formula>
    </cfRule>
  </conditionalFormatting>
  <conditionalFormatting sqref="T31:V31">
    <cfRule type="cellIs" dxfId="3" priority="17" operator="greaterThanOrEqual">
      <formula>0.18</formula>
    </cfRule>
  </conditionalFormatting>
  <conditionalFormatting sqref="T31:V31">
    <cfRule type="cellIs" dxfId="2" priority="18" operator="lessThan">
      <formula>0</formula>
    </cfRule>
  </conditionalFormatting>
  <pageMargins left="0.511811024" right="0.511811024" top="0.78740157499999996" bottom="0.78740157499999996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1000"/>
  <sheetViews>
    <sheetView workbookViewId="0"/>
  </sheetViews>
  <sheetFormatPr defaultColWidth="12.5703125" defaultRowHeight="15" customHeight="1"/>
  <cols>
    <col min="1" max="1" width="37.5703125" customWidth="1"/>
    <col min="2" max="2" width="8.7109375" customWidth="1"/>
    <col min="3" max="3" width="11.140625" customWidth="1"/>
    <col min="4" max="5" width="12.140625" customWidth="1"/>
    <col min="6" max="6" width="10.7109375" customWidth="1"/>
    <col min="7" max="9" width="12.140625" customWidth="1"/>
    <col min="10" max="12" width="11.140625" customWidth="1"/>
    <col min="13" max="14" width="12" customWidth="1"/>
    <col min="15" max="15" width="10" customWidth="1"/>
    <col min="16" max="16" width="8.42578125" customWidth="1"/>
    <col min="17" max="20" width="10" customWidth="1"/>
    <col min="21" max="24" width="8.7109375" customWidth="1"/>
    <col min="25" max="26" width="14.42578125" customWidth="1"/>
  </cols>
  <sheetData>
    <row r="1" spans="1:24" ht="12.75" customHeight="1">
      <c r="A1" s="2" t="s">
        <v>252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4" ht="12.75" customHeight="1">
      <c r="A2" s="2"/>
      <c r="C2" s="4" t="s">
        <v>75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427"/>
      <c r="O2" s="2"/>
      <c r="P2" s="2"/>
      <c r="Q2" s="2"/>
      <c r="R2" s="2"/>
      <c r="S2" s="2"/>
      <c r="T2" s="2"/>
    </row>
    <row r="3" spans="1:24" ht="12.75" customHeight="1">
      <c r="A3" s="2"/>
      <c r="C3" s="176">
        <v>1</v>
      </c>
      <c r="D3" s="176">
        <v>2</v>
      </c>
      <c r="E3" s="176">
        <v>3</v>
      </c>
      <c r="F3" s="176">
        <v>4</v>
      </c>
      <c r="G3" s="176">
        <v>5</v>
      </c>
      <c r="H3" s="176">
        <v>6</v>
      </c>
      <c r="I3" s="176">
        <v>7</v>
      </c>
      <c r="J3" s="176">
        <v>8</v>
      </c>
      <c r="K3" s="176">
        <v>9</v>
      </c>
      <c r="L3" s="176">
        <v>10</v>
      </c>
      <c r="M3" s="176">
        <v>11</v>
      </c>
      <c r="N3" s="176">
        <v>12</v>
      </c>
      <c r="O3" s="176">
        <v>13</v>
      </c>
      <c r="P3" s="176">
        <v>14</v>
      </c>
      <c r="Q3" s="176">
        <v>15</v>
      </c>
      <c r="R3" s="176">
        <v>16</v>
      </c>
      <c r="S3" s="176">
        <v>17</v>
      </c>
      <c r="T3" s="176">
        <v>18</v>
      </c>
    </row>
    <row r="4" spans="1:24" ht="12.75" customHeight="1">
      <c r="A4" s="176" t="s">
        <v>253</v>
      </c>
      <c r="B4" s="61" t="s">
        <v>68</v>
      </c>
      <c r="C4" s="72">
        <f>+Entrada!Z17</f>
        <v>68</v>
      </c>
      <c r="D4" s="72">
        <f>+Entrada!C17</f>
        <v>480</v>
      </c>
      <c r="E4" s="72" t="e">
        <f>+Entrada!#REF!</f>
        <v>#REF!</v>
      </c>
      <c r="F4" s="72" t="e">
        <f>+Entrada!#REF!</f>
        <v>#REF!</v>
      </c>
      <c r="G4" s="72" t="e">
        <f>+Entrada!#REF!</f>
        <v>#REF!</v>
      </c>
      <c r="H4" s="72" t="e">
        <f>+Entrada!#REF!</f>
        <v>#REF!</v>
      </c>
      <c r="I4" s="72" t="e">
        <f>+Entrada!#REF!</f>
        <v>#REF!</v>
      </c>
      <c r="J4" s="72" t="e">
        <f>+Entrada!#REF!</f>
        <v>#REF!</v>
      </c>
      <c r="K4" s="72" t="e">
        <f>+Entrada!#REF!</f>
        <v>#REF!</v>
      </c>
      <c r="L4" s="72" t="e">
        <f>+Entrada!#REF!</f>
        <v>#REF!</v>
      </c>
      <c r="M4" s="72">
        <f>+Entrada!AC17</f>
        <v>360</v>
      </c>
      <c r="N4" s="72">
        <f>+Entrada!AD17</f>
        <v>560</v>
      </c>
      <c r="O4" s="72">
        <f>+Entrada!AE17</f>
        <v>352</v>
      </c>
      <c r="P4" s="72">
        <f>+Entrada!AF17</f>
        <v>200</v>
      </c>
      <c r="Q4" s="72">
        <f>+Entrada!AG17</f>
        <v>380</v>
      </c>
      <c r="R4" s="72">
        <f>+Entrada!AH17</f>
        <v>640</v>
      </c>
      <c r="S4" s="72">
        <f>+Entrada!AI17</f>
        <v>360</v>
      </c>
      <c r="T4" s="72">
        <f>+Entrada!AJ17</f>
        <v>440</v>
      </c>
    </row>
    <row r="5" spans="1:24" ht="12.75" customHeight="1">
      <c r="A5" s="176" t="s">
        <v>254</v>
      </c>
      <c r="B5" s="61"/>
      <c r="C5" s="441" t="e">
        <f>C4/Entrada!#REF!*10000</f>
        <v>#REF!</v>
      </c>
      <c r="D5" s="441" t="e">
        <f>D4/Entrada!#REF!*10000</f>
        <v>#REF!</v>
      </c>
      <c r="E5" s="441" t="e">
        <f>E4/Entrada!#REF!*10000</f>
        <v>#REF!</v>
      </c>
      <c r="F5" s="441" t="e">
        <f>F4/Entrada!#REF!*10000</f>
        <v>#REF!</v>
      </c>
      <c r="G5" s="441" t="e">
        <f>G4/Entrada!#REF!*10000</f>
        <v>#REF!</v>
      </c>
      <c r="H5" s="441" t="e">
        <f>H4/Entrada!#REF!*10000</f>
        <v>#REF!</v>
      </c>
      <c r="I5" s="441" t="e">
        <f>I4/Entrada!#REF!*10000</f>
        <v>#REF!</v>
      </c>
      <c r="J5" s="441" t="e">
        <f>J4/Entrada!#REF!*10000</f>
        <v>#REF!</v>
      </c>
      <c r="K5" s="441" t="e">
        <f>K4/Entrada!#REF!*10000</f>
        <v>#REF!</v>
      </c>
      <c r="L5" s="441" t="e">
        <f>L4/Entrada!#REF!*10000</f>
        <v>#REF!</v>
      </c>
      <c r="M5" s="441" t="e">
        <f>M4/Entrada!#REF!*10000</f>
        <v>#REF!</v>
      </c>
      <c r="N5" s="441" t="e">
        <f>N4/Entrada!#REF!*10000</f>
        <v>#REF!</v>
      </c>
      <c r="O5" s="441" t="e">
        <f>O4/Entrada!#REF!*10000</f>
        <v>#REF!</v>
      </c>
      <c r="P5" s="441" t="e">
        <f>P4/Entrada!#REF!*10000</f>
        <v>#REF!</v>
      </c>
      <c r="Q5" s="441" t="e">
        <f>Q4/Entrada!#REF!*10000</f>
        <v>#REF!</v>
      </c>
      <c r="R5" s="441" t="e">
        <f>R4/Entrada!#REF!*10000</f>
        <v>#REF!</v>
      </c>
      <c r="S5" s="441" t="e">
        <f>S4/Entrada!#REF!*10000</f>
        <v>#REF!</v>
      </c>
      <c r="T5" s="441" t="e">
        <f>T4/Entrada!#REF!*10000</f>
        <v>#REF!</v>
      </c>
    </row>
    <row r="6" spans="1:24" ht="12.75" customHeight="1">
      <c r="A6" s="176" t="s">
        <v>255</v>
      </c>
      <c r="B6" s="61" t="s">
        <v>80</v>
      </c>
      <c r="C6" s="83">
        <f>ROUND(+'custo UrbanizR$'!AC11,2)</f>
        <v>20446.2</v>
      </c>
      <c r="D6" s="83">
        <f>ROUND(+'custo UrbanizR$'!D11,2)</f>
        <v>2429.1</v>
      </c>
      <c r="E6" s="83">
        <f>ROUND(+'custo UrbanizR$'!E11,2)</f>
        <v>1221.32</v>
      </c>
      <c r="F6" s="83">
        <f>ROUND(+'custo UrbanizR$'!F11,2)</f>
        <v>1663.53</v>
      </c>
      <c r="G6" s="83">
        <f>ROUND(+'custo UrbanizR$'!G11,2)</f>
        <v>367.33</v>
      </c>
      <c r="H6" s="83">
        <f>ROUND(+'custo UrbanizR$'!H11,2)</f>
        <v>143.44999999999999</v>
      </c>
      <c r="I6" s="83" t="e">
        <f>ROUND(+'custo UrbanizR$'!I11,2)</f>
        <v>#DIV/0!</v>
      </c>
      <c r="J6" s="83">
        <f>ROUND(+'custo UrbanizR$'!J11,2)</f>
        <v>580.94000000000005</v>
      </c>
      <c r="K6" s="83">
        <f>ROUND(+'custo UrbanizR$'!K11,2)</f>
        <v>943.05</v>
      </c>
      <c r="L6" s="83">
        <f>ROUND(+'custo UrbanizR$'!AD11,2)</f>
        <v>4625.4399999999996</v>
      </c>
      <c r="M6" s="83">
        <f>ROUND(+'custo UrbanizR$'!AF11,2)</f>
        <v>2241.88</v>
      </c>
      <c r="N6" s="83">
        <f>ROUND(+'custo UrbanizR$'!AG11,2)</f>
        <v>1013.33</v>
      </c>
      <c r="O6" s="83">
        <f>ROUND(+'custo UrbanizR$'!AH11,2)</f>
        <v>2246.75</v>
      </c>
      <c r="P6" s="83">
        <f>ROUND(+'custo UrbanizR$'!AI11,2)</f>
        <v>1976.11</v>
      </c>
      <c r="Q6" s="83">
        <f>ROUND(+'custo UrbanizR$'!AJ11,2)</f>
        <v>4893.1499999999996</v>
      </c>
      <c r="R6" s="83">
        <f>ROUND(+'custo UrbanizR$'!AK11,2)</f>
        <v>620.76</v>
      </c>
      <c r="S6" s="83">
        <f>ROUND(+'custo UrbanizR$'!AL11,2)</f>
        <v>4531.08</v>
      </c>
      <c r="T6" s="83">
        <f>ROUND(+'custo UrbanizR$'!AM11,2)</f>
        <v>4015.74</v>
      </c>
    </row>
    <row r="7" spans="1:24" ht="12.75" customHeight="1">
      <c r="A7" s="176" t="s">
        <v>256</v>
      </c>
      <c r="B7" s="61" t="s">
        <v>80</v>
      </c>
      <c r="C7" s="83">
        <f>ROUND(+'custo UrbanizR$'!AC8/Entrada!Z17,2)</f>
        <v>20446.2</v>
      </c>
      <c r="D7" s="83">
        <f>ROUND(+'custo UrbanizR$'!D8/Entrada!C17,2)</f>
        <v>2429.1</v>
      </c>
      <c r="E7" s="83" t="e">
        <f>ROUND(+'custo UrbanizR$'!E8/Entrada!#REF!,2)</f>
        <v>#REF!</v>
      </c>
      <c r="F7" s="83" t="e">
        <f>ROUND(+'custo UrbanizR$'!F8/Entrada!#REF!,2)</f>
        <v>#REF!</v>
      </c>
      <c r="G7" s="83" t="e">
        <f>ROUND(+'custo UrbanizR$'!G8/Entrada!#REF!,2)</f>
        <v>#REF!</v>
      </c>
      <c r="H7" s="83" t="e">
        <f>ROUND(+'custo UrbanizR$'!H8/Entrada!#REF!,2)</f>
        <v>#REF!</v>
      </c>
      <c r="I7" s="83" t="e">
        <f>ROUND(+'custo UrbanizR$'!I8/Entrada!#REF!,2)</f>
        <v>#REF!</v>
      </c>
      <c r="J7" s="83" t="e">
        <f>ROUND(+'custo UrbanizR$'!J8/Entrada!#REF!,2)</f>
        <v>#REF!</v>
      </c>
      <c r="K7" s="83" t="e">
        <f>ROUND(+'custo UrbanizR$'!K8/Entrada!#REF!,2)</f>
        <v>#REF!</v>
      </c>
      <c r="L7" s="83" t="e">
        <f>ROUND(+'custo UrbanizR$'!AD8/Entrada!#REF!,2)</f>
        <v>#REF!</v>
      </c>
      <c r="M7" s="83">
        <f>ROUND(+'custo UrbanizR$'!AF8/Entrada!AC17,2)</f>
        <v>2241.88</v>
      </c>
      <c r="N7" s="83">
        <f>ROUND(+'custo UrbanizR$'!AG8/Entrada!AD17,2)</f>
        <v>1013.33</v>
      </c>
      <c r="O7" s="83">
        <f>ROUND(+'custo UrbanizR$'!AH8/Entrada!AE17,2)</f>
        <v>2246.75</v>
      </c>
      <c r="P7" s="83">
        <f>ROUND(+'custo UrbanizR$'!AI8/Entrada!AF17,2)</f>
        <v>1976.11</v>
      </c>
      <c r="Q7" s="83">
        <f>ROUND(+'custo UrbanizR$'!AJ8/Entrada!AG17,2)</f>
        <v>4893.1499999999996</v>
      </c>
      <c r="R7" s="83">
        <f>ROUND(+'custo UrbanizR$'!AK8/Entrada!AH17,2)</f>
        <v>620.76</v>
      </c>
      <c r="S7" s="83">
        <f>ROUND(+'custo UrbanizR$'!AL8/Entrada!AI17,2)</f>
        <v>4531.08</v>
      </c>
      <c r="T7" s="83">
        <f>ROUND(+'custo UrbanizR$'!AM8/Entrada!AJ17,2)</f>
        <v>4015.74</v>
      </c>
    </row>
    <row r="8" spans="1:24" ht="12.75" customHeight="1">
      <c r="A8" s="176" t="s">
        <v>257</v>
      </c>
      <c r="B8" s="61" t="s">
        <v>80</v>
      </c>
      <c r="C8" s="83" t="e">
        <f>+'custo UrbanizR$'!#REF!/Entrada!X13</f>
        <v>#REF!</v>
      </c>
      <c r="D8" s="83" t="e">
        <f>+'custo UrbanizR$'!#REF!/Entrada!C13</f>
        <v>#REF!</v>
      </c>
      <c r="E8" s="83" t="e">
        <f>+'custo UrbanizR$'!#REF!/Entrada!#REF!</f>
        <v>#REF!</v>
      </c>
      <c r="F8" s="83" t="e">
        <f>+'custo UrbanizR$'!#REF!/Entrada!#REF!</f>
        <v>#REF!</v>
      </c>
      <c r="G8" s="83" t="e">
        <f>+'custo UrbanizR$'!#REF!/Entrada!#REF!</f>
        <v>#REF!</v>
      </c>
      <c r="H8" s="83" t="e">
        <f>+'custo UrbanizR$'!#REF!/Entrada!#REF!</f>
        <v>#REF!</v>
      </c>
      <c r="I8" s="83" t="e">
        <f>+'custo UrbanizR$'!#REF!/Entrada!#REF!</f>
        <v>#REF!</v>
      </c>
      <c r="J8" s="83" t="e">
        <f>+'custo UrbanizR$'!#REF!/Entrada!#REF!</f>
        <v>#REF!</v>
      </c>
      <c r="K8" s="83" t="e">
        <f>+'custo UrbanizR$'!#REF!/Entrada!#REF!</f>
        <v>#REF!</v>
      </c>
      <c r="L8" s="83" t="e">
        <f>+'custo UrbanizR$'!#REF!/Entrada!Y13</f>
        <v>#REF!</v>
      </c>
      <c r="M8" s="83" t="e">
        <f>+'custo UrbanizR$'!#REF!/Entrada!#REF!</f>
        <v>#REF!</v>
      </c>
      <c r="N8" s="83" t="e">
        <f>+'custo UrbanizR$'!#REF!/Entrada!AB13</f>
        <v>#REF!</v>
      </c>
      <c r="O8" s="83" t="e">
        <f>+'custo UrbanizR$'!#REF!/Entrada!AC13</f>
        <v>#REF!</v>
      </c>
      <c r="P8" s="83" t="e">
        <f>+'custo UrbanizR$'!#REF!/Entrada!AD13</f>
        <v>#REF!</v>
      </c>
      <c r="Q8" s="83" t="e">
        <f>+'custo UrbanizR$'!#REF!/Entrada!AE13</f>
        <v>#REF!</v>
      </c>
      <c r="R8" s="83" t="e">
        <f>+'custo UrbanizR$'!#REF!/Entrada!AF13</f>
        <v>#REF!</v>
      </c>
      <c r="S8" s="83" t="e">
        <f>+'custo UrbanizR$'!#REF!/Entrada!AG13</f>
        <v>#REF!</v>
      </c>
      <c r="T8" s="83" t="e">
        <f>+'custo UrbanizR$'!#REF!/Entrada!AH13</f>
        <v>#REF!</v>
      </c>
      <c r="U8" s="35"/>
      <c r="V8" s="35"/>
      <c r="W8" s="35"/>
      <c r="X8" s="35"/>
    </row>
    <row r="9" spans="1:24" ht="12.75" customHeight="1">
      <c r="A9" s="428" t="s">
        <v>258</v>
      </c>
      <c r="B9" s="442" t="s">
        <v>80</v>
      </c>
      <c r="C9" s="83" t="e">
        <f>+'custo UrbanizR$'!#REF!/Entrada!X13</f>
        <v>#REF!</v>
      </c>
      <c r="D9" s="83" t="e">
        <f>+'custo UrbanizR$'!#REF!/Entrada!C13</f>
        <v>#REF!</v>
      </c>
      <c r="E9" s="83" t="e">
        <f>+'custo UrbanizR$'!#REF!/Entrada!#REF!</f>
        <v>#REF!</v>
      </c>
      <c r="F9" s="83" t="e">
        <f>+'custo UrbanizR$'!#REF!/Entrada!#REF!</f>
        <v>#REF!</v>
      </c>
      <c r="G9" s="83" t="e">
        <f>+'custo UrbanizR$'!#REF!/Entrada!#REF!</f>
        <v>#REF!</v>
      </c>
      <c r="H9" s="83" t="e">
        <f>+'custo UrbanizR$'!#REF!/Entrada!#REF!</f>
        <v>#REF!</v>
      </c>
      <c r="I9" s="83" t="e">
        <f>+'custo UrbanizR$'!#REF!/Entrada!#REF!</f>
        <v>#REF!</v>
      </c>
      <c r="J9" s="83" t="e">
        <f>+'custo UrbanizR$'!#REF!/Entrada!#REF!</f>
        <v>#REF!</v>
      </c>
      <c r="K9" s="83" t="e">
        <f>+'custo UrbanizR$'!#REF!/Entrada!#REF!</f>
        <v>#REF!</v>
      </c>
      <c r="L9" s="83" t="e">
        <f>+'custo UrbanizR$'!#REF!/Entrada!Y13</f>
        <v>#REF!</v>
      </c>
      <c r="M9" s="83" t="e">
        <f>+'custo UrbanizR$'!#REF!/Entrada!#REF!</f>
        <v>#REF!</v>
      </c>
      <c r="N9" s="83" t="e">
        <f>+'custo UrbanizR$'!#REF!/Entrada!AB13</f>
        <v>#REF!</v>
      </c>
      <c r="O9" s="83" t="e">
        <f>+'custo UrbanizR$'!#REF!/Entrada!AC13</f>
        <v>#REF!</v>
      </c>
      <c r="P9" s="83" t="e">
        <f>+'custo UrbanizR$'!#REF!/Entrada!AD13</f>
        <v>#REF!</v>
      </c>
      <c r="Q9" s="83" t="e">
        <f>+'custo UrbanizR$'!#REF!/Entrada!AE13</f>
        <v>#REF!</v>
      </c>
      <c r="R9" s="83" t="e">
        <f>+'custo UrbanizR$'!#REF!/Entrada!AF13</f>
        <v>#REF!</v>
      </c>
      <c r="S9" s="83" t="e">
        <f>+'custo UrbanizR$'!#REF!/Entrada!AG13</f>
        <v>#REF!</v>
      </c>
      <c r="T9" s="83" t="e">
        <f>+'custo UrbanizR$'!#REF!/Entrada!AH13</f>
        <v>#REF!</v>
      </c>
      <c r="U9" s="35"/>
      <c r="V9" s="35"/>
      <c r="W9" s="35"/>
      <c r="X9" s="35"/>
    </row>
    <row r="10" spans="1:24" ht="12.75" customHeight="1">
      <c r="A10" s="2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 ht="12.75" customHeight="1">
      <c r="A11" s="176" t="s">
        <v>253</v>
      </c>
      <c r="B11" s="61" t="s">
        <v>68</v>
      </c>
      <c r="C11" s="72">
        <f t="shared" ref="C11:T11" si="0">C4</f>
        <v>68</v>
      </c>
      <c r="D11" s="72">
        <f t="shared" si="0"/>
        <v>480</v>
      </c>
      <c r="E11" s="72" t="e">
        <f t="shared" si="0"/>
        <v>#REF!</v>
      </c>
      <c r="F11" s="72" t="e">
        <f t="shared" si="0"/>
        <v>#REF!</v>
      </c>
      <c r="G11" s="72" t="e">
        <f t="shared" si="0"/>
        <v>#REF!</v>
      </c>
      <c r="H11" s="72" t="e">
        <f t="shared" si="0"/>
        <v>#REF!</v>
      </c>
      <c r="I11" s="72" t="e">
        <f t="shared" si="0"/>
        <v>#REF!</v>
      </c>
      <c r="J11" s="72" t="e">
        <f t="shared" si="0"/>
        <v>#REF!</v>
      </c>
      <c r="K11" s="72" t="e">
        <f t="shared" si="0"/>
        <v>#REF!</v>
      </c>
      <c r="L11" s="72" t="e">
        <f t="shared" si="0"/>
        <v>#REF!</v>
      </c>
      <c r="M11" s="72">
        <f t="shared" si="0"/>
        <v>360</v>
      </c>
      <c r="N11" s="72">
        <f t="shared" si="0"/>
        <v>560</v>
      </c>
      <c r="O11" s="72">
        <f t="shared" si="0"/>
        <v>352</v>
      </c>
      <c r="P11" s="72">
        <f t="shared" si="0"/>
        <v>200</v>
      </c>
      <c r="Q11" s="72">
        <f t="shared" si="0"/>
        <v>380</v>
      </c>
      <c r="R11" s="72">
        <f t="shared" si="0"/>
        <v>640</v>
      </c>
      <c r="S11" s="72">
        <f t="shared" si="0"/>
        <v>360</v>
      </c>
      <c r="T11" s="72">
        <f t="shared" si="0"/>
        <v>440</v>
      </c>
    </row>
    <row r="12" spans="1:24" ht="12.75" customHeight="1">
      <c r="A12" s="176" t="s">
        <v>254</v>
      </c>
      <c r="B12" s="119"/>
      <c r="C12" s="443" t="e">
        <f t="shared" ref="C12:T12" si="1">+ROUND(C5,2)</f>
        <v>#REF!</v>
      </c>
      <c r="D12" s="443" t="e">
        <f t="shared" si="1"/>
        <v>#REF!</v>
      </c>
      <c r="E12" s="443" t="e">
        <f t="shared" si="1"/>
        <v>#REF!</v>
      </c>
      <c r="F12" s="443" t="e">
        <f t="shared" si="1"/>
        <v>#REF!</v>
      </c>
      <c r="G12" s="443" t="e">
        <f t="shared" si="1"/>
        <v>#REF!</v>
      </c>
      <c r="H12" s="443" t="e">
        <f t="shared" si="1"/>
        <v>#REF!</v>
      </c>
      <c r="I12" s="443" t="e">
        <f t="shared" si="1"/>
        <v>#REF!</v>
      </c>
      <c r="J12" s="443" t="e">
        <f t="shared" si="1"/>
        <v>#REF!</v>
      </c>
      <c r="K12" s="443" t="e">
        <f t="shared" si="1"/>
        <v>#REF!</v>
      </c>
      <c r="L12" s="443" t="e">
        <f t="shared" si="1"/>
        <v>#REF!</v>
      </c>
      <c r="M12" s="443" t="e">
        <f t="shared" si="1"/>
        <v>#REF!</v>
      </c>
      <c r="N12" s="443" t="e">
        <f t="shared" si="1"/>
        <v>#REF!</v>
      </c>
      <c r="O12" s="443" t="e">
        <f t="shared" si="1"/>
        <v>#REF!</v>
      </c>
      <c r="P12" s="443" t="e">
        <f t="shared" si="1"/>
        <v>#REF!</v>
      </c>
      <c r="Q12" s="443" t="e">
        <f t="shared" si="1"/>
        <v>#REF!</v>
      </c>
      <c r="R12" s="443" t="e">
        <f t="shared" si="1"/>
        <v>#REF!</v>
      </c>
      <c r="S12" s="443" t="e">
        <f t="shared" si="1"/>
        <v>#REF!</v>
      </c>
      <c r="T12" s="443" t="e">
        <f t="shared" si="1"/>
        <v>#REF!</v>
      </c>
    </row>
    <row r="13" spans="1:24" ht="12.75" customHeight="1">
      <c r="A13" s="2"/>
      <c r="B13" s="119"/>
      <c r="C13" s="8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4" ht="12.75" customHeight="1">
      <c r="A14" s="176" t="s">
        <v>255</v>
      </c>
      <c r="B14" s="61" t="s">
        <v>80</v>
      </c>
      <c r="C14" s="83">
        <f t="shared" ref="C14:T14" si="2">+ROUND(C6,2)</f>
        <v>20446.2</v>
      </c>
      <c r="D14" s="83">
        <f t="shared" si="2"/>
        <v>2429.1</v>
      </c>
      <c r="E14" s="83">
        <f t="shared" si="2"/>
        <v>1221.32</v>
      </c>
      <c r="F14" s="83">
        <f t="shared" si="2"/>
        <v>1663.53</v>
      </c>
      <c r="G14" s="83">
        <f t="shared" si="2"/>
        <v>367.33</v>
      </c>
      <c r="H14" s="83">
        <f t="shared" si="2"/>
        <v>143.44999999999999</v>
      </c>
      <c r="I14" s="83" t="e">
        <f t="shared" si="2"/>
        <v>#DIV/0!</v>
      </c>
      <c r="J14" s="83">
        <f t="shared" si="2"/>
        <v>580.94000000000005</v>
      </c>
      <c r="K14" s="83">
        <f t="shared" si="2"/>
        <v>943.05</v>
      </c>
      <c r="L14" s="83">
        <f t="shared" si="2"/>
        <v>4625.4399999999996</v>
      </c>
      <c r="M14" s="83">
        <f t="shared" si="2"/>
        <v>2241.88</v>
      </c>
      <c r="N14" s="83">
        <f t="shared" si="2"/>
        <v>1013.33</v>
      </c>
      <c r="O14" s="83">
        <f t="shared" si="2"/>
        <v>2246.75</v>
      </c>
      <c r="P14" s="83">
        <f t="shared" si="2"/>
        <v>1976.11</v>
      </c>
      <c r="Q14" s="83">
        <f t="shared" si="2"/>
        <v>4893.1499999999996</v>
      </c>
      <c r="R14" s="83">
        <f t="shared" si="2"/>
        <v>620.76</v>
      </c>
      <c r="S14" s="83">
        <f t="shared" si="2"/>
        <v>4531.08</v>
      </c>
      <c r="T14" s="83">
        <f t="shared" si="2"/>
        <v>4015.74</v>
      </c>
    </row>
    <row r="15" spans="1:24" ht="12.75" customHeight="1">
      <c r="A15" s="176" t="s">
        <v>256</v>
      </c>
      <c r="B15" s="61" t="s">
        <v>80</v>
      </c>
      <c r="C15" s="83">
        <f t="shared" ref="C15:T15" si="3">+ROUND(C7,2)</f>
        <v>20446.2</v>
      </c>
      <c r="D15" s="83">
        <f t="shared" si="3"/>
        <v>2429.1</v>
      </c>
      <c r="E15" s="83" t="e">
        <f t="shared" si="3"/>
        <v>#REF!</v>
      </c>
      <c r="F15" s="83" t="e">
        <f t="shared" si="3"/>
        <v>#REF!</v>
      </c>
      <c r="G15" s="83" t="e">
        <f t="shared" si="3"/>
        <v>#REF!</v>
      </c>
      <c r="H15" s="83" t="e">
        <f t="shared" si="3"/>
        <v>#REF!</v>
      </c>
      <c r="I15" s="83" t="e">
        <f t="shared" si="3"/>
        <v>#REF!</v>
      </c>
      <c r="J15" s="83" t="e">
        <f t="shared" si="3"/>
        <v>#REF!</v>
      </c>
      <c r="K15" s="83" t="e">
        <f t="shared" si="3"/>
        <v>#REF!</v>
      </c>
      <c r="L15" s="83" t="e">
        <f t="shared" si="3"/>
        <v>#REF!</v>
      </c>
      <c r="M15" s="83">
        <f t="shared" si="3"/>
        <v>2241.88</v>
      </c>
      <c r="N15" s="83">
        <f t="shared" si="3"/>
        <v>1013.33</v>
      </c>
      <c r="O15" s="83">
        <f t="shared" si="3"/>
        <v>2246.75</v>
      </c>
      <c r="P15" s="83">
        <f t="shared" si="3"/>
        <v>1976.11</v>
      </c>
      <c r="Q15" s="83">
        <f t="shared" si="3"/>
        <v>4893.1499999999996</v>
      </c>
      <c r="R15" s="83">
        <f t="shared" si="3"/>
        <v>620.76</v>
      </c>
      <c r="S15" s="83">
        <f t="shared" si="3"/>
        <v>4531.08</v>
      </c>
      <c r="T15" s="83">
        <f t="shared" si="3"/>
        <v>4015.74</v>
      </c>
    </row>
    <row r="16" spans="1:24" ht="12.75" customHeight="1">
      <c r="A16" s="176" t="s">
        <v>257</v>
      </c>
      <c r="B16" s="61" t="s">
        <v>80</v>
      </c>
      <c r="C16" s="83" t="e">
        <f t="shared" ref="C16:T16" si="4">+ROUND(C8,2)</f>
        <v>#REF!</v>
      </c>
      <c r="D16" s="83" t="e">
        <f t="shared" si="4"/>
        <v>#REF!</v>
      </c>
      <c r="E16" s="83" t="e">
        <f t="shared" si="4"/>
        <v>#REF!</v>
      </c>
      <c r="F16" s="83" t="e">
        <f t="shared" si="4"/>
        <v>#REF!</v>
      </c>
      <c r="G16" s="83" t="e">
        <f t="shared" si="4"/>
        <v>#REF!</v>
      </c>
      <c r="H16" s="83" t="e">
        <f t="shared" si="4"/>
        <v>#REF!</v>
      </c>
      <c r="I16" s="83" t="e">
        <f t="shared" si="4"/>
        <v>#REF!</v>
      </c>
      <c r="J16" s="83" t="e">
        <f t="shared" si="4"/>
        <v>#REF!</v>
      </c>
      <c r="K16" s="83" t="e">
        <f t="shared" si="4"/>
        <v>#REF!</v>
      </c>
      <c r="L16" s="83" t="e">
        <f t="shared" si="4"/>
        <v>#REF!</v>
      </c>
      <c r="M16" s="83" t="e">
        <f t="shared" si="4"/>
        <v>#REF!</v>
      </c>
      <c r="N16" s="83" t="e">
        <f t="shared" si="4"/>
        <v>#REF!</v>
      </c>
      <c r="O16" s="83" t="e">
        <f t="shared" si="4"/>
        <v>#REF!</v>
      </c>
      <c r="P16" s="83" t="e">
        <f t="shared" si="4"/>
        <v>#REF!</v>
      </c>
      <c r="Q16" s="83" t="e">
        <f t="shared" si="4"/>
        <v>#REF!</v>
      </c>
      <c r="R16" s="83" t="e">
        <f t="shared" si="4"/>
        <v>#REF!</v>
      </c>
      <c r="S16" s="83" t="e">
        <f t="shared" si="4"/>
        <v>#REF!</v>
      </c>
      <c r="T16" s="83" t="e">
        <f t="shared" si="4"/>
        <v>#REF!</v>
      </c>
    </row>
    <row r="17" spans="1:20" ht="12.75" customHeight="1">
      <c r="A17" s="176" t="s">
        <v>258</v>
      </c>
      <c r="B17" s="61" t="s">
        <v>80</v>
      </c>
      <c r="C17" s="83" t="e">
        <f t="shared" ref="C17:T17" si="5">+ROUND(C9,2)</f>
        <v>#REF!</v>
      </c>
      <c r="D17" s="83" t="e">
        <f t="shared" si="5"/>
        <v>#REF!</v>
      </c>
      <c r="E17" s="83" t="e">
        <f t="shared" si="5"/>
        <v>#REF!</v>
      </c>
      <c r="F17" s="83" t="e">
        <f t="shared" si="5"/>
        <v>#REF!</v>
      </c>
      <c r="G17" s="83" t="e">
        <f t="shared" si="5"/>
        <v>#REF!</v>
      </c>
      <c r="H17" s="83" t="e">
        <f t="shared" si="5"/>
        <v>#REF!</v>
      </c>
      <c r="I17" s="83" t="e">
        <f t="shared" si="5"/>
        <v>#REF!</v>
      </c>
      <c r="J17" s="83" t="e">
        <f t="shared" si="5"/>
        <v>#REF!</v>
      </c>
      <c r="K17" s="83" t="e">
        <f t="shared" si="5"/>
        <v>#REF!</v>
      </c>
      <c r="L17" s="83" t="e">
        <f t="shared" si="5"/>
        <v>#REF!</v>
      </c>
      <c r="M17" s="83" t="e">
        <f t="shared" si="5"/>
        <v>#REF!</v>
      </c>
      <c r="N17" s="83" t="e">
        <f t="shared" si="5"/>
        <v>#REF!</v>
      </c>
      <c r="O17" s="83" t="e">
        <f t="shared" si="5"/>
        <v>#REF!</v>
      </c>
      <c r="P17" s="83" t="e">
        <f t="shared" si="5"/>
        <v>#REF!</v>
      </c>
      <c r="Q17" s="83" t="e">
        <f t="shared" si="5"/>
        <v>#REF!</v>
      </c>
      <c r="R17" s="83" t="e">
        <f t="shared" si="5"/>
        <v>#REF!</v>
      </c>
      <c r="S17" s="83" t="e">
        <f t="shared" si="5"/>
        <v>#REF!</v>
      </c>
      <c r="T17" s="83" t="e">
        <f t="shared" si="5"/>
        <v>#REF!</v>
      </c>
    </row>
    <row r="18" spans="1:20" ht="12.75" customHeight="1">
      <c r="A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2.75" customHeight="1">
      <c r="A19" s="176" t="s">
        <v>259</v>
      </c>
      <c r="B19" s="61" t="s">
        <v>80</v>
      </c>
      <c r="C19" s="83" t="e">
        <f t="shared" ref="C19:T19" si="6">+C15+C17</f>
        <v>#REF!</v>
      </c>
      <c r="D19" s="83" t="e">
        <f t="shared" si="6"/>
        <v>#REF!</v>
      </c>
      <c r="E19" s="83" t="e">
        <f t="shared" si="6"/>
        <v>#REF!</v>
      </c>
      <c r="F19" s="83" t="e">
        <f t="shared" si="6"/>
        <v>#REF!</v>
      </c>
      <c r="G19" s="83" t="e">
        <f t="shared" si="6"/>
        <v>#REF!</v>
      </c>
      <c r="H19" s="83" t="e">
        <f t="shared" si="6"/>
        <v>#REF!</v>
      </c>
      <c r="I19" s="83" t="e">
        <f t="shared" si="6"/>
        <v>#REF!</v>
      </c>
      <c r="J19" s="83" t="e">
        <f t="shared" si="6"/>
        <v>#REF!</v>
      </c>
      <c r="K19" s="83" t="e">
        <f t="shared" si="6"/>
        <v>#REF!</v>
      </c>
      <c r="L19" s="83" t="e">
        <f t="shared" si="6"/>
        <v>#REF!</v>
      </c>
      <c r="M19" s="83" t="e">
        <f t="shared" si="6"/>
        <v>#REF!</v>
      </c>
      <c r="N19" s="83" t="e">
        <f t="shared" si="6"/>
        <v>#REF!</v>
      </c>
      <c r="O19" s="83" t="e">
        <f t="shared" si="6"/>
        <v>#REF!</v>
      </c>
      <c r="P19" s="83" t="e">
        <f t="shared" si="6"/>
        <v>#REF!</v>
      </c>
      <c r="Q19" s="83" t="e">
        <f t="shared" si="6"/>
        <v>#REF!</v>
      </c>
      <c r="R19" s="83" t="e">
        <f t="shared" si="6"/>
        <v>#REF!</v>
      </c>
      <c r="S19" s="83" t="e">
        <f t="shared" si="6"/>
        <v>#REF!</v>
      </c>
      <c r="T19" s="83" t="e">
        <f t="shared" si="6"/>
        <v>#REF!</v>
      </c>
    </row>
    <row r="20" spans="1:20" ht="12.75" customHeight="1">
      <c r="A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2.75" customHeight="1">
      <c r="A21" s="2" t="s">
        <v>260</v>
      </c>
      <c r="C21" s="33" t="e">
        <f>Entrada!Z21/Entrada!#REF!</f>
        <v>#REF!</v>
      </c>
      <c r="D21" s="33" t="e">
        <f>Entrada!C21/Entrada!#REF!</f>
        <v>#REF!</v>
      </c>
      <c r="E21" s="33" t="e">
        <f>Entrada!#REF!/Entrada!#REF!</f>
        <v>#REF!</v>
      </c>
      <c r="F21" s="33" t="e">
        <f>Entrada!#REF!/Entrada!#REF!</f>
        <v>#REF!</v>
      </c>
      <c r="G21" s="33" t="e">
        <f>Entrada!#REF!/Entrada!#REF!</f>
        <v>#REF!</v>
      </c>
      <c r="H21" s="33" t="e">
        <f>Entrada!#REF!/Entrada!#REF!</f>
        <v>#REF!</v>
      </c>
      <c r="I21" s="33" t="e">
        <f>Entrada!#REF!/Entrada!#REF!</f>
        <v>#REF!</v>
      </c>
      <c r="J21" s="33" t="e">
        <f>Entrada!#REF!/Entrada!#REF!</f>
        <v>#REF!</v>
      </c>
      <c r="K21" s="33" t="e">
        <f>Entrada!#REF!/Entrada!#REF!</f>
        <v>#REF!</v>
      </c>
      <c r="L21" s="33" t="e">
        <f>Entrada!#REF!/Entrada!#REF!</f>
        <v>#REF!</v>
      </c>
      <c r="M21" s="33" t="e">
        <f>Entrada!AC21/Entrada!#REF!</f>
        <v>#REF!</v>
      </c>
      <c r="N21" s="33" t="e">
        <f>Entrada!AD21/Entrada!#REF!</f>
        <v>#REF!</v>
      </c>
      <c r="O21" s="33" t="e">
        <f>Entrada!AE21/Entrada!#REF!</f>
        <v>#REF!</v>
      </c>
      <c r="P21" s="33" t="e">
        <f>Entrada!AF21/Entrada!#REF!</f>
        <v>#REF!</v>
      </c>
      <c r="Q21" s="33" t="e">
        <f>Entrada!AG21/Entrada!#REF!</f>
        <v>#REF!</v>
      </c>
      <c r="R21" s="33" t="e">
        <f>Entrada!AH21/Entrada!#REF!</f>
        <v>#REF!</v>
      </c>
      <c r="S21" s="33" t="e">
        <f>Entrada!AI21/Entrada!#REF!</f>
        <v>#REF!</v>
      </c>
      <c r="T21" s="33" t="e">
        <f>Entrada!AJ21/Entrada!#REF!</f>
        <v>#REF!</v>
      </c>
    </row>
    <row r="22" spans="1:20" ht="12.75" customHeight="1">
      <c r="A22" s="2" t="s">
        <v>261</v>
      </c>
      <c r="C22" s="33" t="e">
        <f>Entrada!Z21/(Entrada!#REF!-Entrada!Z7-Entrada!Z6)</f>
        <v>#REF!</v>
      </c>
      <c r="D22" s="33" t="e">
        <f>Entrada!C21/(Entrada!#REF!-Entrada!C7-Entrada!C6)</f>
        <v>#REF!</v>
      </c>
      <c r="E22" s="33" t="e">
        <f>Entrada!#REF!/(Entrada!#REF!-Entrada!#REF!-Entrada!#REF!)</f>
        <v>#REF!</v>
      </c>
      <c r="F22" s="33" t="e">
        <f>Entrada!#REF!/(Entrada!#REF!-Entrada!#REF!-Entrada!#REF!)</f>
        <v>#REF!</v>
      </c>
      <c r="G22" s="33" t="e">
        <f>Entrada!#REF!/(Entrada!#REF!-Entrada!#REF!-Entrada!#REF!)</f>
        <v>#REF!</v>
      </c>
      <c r="H22" s="33" t="e">
        <f>Entrada!#REF!/(Entrada!#REF!-Entrada!#REF!-Entrada!#REF!)</f>
        <v>#REF!</v>
      </c>
      <c r="I22" s="33" t="e">
        <f>Entrada!#REF!/(Entrada!#REF!-Entrada!#REF!-Entrada!#REF!)</f>
        <v>#REF!</v>
      </c>
      <c r="J22" s="33" t="e">
        <f>Entrada!#REF!/(Entrada!#REF!-Entrada!#REF!-Entrada!#REF!)</f>
        <v>#REF!</v>
      </c>
      <c r="K22" s="33" t="e">
        <f>Entrada!#REF!/(Entrada!#REF!-Entrada!#REF!-Entrada!#REF!)</f>
        <v>#REF!</v>
      </c>
      <c r="L22" s="33" t="e">
        <f>Entrada!#REF!/(Entrada!#REF!-Entrada!#REF!-Entrada!#REF!)</f>
        <v>#REF!</v>
      </c>
      <c r="M22" s="33" t="e">
        <f>Entrada!AC21/(Entrada!#REF!-Entrada!AC7-Entrada!AC6)</f>
        <v>#REF!</v>
      </c>
      <c r="N22" s="33" t="e">
        <f>Entrada!AD21/(Entrada!#REF!-Entrada!AD7-Entrada!AD6)</f>
        <v>#REF!</v>
      </c>
      <c r="O22" s="33" t="e">
        <f>Entrada!AE21/(Entrada!#REF!-Entrada!AE7-Entrada!AE6)</f>
        <v>#REF!</v>
      </c>
      <c r="P22" s="33" t="e">
        <f>Entrada!AF21/(Entrada!#REF!-Entrada!AF7-Entrada!AF6)</f>
        <v>#REF!</v>
      </c>
      <c r="Q22" s="33" t="e">
        <f>Entrada!AG21/(Entrada!#REF!-Entrada!AG7-Entrada!AG6)</f>
        <v>#REF!</v>
      </c>
      <c r="R22" s="33" t="e">
        <f>Entrada!AH21/(Entrada!#REF!-Entrada!AH7-Entrada!AH6)</f>
        <v>#REF!</v>
      </c>
      <c r="S22" s="33" t="e">
        <f>Entrada!AI21/(Entrada!#REF!-Entrada!AI7-Entrada!AI6)</f>
        <v>#REF!</v>
      </c>
      <c r="T22" s="33" t="e">
        <f>Entrada!AJ21/(Entrada!#REF!-Entrada!AJ7-Entrada!AJ6)</f>
        <v>#REF!</v>
      </c>
    </row>
    <row r="23" spans="1:20" ht="12.75" customHeight="1">
      <c r="A23" s="2" t="s">
        <v>262</v>
      </c>
      <c r="C23" s="33" t="e">
        <f>Entrada!X21/(Entrada!#REF!*Entrada!X13)</f>
        <v>#REF!</v>
      </c>
      <c r="D23" s="33" t="e">
        <f>Entrada!C21/(Entrada!#REF!*Entrada!C13)</f>
        <v>#REF!</v>
      </c>
      <c r="E23" s="33" t="e">
        <f>Entrada!#REF!/(Entrada!#REF!*Entrada!#REF!)</f>
        <v>#REF!</v>
      </c>
      <c r="F23" s="33" t="e">
        <f>Entrada!#REF!/(Entrada!#REF!*Entrada!#REF!)</f>
        <v>#REF!</v>
      </c>
      <c r="G23" s="33" t="e">
        <f>Entrada!#REF!/(Entrada!#REF!*Entrada!#REF!)</f>
        <v>#REF!</v>
      </c>
      <c r="H23" s="33" t="e">
        <f>Entrada!#REF!/(Entrada!#REF!*Entrada!#REF!)</f>
        <v>#REF!</v>
      </c>
      <c r="I23" s="33" t="e">
        <f>Entrada!#REF!/(Entrada!#REF!*Entrada!#REF!)</f>
        <v>#REF!</v>
      </c>
      <c r="J23" s="33" t="e">
        <f>Entrada!#REF!/(Entrada!#REF!*Entrada!#REF!)</f>
        <v>#REF!</v>
      </c>
      <c r="K23" s="33" t="e">
        <f>Entrada!#REF!/(Entrada!#REF!*Entrada!#REF!)</f>
        <v>#REF!</v>
      </c>
      <c r="L23" s="33" t="e">
        <f>Entrada!Y21/(Entrada!#REF!*Entrada!Y13)</f>
        <v>#REF!</v>
      </c>
      <c r="M23" s="33" t="e">
        <f>Entrada!#REF!/(Entrada!#REF!*Entrada!#REF!)</f>
        <v>#REF!</v>
      </c>
      <c r="N23" s="33" t="e">
        <f>Entrada!AB21/(Entrada!#REF!*Entrada!AB13)</f>
        <v>#REF!</v>
      </c>
      <c r="O23" s="33" t="e">
        <f>Entrada!AC21/(Entrada!#REF!*Entrada!AC13)</f>
        <v>#REF!</v>
      </c>
      <c r="P23" s="33" t="e">
        <f>Entrada!AD21/(Entrada!#REF!*Entrada!AD13)</f>
        <v>#REF!</v>
      </c>
      <c r="Q23" s="33" t="e">
        <f>Entrada!AE21/(Entrada!#REF!*Entrada!AE13)</f>
        <v>#REF!</v>
      </c>
      <c r="R23" s="33" t="e">
        <f>Entrada!AF21/(Entrada!#REF!*Entrada!AF13)</f>
        <v>#REF!</v>
      </c>
      <c r="S23" s="33" t="e">
        <f>Entrada!AG21/(Entrada!#REF!*Entrada!AG13)</f>
        <v>#REF!</v>
      </c>
      <c r="T23" s="33" t="e">
        <f>Entrada!AH21/(Entrada!#REF!*Entrada!AH13)</f>
        <v>#REF!</v>
      </c>
    </row>
    <row r="24" spans="1:20" ht="12.75" customHeight="1">
      <c r="A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5.75" customHeight="1"/>
    <row r="26" spans="1:20" ht="15.75" customHeight="1"/>
    <row r="27" spans="1:20" ht="15.75" customHeight="1"/>
    <row r="28" spans="1:20" ht="15.75" customHeight="1"/>
    <row r="29" spans="1:20" ht="15.75" customHeight="1"/>
    <row r="30" spans="1:20" ht="15.75" customHeight="1"/>
    <row r="31" spans="1:20" ht="15.75" customHeight="1"/>
    <row r="32" spans="1:2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000"/>
  <sheetViews>
    <sheetView workbookViewId="0"/>
  </sheetViews>
  <sheetFormatPr defaultColWidth="12.5703125" defaultRowHeight="15" customHeight="1"/>
  <cols>
    <col min="1" max="2" width="45.85546875" customWidth="1"/>
    <col min="3" max="3" width="38.42578125" customWidth="1"/>
    <col min="4" max="4" width="37.7109375" customWidth="1"/>
    <col min="5" max="5" width="52.28515625" customWidth="1"/>
    <col min="6" max="6" width="15.7109375" customWidth="1"/>
    <col min="7" max="9" width="9.28515625" customWidth="1"/>
    <col min="10" max="26" width="14.42578125" customWidth="1"/>
  </cols>
  <sheetData>
    <row r="1" spans="1:5" ht="12.75" customHeight="1">
      <c r="A1" s="444" t="s">
        <v>263</v>
      </c>
      <c r="B1" s="2"/>
      <c r="C1" s="2"/>
      <c r="E1" s="2"/>
    </row>
    <row r="2" spans="1:5" ht="12.75" customHeight="1">
      <c r="A2" s="2"/>
      <c r="B2" s="2"/>
      <c r="C2" s="2"/>
      <c r="E2" s="2"/>
    </row>
    <row r="3" spans="1:5" ht="12.75" customHeight="1">
      <c r="A3" s="2"/>
      <c r="B3" s="2"/>
      <c r="C3" s="2"/>
      <c r="E3" s="2"/>
    </row>
    <row r="4" spans="1:5" ht="12.75" customHeight="1">
      <c r="A4" s="2"/>
      <c r="B4" s="2"/>
      <c r="C4" s="2"/>
      <c r="E4" s="2"/>
    </row>
    <row r="5" spans="1:5" ht="12.75" customHeight="1">
      <c r="A5" s="2"/>
      <c r="B5" s="2"/>
      <c r="C5" s="2"/>
      <c r="E5" s="2"/>
    </row>
    <row r="6" spans="1:5" ht="12.75" customHeight="1">
      <c r="A6" s="445" t="s">
        <v>264</v>
      </c>
      <c r="B6" s="2"/>
      <c r="C6" s="2"/>
      <c r="E6" s="2"/>
    </row>
    <row r="7" spans="1:5" ht="12.75" customHeight="1">
      <c r="A7" s="445" t="s">
        <v>265</v>
      </c>
      <c r="B7" s="2"/>
      <c r="C7" s="2"/>
      <c r="E7" s="2"/>
    </row>
    <row r="8" spans="1:5" ht="12.75" customHeight="1">
      <c r="A8" s="445" t="s">
        <v>266</v>
      </c>
      <c r="B8" s="2"/>
      <c r="C8" s="2"/>
      <c r="E8" s="2"/>
    </row>
    <row r="9" spans="1:5" ht="12.75" customHeight="1">
      <c r="A9" s="2">
        <v>1</v>
      </c>
      <c r="E9" s="2"/>
    </row>
    <row r="10" spans="1:5" ht="12.75" customHeight="1">
      <c r="A10" s="446" t="s">
        <v>267</v>
      </c>
      <c r="E10" s="2">
        <v>1</v>
      </c>
    </row>
    <row r="11" spans="1:5" ht="12.75" customHeight="1">
      <c r="A11" s="447" t="s">
        <v>268</v>
      </c>
      <c r="E11" s="446" t="s">
        <v>267</v>
      </c>
    </row>
    <row r="12" spans="1:5" ht="12.75" customHeight="1">
      <c r="A12" s="447" t="s">
        <v>269</v>
      </c>
      <c r="E12" s="447" t="s">
        <v>268</v>
      </c>
    </row>
    <row r="13" spans="1:5" ht="12.75" customHeight="1">
      <c r="A13" s="447" t="s">
        <v>270</v>
      </c>
      <c r="E13" s="447" t="s">
        <v>269</v>
      </c>
    </row>
    <row r="14" spans="1:5" ht="12.75" customHeight="1">
      <c r="A14" s="447" t="s">
        <v>271</v>
      </c>
      <c r="E14" s="447" t="s">
        <v>270</v>
      </c>
    </row>
    <row r="15" spans="1:5" ht="12.75" customHeight="1">
      <c r="A15" s="447" t="s">
        <v>272</v>
      </c>
      <c r="E15" s="447" t="s">
        <v>273</v>
      </c>
    </row>
    <row r="16" spans="1:5" ht="12.75" customHeight="1">
      <c r="A16" s="447" t="s">
        <v>274</v>
      </c>
      <c r="E16" s="447" t="s">
        <v>272</v>
      </c>
    </row>
    <row r="17" spans="1:5" ht="12.75" customHeight="1">
      <c r="A17" s="2">
        <v>2</v>
      </c>
      <c r="E17" s="447" t="s">
        <v>274</v>
      </c>
    </row>
    <row r="18" spans="1:5" ht="12.75" customHeight="1">
      <c r="A18" s="446" t="s">
        <v>275</v>
      </c>
      <c r="E18" s="2">
        <v>2</v>
      </c>
    </row>
    <row r="19" spans="1:5" ht="12.75" customHeight="1">
      <c r="A19" s="447" t="s">
        <v>276</v>
      </c>
      <c r="E19" s="446" t="s">
        <v>275</v>
      </c>
    </row>
    <row r="20" spans="1:5" ht="12.75" customHeight="1">
      <c r="A20" s="447" t="s">
        <v>277</v>
      </c>
      <c r="E20" s="447" t="s">
        <v>278</v>
      </c>
    </row>
    <row r="21" spans="1:5" ht="12.75" customHeight="1">
      <c r="A21" s="447" t="s">
        <v>279</v>
      </c>
      <c r="E21" s="447" t="s">
        <v>280</v>
      </c>
    </row>
    <row r="22" spans="1:5" ht="12.75" customHeight="1">
      <c r="A22" s="447" t="s">
        <v>281</v>
      </c>
      <c r="E22" s="447" t="s">
        <v>279</v>
      </c>
    </row>
    <row r="23" spans="1:5" ht="12.75" customHeight="1">
      <c r="A23" s="447" t="s">
        <v>282</v>
      </c>
      <c r="E23" s="447" t="s">
        <v>281</v>
      </c>
    </row>
    <row r="24" spans="1:5" ht="12.75" customHeight="1">
      <c r="A24" s="2">
        <v>3</v>
      </c>
      <c r="E24" s="447" t="s">
        <v>282</v>
      </c>
    </row>
    <row r="25" spans="1:5" ht="12.75" customHeight="1">
      <c r="A25" s="446" t="s">
        <v>283</v>
      </c>
      <c r="E25" s="2">
        <v>3</v>
      </c>
    </row>
    <row r="26" spans="1:5" ht="12.75" customHeight="1">
      <c r="A26" s="447" t="s">
        <v>284</v>
      </c>
      <c r="E26" s="446" t="s">
        <v>283</v>
      </c>
    </row>
    <row r="27" spans="1:5" ht="12.75" customHeight="1">
      <c r="A27" s="2">
        <v>4</v>
      </c>
      <c r="E27" s="447" t="s">
        <v>285</v>
      </c>
    </row>
    <row r="28" spans="1:5" ht="12.75" customHeight="1">
      <c r="A28" s="446" t="s">
        <v>286</v>
      </c>
      <c r="E28" s="2">
        <v>4</v>
      </c>
    </row>
    <row r="29" spans="1:5" ht="12.75" customHeight="1">
      <c r="A29" s="448" t="s">
        <v>287</v>
      </c>
      <c r="E29" s="446" t="s">
        <v>286</v>
      </c>
    </row>
    <row r="30" spans="1:5" ht="12.75" customHeight="1">
      <c r="A30" s="448"/>
      <c r="E30" s="448" t="s">
        <v>287</v>
      </c>
    </row>
    <row r="31" spans="1:5" ht="12.75" customHeight="1">
      <c r="A31" s="448"/>
      <c r="E31" s="448"/>
    </row>
    <row r="32" spans="1:5" ht="12.75" customHeight="1">
      <c r="A32" s="449" t="s">
        <v>288</v>
      </c>
      <c r="E32" s="448"/>
    </row>
    <row r="33" spans="1:9" ht="12.75" customHeight="1">
      <c r="A33" s="450" t="s">
        <v>289</v>
      </c>
      <c r="B33" s="451">
        <v>144000</v>
      </c>
      <c r="E33" s="449" t="s">
        <v>290</v>
      </c>
    </row>
    <row r="34" spans="1:9" ht="12.75" customHeight="1">
      <c r="A34" s="452" t="s">
        <v>291</v>
      </c>
      <c r="B34" s="453" t="s">
        <v>292</v>
      </c>
      <c r="E34" s="454" t="s">
        <v>289</v>
      </c>
      <c r="F34" s="455">
        <v>400000</v>
      </c>
    </row>
    <row r="35" spans="1:9" ht="12.75" customHeight="1">
      <c r="A35" s="452" t="s">
        <v>293</v>
      </c>
      <c r="B35" s="456">
        <v>0.9</v>
      </c>
      <c r="E35" s="450" t="s">
        <v>291</v>
      </c>
      <c r="F35" s="457" t="s">
        <v>292</v>
      </c>
    </row>
    <row r="36" spans="1:9" ht="12.75" customHeight="1">
      <c r="A36" s="450" t="s">
        <v>294</v>
      </c>
      <c r="B36" s="458">
        <v>47500</v>
      </c>
      <c r="E36" s="452" t="s">
        <v>293</v>
      </c>
      <c r="F36" s="456">
        <v>0.85</v>
      </c>
    </row>
    <row r="37" spans="1:9" ht="12.75" customHeight="1">
      <c r="A37" s="450" t="s">
        <v>295</v>
      </c>
      <c r="B37" s="457" t="s">
        <v>296</v>
      </c>
      <c r="E37" s="452" t="s">
        <v>295</v>
      </c>
      <c r="F37" s="453" t="s">
        <v>297</v>
      </c>
    </row>
    <row r="38" spans="1:9" ht="12.75" customHeight="1">
      <c r="A38" s="452" t="s">
        <v>298</v>
      </c>
      <c r="B38" s="457" t="s">
        <v>299</v>
      </c>
      <c r="E38" s="450" t="s">
        <v>298</v>
      </c>
      <c r="F38" s="457" t="s">
        <v>299</v>
      </c>
    </row>
    <row r="39" spans="1:9" ht="12.75" customHeight="1">
      <c r="A39" s="450" t="s">
        <v>300</v>
      </c>
      <c r="B39" s="459">
        <v>71030.460000000006</v>
      </c>
      <c r="E39" s="450" t="s">
        <v>300</v>
      </c>
      <c r="F39" s="459">
        <v>340000</v>
      </c>
    </row>
    <row r="40" spans="1:9" ht="12.75" customHeight="1">
      <c r="A40" s="460" t="s">
        <v>301</v>
      </c>
      <c r="B40" s="461" t="s">
        <v>302</v>
      </c>
      <c r="E40" s="460" t="s">
        <v>301</v>
      </c>
      <c r="F40" s="461" t="s">
        <v>303</v>
      </c>
    </row>
    <row r="41" spans="1:9" ht="12.75" customHeight="1">
      <c r="A41" s="2"/>
      <c r="E41" s="2"/>
    </row>
    <row r="42" spans="1:9" ht="12.75" customHeight="1">
      <c r="A42" s="2"/>
      <c r="E42" s="2"/>
    </row>
    <row r="43" spans="1:9" ht="12.75" customHeight="1">
      <c r="A43" s="462" t="s">
        <v>304</v>
      </c>
      <c r="E43" s="462" t="s">
        <v>304</v>
      </c>
    </row>
    <row r="44" spans="1:9" ht="12.75" customHeight="1">
      <c r="A44" s="452"/>
      <c r="B44" s="463" t="s">
        <v>305</v>
      </c>
      <c r="C44" s="463" t="s">
        <v>305</v>
      </c>
      <c r="D44" s="463" t="s">
        <v>305</v>
      </c>
      <c r="E44" s="452"/>
      <c r="F44" s="463" t="s">
        <v>305</v>
      </c>
      <c r="G44" s="463" t="s">
        <v>305</v>
      </c>
      <c r="H44" s="463" t="s">
        <v>305</v>
      </c>
      <c r="I44" s="463" t="s">
        <v>305</v>
      </c>
    </row>
    <row r="45" spans="1:9" ht="12.75" customHeight="1">
      <c r="A45" s="452" t="s">
        <v>306</v>
      </c>
      <c r="B45" s="773" t="s">
        <v>307</v>
      </c>
      <c r="C45" s="774"/>
      <c r="D45" s="774"/>
      <c r="E45" s="452" t="s">
        <v>308</v>
      </c>
      <c r="F45" s="773" t="s">
        <v>309</v>
      </c>
      <c r="G45" s="774"/>
      <c r="H45" s="774"/>
      <c r="I45" s="774"/>
    </row>
    <row r="46" spans="1:9" ht="12.75" customHeight="1">
      <c r="A46" s="452" t="s">
        <v>310</v>
      </c>
      <c r="B46" s="773" t="s">
        <v>311</v>
      </c>
      <c r="C46" s="774"/>
      <c r="D46" s="774"/>
      <c r="E46" s="452" t="s">
        <v>312</v>
      </c>
      <c r="F46" s="773" t="s">
        <v>313</v>
      </c>
      <c r="G46" s="774"/>
      <c r="H46" s="774"/>
      <c r="I46" s="774"/>
    </row>
    <row r="47" spans="1:9" ht="27" customHeight="1">
      <c r="A47" s="769" t="s">
        <v>314</v>
      </c>
      <c r="B47" s="464" t="s">
        <v>315</v>
      </c>
      <c r="C47" s="465" t="s">
        <v>316</v>
      </c>
      <c r="D47" s="465" t="s">
        <v>317</v>
      </c>
      <c r="E47" s="769" t="s">
        <v>314</v>
      </c>
      <c r="F47" s="464" t="s">
        <v>318</v>
      </c>
      <c r="G47" s="465" t="s">
        <v>319</v>
      </c>
      <c r="H47" s="465" t="s">
        <v>320</v>
      </c>
      <c r="I47" s="465" t="s">
        <v>321</v>
      </c>
    </row>
    <row r="48" spans="1:9" ht="12.75" customHeight="1">
      <c r="A48" s="770"/>
      <c r="B48" s="463" t="s">
        <v>322</v>
      </c>
      <c r="C48" s="463" t="s">
        <v>322</v>
      </c>
      <c r="D48" s="463" t="s">
        <v>322</v>
      </c>
      <c r="E48" s="770"/>
      <c r="F48" s="463" t="s">
        <v>322</v>
      </c>
      <c r="G48" s="463" t="s">
        <v>322</v>
      </c>
      <c r="H48" s="463" t="s">
        <v>322</v>
      </c>
      <c r="I48" s="463" t="s">
        <v>322</v>
      </c>
    </row>
    <row r="49" spans="1:9" ht="12.75" customHeight="1">
      <c r="A49" s="452" t="s">
        <v>323</v>
      </c>
      <c r="B49" s="466">
        <v>198.05</v>
      </c>
      <c r="C49" s="466">
        <v>198.05</v>
      </c>
      <c r="D49" s="466">
        <v>198.05</v>
      </c>
      <c r="E49" s="452" t="s">
        <v>323</v>
      </c>
      <c r="F49" s="466">
        <v>975.41</v>
      </c>
      <c r="G49" s="466">
        <v>975.41</v>
      </c>
      <c r="H49" s="466">
        <v>975.41</v>
      </c>
      <c r="I49" s="466">
        <v>975.41</v>
      </c>
    </row>
    <row r="50" spans="1:9" ht="12.75" customHeight="1">
      <c r="A50" s="452" t="s">
        <v>324</v>
      </c>
      <c r="B50" s="771" t="s">
        <v>325</v>
      </c>
      <c r="C50" s="771" t="s">
        <v>325</v>
      </c>
      <c r="D50" s="771" t="s">
        <v>325</v>
      </c>
      <c r="E50" s="452" t="s">
        <v>326</v>
      </c>
      <c r="F50" s="771" t="s">
        <v>325</v>
      </c>
      <c r="G50" s="771" t="s">
        <v>325</v>
      </c>
      <c r="H50" s="771" t="s">
        <v>325</v>
      </c>
      <c r="I50" s="771" t="s">
        <v>325</v>
      </c>
    </row>
    <row r="51" spans="1:9" ht="12.75" customHeight="1">
      <c r="A51" s="460" t="s">
        <v>327</v>
      </c>
      <c r="B51" s="772"/>
      <c r="C51" s="772"/>
      <c r="D51" s="772"/>
      <c r="E51" s="460" t="s">
        <v>328</v>
      </c>
      <c r="F51" s="772"/>
      <c r="G51" s="772"/>
      <c r="H51" s="772"/>
      <c r="I51" s="772"/>
    </row>
    <row r="52" spans="1:9" ht="12.75" customHeight="1">
      <c r="A52" s="2"/>
      <c r="B52" s="2"/>
      <c r="C52" s="2"/>
      <c r="E52" s="2"/>
    </row>
    <row r="53" spans="1:9" ht="15.75" customHeight="1">
      <c r="A53" s="2"/>
      <c r="E53" s="2"/>
    </row>
    <row r="54" spans="1:9" ht="15.75" customHeight="1">
      <c r="A54" s="2"/>
      <c r="E54" s="2"/>
    </row>
    <row r="55" spans="1:9" ht="15.75" customHeight="1">
      <c r="A55" s="2"/>
      <c r="E55" s="2"/>
    </row>
    <row r="56" spans="1:9" ht="15.75" customHeight="1">
      <c r="A56" s="2"/>
      <c r="E56" s="2"/>
    </row>
    <row r="57" spans="1:9" ht="15.75" customHeight="1">
      <c r="A57" s="2"/>
      <c r="E57" s="2"/>
    </row>
    <row r="58" spans="1:9" ht="15.75" customHeight="1">
      <c r="A58" s="2"/>
      <c r="E58" s="2"/>
    </row>
    <row r="59" spans="1:9" ht="15.75" customHeight="1">
      <c r="A59" s="2"/>
      <c r="E59" s="2"/>
    </row>
    <row r="60" spans="1:9" ht="15.75" customHeight="1">
      <c r="A60" s="2"/>
      <c r="E60" s="2"/>
    </row>
    <row r="61" spans="1:9" ht="15.75" customHeight="1">
      <c r="A61" s="2"/>
      <c r="E61" s="2"/>
    </row>
    <row r="62" spans="1:9" ht="15.75" customHeight="1">
      <c r="A62" s="2"/>
      <c r="E62" s="2"/>
    </row>
    <row r="63" spans="1:9" ht="15.75" customHeight="1">
      <c r="A63" s="2"/>
      <c r="E63" s="2"/>
    </row>
    <row r="64" spans="1:9" ht="15.75" customHeight="1">
      <c r="A64" s="2"/>
      <c r="E64" s="2"/>
    </row>
    <row r="65" spans="1:5" ht="15.75" customHeight="1">
      <c r="A65" s="2"/>
      <c r="E65" s="2"/>
    </row>
    <row r="66" spans="1:5" ht="15.75" customHeight="1">
      <c r="A66" s="2"/>
      <c r="E66" s="2"/>
    </row>
    <row r="67" spans="1:5" ht="15.75" customHeight="1">
      <c r="A67" s="2"/>
      <c r="E67" s="2"/>
    </row>
    <row r="68" spans="1:5" ht="15.75" customHeight="1">
      <c r="A68" s="2"/>
      <c r="E68" s="2"/>
    </row>
    <row r="69" spans="1:5" ht="15.75" customHeight="1">
      <c r="A69" s="2"/>
      <c r="E69" s="2"/>
    </row>
    <row r="70" spans="1:5" ht="15.75" customHeight="1">
      <c r="A70" s="2"/>
      <c r="E70" s="2"/>
    </row>
    <row r="71" spans="1:5" ht="15.75" customHeight="1">
      <c r="A71" s="2"/>
      <c r="E71" s="2"/>
    </row>
    <row r="72" spans="1:5" ht="15.75" customHeight="1">
      <c r="A72" s="2"/>
      <c r="E72" s="2"/>
    </row>
    <row r="73" spans="1:5" ht="15.75" customHeight="1">
      <c r="A73" s="2"/>
      <c r="E73" s="2"/>
    </row>
    <row r="74" spans="1:5" ht="15.75" customHeight="1">
      <c r="A74" s="2"/>
      <c r="E74" s="2"/>
    </row>
    <row r="75" spans="1:5" ht="15.75" customHeight="1">
      <c r="A75" s="2"/>
      <c r="E75" s="2"/>
    </row>
    <row r="76" spans="1:5" ht="15.75" customHeight="1">
      <c r="A76" s="2"/>
      <c r="E76" s="2"/>
    </row>
    <row r="77" spans="1:5" ht="15.75" customHeight="1">
      <c r="A77" s="2"/>
      <c r="E77" s="2"/>
    </row>
    <row r="78" spans="1:5" ht="15.75" customHeight="1">
      <c r="A78" s="2"/>
      <c r="E78" s="2"/>
    </row>
    <row r="79" spans="1:5" ht="15.75" customHeight="1">
      <c r="A79" s="2"/>
      <c r="E79" s="2"/>
    </row>
    <row r="80" spans="1:5" ht="15.75" customHeight="1">
      <c r="A80" s="2"/>
      <c r="E80" s="2"/>
    </row>
    <row r="81" spans="1:5" ht="15.75" customHeight="1">
      <c r="A81" s="2"/>
      <c r="E81" s="2"/>
    </row>
    <row r="82" spans="1:5" ht="15.75" customHeight="1">
      <c r="A82" s="2"/>
      <c r="E82" s="2"/>
    </row>
    <row r="83" spans="1:5" ht="15.75" customHeight="1">
      <c r="A83" s="2"/>
      <c r="E83" s="2"/>
    </row>
    <row r="84" spans="1:5" ht="15.75" customHeight="1">
      <c r="A84" s="2"/>
      <c r="E84" s="2"/>
    </row>
    <row r="85" spans="1:5" ht="15.75" customHeight="1">
      <c r="A85" s="2"/>
      <c r="E85" s="2"/>
    </row>
    <row r="86" spans="1:5" ht="15.75" customHeight="1">
      <c r="A86" s="2"/>
      <c r="E86" s="2"/>
    </row>
    <row r="87" spans="1:5" ht="15.75" customHeight="1">
      <c r="A87" s="2"/>
      <c r="E87" s="2"/>
    </row>
    <row r="88" spans="1:5" ht="15.75" customHeight="1">
      <c r="A88" s="2"/>
      <c r="E88" s="2"/>
    </row>
    <row r="89" spans="1:5" ht="15.75" customHeight="1">
      <c r="A89" s="2"/>
      <c r="E89" s="2"/>
    </row>
    <row r="90" spans="1:5" ht="15.75" customHeight="1">
      <c r="A90" s="2"/>
      <c r="E90" s="2"/>
    </row>
    <row r="91" spans="1:5" ht="15.75" customHeight="1">
      <c r="A91" s="2"/>
      <c r="E91" s="2"/>
    </row>
    <row r="92" spans="1:5" ht="15.75" customHeight="1">
      <c r="A92" s="2"/>
      <c r="E92" s="2"/>
    </row>
    <row r="93" spans="1:5" ht="15.75" customHeight="1">
      <c r="A93" s="2"/>
      <c r="E93" s="2"/>
    </row>
    <row r="94" spans="1:5" ht="15.75" customHeight="1">
      <c r="A94" s="2"/>
      <c r="E94" s="2"/>
    </row>
    <row r="95" spans="1:5" ht="15.75" customHeight="1">
      <c r="A95" s="2"/>
      <c r="E95" s="2"/>
    </row>
    <row r="96" spans="1:5" ht="15.75" customHeight="1">
      <c r="A96" s="2"/>
      <c r="E96" s="2"/>
    </row>
    <row r="97" spans="1:5" ht="15.75" customHeight="1">
      <c r="A97" s="2"/>
      <c r="E97" s="2"/>
    </row>
    <row r="98" spans="1:5" ht="15.75" customHeight="1">
      <c r="A98" s="2"/>
      <c r="E98" s="2"/>
    </row>
    <row r="99" spans="1:5" ht="15.75" customHeight="1">
      <c r="A99" s="2"/>
      <c r="E99" s="2"/>
    </row>
    <row r="100" spans="1:5" ht="15.75" customHeight="1">
      <c r="A100" s="2"/>
      <c r="E100" s="2"/>
    </row>
    <row r="101" spans="1:5" ht="15.75" customHeight="1">
      <c r="A101" s="2"/>
      <c r="E101" s="2"/>
    </row>
    <row r="102" spans="1:5" ht="15.75" customHeight="1">
      <c r="A102" s="2"/>
      <c r="E102" s="2"/>
    </row>
    <row r="103" spans="1:5" ht="15.75" customHeight="1">
      <c r="A103" s="2"/>
      <c r="E103" s="2"/>
    </row>
    <row r="104" spans="1:5" ht="15.75" customHeight="1">
      <c r="A104" s="2"/>
      <c r="E104" s="2"/>
    </row>
    <row r="105" spans="1:5" ht="15.75" customHeight="1">
      <c r="A105" s="2"/>
      <c r="E105" s="2"/>
    </row>
    <row r="106" spans="1:5" ht="15.75" customHeight="1">
      <c r="A106" s="2"/>
      <c r="E106" s="2"/>
    </row>
    <row r="107" spans="1:5" ht="15.75" customHeight="1">
      <c r="A107" s="2"/>
      <c r="E107" s="2"/>
    </row>
    <row r="108" spans="1:5" ht="15.75" customHeight="1">
      <c r="A108" s="2"/>
      <c r="E108" s="2"/>
    </row>
    <row r="109" spans="1:5" ht="15.75" customHeight="1">
      <c r="A109" s="2"/>
      <c r="E109" s="2"/>
    </row>
    <row r="110" spans="1:5" ht="15.75" customHeight="1">
      <c r="A110" s="2"/>
      <c r="E110" s="2"/>
    </row>
    <row r="111" spans="1:5" ht="15.75" customHeight="1">
      <c r="A111" s="2"/>
      <c r="E111" s="2"/>
    </row>
    <row r="112" spans="1:5" ht="15.75" customHeight="1">
      <c r="A112" s="2"/>
      <c r="E112" s="2"/>
    </row>
    <row r="113" spans="1:5" ht="15.75" customHeight="1">
      <c r="A113" s="2"/>
      <c r="E113" s="2"/>
    </row>
    <row r="114" spans="1:5" ht="15.75" customHeight="1">
      <c r="A114" s="2"/>
      <c r="E114" s="2"/>
    </row>
    <row r="115" spans="1:5" ht="15.75" customHeight="1">
      <c r="A115" s="2"/>
      <c r="E115" s="2"/>
    </row>
    <row r="116" spans="1:5" ht="15.75" customHeight="1">
      <c r="A116" s="2"/>
      <c r="E116" s="2"/>
    </row>
    <row r="117" spans="1:5" ht="15.75" customHeight="1">
      <c r="A117" s="2"/>
      <c r="E117" s="2"/>
    </row>
    <row r="118" spans="1:5" ht="15.75" customHeight="1">
      <c r="A118" s="2"/>
      <c r="E118" s="2"/>
    </row>
    <row r="119" spans="1:5" ht="15.75" customHeight="1">
      <c r="A119" s="2"/>
      <c r="E119" s="2"/>
    </row>
    <row r="120" spans="1:5" ht="15.75" customHeight="1">
      <c r="A120" s="2"/>
      <c r="E120" s="2"/>
    </row>
    <row r="121" spans="1:5" ht="15.75" customHeight="1">
      <c r="A121" s="2"/>
      <c r="E121" s="2"/>
    </row>
    <row r="122" spans="1:5" ht="15.75" customHeight="1">
      <c r="A122" s="2"/>
      <c r="E122" s="2"/>
    </row>
    <row r="123" spans="1:5" ht="15.75" customHeight="1">
      <c r="A123" s="2"/>
      <c r="E123" s="2"/>
    </row>
    <row r="124" spans="1:5" ht="15.75" customHeight="1">
      <c r="A124" s="2"/>
      <c r="E124" s="2"/>
    </row>
    <row r="125" spans="1:5" ht="15.75" customHeight="1">
      <c r="A125" s="2"/>
      <c r="E125" s="2"/>
    </row>
    <row r="126" spans="1:5" ht="15.75" customHeight="1">
      <c r="A126" s="2"/>
      <c r="E126" s="2"/>
    </row>
    <row r="127" spans="1:5" ht="15.75" customHeight="1">
      <c r="A127" s="2"/>
      <c r="E127" s="2"/>
    </row>
    <row r="128" spans="1:5" ht="15.75" customHeight="1">
      <c r="A128" s="2"/>
      <c r="E128" s="2"/>
    </row>
    <row r="129" spans="1:5" ht="15.75" customHeight="1">
      <c r="A129" s="2"/>
      <c r="E129" s="2"/>
    </row>
    <row r="130" spans="1:5" ht="15.75" customHeight="1">
      <c r="A130" s="2"/>
      <c r="E130" s="2"/>
    </row>
    <row r="131" spans="1:5" ht="15.75" customHeight="1">
      <c r="A131" s="2"/>
      <c r="E131" s="2"/>
    </row>
    <row r="132" spans="1:5" ht="15.75" customHeight="1">
      <c r="A132" s="2"/>
      <c r="E132" s="2"/>
    </row>
    <row r="133" spans="1:5" ht="15.75" customHeight="1">
      <c r="A133" s="2"/>
      <c r="E133" s="2"/>
    </row>
    <row r="134" spans="1:5" ht="15.75" customHeight="1">
      <c r="A134" s="2"/>
      <c r="E134" s="2"/>
    </row>
    <row r="135" spans="1:5" ht="15.75" customHeight="1">
      <c r="A135" s="2"/>
      <c r="E135" s="2"/>
    </row>
    <row r="136" spans="1:5" ht="15.75" customHeight="1">
      <c r="A136" s="2"/>
      <c r="E136" s="2"/>
    </row>
    <row r="137" spans="1:5" ht="15.75" customHeight="1">
      <c r="A137" s="2"/>
      <c r="E137" s="2"/>
    </row>
    <row r="138" spans="1:5" ht="15.75" customHeight="1">
      <c r="A138" s="2"/>
      <c r="E138" s="2"/>
    </row>
    <row r="139" spans="1:5" ht="15.75" customHeight="1">
      <c r="A139" s="2"/>
      <c r="E139" s="2"/>
    </row>
    <row r="140" spans="1:5" ht="15.75" customHeight="1">
      <c r="A140" s="2"/>
      <c r="E140" s="2"/>
    </row>
    <row r="141" spans="1:5" ht="15.75" customHeight="1">
      <c r="A141" s="2"/>
      <c r="E141" s="2"/>
    </row>
    <row r="142" spans="1:5" ht="15.75" customHeight="1">
      <c r="A142" s="2"/>
      <c r="E142" s="2"/>
    </row>
    <row r="143" spans="1:5" ht="15.75" customHeight="1">
      <c r="A143" s="2"/>
      <c r="E143" s="2"/>
    </row>
    <row r="144" spans="1:5" ht="15.75" customHeight="1">
      <c r="A144" s="2"/>
      <c r="E144" s="2"/>
    </row>
    <row r="145" spans="1:5" ht="15.75" customHeight="1">
      <c r="A145" s="2"/>
      <c r="E145" s="2"/>
    </row>
    <row r="146" spans="1:5" ht="15.75" customHeight="1">
      <c r="A146" s="2"/>
      <c r="E146" s="2"/>
    </row>
    <row r="147" spans="1:5" ht="15.75" customHeight="1">
      <c r="A147" s="2"/>
      <c r="E147" s="2"/>
    </row>
    <row r="148" spans="1:5" ht="15.75" customHeight="1">
      <c r="A148" s="2"/>
      <c r="E148" s="2"/>
    </row>
    <row r="149" spans="1:5" ht="15.75" customHeight="1">
      <c r="A149" s="2"/>
      <c r="E149" s="2"/>
    </row>
    <row r="150" spans="1:5" ht="15.75" customHeight="1">
      <c r="A150" s="2"/>
      <c r="E150" s="2"/>
    </row>
    <row r="151" spans="1:5" ht="15.75" customHeight="1">
      <c r="A151" s="2"/>
      <c r="E151" s="2"/>
    </row>
    <row r="152" spans="1:5" ht="15.75" customHeight="1">
      <c r="A152" s="2"/>
      <c r="E152" s="2"/>
    </row>
    <row r="153" spans="1:5" ht="15.75" customHeight="1">
      <c r="A153" s="2"/>
      <c r="E153" s="2"/>
    </row>
    <row r="154" spans="1:5" ht="15.75" customHeight="1">
      <c r="A154" s="2"/>
      <c r="E154" s="2"/>
    </row>
    <row r="155" spans="1:5" ht="15.75" customHeight="1">
      <c r="A155" s="2"/>
      <c r="E155" s="2"/>
    </row>
    <row r="156" spans="1:5" ht="15.75" customHeight="1">
      <c r="A156" s="2"/>
      <c r="E156" s="2"/>
    </row>
    <row r="157" spans="1:5" ht="15.75" customHeight="1">
      <c r="A157" s="2"/>
      <c r="E157" s="2"/>
    </row>
    <row r="158" spans="1:5" ht="15.75" customHeight="1">
      <c r="A158" s="2"/>
      <c r="E158" s="2"/>
    </row>
    <row r="159" spans="1:5" ht="15.75" customHeight="1">
      <c r="A159" s="2"/>
      <c r="E159" s="2"/>
    </row>
    <row r="160" spans="1:5" ht="15.75" customHeight="1">
      <c r="A160" s="2"/>
      <c r="E160" s="2"/>
    </row>
    <row r="161" spans="1:5" ht="15.75" customHeight="1">
      <c r="A161" s="2"/>
      <c r="E161" s="2"/>
    </row>
    <row r="162" spans="1:5" ht="15.75" customHeight="1">
      <c r="A162" s="2"/>
      <c r="E162" s="2"/>
    </row>
    <row r="163" spans="1:5" ht="15.75" customHeight="1">
      <c r="A163" s="2"/>
      <c r="E163" s="2"/>
    </row>
    <row r="164" spans="1:5" ht="15.75" customHeight="1">
      <c r="A164" s="2"/>
      <c r="E164" s="2"/>
    </row>
    <row r="165" spans="1:5" ht="15.75" customHeight="1">
      <c r="A165" s="2"/>
      <c r="E165" s="2"/>
    </row>
    <row r="166" spans="1:5" ht="15.75" customHeight="1">
      <c r="A166" s="2"/>
      <c r="E166" s="2"/>
    </row>
    <row r="167" spans="1:5" ht="15.75" customHeight="1">
      <c r="A167" s="2"/>
      <c r="E167" s="2"/>
    </row>
    <row r="168" spans="1:5" ht="15.75" customHeight="1">
      <c r="A168" s="2"/>
      <c r="E168" s="2"/>
    </row>
    <row r="169" spans="1:5" ht="15.75" customHeight="1">
      <c r="A169" s="2"/>
      <c r="E169" s="2"/>
    </row>
    <row r="170" spans="1:5" ht="15.75" customHeight="1">
      <c r="A170" s="2"/>
      <c r="E170" s="2"/>
    </row>
    <row r="171" spans="1:5" ht="15.75" customHeight="1">
      <c r="A171" s="2"/>
      <c r="E171" s="2"/>
    </row>
    <row r="172" spans="1:5" ht="15.75" customHeight="1">
      <c r="A172" s="2"/>
      <c r="E172" s="2"/>
    </row>
    <row r="173" spans="1:5" ht="15.75" customHeight="1">
      <c r="A173" s="2"/>
      <c r="E173" s="2"/>
    </row>
    <row r="174" spans="1:5" ht="15.75" customHeight="1">
      <c r="A174" s="2"/>
      <c r="E174" s="2"/>
    </row>
    <row r="175" spans="1:5" ht="15.75" customHeight="1">
      <c r="A175" s="2"/>
      <c r="E175" s="2"/>
    </row>
    <row r="176" spans="1:5" ht="15.75" customHeight="1">
      <c r="A176" s="2"/>
      <c r="E176" s="2"/>
    </row>
    <row r="177" spans="1:5" ht="15.75" customHeight="1">
      <c r="A177" s="2"/>
      <c r="E177" s="2"/>
    </row>
    <row r="178" spans="1:5" ht="15.75" customHeight="1">
      <c r="A178" s="2"/>
      <c r="E178" s="2"/>
    </row>
    <row r="179" spans="1:5" ht="15.75" customHeight="1">
      <c r="A179" s="2"/>
      <c r="E179" s="2"/>
    </row>
    <row r="180" spans="1:5" ht="15.75" customHeight="1">
      <c r="A180" s="2"/>
      <c r="E180" s="2"/>
    </row>
    <row r="181" spans="1:5" ht="15.75" customHeight="1">
      <c r="A181" s="2"/>
      <c r="E181" s="2"/>
    </row>
    <row r="182" spans="1:5" ht="15.75" customHeight="1">
      <c r="A182" s="2"/>
      <c r="E182" s="2"/>
    </row>
    <row r="183" spans="1:5" ht="15.75" customHeight="1">
      <c r="A183" s="2"/>
      <c r="E183" s="2"/>
    </row>
    <row r="184" spans="1:5" ht="15.75" customHeight="1">
      <c r="A184" s="2"/>
      <c r="E184" s="2"/>
    </row>
    <row r="185" spans="1:5" ht="15.75" customHeight="1">
      <c r="A185" s="2"/>
      <c r="E185" s="2"/>
    </row>
    <row r="186" spans="1:5" ht="15.75" customHeight="1">
      <c r="A186" s="2"/>
      <c r="E186" s="2"/>
    </row>
    <row r="187" spans="1:5" ht="15.75" customHeight="1">
      <c r="A187" s="2"/>
      <c r="E187" s="2"/>
    </row>
    <row r="188" spans="1:5" ht="15.75" customHeight="1">
      <c r="A188" s="2"/>
      <c r="E188" s="2"/>
    </row>
    <row r="189" spans="1:5" ht="15.75" customHeight="1">
      <c r="A189" s="2"/>
      <c r="E189" s="2"/>
    </row>
    <row r="190" spans="1:5" ht="15.75" customHeight="1">
      <c r="A190" s="2"/>
      <c r="E190" s="2"/>
    </row>
    <row r="191" spans="1:5" ht="15.75" customHeight="1">
      <c r="A191" s="2"/>
      <c r="E191" s="2"/>
    </row>
    <row r="192" spans="1:5" ht="15.75" customHeight="1">
      <c r="A192" s="2"/>
      <c r="E192" s="2"/>
    </row>
    <row r="193" spans="1:5" ht="15.75" customHeight="1">
      <c r="A193" s="2"/>
      <c r="E193" s="2"/>
    </row>
    <row r="194" spans="1:5" ht="15.75" customHeight="1">
      <c r="A194" s="2"/>
      <c r="E194" s="2"/>
    </row>
    <row r="195" spans="1:5" ht="15.75" customHeight="1">
      <c r="A195" s="2"/>
      <c r="E195" s="2"/>
    </row>
    <row r="196" spans="1:5" ht="15.75" customHeight="1">
      <c r="A196" s="2"/>
      <c r="E196" s="2"/>
    </row>
    <row r="197" spans="1:5" ht="15.75" customHeight="1">
      <c r="A197" s="2"/>
      <c r="E197" s="2"/>
    </row>
    <row r="198" spans="1:5" ht="15.75" customHeight="1">
      <c r="A198" s="2"/>
      <c r="E198" s="2"/>
    </row>
    <row r="199" spans="1:5" ht="15.75" customHeight="1">
      <c r="A199" s="2"/>
      <c r="E199" s="2"/>
    </row>
    <row r="200" spans="1:5" ht="15.75" customHeight="1">
      <c r="A200" s="2"/>
      <c r="E200" s="2"/>
    </row>
    <row r="201" spans="1:5" ht="15.75" customHeight="1">
      <c r="A201" s="2"/>
      <c r="E201" s="2"/>
    </row>
    <row r="202" spans="1:5" ht="15.75" customHeight="1">
      <c r="A202" s="2"/>
      <c r="E202" s="2"/>
    </row>
    <row r="203" spans="1:5" ht="15.75" customHeight="1">
      <c r="A203" s="2"/>
      <c r="E203" s="2"/>
    </row>
    <row r="204" spans="1:5" ht="15.75" customHeight="1">
      <c r="A204" s="2"/>
      <c r="E204" s="2"/>
    </row>
    <row r="205" spans="1:5" ht="15.75" customHeight="1">
      <c r="A205" s="2"/>
      <c r="E205" s="2"/>
    </row>
    <row r="206" spans="1:5" ht="15.75" customHeight="1">
      <c r="A206" s="2"/>
      <c r="E206" s="2"/>
    </row>
    <row r="207" spans="1:5" ht="15.75" customHeight="1">
      <c r="A207" s="2"/>
      <c r="E207" s="2"/>
    </row>
    <row r="208" spans="1:5" ht="15.75" customHeight="1">
      <c r="A208" s="2"/>
      <c r="E208" s="2"/>
    </row>
    <row r="209" spans="1:5" ht="15.75" customHeight="1">
      <c r="A209" s="2"/>
      <c r="E209" s="2"/>
    </row>
    <row r="210" spans="1:5" ht="15.75" customHeight="1">
      <c r="A210" s="2"/>
      <c r="E210" s="2"/>
    </row>
    <row r="211" spans="1:5" ht="15.75" customHeight="1">
      <c r="A211" s="2"/>
      <c r="E211" s="2"/>
    </row>
    <row r="212" spans="1:5" ht="15.75" customHeight="1">
      <c r="A212" s="2"/>
      <c r="E212" s="2"/>
    </row>
    <row r="213" spans="1:5" ht="15.75" customHeight="1">
      <c r="A213" s="2"/>
      <c r="E213" s="2"/>
    </row>
    <row r="214" spans="1:5" ht="15.75" customHeight="1">
      <c r="A214" s="2"/>
      <c r="E214" s="2"/>
    </row>
    <row r="215" spans="1:5" ht="15.75" customHeight="1">
      <c r="A215" s="2"/>
      <c r="E215" s="2"/>
    </row>
    <row r="216" spans="1:5" ht="15.75" customHeight="1">
      <c r="A216" s="2"/>
      <c r="E216" s="2"/>
    </row>
    <row r="217" spans="1:5" ht="15.75" customHeight="1">
      <c r="A217" s="2"/>
      <c r="E217" s="2"/>
    </row>
    <row r="218" spans="1:5" ht="15.75" customHeight="1">
      <c r="A218" s="2"/>
      <c r="E218" s="2"/>
    </row>
    <row r="219" spans="1:5" ht="15.75" customHeight="1">
      <c r="A219" s="2"/>
      <c r="E219" s="2"/>
    </row>
    <row r="220" spans="1:5" ht="15.75" customHeight="1">
      <c r="A220" s="2"/>
      <c r="E220" s="2"/>
    </row>
    <row r="221" spans="1:5" ht="15.75" customHeight="1">
      <c r="A221" s="2"/>
      <c r="E221" s="2"/>
    </row>
    <row r="222" spans="1:5" ht="15.75" customHeight="1">
      <c r="A222" s="2"/>
      <c r="E222" s="2"/>
    </row>
    <row r="223" spans="1:5" ht="15.75" customHeight="1">
      <c r="A223" s="2"/>
      <c r="E223" s="2"/>
    </row>
    <row r="224" spans="1:5" ht="15.75" customHeight="1">
      <c r="A224" s="2"/>
      <c r="E224" s="2"/>
    </row>
    <row r="225" spans="1:5" ht="15.75" customHeight="1">
      <c r="A225" s="2"/>
      <c r="E225" s="2"/>
    </row>
    <row r="226" spans="1:5" ht="15.75" customHeight="1">
      <c r="A226" s="2"/>
      <c r="E226" s="2"/>
    </row>
    <row r="227" spans="1:5" ht="15.75" customHeight="1">
      <c r="A227" s="2"/>
      <c r="E227" s="2"/>
    </row>
    <row r="228" spans="1:5" ht="15.75" customHeight="1">
      <c r="A228" s="2"/>
      <c r="E228" s="2"/>
    </row>
    <row r="229" spans="1:5" ht="15.75" customHeight="1">
      <c r="A229" s="2"/>
      <c r="E229" s="2"/>
    </row>
    <row r="230" spans="1:5" ht="15.75" customHeight="1">
      <c r="A230" s="2"/>
      <c r="E230" s="2"/>
    </row>
    <row r="231" spans="1:5" ht="15.75" customHeight="1">
      <c r="A231" s="2"/>
      <c r="E231" s="2"/>
    </row>
    <row r="232" spans="1:5" ht="15.75" customHeight="1">
      <c r="A232" s="2"/>
      <c r="E232" s="2"/>
    </row>
    <row r="233" spans="1:5" ht="15.75" customHeight="1">
      <c r="A233" s="2"/>
      <c r="E233" s="2"/>
    </row>
    <row r="234" spans="1:5" ht="15.75" customHeight="1">
      <c r="A234" s="2"/>
      <c r="E234" s="2"/>
    </row>
    <row r="235" spans="1:5" ht="15.75" customHeight="1">
      <c r="A235" s="2"/>
      <c r="E235" s="2"/>
    </row>
    <row r="236" spans="1:5" ht="15.75" customHeight="1">
      <c r="A236" s="2"/>
      <c r="E236" s="2"/>
    </row>
    <row r="237" spans="1:5" ht="15.75" customHeight="1">
      <c r="A237" s="2"/>
      <c r="E237" s="2"/>
    </row>
    <row r="238" spans="1:5" ht="15.75" customHeight="1">
      <c r="A238" s="2"/>
      <c r="E238" s="2"/>
    </row>
    <row r="239" spans="1:5" ht="15.75" customHeight="1">
      <c r="A239" s="2"/>
      <c r="E239" s="2"/>
    </row>
    <row r="240" spans="1:5" ht="15.75" customHeight="1">
      <c r="A240" s="2"/>
      <c r="E240" s="2"/>
    </row>
    <row r="241" spans="1:5" ht="15.75" customHeight="1">
      <c r="A241" s="2"/>
      <c r="E241" s="2"/>
    </row>
    <row r="242" spans="1:5" ht="15.75" customHeight="1">
      <c r="A242" s="2"/>
      <c r="E242" s="2"/>
    </row>
    <row r="243" spans="1:5" ht="15.75" customHeight="1">
      <c r="A243" s="2"/>
      <c r="E243" s="2"/>
    </row>
    <row r="244" spans="1:5" ht="15.75" customHeight="1">
      <c r="A244" s="2"/>
      <c r="E244" s="2"/>
    </row>
    <row r="245" spans="1:5" ht="15.75" customHeight="1">
      <c r="A245" s="2"/>
      <c r="E245" s="2"/>
    </row>
    <row r="246" spans="1:5" ht="15.75" customHeight="1">
      <c r="A246" s="2"/>
      <c r="E246" s="2"/>
    </row>
    <row r="247" spans="1:5" ht="15.75" customHeight="1">
      <c r="A247" s="2"/>
      <c r="E247" s="2"/>
    </row>
    <row r="248" spans="1:5" ht="15.75" customHeight="1">
      <c r="A248" s="2"/>
      <c r="E248" s="2"/>
    </row>
    <row r="249" spans="1:5" ht="15.75" customHeight="1">
      <c r="A249" s="2"/>
      <c r="E249" s="2"/>
    </row>
    <row r="250" spans="1:5" ht="15.75" customHeight="1">
      <c r="A250" s="2"/>
      <c r="E250" s="2"/>
    </row>
    <row r="251" spans="1:5" ht="15.75" customHeight="1">
      <c r="A251" s="2"/>
      <c r="E251" s="2"/>
    </row>
    <row r="252" spans="1:5" ht="15.75" customHeight="1">
      <c r="A252" s="2"/>
      <c r="E252" s="2"/>
    </row>
    <row r="253" spans="1:5" ht="15.75" customHeight="1">
      <c r="A253" s="2"/>
      <c r="E253" s="2"/>
    </row>
    <row r="254" spans="1:5" ht="15.75" customHeight="1">
      <c r="A254" s="2"/>
      <c r="E254" s="2"/>
    </row>
    <row r="255" spans="1:5" ht="15.75" customHeight="1">
      <c r="A255" s="2"/>
      <c r="E255" s="2"/>
    </row>
    <row r="256" spans="1:5" ht="15.75" customHeight="1">
      <c r="A256" s="2"/>
      <c r="E256" s="2"/>
    </row>
    <row r="257" spans="1:5" ht="15.75" customHeight="1">
      <c r="A257" s="2"/>
      <c r="E257" s="2"/>
    </row>
    <row r="258" spans="1:5" ht="15.75" customHeight="1">
      <c r="A258" s="2"/>
      <c r="E258" s="2"/>
    </row>
    <row r="259" spans="1:5" ht="15.75" customHeight="1">
      <c r="A259" s="2"/>
      <c r="E259" s="2"/>
    </row>
    <row r="260" spans="1:5" ht="15.75" customHeight="1">
      <c r="A260" s="2"/>
      <c r="E260" s="2"/>
    </row>
    <row r="261" spans="1:5" ht="15.75" customHeight="1">
      <c r="A261" s="2"/>
      <c r="E261" s="2"/>
    </row>
    <row r="262" spans="1:5" ht="15.75" customHeight="1">
      <c r="A262" s="2"/>
      <c r="E262" s="2"/>
    </row>
    <row r="263" spans="1:5" ht="15.75" customHeight="1">
      <c r="A263" s="2"/>
      <c r="E263" s="2"/>
    </row>
    <row r="264" spans="1:5" ht="15.75" customHeight="1">
      <c r="A264" s="2"/>
      <c r="E264" s="2"/>
    </row>
    <row r="265" spans="1:5" ht="15.75" customHeight="1">
      <c r="A265" s="2"/>
      <c r="E265" s="2"/>
    </row>
    <row r="266" spans="1:5" ht="15.75" customHeight="1">
      <c r="A266" s="2"/>
      <c r="E266" s="2"/>
    </row>
    <row r="267" spans="1:5" ht="15.75" customHeight="1">
      <c r="A267" s="2"/>
      <c r="E267" s="2"/>
    </row>
    <row r="268" spans="1:5" ht="15.75" customHeight="1">
      <c r="A268" s="2"/>
      <c r="E268" s="2"/>
    </row>
    <row r="269" spans="1:5" ht="15.75" customHeight="1">
      <c r="A269" s="2"/>
      <c r="E269" s="2"/>
    </row>
    <row r="270" spans="1:5" ht="15.75" customHeight="1">
      <c r="A270" s="2"/>
      <c r="E270" s="2"/>
    </row>
    <row r="271" spans="1:5" ht="15.75" customHeight="1">
      <c r="A271" s="2"/>
      <c r="E271" s="2"/>
    </row>
    <row r="272" spans="1:5" ht="15.75" customHeight="1">
      <c r="A272" s="2"/>
      <c r="E272" s="2"/>
    </row>
    <row r="273" spans="1:5" ht="15.75" customHeight="1">
      <c r="A273" s="2"/>
      <c r="E273" s="2"/>
    </row>
    <row r="274" spans="1:5" ht="15.75" customHeight="1">
      <c r="A274" s="2"/>
      <c r="E274" s="2"/>
    </row>
    <row r="275" spans="1:5" ht="15.75" customHeight="1">
      <c r="A275" s="2"/>
      <c r="E275" s="2"/>
    </row>
    <row r="276" spans="1:5" ht="15.75" customHeight="1">
      <c r="A276" s="2"/>
      <c r="E276" s="2"/>
    </row>
    <row r="277" spans="1:5" ht="15.75" customHeight="1">
      <c r="A277" s="2"/>
      <c r="E277" s="2"/>
    </row>
    <row r="278" spans="1:5" ht="15.75" customHeight="1">
      <c r="A278" s="2"/>
      <c r="E278" s="2"/>
    </row>
    <row r="279" spans="1:5" ht="15.75" customHeight="1">
      <c r="A279" s="2"/>
      <c r="E279" s="2"/>
    </row>
    <row r="280" spans="1:5" ht="15.75" customHeight="1">
      <c r="A280" s="2"/>
      <c r="E280" s="2"/>
    </row>
    <row r="281" spans="1:5" ht="15.75" customHeight="1">
      <c r="A281" s="2"/>
      <c r="E281" s="2"/>
    </row>
    <row r="282" spans="1:5" ht="15.75" customHeight="1">
      <c r="A282" s="2"/>
      <c r="E282" s="2"/>
    </row>
    <row r="283" spans="1:5" ht="15.75" customHeight="1">
      <c r="A283" s="2"/>
      <c r="E283" s="2"/>
    </row>
    <row r="284" spans="1:5" ht="15.75" customHeight="1">
      <c r="A284" s="2"/>
      <c r="E284" s="2"/>
    </row>
    <row r="285" spans="1:5" ht="15.75" customHeight="1">
      <c r="A285" s="2"/>
      <c r="E285" s="2"/>
    </row>
    <row r="286" spans="1:5" ht="15.75" customHeight="1">
      <c r="A286" s="2"/>
      <c r="E286" s="2"/>
    </row>
    <row r="287" spans="1:5" ht="15.75" customHeight="1">
      <c r="A287" s="2"/>
      <c r="E287" s="2"/>
    </row>
    <row r="288" spans="1:5" ht="15.75" customHeight="1">
      <c r="A288" s="2"/>
      <c r="E288" s="2"/>
    </row>
    <row r="289" spans="1:5" ht="15.75" customHeight="1">
      <c r="A289" s="2"/>
      <c r="E289" s="2"/>
    </row>
    <row r="290" spans="1:5" ht="15.75" customHeight="1">
      <c r="A290" s="2"/>
      <c r="E290" s="2"/>
    </row>
    <row r="291" spans="1:5" ht="15.75" customHeight="1">
      <c r="A291" s="2"/>
      <c r="E291" s="2"/>
    </row>
    <row r="292" spans="1:5" ht="15.75" customHeight="1">
      <c r="A292" s="2"/>
      <c r="E292" s="2"/>
    </row>
    <row r="293" spans="1:5" ht="15.75" customHeight="1">
      <c r="A293" s="2"/>
      <c r="E293" s="2"/>
    </row>
    <row r="294" spans="1:5" ht="15.75" customHeight="1">
      <c r="A294" s="2"/>
      <c r="E294" s="2"/>
    </row>
    <row r="295" spans="1:5" ht="15.75" customHeight="1">
      <c r="A295" s="2"/>
      <c r="E295" s="2"/>
    </row>
    <row r="296" spans="1:5" ht="15.75" customHeight="1">
      <c r="A296" s="2"/>
      <c r="E296" s="2"/>
    </row>
    <row r="297" spans="1:5" ht="15.75" customHeight="1">
      <c r="A297" s="2"/>
      <c r="E297" s="2"/>
    </row>
    <row r="298" spans="1:5" ht="15.75" customHeight="1">
      <c r="A298" s="2"/>
      <c r="E298" s="2"/>
    </row>
    <row r="299" spans="1:5" ht="15.75" customHeight="1">
      <c r="A299" s="2"/>
      <c r="E299" s="2"/>
    </row>
    <row r="300" spans="1:5" ht="15.75" customHeight="1">
      <c r="A300" s="2"/>
      <c r="E300" s="2"/>
    </row>
    <row r="301" spans="1:5" ht="15.75" customHeight="1">
      <c r="A301" s="2"/>
      <c r="E301" s="2"/>
    </row>
    <row r="302" spans="1:5" ht="15.75" customHeight="1">
      <c r="A302" s="2"/>
      <c r="E302" s="2"/>
    </row>
    <row r="303" spans="1:5" ht="15.75" customHeight="1">
      <c r="A303" s="2"/>
      <c r="E303" s="2"/>
    </row>
    <row r="304" spans="1:5" ht="15.75" customHeight="1">
      <c r="A304" s="2"/>
      <c r="E304" s="2"/>
    </row>
    <row r="305" spans="1:5" ht="15.75" customHeight="1">
      <c r="A305" s="2"/>
      <c r="E305" s="2"/>
    </row>
    <row r="306" spans="1:5" ht="15.75" customHeight="1">
      <c r="A306" s="2"/>
      <c r="E306" s="2"/>
    </row>
    <row r="307" spans="1:5" ht="15.75" customHeight="1">
      <c r="A307" s="2"/>
      <c r="E307" s="2"/>
    </row>
    <row r="308" spans="1:5" ht="15.75" customHeight="1">
      <c r="A308" s="2"/>
      <c r="E308" s="2"/>
    </row>
    <row r="309" spans="1:5" ht="15.75" customHeight="1">
      <c r="A309" s="2"/>
      <c r="E309" s="2"/>
    </row>
    <row r="310" spans="1:5" ht="15.75" customHeight="1">
      <c r="A310" s="2"/>
      <c r="E310" s="2"/>
    </row>
    <row r="311" spans="1:5" ht="15.75" customHeight="1">
      <c r="A311" s="2"/>
      <c r="E311" s="2"/>
    </row>
    <row r="312" spans="1:5" ht="15.75" customHeight="1">
      <c r="A312" s="2"/>
      <c r="E312" s="2"/>
    </row>
    <row r="313" spans="1:5" ht="15.75" customHeight="1">
      <c r="A313" s="2"/>
      <c r="E313" s="2"/>
    </row>
    <row r="314" spans="1:5" ht="15.75" customHeight="1">
      <c r="A314" s="2"/>
      <c r="E314" s="2"/>
    </row>
    <row r="315" spans="1:5" ht="15.75" customHeight="1">
      <c r="A315" s="2"/>
      <c r="E315" s="2"/>
    </row>
    <row r="316" spans="1:5" ht="15.75" customHeight="1">
      <c r="A316" s="2"/>
      <c r="E316" s="2"/>
    </row>
    <row r="317" spans="1:5" ht="15.75" customHeight="1">
      <c r="A317" s="2"/>
      <c r="E317" s="2"/>
    </row>
    <row r="318" spans="1:5" ht="15.75" customHeight="1">
      <c r="A318" s="2"/>
      <c r="E318" s="2"/>
    </row>
    <row r="319" spans="1:5" ht="15.75" customHeight="1">
      <c r="A319" s="2"/>
      <c r="E319" s="2"/>
    </row>
    <row r="320" spans="1:5" ht="15.75" customHeight="1">
      <c r="A320" s="2"/>
      <c r="E320" s="2"/>
    </row>
    <row r="321" spans="1:5" ht="15.75" customHeight="1">
      <c r="A321" s="2"/>
      <c r="E321" s="2"/>
    </row>
    <row r="322" spans="1:5" ht="15.75" customHeight="1">
      <c r="A322" s="2"/>
      <c r="E322" s="2"/>
    </row>
    <row r="323" spans="1:5" ht="15.75" customHeight="1">
      <c r="A323" s="2"/>
      <c r="E323" s="2"/>
    </row>
    <row r="324" spans="1:5" ht="15.75" customHeight="1">
      <c r="A324" s="2"/>
      <c r="E324" s="2"/>
    </row>
    <row r="325" spans="1:5" ht="15.75" customHeight="1">
      <c r="A325" s="2"/>
      <c r="E325" s="2"/>
    </row>
    <row r="326" spans="1:5" ht="15.75" customHeight="1">
      <c r="A326" s="2"/>
      <c r="E326" s="2"/>
    </row>
    <row r="327" spans="1:5" ht="15.75" customHeight="1">
      <c r="A327" s="2"/>
      <c r="E327" s="2"/>
    </row>
    <row r="328" spans="1:5" ht="15.75" customHeight="1">
      <c r="A328" s="2"/>
      <c r="E328" s="2"/>
    </row>
    <row r="329" spans="1:5" ht="15.75" customHeight="1">
      <c r="A329" s="2"/>
      <c r="E329" s="2"/>
    </row>
    <row r="330" spans="1:5" ht="15.75" customHeight="1">
      <c r="A330" s="2"/>
      <c r="E330" s="2"/>
    </row>
    <row r="331" spans="1:5" ht="15.75" customHeight="1">
      <c r="A331" s="2"/>
      <c r="E331" s="2"/>
    </row>
    <row r="332" spans="1:5" ht="15.75" customHeight="1">
      <c r="A332" s="2"/>
      <c r="E332" s="2"/>
    </row>
    <row r="333" spans="1:5" ht="15.75" customHeight="1">
      <c r="A333" s="2"/>
      <c r="E333" s="2"/>
    </row>
    <row r="334" spans="1:5" ht="15.75" customHeight="1">
      <c r="A334" s="2"/>
      <c r="E334" s="2"/>
    </row>
    <row r="335" spans="1:5" ht="15.75" customHeight="1">
      <c r="A335" s="2"/>
      <c r="E335" s="2"/>
    </row>
    <row r="336" spans="1:5" ht="15.75" customHeight="1">
      <c r="A336" s="2"/>
      <c r="E336" s="2"/>
    </row>
    <row r="337" spans="1:5" ht="15.75" customHeight="1">
      <c r="A337" s="2"/>
      <c r="E337" s="2"/>
    </row>
    <row r="338" spans="1:5" ht="15.75" customHeight="1">
      <c r="A338" s="2"/>
      <c r="E338" s="2"/>
    </row>
    <row r="339" spans="1:5" ht="15.75" customHeight="1">
      <c r="A339" s="2"/>
      <c r="E339" s="2"/>
    </row>
    <row r="340" spans="1:5" ht="15.75" customHeight="1">
      <c r="A340" s="2"/>
      <c r="E340" s="2"/>
    </row>
    <row r="341" spans="1:5" ht="15.75" customHeight="1">
      <c r="A341" s="2"/>
      <c r="E341" s="2"/>
    </row>
    <row r="342" spans="1:5" ht="15.75" customHeight="1">
      <c r="A342" s="2"/>
      <c r="E342" s="2"/>
    </row>
    <row r="343" spans="1:5" ht="15.75" customHeight="1">
      <c r="A343" s="2"/>
      <c r="E343" s="2"/>
    </row>
    <row r="344" spans="1:5" ht="15.75" customHeight="1">
      <c r="A344" s="2"/>
      <c r="E344" s="2"/>
    </row>
    <row r="345" spans="1:5" ht="15.75" customHeight="1">
      <c r="A345" s="2"/>
      <c r="E345" s="2"/>
    </row>
    <row r="346" spans="1:5" ht="15.75" customHeight="1">
      <c r="A346" s="2"/>
      <c r="E346" s="2"/>
    </row>
    <row r="347" spans="1:5" ht="15.75" customHeight="1">
      <c r="A347" s="2"/>
      <c r="E347" s="2"/>
    </row>
    <row r="348" spans="1:5" ht="15.75" customHeight="1">
      <c r="A348" s="2"/>
      <c r="E348" s="2"/>
    </row>
    <row r="349" spans="1:5" ht="15.75" customHeight="1">
      <c r="A349" s="2"/>
      <c r="E349" s="2"/>
    </row>
    <row r="350" spans="1:5" ht="15.75" customHeight="1">
      <c r="A350" s="2"/>
      <c r="E350" s="2"/>
    </row>
    <row r="351" spans="1:5" ht="15.75" customHeight="1">
      <c r="A351" s="2"/>
      <c r="E351" s="2"/>
    </row>
    <row r="352" spans="1:5" ht="15.75" customHeight="1">
      <c r="A352" s="2"/>
      <c r="E352" s="2"/>
    </row>
    <row r="353" spans="1:5" ht="15.75" customHeight="1">
      <c r="A353" s="2"/>
      <c r="E353" s="2"/>
    </row>
    <row r="354" spans="1:5" ht="15.75" customHeight="1">
      <c r="A354" s="2"/>
      <c r="E354" s="2"/>
    </row>
    <row r="355" spans="1:5" ht="15.75" customHeight="1">
      <c r="A355" s="2"/>
      <c r="E355" s="2"/>
    </row>
    <row r="356" spans="1:5" ht="15.75" customHeight="1">
      <c r="A356" s="2"/>
      <c r="E356" s="2"/>
    </row>
    <row r="357" spans="1:5" ht="15.75" customHeight="1">
      <c r="A357" s="2"/>
      <c r="E357" s="2"/>
    </row>
    <row r="358" spans="1:5" ht="15.75" customHeight="1">
      <c r="A358" s="2"/>
      <c r="E358" s="2"/>
    </row>
    <row r="359" spans="1:5" ht="15.75" customHeight="1">
      <c r="A359" s="2"/>
      <c r="E359" s="2"/>
    </row>
    <row r="360" spans="1:5" ht="15.75" customHeight="1">
      <c r="A360" s="2"/>
      <c r="E360" s="2"/>
    </row>
    <row r="361" spans="1:5" ht="15.75" customHeight="1">
      <c r="A361" s="2"/>
      <c r="E361" s="2"/>
    </row>
    <row r="362" spans="1:5" ht="15.75" customHeight="1">
      <c r="A362" s="2"/>
      <c r="E362" s="2"/>
    </row>
    <row r="363" spans="1:5" ht="15.75" customHeight="1">
      <c r="A363" s="2"/>
      <c r="E363" s="2"/>
    </row>
    <row r="364" spans="1:5" ht="15.75" customHeight="1">
      <c r="A364" s="2"/>
      <c r="E364" s="2"/>
    </row>
    <row r="365" spans="1:5" ht="15.75" customHeight="1">
      <c r="A365" s="2"/>
      <c r="E365" s="2"/>
    </row>
    <row r="366" spans="1:5" ht="15.75" customHeight="1">
      <c r="A366" s="2"/>
      <c r="E366" s="2"/>
    </row>
    <row r="367" spans="1:5" ht="15.75" customHeight="1">
      <c r="A367" s="2"/>
      <c r="E367" s="2"/>
    </row>
    <row r="368" spans="1:5" ht="15.75" customHeight="1">
      <c r="A368" s="2"/>
      <c r="E368" s="2"/>
    </row>
    <row r="369" spans="1:5" ht="15.75" customHeight="1">
      <c r="A369" s="2"/>
      <c r="E369" s="2"/>
    </row>
    <row r="370" spans="1:5" ht="15.75" customHeight="1">
      <c r="A370" s="2"/>
      <c r="E370" s="2"/>
    </row>
    <row r="371" spans="1:5" ht="15.75" customHeight="1">
      <c r="A371" s="2"/>
      <c r="E371" s="2"/>
    </row>
    <row r="372" spans="1:5" ht="15.75" customHeight="1">
      <c r="A372" s="2"/>
      <c r="E372" s="2"/>
    </row>
    <row r="373" spans="1:5" ht="15.75" customHeight="1">
      <c r="A373" s="2"/>
      <c r="E373" s="2"/>
    </row>
    <row r="374" spans="1:5" ht="15.75" customHeight="1">
      <c r="A374" s="2"/>
      <c r="E374" s="2"/>
    </row>
    <row r="375" spans="1:5" ht="15.75" customHeight="1">
      <c r="A375" s="2"/>
      <c r="E375" s="2"/>
    </row>
    <row r="376" spans="1:5" ht="15.75" customHeight="1">
      <c r="A376" s="2"/>
      <c r="E376" s="2"/>
    </row>
    <row r="377" spans="1:5" ht="15.75" customHeight="1">
      <c r="A377" s="2"/>
      <c r="E377" s="2"/>
    </row>
    <row r="378" spans="1:5" ht="15.75" customHeight="1">
      <c r="A378" s="2"/>
      <c r="E378" s="2"/>
    </row>
    <row r="379" spans="1:5" ht="15.75" customHeight="1">
      <c r="A379" s="2"/>
      <c r="E379" s="2"/>
    </row>
    <row r="380" spans="1:5" ht="15.75" customHeight="1">
      <c r="A380" s="2"/>
      <c r="E380" s="2"/>
    </row>
    <row r="381" spans="1:5" ht="15.75" customHeight="1">
      <c r="A381" s="2"/>
      <c r="E381" s="2"/>
    </row>
    <row r="382" spans="1:5" ht="15.75" customHeight="1">
      <c r="A382" s="2"/>
      <c r="E382" s="2"/>
    </row>
    <row r="383" spans="1:5" ht="15.75" customHeight="1">
      <c r="A383" s="2"/>
      <c r="E383" s="2"/>
    </row>
    <row r="384" spans="1:5" ht="15.75" customHeight="1">
      <c r="A384" s="2"/>
      <c r="E384" s="2"/>
    </row>
    <row r="385" spans="1:5" ht="15.75" customHeight="1">
      <c r="A385" s="2"/>
      <c r="E385" s="2"/>
    </row>
    <row r="386" spans="1:5" ht="15.75" customHeight="1">
      <c r="A386" s="2"/>
      <c r="E386" s="2"/>
    </row>
    <row r="387" spans="1:5" ht="15.75" customHeight="1">
      <c r="A387" s="2"/>
      <c r="E387" s="2"/>
    </row>
    <row r="388" spans="1:5" ht="15.75" customHeight="1">
      <c r="A388" s="2"/>
      <c r="E388" s="2"/>
    </row>
    <row r="389" spans="1:5" ht="15.75" customHeight="1">
      <c r="A389" s="2"/>
      <c r="E389" s="2"/>
    </row>
    <row r="390" spans="1:5" ht="15.75" customHeight="1">
      <c r="A390" s="2"/>
      <c r="E390" s="2"/>
    </row>
    <row r="391" spans="1:5" ht="15.75" customHeight="1">
      <c r="A391" s="2"/>
      <c r="E391" s="2"/>
    </row>
    <row r="392" spans="1:5" ht="15.75" customHeight="1">
      <c r="A392" s="2"/>
      <c r="E392" s="2"/>
    </row>
    <row r="393" spans="1:5" ht="15.75" customHeight="1">
      <c r="A393" s="2"/>
      <c r="E393" s="2"/>
    </row>
    <row r="394" spans="1:5" ht="15.75" customHeight="1">
      <c r="A394" s="2"/>
      <c r="E394" s="2"/>
    </row>
    <row r="395" spans="1:5" ht="15.75" customHeight="1">
      <c r="A395" s="2"/>
      <c r="E395" s="2"/>
    </row>
    <row r="396" spans="1:5" ht="15.75" customHeight="1">
      <c r="A396" s="2"/>
      <c r="E396" s="2"/>
    </row>
    <row r="397" spans="1:5" ht="15.75" customHeight="1">
      <c r="A397" s="2"/>
      <c r="E397" s="2"/>
    </row>
    <row r="398" spans="1:5" ht="15.75" customHeight="1">
      <c r="A398" s="2"/>
      <c r="E398" s="2"/>
    </row>
    <row r="399" spans="1:5" ht="15.75" customHeight="1">
      <c r="A399" s="2"/>
      <c r="E399" s="2"/>
    </row>
    <row r="400" spans="1:5" ht="15.75" customHeight="1">
      <c r="A400" s="2"/>
      <c r="E400" s="2"/>
    </row>
    <row r="401" spans="1:5" ht="15.75" customHeight="1">
      <c r="A401" s="2"/>
      <c r="E401" s="2"/>
    </row>
    <row r="402" spans="1:5" ht="15.75" customHeight="1">
      <c r="A402" s="2"/>
      <c r="E402" s="2"/>
    </row>
    <row r="403" spans="1:5" ht="15.75" customHeight="1">
      <c r="A403" s="2"/>
      <c r="E403" s="2"/>
    </row>
    <row r="404" spans="1:5" ht="15.75" customHeight="1">
      <c r="A404" s="2"/>
      <c r="E404" s="2"/>
    </row>
    <row r="405" spans="1:5" ht="15.75" customHeight="1">
      <c r="A405" s="2"/>
      <c r="E405" s="2"/>
    </row>
    <row r="406" spans="1:5" ht="15.75" customHeight="1">
      <c r="A406" s="2"/>
      <c r="E406" s="2"/>
    </row>
    <row r="407" spans="1:5" ht="15.75" customHeight="1">
      <c r="A407" s="2"/>
      <c r="E407" s="2"/>
    </row>
    <row r="408" spans="1:5" ht="15.75" customHeight="1">
      <c r="A408" s="2"/>
      <c r="E408" s="2"/>
    </row>
    <row r="409" spans="1:5" ht="15.75" customHeight="1">
      <c r="A409" s="2"/>
      <c r="E409" s="2"/>
    </row>
    <row r="410" spans="1:5" ht="15.75" customHeight="1">
      <c r="A410" s="2"/>
      <c r="E410" s="2"/>
    </row>
    <row r="411" spans="1:5" ht="15.75" customHeight="1">
      <c r="A411" s="2"/>
      <c r="E411" s="2"/>
    </row>
    <row r="412" spans="1:5" ht="15.75" customHeight="1">
      <c r="A412" s="2"/>
      <c r="E412" s="2"/>
    </row>
    <row r="413" spans="1:5" ht="15.75" customHeight="1">
      <c r="A413" s="2"/>
      <c r="E413" s="2"/>
    </row>
    <row r="414" spans="1:5" ht="15.75" customHeight="1">
      <c r="A414" s="2"/>
      <c r="E414" s="2"/>
    </row>
    <row r="415" spans="1:5" ht="15.75" customHeight="1">
      <c r="A415" s="2"/>
      <c r="E415" s="2"/>
    </row>
    <row r="416" spans="1:5" ht="15.75" customHeight="1">
      <c r="A416" s="2"/>
      <c r="E416" s="2"/>
    </row>
    <row r="417" spans="1:5" ht="15.75" customHeight="1">
      <c r="A417" s="2"/>
      <c r="E417" s="2"/>
    </row>
    <row r="418" spans="1:5" ht="15.75" customHeight="1">
      <c r="A418" s="2"/>
      <c r="E418" s="2"/>
    </row>
    <row r="419" spans="1:5" ht="15.75" customHeight="1">
      <c r="A419" s="2"/>
      <c r="E419" s="2"/>
    </row>
    <row r="420" spans="1:5" ht="15.75" customHeight="1">
      <c r="A420" s="2"/>
      <c r="E420" s="2"/>
    </row>
    <row r="421" spans="1:5" ht="15.75" customHeight="1">
      <c r="A421" s="2"/>
      <c r="E421" s="2"/>
    </row>
    <row r="422" spans="1:5" ht="15.75" customHeight="1">
      <c r="A422" s="2"/>
      <c r="E422" s="2"/>
    </row>
    <row r="423" spans="1:5" ht="15.75" customHeight="1">
      <c r="A423" s="2"/>
      <c r="E423" s="2"/>
    </row>
    <row r="424" spans="1:5" ht="15.75" customHeight="1">
      <c r="A424" s="2"/>
      <c r="E424" s="2"/>
    </row>
    <row r="425" spans="1:5" ht="15.75" customHeight="1">
      <c r="A425" s="2"/>
      <c r="E425" s="2"/>
    </row>
    <row r="426" spans="1:5" ht="15.75" customHeight="1">
      <c r="A426" s="2"/>
      <c r="E426" s="2"/>
    </row>
    <row r="427" spans="1:5" ht="15.75" customHeight="1">
      <c r="A427" s="2"/>
      <c r="E427" s="2"/>
    </row>
    <row r="428" spans="1:5" ht="15.75" customHeight="1">
      <c r="A428" s="2"/>
      <c r="E428" s="2"/>
    </row>
    <row r="429" spans="1:5" ht="15.75" customHeight="1">
      <c r="A429" s="2"/>
      <c r="E429" s="2"/>
    </row>
    <row r="430" spans="1:5" ht="15.75" customHeight="1">
      <c r="A430" s="2"/>
      <c r="E430" s="2"/>
    </row>
    <row r="431" spans="1:5" ht="15.75" customHeight="1">
      <c r="A431" s="2"/>
      <c r="E431" s="2"/>
    </row>
    <row r="432" spans="1:5" ht="15.75" customHeight="1">
      <c r="A432" s="2"/>
      <c r="E432" s="2"/>
    </row>
    <row r="433" spans="1:5" ht="15.75" customHeight="1">
      <c r="A433" s="2"/>
      <c r="E433" s="2"/>
    </row>
    <row r="434" spans="1:5" ht="15.75" customHeight="1">
      <c r="A434" s="2"/>
      <c r="E434" s="2"/>
    </row>
    <row r="435" spans="1:5" ht="15.75" customHeight="1">
      <c r="A435" s="2"/>
      <c r="E435" s="2"/>
    </row>
    <row r="436" spans="1:5" ht="15.75" customHeight="1">
      <c r="A436" s="2"/>
      <c r="E436" s="2"/>
    </row>
    <row r="437" spans="1:5" ht="15.75" customHeight="1">
      <c r="A437" s="2"/>
      <c r="E437" s="2"/>
    </row>
    <row r="438" spans="1:5" ht="15.75" customHeight="1">
      <c r="A438" s="2"/>
      <c r="E438" s="2"/>
    </row>
    <row r="439" spans="1:5" ht="15.75" customHeight="1">
      <c r="A439" s="2"/>
      <c r="E439" s="2"/>
    </row>
    <row r="440" spans="1:5" ht="15.75" customHeight="1">
      <c r="A440" s="2"/>
      <c r="E440" s="2"/>
    </row>
    <row r="441" spans="1:5" ht="15.75" customHeight="1">
      <c r="A441" s="2"/>
      <c r="E441" s="2"/>
    </row>
    <row r="442" spans="1:5" ht="15.75" customHeight="1">
      <c r="A442" s="2"/>
      <c r="E442" s="2"/>
    </row>
    <row r="443" spans="1:5" ht="15.75" customHeight="1">
      <c r="A443" s="2"/>
      <c r="E443" s="2"/>
    </row>
    <row r="444" spans="1:5" ht="15.75" customHeight="1">
      <c r="A444" s="2"/>
      <c r="E444" s="2"/>
    </row>
    <row r="445" spans="1:5" ht="15.75" customHeight="1">
      <c r="A445" s="2"/>
      <c r="E445" s="2"/>
    </row>
    <row r="446" spans="1:5" ht="15.75" customHeight="1">
      <c r="A446" s="2"/>
      <c r="E446" s="2"/>
    </row>
    <row r="447" spans="1:5" ht="15.75" customHeight="1">
      <c r="A447" s="2"/>
      <c r="E447" s="2"/>
    </row>
    <row r="448" spans="1:5" ht="15.75" customHeight="1">
      <c r="A448" s="2"/>
      <c r="E448" s="2"/>
    </row>
    <row r="449" spans="1:5" ht="15.75" customHeight="1">
      <c r="A449" s="2"/>
      <c r="E449" s="2"/>
    </row>
    <row r="450" spans="1:5" ht="15.75" customHeight="1">
      <c r="A450" s="2"/>
      <c r="E450" s="2"/>
    </row>
    <row r="451" spans="1:5" ht="15.75" customHeight="1">
      <c r="A451" s="2"/>
      <c r="E451" s="2"/>
    </row>
    <row r="452" spans="1:5" ht="15.75" customHeight="1">
      <c r="A452" s="2"/>
      <c r="E452" s="2"/>
    </row>
    <row r="453" spans="1:5" ht="15.75" customHeight="1">
      <c r="A453" s="2"/>
      <c r="E453" s="2"/>
    </row>
    <row r="454" spans="1:5" ht="15.75" customHeight="1">
      <c r="A454" s="2"/>
      <c r="E454" s="2"/>
    </row>
    <row r="455" spans="1:5" ht="15.75" customHeight="1">
      <c r="A455" s="2"/>
      <c r="E455" s="2"/>
    </row>
    <row r="456" spans="1:5" ht="15.75" customHeight="1">
      <c r="A456" s="2"/>
      <c r="E456" s="2"/>
    </row>
    <row r="457" spans="1:5" ht="15.75" customHeight="1">
      <c r="A457" s="2"/>
      <c r="E457" s="2"/>
    </row>
    <row r="458" spans="1:5" ht="15.75" customHeight="1">
      <c r="A458" s="2"/>
      <c r="E458" s="2"/>
    </row>
    <row r="459" spans="1:5" ht="15.75" customHeight="1">
      <c r="A459" s="2"/>
      <c r="E459" s="2"/>
    </row>
    <row r="460" spans="1:5" ht="15.75" customHeight="1">
      <c r="A460" s="2"/>
      <c r="E460" s="2"/>
    </row>
    <row r="461" spans="1:5" ht="15.75" customHeight="1">
      <c r="A461" s="2"/>
      <c r="E461" s="2"/>
    </row>
    <row r="462" spans="1:5" ht="15.75" customHeight="1">
      <c r="A462" s="2"/>
      <c r="E462" s="2"/>
    </row>
    <row r="463" spans="1:5" ht="15.75" customHeight="1">
      <c r="A463" s="2"/>
      <c r="E463" s="2"/>
    </row>
    <row r="464" spans="1:5" ht="15.75" customHeight="1">
      <c r="A464" s="2"/>
      <c r="E464" s="2"/>
    </row>
    <row r="465" spans="1:5" ht="15.75" customHeight="1">
      <c r="A465" s="2"/>
      <c r="E465" s="2"/>
    </row>
    <row r="466" spans="1:5" ht="15.75" customHeight="1">
      <c r="A466" s="2"/>
      <c r="E466" s="2"/>
    </row>
    <row r="467" spans="1:5" ht="15.75" customHeight="1">
      <c r="A467" s="2"/>
      <c r="E467" s="2"/>
    </row>
    <row r="468" spans="1:5" ht="15.75" customHeight="1">
      <c r="A468" s="2"/>
      <c r="E468" s="2"/>
    </row>
    <row r="469" spans="1:5" ht="15.75" customHeight="1">
      <c r="A469" s="2"/>
      <c r="E469" s="2"/>
    </row>
    <row r="470" spans="1:5" ht="15.75" customHeight="1">
      <c r="A470" s="2"/>
      <c r="E470" s="2"/>
    </row>
    <row r="471" spans="1:5" ht="15.75" customHeight="1">
      <c r="A471" s="2"/>
      <c r="E471" s="2"/>
    </row>
    <row r="472" spans="1:5" ht="15.75" customHeight="1">
      <c r="A472" s="2"/>
      <c r="E472" s="2"/>
    </row>
    <row r="473" spans="1:5" ht="15.75" customHeight="1">
      <c r="A473" s="2"/>
      <c r="E473" s="2"/>
    </row>
    <row r="474" spans="1:5" ht="15.75" customHeight="1">
      <c r="A474" s="2"/>
      <c r="E474" s="2"/>
    </row>
    <row r="475" spans="1:5" ht="15.75" customHeight="1">
      <c r="A475" s="2"/>
      <c r="E475" s="2"/>
    </row>
    <row r="476" spans="1:5" ht="15.75" customHeight="1">
      <c r="A476" s="2"/>
      <c r="E476" s="2"/>
    </row>
    <row r="477" spans="1:5" ht="15.75" customHeight="1">
      <c r="A477" s="2"/>
      <c r="E477" s="2"/>
    </row>
    <row r="478" spans="1:5" ht="15.75" customHeight="1">
      <c r="A478" s="2"/>
      <c r="E478" s="2"/>
    </row>
    <row r="479" spans="1:5" ht="15.75" customHeight="1">
      <c r="A479" s="2"/>
      <c r="E479" s="2"/>
    </row>
    <row r="480" spans="1:5" ht="15.75" customHeight="1">
      <c r="A480" s="2"/>
      <c r="E480" s="2"/>
    </row>
    <row r="481" spans="1:5" ht="15.75" customHeight="1">
      <c r="A481" s="2"/>
      <c r="E481" s="2"/>
    </row>
    <row r="482" spans="1:5" ht="15.75" customHeight="1">
      <c r="A482" s="2"/>
      <c r="E482" s="2"/>
    </row>
    <row r="483" spans="1:5" ht="15.75" customHeight="1">
      <c r="A483" s="2"/>
      <c r="E483" s="2"/>
    </row>
    <row r="484" spans="1:5" ht="15.75" customHeight="1">
      <c r="A484" s="2"/>
      <c r="E484" s="2"/>
    </row>
    <row r="485" spans="1:5" ht="15.75" customHeight="1">
      <c r="A485" s="2"/>
      <c r="E485" s="2"/>
    </row>
    <row r="486" spans="1:5" ht="15.75" customHeight="1">
      <c r="A486" s="2"/>
      <c r="E486" s="2"/>
    </row>
    <row r="487" spans="1:5" ht="15.75" customHeight="1">
      <c r="A487" s="2"/>
      <c r="E487" s="2"/>
    </row>
    <row r="488" spans="1:5" ht="15.75" customHeight="1">
      <c r="A488" s="2"/>
      <c r="E488" s="2"/>
    </row>
    <row r="489" spans="1:5" ht="15.75" customHeight="1">
      <c r="A489" s="2"/>
      <c r="E489" s="2"/>
    </row>
    <row r="490" spans="1:5" ht="15.75" customHeight="1">
      <c r="A490" s="2"/>
      <c r="E490" s="2"/>
    </row>
    <row r="491" spans="1:5" ht="15.75" customHeight="1">
      <c r="A491" s="2"/>
      <c r="E491" s="2"/>
    </row>
    <row r="492" spans="1:5" ht="15.75" customHeight="1">
      <c r="A492" s="2"/>
      <c r="E492" s="2"/>
    </row>
    <row r="493" spans="1:5" ht="15.75" customHeight="1">
      <c r="A493" s="2"/>
      <c r="E493" s="2"/>
    </row>
    <row r="494" spans="1:5" ht="15.75" customHeight="1">
      <c r="A494" s="2"/>
      <c r="E494" s="2"/>
    </row>
    <row r="495" spans="1:5" ht="15.75" customHeight="1">
      <c r="A495" s="2"/>
      <c r="E495" s="2"/>
    </row>
    <row r="496" spans="1:5" ht="15.75" customHeight="1">
      <c r="A496" s="2"/>
      <c r="E496" s="2"/>
    </row>
    <row r="497" spans="1:5" ht="15.75" customHeight="1">
      <c r="A497" s="2"/>
      <c r="E497" s="2"/>
    </row>
    <row r="498" spans="1:5" ht="15.75" customHeight="1">
      <c r="A498" s="2"/>
      <c r="E498" s="2"/>
    </row>
    <row r="499" spans="1:5" ht="15.75" customHeight="1">
      <c r="A499" s="2"/>
      <c r="E499" s="2"/>
    </row>
    <row r="500" spans="1:5" ht="15.75" customHeight="1">
      <c r="A500" s="2"/>
      <c r="E500" s="2"/>
    </row>
    <row r="501" spans="1:5" ht="15.75" customHeight="1">
      <c r="A501" s="2"/>
      <c r="E501" s="2"/>
    </row>
    <row r="502" spans="1:5" ht="15.75" customHeight="1">
      <c r="A502" s="2"/>
      <c r="E502" s="2"/>
    </row>
    <row r="503" spans="1:5" ht="15.75" customHeight="1">
      <c r="A503" s="2"/>
      <c r="E503" s="2"/>
    </row>
    <row r="504" spans="1:5" ht="15.75" customHeight="1">
      <c r="A504" s="2"/>
      <c r="E504" s="2"/>
    </row>
    <row r="505" spans="1:5" ht="15.75" customHeight="1">
      <c r="A505" s="2"/>
      <c r="E505" s="2"/>
    </row>
    <row r="506" spans="1:5" ht="15.75" customHeight="1">
      <c r="A506" s="2"/>
      <c r="E506" s="2"/>
    </row>
    <row r="507" spans="1:5" ht="15.75" customHeight="1">
      <c r="A507" s="2"/>
      <c r="E507" s="2"/>
    </row>
    <row r="508" spans="1:5" ht="15.75" customHeight="1">
      <c r="A508" s="2"/>
      <c r="E508" s="2"/>
    </row>
    <row r="509" spans="1:5" ht="15.75" customHeight="1">
      <c r="A509" s="2"/>
      <c r="E509" s="2"/>
    </row>
    <row r="510" spans="1:5" ht="15.75" customHeight="1">
      <c r="A510" s="2"/>
      <c r="E510" s="2"/>
    </row>
    <row r="511" spans="1:5" ht="15.75" customHeight="1">
      <c r="A511" s="2"/>
      <c r="E511" s="2"/>
    </row>
    <row r="512" spans="1:5" ht="15.75" customHeight="1">
      <c r="A512" s="2"/>
      <c r="E512" s="2"/>
    </row>
    <row r="513" spans="1:5" ht="15.75" customHeight="1">
      <c r="A513" s="2"/>
      <c r="E513" s="2"/>
    </row>
    <row r="514" spans="1:5" ht="15.75" customHeight="1">
      <c r="A514" s="2"/>
      <c r="E514" s="2"/>
    </row>
    <row r="515" spans="1:5" ht="15.75" customHeight="1">
      <c r="A515" s="2"/>
      <c r="E515" s="2"/>
    </row>
    <row r="516" spans="1:5" ht="15.75" customHeight="1">
      <c r="A516" s="2"/>
      <c r="E516" s="2"/>
    </row>
    <row r="517" spans="1:5" ht="15.75" customHeight="1">
      <c r="A517" s="2"/>
      <c r="E517" s="2"/>
    </row>
    <row r="518" spans="1:5" ht="15.75" customHeight="1">
      <c r="A518" s="2"/>
      <c r="E518" s="2"/>
    </row>
    <row r="519" spans="1:5" ht="15.75" customHeight="1">
      <c r="A519" s="2"/>
      <c r="E519" s="2"/>
    </row>
    <row r="520" spans="1:5" ht="15.75" customHeight="1">
      <c r="A520" s="2"/>
      <c r="E520" s="2"/>
    </row>
    <row r="521" spans="1:5" ht="15.75" customHeight="1">
      <c r="A521" s="2"/>
      <c r="E521" s="2"/>
    </row>
    <row r="522" spans="1:5" ht="15.75" customHeight="1">
      <c r="A522" s="2"/>
      <c r="E522" s="2"/>
    </row>
    <row r="523" spans="1:5" ht="15.75" customHeight="1">
      <c r="A523" s="2"/>
      <c r="E523" s="2"/>
    </row>
    <row r="524" spans="1:5" ht="15.75" customHeight="1">
      <c r="A524" s="2"/>
      <c r="E524" s="2"/>
    </row>
    <row r="525" spans="1:5" ht="15.75" customHeight="1">
      <c r="A525" s="2"/>
      <c r="E525" s="2"/>
    </row>
    <row r="526" spans="1:5" ht="15.75" customHeight="1">
      <c r="A526" s="2"/>
      <c r="E526" s="2"/>
    </row>
    <row r="527" spans="1:5" ht="15.75" customHeight="1">
      <c r="A527" s="2"/>
      <c r="E527" s="2"/>
    </row>
    <row r="528" spans="1:5" ht="15.75" customHeight="1">
      <c r="A528" s="2"/>
      <c r="E528" s="2"/>
    </row>
    <row r="529" spans="1:5" ht="15.75" customHeight="1">
      <c r="A529" s="2"/>
      <c r="E529" s="2"/>
    </row>
    <row r="530" spans="1:5" ht="15.75" customHeight="1">
      <c r="A530" s="2"/>
      <c r="E530" s="2"/>
    </row>
    <row r="531" spans="1:5" ht="15.75" customHeight="1">
      <c r="A531" s="2"/>
      <c r="E531" s="2"/>
    </row>
    <row r="532" spans="1:5" ht="15.75" customHeight="1">
      <c r="A532" s="2"/>
      <c r="E532" s="2"/>
    </row>
    <row r="533" spans="1:5" ht="15.75" customHeight="1">
      <c r="A533" s="2"/>
      <c r="E533" s="2"/>
    </row>
    <row r="534" spans="1:5" ht="15.75" customHeight="1">
      <c r="A534" s="2"/>
      <c r="E534" s="2"/>
    </row>
    <row r="535" spans="1:5" ht="15.75" customHeight="1">
      <c r="A535" s="2"/>
      <c r="E535" s="2"/>
    </row>
    <row r="536" spans="1:5" ht="15.75" customHeight="1">
      <c r="A536" s="2"/>
      <c r="E536" s="2"/>
    </row>
    <row r="537" spans="1:5" ht="15.75" customHeight="1">
      <c r="A537" s="2"/>
      <c r="E537" s="2"/>
    </row>
    <row r="538" spans="1:5" ht="15.75" customHeight="1">
      <c r="A538" s="2"/>
      <c r="E538" s="2"/>
    </row>
    <row r="539" spans="1:5" ht="15.75" customHeight="1">
      <c r="A539" s="2"/>
      <c r="E539" s="2"/>
    </row>
    <row r="540" spans="1:5" ht="15.75" customHeight="1">
      <c r="A540" s="2"/>
      <c r="E540" s="2"/>
    </row>
    <row r="541" spans="1:5" ht="15.75" customHeight="1">
      <c r="A541" s="2"/>
      <c r="E541" s="2"/>
    </row>
    <row r="542" spans="1:5" ht="15.75" customHeight="1">
      <c r="A542" s="2"/>
      <c r="E542" s="2"/>
    </row>
    <row r="543" spans="1:5" ht="15.75" customHeight="1">
      <c r="A543" s="2"/>
      <c r="E543" s="2"/>
    </row>
    <row r="544" spans="1:5" ht="15.75" customHeight="1">
      <c r="A544" s="2"/>
      <c r="E544" s="2"/>
    </row>
    <row r="545" spans="1:5" ht="15.75" customHeight="1">
      <c r="A545" s="2"/>
      <c r="E545" s="2"/>
    </row>
    <row r="546" spans="1:5" ht="15.75" customHeight="1">
      <c r="A546" s="2"/>
      <c r="E546" s="2"/>
    </row>
    <row r="547" spans="1:5" ht="15.75" customHeight="1">
      <c r="A547" s="2"/>
      <c r="E547" s="2"/>
    </row>
    <row r="548" spans="1:5" ht="15.75" customHeight="1">
      <c r="A548" s="2"/>
      <c r="E548" s="2"/>
    </row>
    <row r="549" spans="1:5" ht="15.75" customHeight="1">
      <c r="A549" s="2"/>
      <c r="E549" s="2"/>
    </row>
    <row r="550" spans="1:5" ht="15.75" customHeight="1">
      <c r="A550" s="2"/>
      <c r="E550" s="2"/>
    </row>
    <row r="551" spans="1:5" ht="15.75" customHeight="1">
      <c r="A551" s="2"/>
      <c r="E551" s="2"/>
    </row>
    <row r="552" spans="1:5" ht="15.75" customHeight="1">
      <c r="A552" s="2"/>
      <c r="E552" s="2"/>
    </row>
    <row r="553" spans="1:5" ht="15.75" customHeight="1">
      <c r="A553" s="2"/>
      <c r="E553" s="2"/>
    </row>
    <row r="554" spans="1:5" ht="15.75" customHeight="1">
      <c r="A554" s="2"/>
      <c r="E554" s="2"/>
    </row>
    <row r="555" spans="1:5" ht="15.75" customHeight="1">
      <c r="A555" s="2"/>
      <c r="E555" s="2"/>
    </row>
    <row r="556" spans="1:5" ht="15.75" customHeight="1">
      <c r="A556" s="2"/>
      <c r="E556" s="2"/>
    </row>
    <row r="557" spans="1:5" ht="15.75" customHeight="1">
      <c r="A557" s="2"/>
      <c r="E557" s="2"/>
    </row>
    <row r="558" spans="1:5" ht="15.75" customHeight="1">
      <c r="A558" s="2"/>
      <c r="E558" s="2"/>
    </row>
    <row r="559" spans="1:5" ht="15.75" customHeight="1">
      <c r="A559" s="2"/>
      <c r="E559" s="2"/>
    </row>
    <row r="560" spans="1:5" ht="15.75" customHeight="1">
      <c r="A560" s="2"/>
      <c r="E560" s="2"/>
    </row>
    <row r="561" spans="1:5" ht="15.75" customHeight="1">
      <c r="A561" s="2"/>
      <c r="E561" s="2"/>
    </row>
    <row r="562" spans="1:5" ht="15.75" customHeight="1">
      <c r="A562" s="2"/>
      <c r="E562" s="2"/>
    </row>
    <row r="563" spans="1:5" ht="15.75" customHeight="1">
      <c r="A563" s="2"/>
      <c r="E563" s="2"/>
    </row>
    <row r="564" spans="1:5" ht="15.75" customHeight="1">
      <c r="A564" s="2"/>
      <c r="E564" s="2"/>
    </row>
    <row r="565" spans="1:5" ht="15.75" customHeight="1">
      <c r="A565" s="2"/>
      <c r="E565" s="2"/>
    </row>
    <row r="566" spans="1:5" ht="15.75" customHeight="1">
      <c r="A566" s="2"/>
      <c r="E566" s="2"/>
    </row>
    <row r="567" spans="1:5" ht="15.75" customHeight="1">
      <c r="A567" s="2"/>
      <c r="E567" s="2"/>
    </row>
    <row r="568" spans="1:5" ht="15.75" customHeight="1">
      <c r="A568" s="2"/>
      <c r="E568" s="2"/>
    </row>
    <row r="569" spans="1:5" ht="15.75" customHeight="1">
      <c r="A569" s="2"/>
      <c r="E569" s="2"/>
    </row>
    <row r="570" spans="1:5" ht="15.75" customHeight="1">
      <c r="A570" s="2"/>
      <c r="E570" s="2"/>
    </row>
    <row r="571" spans="1:5" ht="15.75" customHeight="1">
      <c r="A571" s="2"/>
      <c r="E571" s="2"/>
    </row>
    <row r="572" spans="1:5" ht="15.75" customHeight="1">
      <c r="A572" s="2"/>
      <c r="E572" s="2"/>
    </row>
    <row r="573" spans="1:5" ht="15.75" customHeight="1">
      <c r="A573" s="2"/>
      <c r="E573" s="2"/>
    </row>
    <row r="574" spans="1:5" ht="15.75" customHeight="1">
      <c r="A574" s="2"/>
      <c r="E574" s="2"/>
    </row>
    <row r="575" spans="1:5" ht="15.75" customHeight="1">
      <c r="A575" s="2"/>
      <c r="E575" s="2"/>
    </row>
    <row r="576" spans="1:5" ht="15.75" customHeight="1">
      <c r="A576" s="2"/>
      <c r="E576" s="2"/>
    </row>
    <row r="577" spans="1:5" ht="15.75" customHeight="1">
      <c r="A577" s="2"/>
      <c r="E577" s="2"/>
    </row>
    <row r="578" spans="1:5" ht="15.75" customHeight="1">
      <c r="A578" s="2"/>
      <c r="E578" s="2"/>
    </row>
    <row r="579" spans="1:5" ht="15.75" customHeight="1">
      <c r="A579" s="2"/>
      <c r="E579" s="2"/>
    </row>
    <row r="580" spans="1:5" ht="15.75" customHeight="1">
      <c r="A580" s="2"/>
      <c r="E580" s="2"/>
    </row>
    <row r="581" spans="1:5" ht="15.75" customHeight="1">
      <c r="A581" s="2"/>
      <c r="E581" s="2"/>
    </row>
    <row r="582" spans="1:5" ht="15.75" customHeight="1">
      <c r="A582" s="2"/>
      <c r="E582" s="2"/>
    </row>
    <row r="583" spans="1:5" ht="15.75" customHeight="1">
      <c r="A583" s="2"/>
      <c r="E583" s="2"/>
    </row>
    <row r="584" spans="1:5" ht="15.75" customHeight="1">
      <c r="A584" s="2"/>
      <c r="E584" s="2"/>
    </row>
    <row r="585" spans="1:5" ht="15.75" customHeight="1">
      <c r="A585" s="2"/>
      <c r="E585" s="2"/>
    </row>
    <row r="586" spans="1:5" ht="15.75" customHeight="1">
      <c r="A586" s="2"/>
      <c r="E586" s="2"/>
    </row>
    <row r="587" spans="1:5" ht="15.75" customHeight="1">
      <c r="A587" s="2"/>
      <c r="E587" s="2"/>
    </row>
    <row r="588" spans="1:5" ht="15.75" customHeight="1">
      <c r="A588" s="2"/>
      <c r="E588" s="2"/>
    </row>
    <row r="589" spans="1:5" ht="15.75" customHeight="1">
      <c r="A589" s="2"/>
      <c r="E589" s="2"/>
    </row>
    <row r="590" spans="1:5" ht="15.75" customHeight="1">
      <c r="A590" s="2"/>
      <c r="E590" s="2"/>
    </row>
    <row r="591" spans="1:5" ht="15.75" customHeight="1">
      <c r="A591" s="2"/>
      <c r="E591" s="2"/>
    </row>
    <row r="592" spans="1:5" ht="15.75" customHeight="1">
      <c r="A592" s="2"/>
      <c r="E592" s="2"/>
    </row>
    <row r="593" spans="1:5" ht="15.75" customHeight="1">
      <c r="A593" s="2"/>
      <c r="E593" s="2"/>
    </row>
    <row r="594" spans="1:5" ht="15.75" customHeight="1">
      <c r="A594" s="2"/>
      <c r="E594" s="2"/>
    </row>
    <row r="595" spans="1:5" ht="15.75" customHeight="1">
      <c r="A595" s="2"/>
      <c r="E595" s="2"/>
    </row>
    <row r="596" spans="1:5" ht="15.75" customHeight="1">
      <c r="A596" s="2"/>
      <c r="E596" s="2"/>
    </row>
    <row r="597" spans="1:5" ht="15.75" customHeight="1">
      <c r="A597" s="2"/>
      <c r="E597" s="2"/>
    </row>
    <row r="598" spans="1:5" ht="15.75" customHeight="1">
      <c r="A598" s="2"/>
      <c r="E598" s="2"/>
    </row>
    <row r="599" spans="1:5" ht="15.75" customHeight="1">
      <c r="A599" s="2"/>
      <c r="E599" s="2"/>
    </row>
    <row r="600" spans="1:5" ht="15.75" customHeight="1">
      <c r="A600" s="2"/>
      <c r="E600" s="2"/>
    </row>
    <row r="601" spans="1:5" ht="15.75" customHeight="1">
      <c r="A601" s="2"/>
      <c r="E601" s="2"/>
    </row>
    <row r="602" spans="1:5" ht="15.75" customHeight="1">
      <c r="A602" s="2"/>
      <c r="E602" s="2"/>
    </row>
    <row r="603" spans="1:5" ht="15.75" customHeight="1">
      <c r="A603" s="2"/>
      <c r="E603" s="2"/>
    </row>
    <row r="604" spans="1:5" ht="15.75" customHeight="1">
      <c r="A604" s="2"/>
      <c r="E604" s="2"/>
    </row>
    <row r="605" spans="1:5" ht="15.75" customHeight="1">
      <c r="A605" s="2"/>
      <c r="E605" s="2"/>
    </row>
    <row r="606" spans="1:5" ht="15.75" customHeight="1">
      <c r="A606" s="2"/>
      <c r="E606" s="2"/>
    </row>
    <row r="607" spans="1:5" ht="15.75" customHeight="1">
      <c r="A607" s="2"/>
      <c r="E607" s="2"/>
    </row>
    <row r="608" spans="1:5" ht="15.75" customHeight="1">
      <c r="A608" s="2"/>
      <c r="E608" s="2"/>
    </row>
    <row r="609" spans="1:5" ht="15.75" customHeight="1">
      <c r="A609" s="2"/>
      <c r="E609" s="2"/>
    </row>
    <row r="610" spans="1:5" ht="15.75" customHeight="1">
      <c r="A610" s="2"/>
      <c r="E610" s="2"/>
    </row>
    <row r="611" spans="1:5" ht="15.75" customHeight="1">
      <c r="A611" s="2"/>
      <c r="E611" s="2"/>
    </row>
    <row r="612" spans="1:5" ht="15.75" customHeight="1">
      <c r="A612" s="2"/>
      <c r="E612" s="2"/>
    </row>
    <row r="613" spans="1:5" ht="15.75" customHeight="1">
      <c r="A613" s="2"/>
      <c r="E613" s="2"/>
    </row>
    <row r="614" spans="1:5" ht="15.75" customHeight="1">
      <c r="A614" s="2"/>
      <c r="E614" s="2"/>
    </row>
    <row r="615" spans="1:5" ht="15.75" customHeight="1">
      <c r="A615" s="2"/>
      <c r="E615" s="2"/>
    </row>
    <row r="616" spans="1:5" ht="15.75" customHeight="1">
      <c r="A616" s="2"/>
      <c r="E616" s="2"/>
    </row>
    <row r="617" spans="1:5" ht="15.75" customHeight="1">
      <c r="A617" s="2"/>
      <c r="E617" s="2"/>
    </row>
    <row r="618" spans="1:5" ht="15.75" customHeight="1">
      <c r="A618" s="2"/>
      <c r="E618" s="2"/>
    </row>
    <row r="619" spans="1:5" ht="15.75" customHeight="1">
      <c r="A619" s="2"/>
      <c r="E619" s="2"/>
    </row>
    <row r="620" spans="1:5" ht="15.75" customHeight="1">
      <c r="A620" s="2"/>
      <c r="E620" s="2"/>
    </row>
    <row r="621" spans="1:5" ht="15.75" customHeight="1">
      <c r="A621" s="2"/>
      <c r="E621" s="2"/>
    </row>
    <row r="622" spans="1:5" ht="15.75" customHeight="1">
      <c r="A622" s="2"/>
      <c r="E622" s="2"/>
    </row>
    <row r="623" spans="1:5" ht="15.75" customHeight="1">
      <c r="A623" s="2"/>
      <c r="E623" s="2"/>
    </row>
    <row r="624" spans="1:5" ht="15.75" customHeight="1">
      <c r="A624" s="2"/>
      <c r="E624" s="2"/>
    </row>
    <row r="625" spans="1:5" ht="15.75" customHeight="1">
      <c r="A625" s="2"/>
      <c r="E625" s="2"/>
    </row>
    <row r="626" spans="1:5" ht="15.75" customHeight="1">
      <c r="A626" s="2"/>
      <c r="E626" s="2"/>
    </row>
    <row r="627" spans="1:5" ht="15.75" customHeight="1">
      <c r="A627" s="2"/>
      <c r="E627" s="2"/>
    </row>
    <row r="628" spans="1:5" ht="15.75" customHeight="1">
      <c r="A628" s="2"/>
      <c r="E628" s="2"/>
    </row>
    <row r="629" spans="1:5" ht="15.75" customHeight="1">
      <c r="A629" s="2"/>
      <c r="E629" s="2"/>
    </row>
    <row r="630" spans="1:5" ht="15.75" customHeight="1">
      <c r="A630" s="2"/>
      <c r="E630" s="2"/>
    </row>
    <row r="631" spans="1:5" ht="15.75" customHeight="1">
      <c r="A631" s="2"/>
      <c r="E631" s="2"/>
    </row>
    <row r="632" spans="1:5" ht="15.75" customHeight="1">
      <c r="A632" s="2"/>
      <c r="E632" s="2"/>
    </row>
    <row r="633" spans="1:5" ht="15.75" customHeight="1">
      <c r="A633" s="2"/>
      <c r="E633" s="2"/>
    </row>
    <row r="634" spans="1:5" ht="15.75" customHeight="1">
      <c r="A634" s="2"/>
      <c r="E634" s="2"/>
    </row>
    <row r="635" spans="1:5" ht="15.75" customHeight="1">
      <c r="A635" s="2"/>
      <c r="E635" s="2"/>
    </row>
    <row r="636" spans="1:5" ht="15.75" customHeight="1">
      <c r="A636" s="2"/>
      <c r="E636" s="2"/>
    </row>
    <row r="637" spans="1:5" ht="15.75" customHeight="1">
      <c r="A637" s="2"/>
      <c r="E637" s="2"/>
    </row>
    <row r="638" spans="1:5" ht="15.75" customHeight="1">
      <c r="A638" s="2"/>
      <c r="E638" s="2"/>
    </row>
    <row r="639" spans="1:5" ht="15.75" customHeight="1">
      <c r="A639" s="2"/>
      <c r="E639" s="2"/>
    </row>
    <row r="640" spans="1:5" ht="15.75" customHeight="1">
      <c r="A640" s="2"/>
      <c r="E640" s="2"/>
    </row>
    <row r="641" spans="1:5" ht="15.75" customHeight="1">
      <c r="A641" s="2"/>
      <c r="E641" s="2"/>
    </row>
    <row r="642" spans="1:5" ht="15.75" customHeight="1">
      <c r="A642" s="2"/>
      <c r="E642" s="2"/>
    </row>
    <row r="643" spans="1:5" ht="15.75" customHeight="1">
      <c r="A643" s="2"/>
      <c r="E643" s="2"/>
    </row>
    <row r="644" spans="1:5" ht="15.75" customHeight="1">
      <c r="A644" s="2"/>
      <c r="E644" s="2"/>
    </row>
    <row r="645" spans="1:5" ht="15.75" customHeight="1">
      <c r="A645" s="2"/>
      <c r="E645" s="2"/>
    </row>
    <row r="646" spans="1:5" ht="15.75" customHeight="1">
      <c r="A646" s="2"/>
      <c r="E646" s="2"/>
    </row>
    <row r="647" spans="1:5" ht="15.75" customHeight="1">
      <c r="A647" s="2"/>
      <c r="E647" s="2"/>
    </row>
    <row r="648" spans="1:5" ht="15.75" customHeight="1">
      <c r="A648" s="2"/>
      <c r="E648" s="2"/>
    </row>
    <row r="649" spans="1:5" ht="15.75" customHeight="1">
      <c r="A649" s="2"/>
      <c r="E649" s="2"/>
    </row>
    <row r="650" spans="1:5" ht="15.75" customHeight="1">
      <c r="A650" s="2"/>
      <c r="E650" s="2"/>
    </row>
    <row r="651" spans="1:5" ht="15.75" customHeight="1">
      <c r="A651" s="2"/>
      <c r="E651" s="2"/>
    </row>
    <row r="652" spans="1:5" ht="15.75" customHeight="1">
      <c r="A652" s="2"/>
      <c r="E652" s="2"/>
    </row>
    <row r="653" spans="1:5" ht="15.75" customHeight="1">
      <c r="A653" s="2"/>
      <c r="E653" s="2"/>
    </row>
    <row r="654" spans="1:5" ht="15.75" customHeight="1">
      <c r="A654" s="2"/>
      <c r="E654" s="2"/>
    </row>
    <row r="655" spans="1:5" ht="15.75" customHeight="1">
      <c r="A655" s="2"/>
      <c r="E655" s="2"/>
    </row>
    <row r="656" spans="1:5" ht="15.75" customHeight="1">
      <c r="A656" s="2"/>
      <c r="E656" s="2"/>
    </row>
    <row r="657" spans="1:5" ht="15.75" customHeight="1">
      <c r="A657" s="2"/>
      <c r="E657" s="2"/>
    </row>
    <row r="658" spans="1:5" ht="15.75" customHeight="1">
      <c r="A658" s="2"/>
      <c r="E658" s="2"/>
    </row>
    <row r="659" spans="1:5" ht="15.75" customHeight="1">
      <c r="A659" s="2"/>
      <c r="E659" s="2"/>
    </row>
    <row r="660" spans="1:5" ht="15.75" customHeight="1">
      <c r="A660" s="2"/>
      <c r="E660" s="2"/>
    </row>
    <row r="661" spans="1:5" ht="15.75" customHeight="1">
      <c r="A661" s="2"/>
      <c r="E661" s="2"/>
    </row>
    <row r="662" spans="1:5" ht="15.75" customHeight="1">
      <c r="A662" s="2"/>
      <c r="E662" s="2"/>
    </row>
    <row r="663" spans="1:5" ht="15.75" customHeight="1">
      <c r="A663" s="2"/>
      <c r="E663" s="2"/>
    </row>
    <row r="664" spans="1:5" ht="15.75" customHeight="1">
      <c r="A664" s="2"/>
      <c r="E664" s="2"/>
    </row>
    <row r="665" spans="1:5" ht="15.75" customHeight="1">
      <c r="A665" s="2"/>
      <c r="E665" s="2"/>
    </row>
    <row r="666" spans="1:5" ht="15.75" customHeight="1">
      <c r="A666" s="2"/>
      <c r="E666" s="2"/>
    </row>
    <row r="667" spans="1:5" ht="15.75" customHeight="1">
      <c r="A667" s="2"/>
      <c r="E667" s="2"/>
    </row>
    <row r="668" spans="1:5" ht="15.75" customHeight="1">
      <c r="A668" s="2"/>
      <c r="E668" s="2"/>
    </row>
    <row r="669" spans="1:5" ht="15.75" customHeight="1">
      <c r="A669" s="2"/>
      <c r="E669" s="2"/>
    </row>
    <row r="670" spans="1:5" ht="15.75" customHeight="1">
      <c r="A670" s="2"/>
      <c r="E670" s="2"/>
    </row>
    <row r="671" spans="1:5" ht="15.75" customHeight="1">
      <c r="A671" s="2"/>
      <c r="E671" s="2"/>
    </row>
    <row r="672" spans="1:5" ht="15.75" customHeight="1">
      <c r="A672" s="2"/>
      <c r="E672" s="2"/>
    </row>
    <row r="673" spans="1:5" ht="15.75" customHeight="1">
      <c r="A673" s="2"/>
      <c r="E673" s="2"/>
    </row>
    <row r="674" spans="1:5" ht="15.75" customHeight="1">
      <c r="A674" s="2"/>
      <c r="E674" s="2"/>
    </row>
    <row r="675" spans="1:5" ht="15.75" customHeight="1">
      <c r="A675" s="2"/>
      <c r="E675" s="2"/>
    </row>
    <row r="676" spans="1:5" ht="15.75" customHeight="1">
      <c r="A676" s="2"/>
      <c r="E676" s="2"/>
    </row>
    <row r="677" spans="1:5" ht="15.75" customHeight="1">
      <c r="A677" s="2"/>
      <c r="E677" s="2"/>
    </row>
    <row r="678" spans="1:5" ht="15.75" customHeight="1">
      <c r="A678" s="2"/>
      <c r="E678" s="2"/>
    </row>
    <row r="679" spans="1:5" ht="15.75" customHeight="1">
      <c r="A679" s="2"/>
      <c r="E679" s="2"/>
    </row>
    <row r="680" spans="1:5" ht="15.75" customHeight="1">
      <c r="A680" s="2"/>
      <c r="E680" s="2"/>
    </row>
    <row r="681" spans="1:5" ht="15.75" customHeight="1">
      <c r="A681" s="2"/>
      <c r="E681" s="2"/>
    </row>
    <row r="682" spans="1:5" ht="15.75" customHeight="1">
      <c r="A682" s="2"/>
      <c r="E682" s="2"/>
    </row>
    <row r="683" spans="1:5" ht="15.75" customHeight="1">
      <c r="A683" s="2"/>
      <c r="E683" s="2"/>
    </row>
    <row r="684" spans="1:5" ht="15.75" customHeight="1">
      <c r="A684" s="2"/>
      <c r="E684" s="2"/>
    </row>
    <row r="685" spans="1:5" ht="15.75" customHeight="1">
      <c r="A685" s="2"/>
      <c r="E685" s="2"/>
    </row>
    <row r="686" spans="1:5" ht="15.75" customHeight="1">
      <c r="A686" s="2"/>
      <c r="E686" s="2"/>
    </row>
    <row r="687" spans="1:5" ht="15.75" customHeight="1">
      <c r="A687" s="2"/>
      <c r="E687" s="2"/>
    </row>
    <row r="688" spans="1:5" ht="15.75" customHeight="1">
      <c r="A688" s="2"/>
      <c r="E688" s="2"/>
    </row>
    <row r="689" spans="1:5" ht="15.75" customHeight="1">
      <c r="A689" s="2"/>
      <c r="E689" s="2"/>
    </row>
    <row r="690" spans="1:5" ht="15.75" customHeight="1">
      <c r="A690" s="2"/>
      <c r="E690" s="2"/>
    </row>
    <row r="691" spans="1:5" ht="15.75" customHeight="1">
      <c r="A691" s="2"/>
      <c r="E691" s="2"/>
    </row>
    <row r="692" spans="1:5" ht="15.75" customHeight="1">
      <c r="A692" s="2"/>
      <c r="E692" s="2"/>
    </row>
    <row r="693" spans="1:5" ht="15.75" customHeight="1">
      <c r="A693" s="2"/>
      <c r="E693" s="2"/>
    </row>
    <row r="694" spans="1:5" ht="15.75" customHeight="1">
      <c r="A694" s="2"/>
      <c r="E694" s="2"/>
    </row>
    <row r="695" spans="1:5" ht="15.75" customHeight="1">
      <c r="A695" s="2"/>
      <c r="E695" s="2"/>
    </row>
    <row r="696" spans="1:5" ht="15.75" customHeight="1">
      <c r="A696" s="2"/>
      <c r="E696" s="2"/>
    </row>
    <row r="697" spans="1:5" ht="15.75" customHeight="1">
      <c r="A697" s="2"/>
      <c r="E697" s="2"/>
    </row>
    <row r="698" spans="1:5" ht="15.75" customHeight="1">
      <c r="A698" s="2"/>
      <c r="E698" s="2"/>
    </row>
    <row r="699" spans="1:5" ht="15.75" customHeight="1">
      <c r="A699" s="2"/>
      <c r="E699" s="2"/>
    </row>
    <row r="700" spans="1:5" ht="15.75" customHeight="1">
      <c r="A700" s="2"/>
      <c r="E700" s="2"/>
    </row>
    <row r="701" spans="1:5" ht="15.75" customHeight="1">
      <c r="A701" s="2"/>
      <c r="E701" s="2"/>
    </row>
    <row r="702" spans="1:5" ht="15.75" customHeight="1">
      <c r="A702" s="2"/>
      <c r="E702" s="2"/>
    </row>
    <row r="703" spans="1:5" ht="15.75" customHeight="1">
      <c r="A703" s="2"/>
      <c r="E703" s="2"/>
    </row>
    <row r="704" spans="1:5" ht="15.75" customHeight="1">
      <c r="A704" s="2"/>
      <c r="E704" s="2"/>
    </row>
    <row r="705" spans="1:5" ht="15.75" customHeight="1">
      <c r="A705" s="2"/>
      <c r="E705" s="2"/>
    </row>
    <row r="706" spans="1:5" ht="15.75" customHeight="1">
      <c r="A706" s="2"/>
      <c r="E706" s="2"/>
    </row>
    <row r="707" spans="1:5" ht="15.75" customHeight="1">
      <c r="A707" s="2"/>
      <c r="E707" s="2"/>
    </row>
    <row r="708" spans="1:5" ht="15.75" customHeight="1">
      <c r="A708" s="2"/>
      <c r="E708" s="2"/>
    </row>
    <row r="709" spans="1:5" ht="15.75" customHeight="1">
      <c r="A709" s="2"/>
      <c r="E709" s="2"/>
    </row>
    <row r="710" spans="1:5" ht="15.75" customHeight="1">
      <c r="A710" s="2"/>
      <c r="E710" s="2"/>
    </row>
    <row r="711" spans="1:5" ht="15.75" customHeight="1">
      <c r="A711" s="2"/>
      <c r="E711" s="2"/>
    </row>
    <row r="712" spans="1:5" ht="15.75" customHeight="1">
      <c r="A712" s="2"/>
      <c r="E712" s="2"/>
    </row>
    <row r="713" spans="1:5" ht="15.75" customHeight="1">
      <c r="A713" s="2"/>
      <c r="E713" s="2"/>
    </row>
    <row r="714" spans="1:5" ht="15.75" customHeight="1">
      <c r="A714" s="2"/>
      <c r="E714" s="2"/>
    </row>
    <row r="715" spans="1:5" ht="15.75" customHeight="1">
      <c r="A715" s="2"/>
      <c r="E715" s="2"/>
    </row>
    <row r="716" spans="1:5" ht="15.75" customHeight="1">
      <c r="A716" s="2"/>
      <c r="E716" s="2"/>
    </row>
    <row r="717" spans="1:5" ht="15.75" customHeight="1">
      <c r="A717" s="2"/>
      <c r="E717" s="2"/>
    </row>
    <row r="718" spans="1:5" ht="15.75" customHeight="1">
      <c r="A718" s="2"/>
      <c r="E718" s="2"/>
    </row>
    <row r="719" spans="1:5" ht="15.75" customHeight="1">
      <c r="A719" s="2"/>
      <c r="E719" s="2"/>
    </row>
    <row r="720" spans="1:5" ht="15.75" customHeight="1">
      <c r="A720" s="2"/>
      <c r="E720" s="2"/>
    </row>
    <row r="721" spans="1:5" ht="15.75" customHeight="1">
      <c r="A721" s="2"/>
      <c r="E721" s="2"/>
    </row>
    <row r="722" spans="1:5" ht="15.75" customHeight="1">
      <c r="A722" s="2"/>
      <c r="E722" s="2"/>
    </row>
    <row r="723" spans="1:5" ht="15.75" customHeight="1">
      <c r="A723" s="2"/>
      <c r="E723" s="2"/>
    </row>
    <row r="724" spans="1:5" ht="15.75" customHeight="1">
      <c r="A724" s="2"/>
      <c r="E724" s="2"/>
    </row>
    <row r="725" spans="1:5" ht="15.75" customHeight="1">
      <c r="A725" s="2"/>
      <c r="E725" s="2"/>
    </row>
    <row r="726" spans="1:5" ht="15.75" customHeight="1">
      <c r="A726" s="2"/>
      <c r="E726" s="2"/>
    </row>
    <row r="727" spans="1:5" ht="15.75" customHeight="1">
      <c r="A727" s="2"/>
      <c r="E727" s="2"/>
    </row>
    <row r="728" spans="1:5" ht="15.75" customHeight="1">
      <c r="A728" s="2"/>
      <c r="E728" s="2"/>
    </row>
    <row r="729" spans="1:5" ht="15.75" customHeight="1">
      <c r="A729" s="2"/>
      <c r="E729" s="2"/>
    </row>
    <row r="730" spans="1:5" ht="15.75" customHeight="1">
      <c r="A730" s="2"/>
      <c r="E730" s="2"/>
    </row>
    <row r="731" spans="1:5" ht="15.75" customHeight="1">
      <c r="A731" s="2"/>
      <c r="E731" s="2"/>
    </row>
    <row r="732" spans="1:5" ht="15.75" customHeight="1">
      <c r="A732" s="2"/>
      <c r="E732" s="2"/>
    </row>
    <row r="733" spans="1:5" ht="15.75" customHeight="1">
      <c r="A733" s="2"/>
      <c r="E733" s="2"/>
    </row>
    <row r="734" spans="1:5" ht="15.75" customHeight="1">
      <c r="A734" s="2"/>
      <c r="E734" s="2"/>
    </row>
    <row r="735" spans="1:5" ht="15.75" customHeight="1">
      <c r="A735" s="2"/>
      <c r="E735" s="2"/>
    </row>
    <row r="736" spans="1:5" ht="15.75" customHeight="1">
      <c r="A736" s="2"/>
      <c r="E736" s="2"/>
    </row>
    <row r="737" spans="1:5" ht="15.75" customHeight="1">
      <c r="A737" s="2"/>
      <c r="E737" s="2"/>
    </row>
    <row r="738" spans="1:5" ht="15.75" customHeight="1">
      <c r="A738" s="2"/>
      <c r="E738" s="2"/>
    </row>
    <row r="739" spans="1:5" ht="15.75" customHeight="1">
      <c r="A739" s="2"/>
      <c r="E739" s="2"/>
    </row>
    <row r="740" spans="1:5" ht="15.75" customHeight="1">
      <c r="A740" s="2"/>
      <c r="E740" s="2"/>
    </row>
    <row r="741" spans="1:5" ht="15.75" customHeight="1">
      <c r="A741" s="2"/>
      <c r="E741" s="2"/>
    </row>
    <row r="742" spans="1:5" ht="15.75" customHeight="1">
      <c r="A742" s="2"/>
      <c r="E742" s="2"/>
    </row>
    <row r="743" spans="1:5" ht="15.75" customHeight="1">
      <c r="A743" s="2"/>
      <c r="E743" s="2"/>
    </row>
    <row r="744" spans="1:5" ht="15.75" customHeight="1">
      <c r="A744" s="2"/>
      <c r="E744" s="2"/>
    </row>
    <row r="745" spans="1:5" ht="15.75" customHeight="1">
      <c r="A745" s="2"/>
      <c r="E745" s="2"/>
    </row>
    <row r="746" spans="1:5" ht="15.75" customHeight="1">
      <c r="A746" s="2"/>
      <c r="E746" s="2"/>
    </row>
    <row r="747" spans="1:5" ht="15.75" customHeight="1">
      <c r="A747" s="2"/>
      <c r="E747" s="2"/>
    </row>
    <row r="748" spans="1:5" ht="15.75" customHeight="1">
      <c r="A748" s="2"/>
      <c r="E748" s="2"/>
    </row>
    <row r="749" spans="1:5" ht="15.75" customHeight="1">
      <c r="A749" s="2"/>
      <c r="E749" s="2"/>
    </row>
    <row r="750" spans="1:5" ht="15.75" customHeight="1">
      <c r="A750" s="2"/>
      <c r="E750" s="2"/>
    </row>
    <row r="751" spans="1:5" ht="15.75" customHeight="1">
      <c r="A751" s="2"/>
      <c r="E751" s="2"/>
    </row>
    <row r="752" spans="1:5" ht="15.75" customHeight="1">
      <c r="A752" s="2"/>
      <c r="E752" s="2"/>
    </row>
    <row r="753" spans="1:5" ht="15.75" customHeight="1">
      <c r="A753" s="2"/>
      <c r="E753" s="2"/>
    </row>
    <row r="754" spans="1:5" ht="15.75" customHeight="1">
      <c r="A754" s="2"/>
      <c r="E754" s="2"/>
    </row>
    <row r="755" spans="1:5" ht="15.75" customHeight="1">
      <c r="A755" s="2"/>
      <c r="E755" s="2"/>
    </row>
    <row r="756" spans="1:5" ht="15.75" customHeight="1">
      <c r="A756" s="2"/>
      <c r="E756" s="2"/>
    </row>
    <row r="757" spans="1:5" ht="15.75" customHeight="1">
      <c r="A757" s="2"/>
      <c r="E757" s="2"/>
    </row>
    <row r="758" spans="1:5" ht="15.75" customHeight="1">
      <c r="A758" s="2"/>
      <c r="E758" s="2"/>
    </row>
    <row r="759" spans="1:5" ht="15.75" customHeight="1">
      <c r="A759" s="2"/>
      <c r="E759" s="2"/>
    </row>
    <row r="760" spans="1:5" ht="15.75" customHeight="1">
      <c r="A760" s="2"/>
      <c r="E760" s="2"/>
    </row>
    <row r="761" spans="1:5" ht="15.75" customHeight="1">
      <c r="A761" s="2"/>
      <c r="E761" s="2"/>
    </row>
    <row r="762" spans="1:5" ht="15.75" customHeight="1">
      <c r="A762" s="2"/>
      <c r="E762" s="2"/>
    </row>
    <row r="763" spans="1:5" ht="15.75" customHeight="1">
      <c r="A763" s="2"/>
      <c r="E763" s="2"/>
    </row>
    <row r="764" spans="1:5" ht="15.75" customHeight="1">
      <c r="A764" s="2"/>
      <c r="E764" s="2"/>
    </row>
    <row r="765" spans="1:5" ht="15.75" customHeight="1">
      <c r="A765" s="2"/>
      <c r="E765" s="2"/>
    </row>
    <row r="766" spans="1:5" ht="15.75" customHeight="1">
      <c r="A766" s="2"/>
      <c r="E766" s="2"/>
    </row>
    <row r="767" spans="1:5" ht="15.75" customHeight="1">
      <c r="A767" s="2"/>
      <c r="E767" s="2"/>
    </row>
    <row r="768" spans="1:5" ht="15.75" customHeight="1">
      <c r="A768" s="2"/>
      <c r="E768" s="2"/>
    </row>
    <row r="769" spans="1:5" ht="15.75" customHeight="1">
      <c r="A769" s="2"/>
      <c r="E769" s="2"/>
    </row>
    <row r="770" spans="1:5" ht="15.75" customHeight="1">
      <c r="A770" s="2"/>
      <c r="E770" s="2"/>
    </row>
    <row r="771" spans="1:5" ht="15.75" customHeight="1">
      <c r="A771" s="2"/>
      <c r="E771" s="2"/>
    </row>
    <row r="772" spans="1:5" ht="15.75" customHeight="1">
      <c r="A772" s="2"/>
      <c r="E772" s="2"/>
    </row>
    <row r="773" spans="1:5" ht="15.75" customHeight="1">
      <c r="A773" s="2"/>
      <c r="E773" s="2"/>
    </row>
    <row r="774" spans="1:5" ht="15.75" customHeight="1">
      <c r="A774" s="2"/>
      <c r="E774" s="2"/>
    </row>
    <row r="775" spans="1:5" ht="15.75" customHeight="1">
      <c r="A775" s="2"/>
      <c r="E775" s="2"/>
    </row>
    <row r="776" spans="1:5" ht="15.75" customHeight="1">
      <c r="A776" s="2"/>
      <c r="E776" s="2"/>
    </row>
    <row r="777" spans="1:5" ht="15.75" customHeight="1">
      <c r="A777" s="2"/>
      <c r="E777" s="2"/>
    </row>
    <row r="778" spans="1:5" ht="15.75" customHeight="1">
      <c r="A778" s="2"/>
      <c r="E778" s="2"/>
    </row>
    <row r="779" spans="1:5" ht="15.75" customHeight="1">
      <c r="A779" s="2"/>
      <c r="E779" s="2"/>
    </row>
    <row r="780" spans="1:5" ht="15.75" customHeight="1">
      <c r="A780" s="2"/>
      <c r="E780" s="2"/>
    </row>
    <row r="781" spans="1:5" ht="15.75" customHeight="1">
      <c r="A781" s="2"/>
      <c r="E781" s="2"/>
    </row>
    <row r="782" spans="1:5" ht="15.75" customHeight="1">
      <c r="A782" s="2"/>
      <c r="E782" s="2"/>
    </row>
    <row r="783" spans="1:5" ht="15.75" customHeight="1">
      <c r="A783" s="2"/>
      <c r="E783" s="2"/>
    </row>
    <row r="784" spans="1:5" ht="15.75" customHeight="1">
      <c r="A784" s="2"/>
      <c r="E784" s="2"/>
    </row>
    <row r="785" spans="1:5" ht="15.75" customHeight="1">
      <c r="A785" s="2"/>
      <c r="E785" s="2"/>
    </row>
    <row r="786" spans="1:5" ht="15.75" customHeight="1">
      <c r="A786" s="2"/>
      <c r="E786" s="2"/>
    </row>
    <row r="787" spans="1:5" ht="15.75" customHeight="1">
      <c r="A787" s="2"/>
      <c r="E787" s="2"/>
    </row>
    <row r="788" spans="1:5" ht="15.75" customHeight="1">
      <c r="A788" s="2"/>
      <c r="E788" s="2"/>
    </row>
    <row r="789" spans="1:5" ht="15.75" customHeight="1">
      <c r="A789" s="2"/>
      <c r="E789" s="2"/>
    </row>
    <row r="790" spans="1:5" ht="15.75" customHeight="1">
      <c r="A790" s="2"/>
      <c r="E790" s="2"/>
    </row>
    <row r="791" spans="1:5" ht="15.75" customHeight="1">
      <c r="A791" s="2"/>
      <c r="E791" s="2"/>
    </row>
    <row r="792" spans="1:5" ht="15.75" customHeight="1">
      <c r="A792" s="2"/>
      <c r="E792" s="2"/>
    </row>
    <row r="793" spans="1:5" ht="15.75" customHeight="1">
      <c r="A793" s="2"/>
      <c r="E793" s="2"/>
    </row>
    <row r="794" spans="1:5" ht="15.75" customHeight="1">
      <c r="A794" s="2"/>
      <c r="E794" s="2"/>
    </row>
    <row r="795" spans="1:5" ht="15.75" customHeight="1">
      <c r="A795" s="2"/>
      <c r="E795" s="2"/>
    </row>
    <row r="796" spans="1:5" ht="15.75" customHeight="1">
      <c r="A796" s="2"/>
      <c r="E796" s="2"/>
    </row>
    <row r="797" spans="1:5" ht="15.75" customHeight="1">
      <c r="A797" s="2"/>
      <c r="E797" s="2"/>
    </row>
    <row r="798" spans="1:5" ht="15.75" customHeight="1">
      <c r="A798" s="2"/>
      <c r="E798" s="2"/>
    </row>
    <row r="799" spans="1:5" ht="15.75" customHeight="1">
      <c r="A799" s="2"/>
      <c r="E799" s="2"/>
    </row>
    <row r="800" spans="1:5" ht="15.75" customHeight="1">
      <c r="A800" s="2"/>
      <c r="E800" s="2"/>
    </row>
    <row r="801" spans="1:5" ht="15.75" customHeight="1">
      <c r="A801" s="2"/>
      <c r="E801" s="2"/>
    </row>
    <row r="802" spans="1:5" ht="15.75" customHeight="1">
      <c r="A802" s="2"/>
      <c r="E802" s="2"/>
    </row>
    <row r="803" spans="1:5" ht="15.75" customHeight="1">
      <c r="A803" s="2"/>
      <c r="E803" s="2"/>
    </row>
    <row r="804" spans="1:5" ht="15.75" customHeight="1">
      <c r="A804" s="2"/>
      <c r="E804" s="2"/>
    </row>
    <row r="805" spans="1:5" ht="15.75" customHeight="1">
      <c r="A805" s="2"/>
      <c r="E805" s="2"/>
    </row>
    <row r="806" spans="1:5" ht="15.75" customHeight="1">
      <c r="A806" s="2"/>
      <c r="E806" s="2"/>
    </row>
    <row r="807" spans="1:5" ht="15.75" customHeight="1">
      <c r="A807" s="2"/>
      <c r="E807" s="2"/>
    </row>
    <row r="808" spans="1:5" ht="15.75" customHeight="1">
      <c r="A808" s="2"/>
      <c r="E808" s="2"/>
    </row>
    <row r="809" spans="1:5" ht="15.75" customHeight="1">
      <c r="A809" s="2"/>
      <c r="E809" s="2"/>
    </row>
    <row r="810" spans="1:5" ht="15.75" customHeight="1">
      <c r="A810" s="2"/>
      <c r="E810" s="2"/>
    </row>
    <row r="811" spans="1:5" ht="15.75" customHeight="1">
      <c r="A811" s="2"/>
      <c r="E811" s="2"/>
    </row>
    <row r="812" spans="1:5" ht="15.75" customHeight="1">
      <c r="A812" s="2"/>
      <c r="E812" s="2"/>
    </row>
    <row r="813" spans="1:5" ht="15.75" customHeight="1">
      <c r="A813" s="2"/>
      <c r="E813" s="2"/>
    </row>
    <row r="814" spans="1:5" ht="15.75" customHeight="1">
      <c r="A814" s="2"/>
      <c r="E814" s="2"/>
    </row>
    <row r="815" spans="1:5" ht="15.75" customHeight="1">
      <c r="A815" s="2"/>
      <c r="E815" s="2"/>
    </row>
    <row r="816" spans="1:5" ht="15.75" customHeight="1">
      <c r="A816" s="2"/>
      <c r="E816" s="2"/>
    </row>
    <row r="817" spans="1:5" ht="15.75" customHeight="1">
      <c r="A817" s="2"/>
      <c r="E817" s="2"/>
    </row>
    <row r="818" spans="1:5" ht="15.75" customHeight="1">
      <c r="A818" s="2"/>
      <c r="E818" s="2"/>
    </row>
    <row r="819" spans="1:5" ht="15.75" customHeight="1">
      <c r="A819" s="2"/>
      <c r="E819" s="2"/>
    </row>
    <row r="820" spans="1:5" ht="15.75" customHeight="1">
      <c r="A820" s="2"/>
      <c r="E820" s="2"/>
    </row>
    <row r="821" spans="1:5" ht="15.75" customHeight="1">
      <c r="A821" s="2"/>
      <c r="E821" s="2"/>
    </row>
    <row r="822" spans="1:5" ht="15.75" customHeight="1">
      <c r="A822" s="2"/>
      <c r="E822" s="2"/>
    </row>
    <row r="823" spans="1:5" ht="15.75" customHeight="1">
      <c r="A823" s="2"/>
      <c r="E823" s="2"/>
    </row>
    <row r="824" spans="1:5" ht="15.75" customHeight="1">
      <c r="A824" s="2"/>
      <c r="E824" s="2"/>
    </row>
    <row r="825" spans="1:5" ht="15.75" customHeight="1">
      <c r="A825" s="2"/>
      <c r="E825" s="2"/>
    </row>
    <row r="826" spans="1:5" ht="15.75" customHeight="1">
      <c r="A826" s="2"/>
      <c r="E826" s="2"/>
    </row>
    <row r="827" spans="1:5" ht="15.75" customHeight="1">
      <c r="A827" s="2"/>
      <c r="E827" s="2"/>
    </row>
    <row r="828" spans="1:5" ht="15.75" customHeight="1">
      <c r="A828" s="2"/>
      <c r="E828" s="2"/>
    </row>
    <row r="829" spans="1:5" ht="15.75" customHeight="1">
      <c r="A829" s="2"/>
      <c r="E829" s="2"/>
    </row>
    <row r="830" spans="1:5" ht="15.75" customHeight="1">
      <c r="A830" s="2"/>
      <c r="E830" s="2"/>
    </row>
    <row r="831" spans="1:5" ht="15.75" customHeight="1">
      <c r="A831" s="2"/>
      <c r="E831" s="2"/>
    </row>
    <row r="832" spans="1:5" ht="15.75" customHeight="1">
      <c r="A832" s="2"/>
      <c r="E832" s="2"/>
    </row>
    <row r="833" spans="1:5" ht="15.75" customHeight="1">
      <c r="A833" s="2"/>
      <c r="E833" s="2"/>
    </row>
    <row r="834" spans="1:5" ht="15.75" customHeight="1">
      <c r="A834" s="2"/>
      <c r="E834" s="2"/>
    </row>
    <row r="835" spans="1:5" ht="15.75" customHeight="1">
      <c r="A835" s="2"/>
      <c r="E835" s="2"/>
    </row>
    <row r="836" spans="1:5" ht="15.75" customHeight="1">
      <c r="A836" s="2"/>
      <c r="E836" s="2"/>
    </row>
    <row r="837" spans="1:5" ht="15.75" customHeight="1">
      <c r="A837" s="2"/>
      <c r="E837" s="2"/>
    </row>
    <row r="838" spans="1:5" ht="15.75" customHeight="1">
      <c r="A838" s="2"/>
      <c r="E838" s="2"/>
    </row>
    <row r="839" spans="1:5" ht="15.75" customHeight="1">
      <c r="A839" s="2"/>
      <c r="E839" s="2"/>
    </row>
    <row r="840" spans="1:5" ht="15.75" customHeight="1">
      <c r="A840" s="2"/>
      <c r="E840" s="2"/>
    </row>
    <row r="841" spans="1:5" ht="15.75" customHeight="1">
      <c r="A841" s="2"/>
      <c r="E841" s="2"/>
    </row>
    <row r="842" spans="1:5" ht="15.75" customHeight="1">
      <c r="A842" s="2"/>
      <c r="E842" s="2"/>
    </row>
    <row r="843" spans="1:5" ht="15.75" customHeight="1">
      <c r="A843" s="2"/>
      <c r="E843" s="2"/>
    </row>
    <row r="844" spans="1:5" ht="15.75" customHeight="1">
      <c r="A844" s="2"/>
      <c r="E844" s="2"/>
    </row>
    <row r="845" spans="1:5" ht="15.75" customHeight="1">
      <c r="A845" s="2"/>
      <c r="E845" s="2"/>
    </row>
    <row r="846" spans="1:5" ht="15.75" customHeight="1">
      <c r="A846" s="2"/>
      <c r="E846" s="2"/>
    </row>
    <row r="847" spans="1:5" ht="15.75" customHeight="1">
      <c r="A847" s="2"/>
      <c r="E847" s="2"/>
    </row>
    <row r="848" spans="1:5" ht="15.75" customHeight="1">
      <c r="A848" s="2"/>
      <c r="E848" s="2"/>
    </row>
    <row r="849" spans="1:5" ht="15.75" customHeight="1">
      <c r="A849" s="2"/>
      <c r="E849" s="2"/>
    </row>
    <row r="850" spans="1:5" ht="15.75" customHeight="1">
      <c r="A850" s="2"/>
      <c r="E850" s="2"/>
    </row>
    <row r="851" spans="1:5" ht="15.75" customHeight="1">
      <c r="A851" s="2"/>
      <c r="E851" s="2"/>
    </row>
    <row r="852" spans="1:5" ht="15.75" customHeight="1">
      <c r="A852" s="2"/>
      <c r="E852" s="2"/>
    </row>
    <row r="853" spans="1:5" ht="15.75" customHeight="1">
      <c r="A853" s="2"/>
      <c r="E853" s="2"/>
    </row>
    <row r="854" spans="1:5" ht="15.75" customHeight="1">
      <c r="A854" s="2"/>
      <c r="E854" s="2"/>
    </row>
    <row r="855" spans="1:5" ht="15.75" customHeight="1">
      <c r="A855" s="2"/>
      <c r="E855" s="2"/>
    </row>
    <row r="856" spans="1:5" ht="15.75" customHeight="1">
      <c r="A856" s="2"/>
      <c r="E856" s="2"/>
    </row>
    <row r="857" spans="1:5" ht="15.75" customHeight="1">
      <c r="A857" s="2"/>
      <c r="E857" s="2"/>
    </row>
    <row r="858" spans="1:5" ht="15.75" customHeight="1">
      <c r="A858" s="2"/>
      <c r="E858" s="2"/>
    </row>
    <row r="859" spans="1:5" ht="15.75" customHeight="1">
      <c r="A859" s="2"/>
      <c r="E859" s="2"/>
    </row>
    <row r="860" spans="1:5" ht="15.75" customHeight="1">
      <c r="A860" s="2"/>
      <c r="E860" s="2"/>
    </row>
    <row r="861" spans="1:5" ht="15.75" customHeight="1">
      <c r="A861" s="2"/>
      <c r="E861" s="2"/>
    </row>
    <row r="862" spans="1:5" ht="15.75" customHeight="1">
      <c r="A862" s="2"/>
      <c r="E862" s="2"/>
    </row>
    <row r="863" spans="1:5" ht="15.75" customHeight="1">
      <c r="A863" s="2"/>
      <c r="E863" s="2"/>
    </row>
    <row r="864" spans="1:5" ht="15.75" customHeight="1">
      <c r="A864" s="2"/>
      <c r="E864" s="2"/>
    </row>
    <row r="865" spans="1:5" ht="15.75" customHeight="1">
      <c r="A865" s="2"/>
      <c r="E865" s="2"/>
    </row>
    <row r="866" spans="1:5" ht="15.75" customHeight="1">
      <c r="A866" s="2"/>
      <c r="E866" s="2"/>
    </row>
    <row r="867" spans="1:5" ht="15.75" customHeight="1">
      <c r="A867" s="2"/>
      <c r="E867" s="2"/>
    </row>
    <row r="868" spans="1:5" ht="15.75" customHeight="1">
      <c r="A868" s="2"/>
      <c r="E868" s="2"/>
    </row>
    <row r="869" spans="1:5" ht="15.75" customHeight="1">
      <c r="A869" s="2"/>
      <c r="E869" s="2"/>
    </row>
    <row r="870" spans="1:5" ht="15.75" customHeight="1">
      <c r="A870" s="2"/>
      <c r="E870" s="2"/>
    </row>
    <row r="871" spans="1:5" ht="15.75" customHeight="1">
      <c r="A871" s="2"/>
      <c r="E871" s="2"/>
    </row>
    <row r="872" spans="1:5" ht="15.75" customHeight="1">
      <c r="A872" s="2"/>
      <c r="E872" s="2"/>
    </row>
    <row r="873" spans="1:5" ht="15.75" customHeight="1">
      <c r="A873" s="2"/>
      <c r="E873" s="2"/>
    </row>
    <row r="874" spans="1:5" ht="15.75" customHeight="1">
      <c r="A874" s="2"/>
      <c r="E874" s="2"/>
    </row>
    <row r="875" spans="1:5" ht="15.75" customHeight="1">
      <c r="A875" s="2"/>
      <c r="E875" s="2"/>
    </row>
    <row r="876" spans="1:5" ht="15.75" customHeight="1">
      <c r="A876" s="2"/>
      <c r="E876" s="2"/>
    </row>
    <row r="877" spans="1:5" ht="15.75" customHeight="1">
      <c r="A877" s="2"/>
      <c r="E877" s="2"/>
    </row>
    <row r="878" spans="1:5" ht="15.75" customHeight="1">
      <c r="A878" s="2"/>
      <c r="E878" s="2"/>
    </row>
    <row r="879" spans="1:5" ht="15.75" customHeight="1">
      <c r="A879" s="2"/>
      <c r="E879" s="2"/>
    </row>
    <row r="880" spans="1:5" ht="15.75" customHeight="1">
      <c r="A880" s="2"/>
      <c r="E880" s="2"/>
    </row>
    <row r="881" spans="1:5" ht="15.75" customHeight="1">
      <c r="A881" s="2"/>
      <c r="E881" s="2"/>
    </row>
    <row r="882" spans="1:5" ht="15.75" customHeight="1">
      <c r="A882" s="2"/>
      <c r="E882" s="2"/>
    </row>
    <row r="883" spans="1:5" ht="15.75" customHeight="1">
      <c r="A883" s="2"/>
      <c r="E883" s="2"/>
    </row>
    <row r="884" spans="1:5" ht="15.75" customHeight="1">
      <c r="A884" s="2"/>
      <c r="E884" s="2"/>
    </row>
    <row r="885" spans="1:5" ht="15.75" customHeight="1">
      <c r="A885" s="2"/>
      <c r="E885" s="2"/>
    </row>
    <row r="886" spans="1:5" ht="15.75" customHeight="1">
      <c r="A886" s="2"/>
      <c r="E886" s="2"/>
    </row>
    <row r="887" spans="1:5" ht="15.75" customHeight="1">
      <c r="A887" s="2"/>
      <c r="E887" s="2"/>
    </row>
    <row r="888" spans="1:5" ht="15.75" customHeight="1">
      <c r="A888" s="2"/>
      <c r="E888" s="2"/>
    </row>
    <row r="889" spans="1:5" ht="15.75" customHeight="1">
      <c r="A889" s="2"/>
      <c r="E889" s="2"/>
    </row>
    <row r="890" spans="1:5" ht="15.75" customHeight="1">
      <c r="A890" s="2"/>
      <c r="E890" s="2"/>
    </row>
    <row r="891" spans="1:5" ht="15.75" customHeight="1">
      <c r="A891" s="2"/>
      <c r="E891" s="2"/>
    </row>
    <row r="892" spans="1:5" ht="15.75" customHeight="1">
      <c r="A892" s="2"/>
      <c r="E892" s="2"/>
    </row>
    <row r="893" spans="1:5" ht="15.75" customHeight="1">
      <c r="A893" s="2"/>
      <c r="E893" s="2"/>
    </row>
    <row r="894" spans="1:5" ht="15.75" customHeight="1">
      <c r="A894" s="2"/>
      <c r="E894" s="2"/>
    </row>
    <row r="895" spans="1:5" ht="15.75" customHeight="1">
      <c r="A895" s="2"/>
      <c r="E895" s="2"/>
    </row>
    <row r="896" spans="1:5" ht="15.75" customHeight="1">
      <c r="A896" s="2"/>
      <c r="E896" s="2"/>
    </row>
    <row r="897" spans="1:5" ht="15.75" customHeight="1">
      <c r="A897" s="2"/>
      <c r="E897" s="2"/>
    </row>
    <row r="898" spans="1:5" ht="15.75" customHeight="1">
      <c r="A898" s="2"/>
      <c r="E898" s="2"/>
    </row>
    <row r="899" spans="1:5" ht="15.75" customHeight="1">
      <c r="A899" s="2"/>
      <c r="E899" s="2"/>
    </row>
    <row r="900" spans="1:5" ht="15.75" customHeight="1">
      <c r="A900" s="2"/>
      <c r="E900" s="2"/>
    </row>
    <row r="901" spans="1:5" ht="15.75" customHeight="1">
      <c r="A901" s="2"/>
      <c r="E901" s="2"/>
    </row>
    <row r="902" spans="1:5" ht="15.75" customHeight="1">
      <c r="A902" s="2"/>
      <c r="E902" s="2"/>
    </row>
    <row r="903" spans="1:5" ht="15.75" customHeight="1">
      <c r="A903" s="2"/>
      <c r="E903" s="2"/>
    </row>
    <row r="904" spans="1:5" ht="15.75" customHeight="1">
      <c r="A904" s="2"/>
      <c r="E904" s="2"/>
    </row>
    <row r="905" spans="1:5" ht="15.75" customHeight="1">
      <c r="A905" s="2"/>
      <c r="E905" s="2"/>
    </row>
    <row r="906" spans="1:5" ht="15.75" customHeight="1">
      <c r="A906" s="2"/>
      <c r="E906" s="2"/>
    </row>
    <row r="907" spans="1:5" ht="15.75" customHeight="1">
      <c r="A907" s="2"/>
      <c r="E907" s="2"/>
    </row>
    <row r="908" spans="1:5" ht="15.75" customHeight="1">
      <c r="A908" s="2"/>
      <c r="E908" s="2"/>
    </row>
    <row r="909" spans="1:5" ht="15.75" customHeight="1">
      <c r="A909" s="2"/>
      <c r="E909" s="2"/>
    </row>
    <row r="910" spans="1:5" ht="15.75" customHeight="1">
      <c r="A910" s="2"/>
      <c r="E910" s="2"/>
    </row>
    <row r="911" spans="1:5" ht="15.75" customHeight="1">
      <c r="A911" s="2"/>
      <c r="E911" s="2"/>
    </row>
    <row r="912" spans="1:5" ht="15.75" customHeight="1">
      <c r="A912" s="2"/>
      <c r="E912" s="2"/>
    </row>
    <row r="913" spans="1:5" ht="15.75" customHeight="1">
      <c r="A913" s="2"/>
      <c r="E913" s="2"/>
    </row>
    <row r="914" spans="1:5" ht="15.75" customHeight="1">
      <c r="A914" s="2"/>
      <c r="E914" s="2"/>
    </row>
    <row r="915" spans="1:5" ht="15.75" customHeight="1">
      <c r="A915" s="2"/>
      <c r="E915" s="2"/>
    </row>
    <row r="916" spans="1:5" ht="15.75" customHeight="1">
      <c r="A916" s="2"/>
      <c r="E916" s="2"/>
    </row>
    <row r="917" spans="1:5" ht="15.75" customHeight="1">
      <c r="A917" s="2"/>
      <c r="E917" s="2"/>
    </row>
    <row r="918" spans="1:5" ht="15.75" customHeight="1">
      <c r="A918" s="2"/>
      <c r="E918" s="2"/>
    </row>
    <row r="919" spans="1:5" ht="15.75" customHeight="1">
      <c r="A919" s="2"/>
      <c r="E919" s="2"/>
    </row>
    <row r="920" spans="1:5" ht="15.75" customHeight="1">
      <c r="A920" s="2"/>
      <c r="E920" s="2"/>
    </row>
    <row r="921" spans="1:5" ht="15.75" customHeight="1">
      <c r="A921" s="2"/>
      <c r="E921" s="2"/>
    </row>
    <row r="922" spans="1:5" ht="15.75" customHeight="1">
      <c r="A922" s="2"/>
      <c r="E922" s="2"/>
    </row>
    <row r="923" spans="1:5" ht="15.75" customHeight="1">
      <c r="A923" s="2"/>
      <c r="E923" s="2"/>
    </row>
    <row r="924" spans="1:5" ht="15.75" customHeight="1">
      <c r="A924" s="2"/>
      <c r="E924" s="2"/>
    </row>
    <row r="925" spans="1:5" ht="15.75" customHeight="1">
      <c r="A925" s="2"/>
      <c r="E925" s="2"/>
    </row>
    <row r="926" spans="1:5" ht="15.75" customHeight="1">
      <c r="A926" s="2"/>
      <c r="E926" s="2"/>
    </row>
    <row r="927" spans="1:5" ht="15.75" customHeight="1">
      <c r="A927" s="2"/>
      <c r="E927" s="2"/>
    </row>
    <row r="928" spans="1:5" ht="15.75" customHeight="1">
      <c r="A928" s="2"/>
      <c r="E928" s="2"/>
    </row>
    <row r="929" spans="1:5" ht="15.75" customHeight="1">
      <c r="A929" s="2"/>
      <c r="E929" s="2"/>
    </row>
    <row r="930" spans="1:5" ht="15.75" customHeight="1">
      <c r="A930" s="2"/>
      <c r="E930" s="2"/>
    </row>
    <row r="931" spans="1:5" ht="15.75" customHeight="1">
      <c r="A931" s="2"/>
      <c r="E931" s="2"/>
    </row>
    <row r="932" spans="1:5" ht="15.75" customHeight="1">
      <c r="A932" s="2"/>
      <c r="E932" s="2"/>
    </row>
    <row r="933" spans="1:5" ht="15.75" customHeight="1">
      <c r="A933" s="2"/>
      <c r="E933" s="2"/>
    </row>
    <row r="934" spans="1:5" ht="15.75" customHeight="1">
      <c r="A934" s="2"/>
      <c r="E934" s="2"/>
    </row>
    <row r="935" spans="1:5" ht="15.75" customHeight="1">
      <c r="A935" s="2"/>
      <c r="E935" s="2"/>
    </row>
    <row r="936" spans="1:5" ht="15.75" customHeight="1">
      <c r="A936" s="2"/>
      <c r="E936" s="2"/>
    </row>
    <row r="937" spans="1:5" ht="15.75" customHeight="1">
      <c r="A937" s="2"/>
      <c r="E937" s="2"/>
    </row>
    <row r="938" spans="1:5" ht="15.75" customHeight="1">
      <c r="A938" s="2"/>
      <c r="E938" s="2"/>
    </row>
    <row r="939" spans="1:5" ht="15.75" customHeight="1">
      <c r="A939" s="2"/>
      <c r="E939" s="2"/>
    </row>
    <row r="940" spans="1:5" ht="15.75" customHeight="1">
      <c r="A940" s="2"/>
      <c r="E940" s="2"/>
    </row>
    <row r="941" spans="1:5" ht="15.75" customHeight="1">
      <c r="A941" s="2"/>
      <c r="E941" s="2"/>
    </row>
    <row r="942" spans="1:5" ht="15.75" customHeight="1">
      <c r="A942" s="2"/>
      <c r="E942" s="2"/>
    </row>
    <row r="943" spans="1:5" ht="15.75" customHeight="1">
      <c r="A943" s="2"/>
      <c r="E943" s="2"/>
    </row>
    <row r="944" spans="1:5" ht="15.75" customHeight="1">
      <c r="A944" s="2"/>
      <c r="E944" s="2"/>
    </row>
    <row r="945" spans="1:5" ht="15.75" customHeight="1">
      <c r="A945" s="2"/>
      <c r="E945" s="2"/>
    </row>
    <row r="946" spans="1:5" ht="15.75" customHeight="1">
      <c r="A946" s="2"/>
      <c r="E946" s="2"/>
    </row>
    <row r="947" spans="1:5" ht="15.75" customHeight="1">
      <c r="A947" s="2"/>
      <c r="E947" s="2"/>
    </row>
    <row r="948" spans="1:5" ht="15.75" customHeight="1">
      <c r="A948" s="2"/>
      <c r="E948" s="2"/>
    </row>
    <row r="949" spans="1:5" ht="15.75" customHeight="1">
      <c r="A949" s="2"/>
      <c r="E949" s="2"/>
    </row>
    <row r="950" spans="1:5" ht="15.75" customHeight="1">
      <c r="A950" s="2"/>
      <c r="E950" s="2"/>
    </row>
    <row r="951" spans="1:5" ht="15.75" customHeight="1">
      <c r="A951" s="2"/>
      <c r="E951" s="2"/>
    </row>
    <row r="952" spans="1:5" ht="15.75" customHeight="1">
      <c r="A952" s="2"/>
      <c r="E952" s="2"/>
    </row>
    <row r="953" spans="1:5" ht="15.75" customHeight="1">
      <c r="A953" s="2"/>
      <c r="E953" s="2"/>
    </row>
    <row r="954" spans="1:5" ht="15.75" customHeight="1">
      <c r="A954" s="2"/>
      <c r="E954" s="2"/>
    </row>
    <row r="955" spans="1:5" ht="15.75" customHeight="1">
      <c r="A955" s="2"/>
      <c r="E955" s="2"/>
    </row>
    <row r="956" spans="1:5" ht="15.75" customHeight="1">
      <c r="A956" s="2"/>
      <c r="E956" s="2"/>
    </row>
    <row r="957" spans="1:5" ht="15.75" customHeight="1">
      <c r="A957" s="2"/>
      <c r="E957" s="2"/>
    </row>
    <row r="958" spans="1:5" ht="15.75" customHeight="1">
      <c r="A958" s="2"/>
      <c r="E958" s="2"/>
    </row>
    <row r="959" spans="1:5" ht="15.75" customHeight="1">
      <c r="A959" s="2"/>
      <c r="E959" s="2"/>
    </row>
    <row r="960" spans="1:5" ht="15.75" customHeight="1">
      <c r="A960" s="2"/>
      <c r="E960" s="2"/>
    </row>
    <row r="961" spans="1:5" ht="15.75" customHeight="1">
      <c r="A961" s="2"/>
      <c r="E961" s="2"/>
    </row>
    <row r="962" spans="1:5" ht="15.75" customHeight="1">
      <c r="A962" s="2"/>
      <c r="E962" s="2"/>
    </row>
    <row r="963" spans="1:5" ht="15.75" customHeight="1">
      <c r="A963" s="2"/>
      <c r="E963" s="2"/>
    </row>
    <row r="964" spans="1:5" ht="15.75" customHeight="1">
      <c r="A964" s="2"/>
      <c r="E964" s="2"/>
    </row>
    <row r="965" spans="1:5" ht="15.75" customHeight="1">
      <c r="A965" s="2"/>
      <c r="E965" s="2"/>
    </row>
    <row r="966" spans="1:5" ht="15.75" customHeight="1">
      <c r="A966" s="2"/>
      <c r="E966" s="2"/>
    </row>
    <row r="967" spans="1:5" ht="15.75" customHeight="1">
      <c r="A967" s="2"/>
      <c r="E967" s="2"/>
    </row>
    <row r="968" spans="1:5" ht="15.75" customHeight="1">
      <c r="A968" s="2"/>
      <c r="E968" s="2"/>
    </row>
    <row r="969" spans="1:5" ht="15.75" customHeight="1">
      <c r="A969" s="2"/>
      <c r="E969" s="2"/>
    </row>
    <row r="970" spans="1:5" ht="15.75" customHeight="1">
      <c r="A970" s="2"/>
      <c r="E970" s="2"/>
    </row>
    <row r="971" spans="1:5" ht="15.75" customHeight="1">
      <c r="A971" s="2"/>
      <c r="E971" s="2"/>
    </row>
    <row r="972" spans="1:5" ht="15.75" customHeight="1">
      <c r="A972" s="2"/>
      <c r="E972" s="2"/>
    </row>
    <row r="973" spans="1:5" ht="15.75" customHeight="1">
      <c r="A973" s="2"/>
      <c r="E973" s="2"/>
    </row>
    <row r="974" spans="1:5" ht="15.75" customHeight="1">
      <c r="A974" s="2"/>
      <c r="E974" s="2"/>
    </row>
    <row r="975" spans="1:5" ht="15.75" customHeight="1">
      <c r="A975" s="2"/>
      <c r="E975" s="2"/>
    </row>
    <row r="976" spans="1:5" ht="15.75" customHeight="1">
      <c r="A976" s="2"/>
      <c r="E976" s="2"/>
    </row>
    <row r="977" spans="1:5" ht="15.75" customHeight="1">
      <c r="A977" s="2"/>
      <c r="E977" s="2"/>
    </row>
    <row r="978" spans="1:5" ht="15.75" customHeight="1">
      <c r="A978" s="2"/>
      <c r="E978" s="2"/>
    </row>
    <row r="979" spans="1:5" ht="15.75" customHeight="1">
      <c r="A979" s="2"/>
      <c r="E979" s="2"/>
    </row>
    <row r="980" spans="1:5" ht="15.75" customHeight="1">
      <c r="A980" s="2"/>
      <c r="E980" s="2"/>
    </row>
    <row r="981" spans="1:5" ht="15.75" customHeight="1">
      <c r="A981" s="2"/>
      <c r="E981" s="2"/>
    </row>
    <row r="982" spans="1:5" ht="15.75" customHeight="1">
      <c r="A982" s="2"/>
      <c r="E982" s="2"/>
    </row>
    <row r="983" spans="1:5" ht="15.75" customHeight="1">
      <c r="A983" s="2"/>
      <c r="E983" s="2"/>
    </row>
    <row r="984" spans="1:5" ht="15.75" customHeight="1">
      <c r="A984" s="2"/>
      <c r="E984" s="2"/>
    </row>
    <row r="985" spans="1:5" ht="15.75" customHeight="1">
      <c r="A985" s="2"/>
      <c r="E985" s="2"/>
    </row>
    <row r="986" spans="1:5" ht="15.75" customHeight="1">
      <c r="A986" s="2"/>
      <c r="E986" s="2"/>
    </row>
    <row r="987" spans="1:5" ht="15.75" customHeight="1">
      <c r="A987" s="2"/>
      <c r="E987" s="2"/>
    </row>
    <row r="988" spans="1:5" ht="15.75" customHeight="1">
      <c r="A988" s="2"/>
      <c r="E988" s="2"/>
    </row>
    <row r="989" spans="1:5" ht="15.75" customHeight="1">
      <c r="A989" s="2"/>
      <c r="E989" s="2"/>
    </row>
    <row r="990" spans="1:5" ht="15.75" customHeight="1">
      <c r="A990" s="2"/>
      <c r="E990" s="2"/>
    </row>
    <row r="991" spans="1:5" ht="15.75" customHeight="1">
      <c r="A991" s="2"/>
      <c r="E991" s="2"/>
    </row>
    <row r="992" spans="1:5" ht="15.75" customHeight="1">
      <c r="A992" s="2"/>
      <c r="E992" s="2"/>
    </row>
    <row r="993" spans="1:5" ht="15.75" customHeight="1">
      <c r="A993" s="2"/>
      <c r="E993" s="2"/>
    </row>
    <row r="994" spans="1:5" ht="15.75" customHeight="1">
      <c r="A994" s="2"/>
      <c r="E994" s="2"/>
    </row>
    <row r="995" spans="1:5" ht="15.75" customHeight="1">
      <c r="A995" s="2"/>
      <c r="E995" s="2"/>
    </row>
    <row r="996" spans="1:5" ht="15.75" customHeight="1">
      <c r="A996" s="2"/>
      <c r="E996" s="2"/>
    </row>
    <row r="997" spans="1:5" ht="15.75" customHeight="1">
      <c r="A997" s="2"/>
      <c r="E997" s="2"/>
    </row>
    <row r="998" spans="1:5" ht="15.75" customHeight="1">
      <c r="A998" s="2"/>
      <c r="E998" s="2"/>
    </row>
    <row r="999" spans="1:5" ht="15.75" customHeight="1">
      <c r="A999" s="2"/>
      <c r="E999" s="2"/>
    </row>
    <row r="1000" spans="1:5" ht="15.75" customHeight="1">
      <c r="A1000" s="2"/>
      <c r="E1000" s="2"/>
    </row>
  </sheetData>
  <mergeCells count="13">
    <mergeCell ref="A47:A48"/>
    <mergeCell ref="E47:E48"/>
    <mergeCell ref="B50:B51"/>
    <mergeCell ref="I50:I51"/>
    <mergeCell ref="B45:D45"/>
    <mergeCell ref="F45:I45"/>
    <mergeCell ref="B46:D46"/>
    <mergeCell ref="F46:I46"/>
    <mergeCell ref="C50:C51"/>
    <mergeCell ref="D50:D51"/>
    <mergeCell ref="F50:F51"/>
    <mergeCell ref="G50:G51"/>
    <mergeCell ref="H50:H51"/>
  </mergeCells>
  <pageMargins left="0.511811024" right="0.511811024" top="0.78740157499999996" bottom="0.78740157499999996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BD100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2" sqref="A22"/>
    </sheetView>
  </sheetViews>
  <sheetFormatPr defaultColWidth="12.5703125" defaultRowHeight="15" customHeight="1"/>
  <cols>
    <col min="1" max="1" width="34.140625" customWidth="1"/>
    <col min="2" max="2" width="7.28515625" customWidth="1"/>
    <col min="3" max="3" width="17.140625" customWidth="1"/>
    <col min="4" max="4" width="0.85546875" customWidth="1"/>
    <col min="5" max="5" width="13.28515625" customWidth="1"/>
    <col min="6" max="10" width="2.7109375" customWidth="1"/>
    <col min="11" max="11" width="13.42578125" customWidth="1"/>
    <col min="12" max="16" width="2.7109375" customWidth="1"/>
    <col min="17" max="52" width="13.42578125" customWidth="1"/>
    <col min="53" max="53" width="13.28515625" customWidth="1"/>
    <col min="54" max="54" width="11.140625" bestFit="1" customWidth="1"/>
    <col min="55" max="56" width="8.85546875" customWidth="1"/>
  </cols>
  <sheetData>
    <row r="1" spans="1:56" ht="18" customHeight="1">
      <c r="A1" s="776" t="s">
        <v>329</v>
      </c>
      <c r="B1" s="776"/>
      <c r="C1" s="776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</row>
    <row r="2" spans="1:56" ht="27" customHeight="1">
      <c r="A2" s="468"/>
      <c r="B2" s="467"/>
      <c r="C2" s="606" t="s">
        <v>404</v>
      </c>
      <c r="D2" s="467"/>
      <c r="E2" s="470" t="s">
        <v>330</v>
      </c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71" t="s">
        <v>331</v>
      </c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70" t="s">
        <v>332</v>
      </c>
      <c r="AD2" s="467"/>
      <c r="AE2" s="467"/>
      <c r="AF2" s="467"/>
      <c r="AG2" s="467"/>
      <c r="AH2" s="467"/>
      <c r="AI2" s="467"/>
      <c r="AJ2" s="467"/>
      <c r="AK2" s="467"/>
      <c r="AL2" s="467"/>
      <c r="AM2" s="467"/>
      <c r="AN2" s="467"/>
      <c r="AO2" s="467"/>
      <c r="AP2" s="467"/>
      <c r="AQ2" s="467"/>
      <c r="AR2" s="467"/>
      <c r="AS2" s="467"/>
      <c r="AT2" s="467"/>
      <c r="AU2" s="467"/>
      <c r="AV2" s="467"/>
      <c r="AW2" s="467"/>
      <c r="AX2" s="467"/>
      <c r="AY2" s="467"/>
      <c r="AZ2" s="470" t="s">
        <v>333</v>
      </c>
      <c r="BA2" s="470" t="s">
        <v>334</v>
      </c>
      <c r="BB2" s="775" t="s">
        <v>446</v>
      </c>
      <c r="BC2" s="467"/>
      <c r="BD2" s="467"/>
    </row>
    <row r="3" spans="1:56" ht="12.75" customHeight="1">
      <c r="A3" s="611" t="s">
        <v>447</v>
      </c>
      <c r="B3" s="607"/>
      <c r="C3" s="608" t="s">
        <v>75</v>
      </c>
      <c r="D3" s="609"/>
      <c r="E3" s="610">
        <v>0</v>
      </c>
      <c r="F3" s="609">
        <v>1</v>
      </c>
      <c r="G3" s="609">
        <v>2</v>
      </c>
      <c r="H3" s="609">
        <v>3</v>
      </c>
      <c r="I3" s="609">
        <v>4</v>
      </c>
      <c r="J3" s="609">
        <v>5</v>
      </c>
      <c r="K3" s="609">
        <v>6</v>
      </c>
      <c r="L3" s="609">
        <v>7</v>
      </c>
      <c r="M3" s="609">
        <v>8</v>
      </c>
      <c r="N3" s="609">
        <v>9</v>
      </c>
      <c r="O3" s="609">
        <v>10</v>
      </c>
      <c r="P3" s="609">
        <v>11</v>
      </c>
      <c r="Q3" s="610">
        <v>12</v>
      </c>
      <c r="R3" s="609">
        <v>13</v>
      </c>
      <c r="S3" s="609">
        <v>14</v>
      </c>
      <c r="T3" s="609">
        <v>15</v>
      </c>
      <c r="U3" s="609">
        <v>16</v>
      </c>
      <c r="V3" s="609">
        <v>17</v>
      </c>
      <c r="W3" s="609">
        <v>18</v>
      </c>
      <c r="X3" s="609">
        <v>19</v>
      </c>
      <c r="Y3" s="609">
        <v>20</v>
      </c>
      <c r="Z3" s="609">
        <v>21</v>
      </c>
      <c r="AA3" s="609">
        <v>22</v>
      </c>
      <c r="AB3" s="609">
        <v>23</v>
      </c>
      <c r="AC3" s="610">
        <v>24</v>
      </c>
      <c r="AD3" s="609">
        <v>25</v>
      </c>
      <c r="AE3" s="609">
        <v>26</v>
      </c>
      <c r="AF3" s="609">
        <v>27</v>
      </c>
      <c r="AG3" s="609">
        <v>28</v>
      </c>
      <c r="AH3" s="609">
        <v>29</v>
      </c>
      <c r="AI3" s="609">
        <v>30</v>
      </c>
      <c r="AJ3" s="609">
        <v>31</v>
      </c>
      <c r="AK3" s="609">
        <v>32</v>
      </c>
      <c r="AL3" s="609">
        <v>33</v>
      </c>
      <c r="AM3" s="609">
        <v>34</v>
      </c>
      <c r="AN3" s="609">
        <v>35</v>
      </c>
      <c r="AO3" s="609">
        <v>36</v>
      </c>
      <c r="AP3" s="609">
        <v>37</v>
      </c>
      <c r="AQ3" s="609">
        <v>38</v>
      </c>
      <c r="AR3" s="609">
        <v>39</v>
      </c>
      <c r="AS3" s="609">
        <v>40</v>
      </c>
      <c r="AT3" s="609">
        <v>41</v>
      </c>
      <c r="AU3" s="609">
        <v>42</v>
      </c>
      <c r="AV3" s="609">
        <v>43</v>
      </c>
      <c r="AW3" s="609">
        <v>44</v>
      </c>
      <c r="AX3" s="609">
        <v>45</v>
      </c>
      <c r="AY3" s="609">
        <v>46</v>
      </c>
      <c r="AZ3" s="610">
        <v>47</v>
      </c>
      <c r="BA3" s="610">
        <v>48</v>
      </c>
      <c r="BB3" s="775"/>
      <c r="BC3" s="467"/>
      <c r="BD3" s="467"/>
    </row>
    <row r="4" spans="1:56" ht="12.75" customHeight="1">
      <c r="A4" s="604"/>
      <c r="B4" s="604"/>
      <c r="C4" s="472"/>
      <c r="D4" s="467"/>
      <c r="E4" s="473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73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73"/>
      <c r="AD4" s="467"/>
      <c r="AE4" s="467"/>
      <c r="AF4" s="467"/>
      <c r="AG4" s="467"/>
      <c r="AH4" s="467"/>
      <c r="AI4" s="467"/>
      <c r="AJ4" s="467"/>
      <c r="AK4" s="467"/>
      <c r="AL4" s="467"/>
      <c r="AM4" s="467"/>
      <c r="AN4" s="467"/>
      <c r="AO4" s="467"/>
      <c r="AP4" s="467"/>
      <c r="AQ4" s="467"/>
      <c r="AR4" s="467"/>
      <c r="AS4" s="467"/>
      <c r="AT4" s="467"/>
      <c r="AU4" s="467"/>
      <c r="AV4" s="467"/>
      <c r="AW4" s="467"/>
      <c r="AX4" s="467"/>
      <c r="AY4" s="467"/>
      <c r="AZ4" s="473"/>
      <c r="BA4" s="473"/>
      <c r="BB4" s="605"/>
      <c r="BC4" s="467"/>
      <c r="BD4" s="467"/>
    </row>
    <row r="5" spans="1:56" ht="12.75" customHeight="1">
      <c r="A5" s="472" t="s">
        <v>109</v>
      </c>
      <c r="B5" s="472"/>
      <c r="C5" s="472">
        <f>-'CustoXReceita Empreend$'!E14</f>
        <v>-2116666.1667971038</v>
      </c>
      <c r="D5" s="467"/>
      <c r="E5" s="473"/>
      <c r="F5" s="467"/>
      <c r="G5" s="467"/>
      <c r="H5" s="467"/>
      <c r="I5" s="467"/>
      <c r="J5" s="467"/>
      <c r="K5" s="467">
        <f>C5</f>
        <v>-2116666.1667971038</v>
      </c>
      <c r="L5" s="467"/>
      <c r="M5" s="467"/>
      <c r="N5" s="467"/>
      <c r="O5" s="467"/>
      <c r="P5" s="467"/>
      <c r="Q5" s="473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73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7"/>
      <c r="AS5" s="467"/>
      <c r="AT5" s="467"/>
      <c r="AU5" s="467"/>
      <c r="AV5" s="467"/>
      <c r="AW5" s="467"/>
      <c r="AX5" s="467"/>
      <c r="AY5" s="467"/>
      <c r="AZ5" s="473"/>
      <c r="BA5" s="473"/>
      <c r="BB5" s="605">
        <f t="shared" ref="BB5:BB11" si="0">SUM(E5:BA5)</f>
        <v>-2116666.1667971038</v>
      </c>
      <c r="BC5" s="467"/>
      <c r="BD5" s="467"/>
    </row>
    <row r="6" spans="1:56" ht="12.75" customHeight="1">
      <c r="A6" s="612" t="s">
        <v>449</v>
      </c>
      <c r="B6" s="474"/>
      <c r="C6" s="472">
        <f>-'CustoXReceita Empreend$'!E15-ViabFinanceira5!C5</f>
        <v>-64558318.08731167</v>
      </c>
      <c r="D6" s="467"/>
      <c r="E6" s="473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73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73">
        <f>$C$6*Obra!$C$4</f>
        <v>-1210468.4641370939</v>
      </c>
      <c r="AD6" s="475">
        <f>$C$6*Obra!$C$4</f>
        <v>-1210468.4641370939</v>
      </c>
      <c r="AE6" s="475">
        <f>$C$6*Obra!$C$4</f>
        <v>-1210468.4641370939</v>
      </c>
      <c r="AF6" s="475">
        <f>$C$6*Obra!$C$4</f>
        <v>-1210468.4641370939</v>
      </c>
      <c r="AG6" s="475">
        <f>$C$6*Obra!$C$4</f>
        <v>-1210468.4641370939</v>
      </c>
      <c r="AH6" s="475">
        <f>$C$6*Obra!$C$4</f>
        <v>-1210468.4641370939</v>
      </c>
      <c r="AI6" s="475">
        <f>$C$6*Obra!$C$4</f>
        <v>-1210468.4641370939</v>
      </c>
      <c r="AJ6" s="475">
        <f>$C$6*Obra!$C$4</f>
        <v>-1210468.4641370939</v>
      </c>
      <c r="AK6" s="467">
        <f>$C$6*Obra!$C$5</f>
        <v>-2420936.9282741877</v>
      </c>
      <c r="AL6" s="467">
        <f>$C$6*Obra!$C$5</f>
        <v>-2420936.9282741877</v>
      </c>
      <c r="AM6" s="467">
        <f>$C$6*Obra!$C$5</f>
        <v>-2420936.9282741877</v>
      </c>
      <c r="AN6" s="467">
        <f>$C$6*Obra!$C$5</f>
        <v>-2420936.9282741877</v>
      </c>
      <c r="AO6" s="467">
        <f>$C$6*Obra!$C$5</f>
        <v>-2420936.9282741877</v>
      </c>
      <c r="AP6" s="467">
        <f>$C$6*Obra!$C$5</f>
        <v>-2420936.9282741877</v>
      </c>
      <c r="AQ6" s="467">
        <f>$C$6*Obra!$C$5</f>
        <v>-2420936.9282741877</v>
      </c>
      <c r="AR6" s="467">
        <f>$C$6*Obra!$C$5</f>
        <v>-2420936.9282741877</v>
      </c>
      <c r="AS6" s="467">
        <f>$C$6*Obra!$C$6</f>
        <v>-4438384.3685026774</v>
      </c>
      <c r="AT6" s="467">
        <f>$C$6*Obra!$C$6</f>
        <v>-4438384.3685026774</v>
      </c>
      <c r="AU6" s="467">
        <f>$C$6*Obra!$C$6</f>
        <v>-4438384.3685026774</v>
      </c>
      <c r="AV6" s="467">
        <f>$C$6*Obra!$C$6</f>
        <v>-4438384.3685026774</v>
      </c>
      <c r="AW6" s="467">
        <f>$C$6*Obra!$C$6</f>
        <v>-4438384.3685026774</v>
      </c>
      <c r="AX6" s="467">
        <f>$C$6*Obra!$C$6</f>
        <v>-4438384.3685026774</v>
      </c>
      <c r="AY6" s="467">
        <f>$C$6*Obra!$C$6</f>
        <v>-4438384.3685026774</v>
      </c>
      <c r="AZ6" s="473">
        <f>$C$6*Obra!$C$6</f>
        <v>-4438384.3685026774</v>
      </c>
      <c r="BA6" s="473"/>
      <c r="BB6" s="605">
        <f t="shared" si="0"/>
        <v>-64558318.08731167</v>
      </c>
      <c r="BC6" s="467"/>
      <c r="BD6" s="467"/>
    </row>
    <row r="7" spans="1:56" ht="12.75" customHeight="1">
      <c r="A7" s="612" t="s">
        <v>448</v>
      </c>
      <c r="B7" s="476">
        <f>'CustoXReceita Empreend$'!C23</f>
        <v>0.21</v>
      </c>
      <c r="C7" s="472">
        <f>-'CustoXReceita Empreend$'!E23</f>
        <v>-31777200</v>
      </c>
      <c r="D7" s="467"/>
      <c r="E7" s="473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73">
        <f>-ViabFinanceira5!Q9*$B$7</f>
        <v>-88270</v>
      </c>
      <c r="R7" s="467">
        <f t="shared" ref="R7:BA7" si="1">-R9*$B$7</f>
        <v>-88270</v>
      </c>
      <c r="S7" s="467">
        <f t="shared" si="1"/>
        <v>-88270</v>
      </c>
      <c r="T7" s="467">
        <f t="shared" si="1"/>
        <v>-88270</v>
      </c>
      <c r="U7" s="467">
        <f t="shared" si="1"/>
        <v>-88270</v>
      </c>
      <c r="V7" s="467">
        <f t="shared" si="1"/>
        <v>-88270</v>
      </c>
      <c r="W7" s="467">
        <f t="shared" si="1"/>
        <v>-88270</v>
      </c>
      <c r="X7" s="467">
        <f t="shared" si="1"/>
        <v>-88270</v>
      </c>
      <c r="Y7" s="467">
        <f t="shared" si="1"/>
        <v>-88270</v>
      </c>
      <c r="Z7" s="467">
        <f t="shared" si="1"/>
        <v>-88270</v>
      </c>
      <c r="AA7" s="467">
        <f t="shared" si="1"/>
        <v>-88270</v>
      </c>
      <c r="AB7" s="467">
        <f t="shared" si="1"/>
        <v>-88270</v>
      </c>
      <c r="AC7" s="473">
        <f t="shared" si="1"/>
        <v>-88270</v>
      </c>
      <c r="AD7" s="467">
        <f t="shared" si="1"/>
        <v>-88270</v>
      </c>
      <c r="AE7" s="467">
        <f t="shared" si="1"/>
        <v>-88270</v>
      </c>
      <c r="AF7" s="467">
        <f t="shared" si="1"/>
        <v>-88270</v>
      </c>
      <c r="AG7" s="467">
        <f t="shared" si="1"/>
        <v>-88270</v>
      </c>
      <c r="AH7" s="467">
        <f t="shared" si="1"/>
        <v>-88270</v>
      </c>
      <c r="AI7" s="467">
        <f t="shared" si="1"/>
        <v>-220674.99999999997</v>
      </c>
      <c r="AJ7" s="467">
        <f t="shared" si="1"/>
        <v>-220674.99999999997</v>
      </c>
      <c r="AK7" s="467">
        <f t="shared" si="1"/>
        <v>-220674.99999999997</v>
      </c>
      <c r="AL7" s="467">
        <f t="shared" si="1"/>
        <v>-220674.99999999997</v>
      </c>
      <c r="AM7" s="467">
        <f t="shared" si="1"/>
        <v>-220674.99999999997</v>
      </c>
      <c r="AN7" s="467">
        <f t="shared" si="1"/>
        <v>-220674.99999999997</v>
      </c>
      <c r="AO7" s="467">
        <f t="shared" si="1"/>
        <v>-220674.99999999997</v>
      </c>
      <c r="AP7" s="467">
        <f t="shared" si="1"/>
        <v>-220674.99999999997</v>
      </c>
      <c r="AQ7" s="467">
        <f t="shared" si="1"/>
        <v>-220674.99999999997</v>
      </c>
      <c r="AR7" s="467">
        <f t="shared" si="1"/>
        <v>-220674.99999999997</v>
      </c>
      <c r="AS7" s="467">
        <f t="shared" si="1"/>
        <v>-220674.99999999997</v>
      </c>
      <c r="AT7" s="467">
        <f t="shared" si="1"/>
        <v>-220674.99999999997</v>
      </c>
      <c r="AU7" s="467">
        <f t="shared" si="1"/>
        <v>-220674.99999999997</v>
      </c>
      <c r="AV7" s="467">
        <f t="shared" si="1"/>
        <v>-220674.99999999997</v>
      </c>
      <c r="AW7" s="467">
        <f t="shared" si="1"/>
        <v>-220674.99999999997</v>
      </c>
      <c r="AX7" s="467">
        <f t="shared" si="1"/>
        <v>-220674.99999999997</v>
      </c>
      <c r="AY7" s="467">
        <f t="shared" si="1"/>
        <v>-220674.99999999997</v>
      </c>
      <c r="AZ7" s="473">
        <f t="shared" si="1"/>
        <v>-220674.99999999997</v>
      </c>
      <c r="BA7" s="473">
        <f t="shared" si="1"/>
        <v>-26216190</v>
      </c>
      <c r="BB7" s="605">
        <f t="shared" si="0"/>
        <v>-31777200</v>
      </c>
      <c r="BC7" s="467"/>
      <c r="BD7" s="467"/>
    </row>
    <row r="8" spans="1:56" ht="12.75" customHeight="1">
      <c r="A8" s="612" t="s">
        <v>24</v>
      </c>
      <c r="B8" s="472"/>
      <c r="C8" s="472">
        <f>-'CustoXReceita Empreend$'!E25</f>
        <v>-42360000</v>
      </c>
      <c r="D8" s="467"/>
      <c r="E8" s="473">
        <f>C8</f>
        <v>-42360000</v>
      </c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67"/>
      <c r="Q8" s="473"/>
      <c r="R8" s="467"/>
      <c r="S8" s="467"/>
      <c r="T8" s="467"/>
      <c r="U8" s="467"/>
      <c r="V8" s="467"/>
      <c r="W8" s="467"/>
      <c r="X8" s="467"/>
      <c r="Y8" s="467"/>
      <c r="Z8" s="467"/>
      <c r="AA8" s="467"/>
      <c r="AB8" s="467"/>
      <c r="AC8" s="473"/>
      <c r="AD8" s="467"/>
      <c r="AE8" s="467"/>
      <c r="AF8" s="467"/>
      <c r="AG8" s="467"/>
      <c r="AH8" s="467"/>
      <c r="AI8" s="467"/>
      <c r="AJ8" s="467"/>
      <c r="AK8" s="467"/>
      <c r="AL8" s="467"/>
      <c r="AM8" s="467"/>
      <c r="AN8" s="467"/>
      <c r="AO8" s="467"/>
      <c r="AP8" s="467"/>
      <c r="AQ8" s="467"/>
      <c r="AR8" s="467"/>
      <c r="AS8" s="467"/>
      <c r="AT8" s="467"/>
      <c r="AU8" s="467"/>
      <c r="AV8" s="467"/>
      <c r="AW8" s="467"/>
      <c r="AX8" s="467"/>
      <c r="AY8" s="467"/>
      <c r="AZ8" s="473"/>
      <c r="BA8" s="473"/>
      <c r="BB8" s="605">
        <f t="shared" si="0"/>
        <v>-42360000</v>
      </c>
      <c r="BC8" s="467"/>
      <c r="BD8" s="467"/>
    </row>
    <row r="9" spans="1:56" ht="12.75" customHeight="1">
      <c r="A9" s="472" t="s">
        <v>335</v>
      </c>
      <c r="B9" s="472"/>
      <c r="C9" s="472">
        <f>'CustoXReceita Empreend$'!E29</f>
        <v>151320000</v>
      </c>
      <c r="D9" s="477"/>
      <c r="E9" s="478"/>
      <c r="F9" s="477"/>
      <c r="G9" s="477"/>
      <c r="H9" s="477"/>
      <c r="I9" s="477"/>
      <c r="J9" s="477"/>
      <c r="K9" s="477"/>
      <c r="L9" s="477"/>
      <c r="M9" s="477"/>
      <c r="N9" s="477"/>
      <c r="O9" s="477"/>
      <c r="P9" s="477"/>
      <c r="Q9" s="478">
        <f>$C$9*Vendas!H8</f>
        <v>420333.33333333337</v>
      </c>
      <c r="R9" s="479">
        <f>$C$9*Vendas!I8</f>
        <v>420333.33333333337</v>
      </c>
      <c r="S9" s="479">
        <f>$C$9*Vendas!J8</f>
        <v>420333.33333333337</v>
      </c>
      <c r="T9" s="479">
        <f>$C$9*Vendas!K8</f>
        <v>420333.33333333337</v>
      </c>
      <c r="U9" s="479">
        <f>$C$9*Vendas!L8</f>
        <v>420333.33333333337</v>
      </c>
      <c r="V9" s="479">
        <f>$C$9*Vendas!M8</f>
        <v>420333.33333333337</v>
      </c>
      <c r="W9" s="479">
        <f>$C$9*Vendas!N8</f>
        <v>420333.33333333337</v>
      </c>
      <c r="X9" s="479">
        <f>$C$9*Vendas!O8</f>
        <v>420333.33333333337</v>
      </c>
      <c r="Y9" s="479">
        <f>$C$9*Vendas!P8</f>
        <v>420333.33333333337</v>
      </c>
      <c r="Z9" s="479">
        <f>$C$9*Vendas!Q8</f>
        <v>420333.33333333337</v>
      </c>
      <c r="AA9" s="479">
        <f>$C$9*Vendas!R8</f>
        <v>420333.33333333337</v>
      </c>
      <c r="AB9" s="479">
        <f>$C$9*Vendas!S8</f>
        <v>420333.33333333337</v>
      </c>
      <c r="AC9" s="478">
        <f>$C$9*Vendas!T8</f>
        <v>420333.33333333337</v>
      </c>
      <c r="AD9" s="479">
        <f>$C$9*Vendas!U8</f>
        <v>420333.33333333337</v>
      </c>
      <c r="AE9" s="479">
        <f>$C$9*Vendas!V8</f>
        <v>420333.33333333337</v>
      </c>
      <c r="AF9" s="479">
        <f>$C$9*Vendas!W8</f>
        <v>420333.33333333337</v>
      </c>
      <c r="AG9" s="479">
        <f>$C$9*Vendas!X8</f>
        <v>420333.33333333337</v>
      </c>
      <c r="AH9" s="479">
        <f>$C$9*Vendas!Y8</f>
        <v>420333.33333333337</v>
      </c>
      <c r="AI9" s="479">
        <f>$C$9*Vendas!Z8</f>
        <v>1050833.3333333333</v>
      </c>
      <c r="AJ9" s="479">
        <f>$C$9*Vendas!AA8</f>
        <v>1050833.3333333333</v>
      </c>
      <c r="AK9" s="479">
        <f>$C$9*Vendas!AB8</f>
        <v>1050833.3333333333</v>
      </c>
      <c r="AL9" s="479">
        <f>$C$9*Vendas!AC8</f>
        <v>1050833.3333333333</v>
      </c>
      <c r="AM9" s="479">
        <f>$C$9*Vendas!AD8</f>
        <v>1050833.3333333333</v>
      </c>
      <c r="AN9" s="479">
        <f>$C$9*Vendas!AE8</f>
        <v>1050833.3333333333</v>
      </c>
      <c r="AO9" s="479">
        <f>$C$9*Vendas!AF8</f>
        <v>1050833.3333333333</v>
      </c>
      <c r="AP9" s="479">
        <f>$C$9*Vendas!AG8</f>
        <v>1050833.3333333333</v>
      </c>
      <c r="AQ9" s="479">
        <f>$C$9*Vendas!AH8</f>
        <v>1050833.3333333333</v>
      </c>
      <c r="AR9" s="479">
        <f>$C$9*Vendas!AI8</f>
        <v>1050833.3333333333</v>
      </c>
      <c r="AS9" s="479">
        <f>$C$9*Vendas!AJ8</f>
        <v>1050833.3333333333</v>
      </c>
      <c r="AT9" s="479">
        <f>$C$9*Vendas!AK8</f>
        <v>1050833.3333333333</v>
      </c>
      <c r="AU9" s="479">
        <f>$C$9*Vendas!AL8</f>
        <v>1050833.3333333333</v>
      </c>
      <c r="AV9" s="479">
        <f>$C$9*Vendas!AM8</f>
        <v>1050833.3333333333</v>
      </c>
      <c r="AW9" s="479">
        <f>$C$9*Vendas!AN8</f>
        <v>1050833.3333333333</v>
      </c>
      <c r="AX9" s="479">
        <f>$C$9*Vendas!AO8</f>
        <v>1050833.3333333333</v>
      </c>
      <c r="AY9" s="479">
        <f>$C$9*Vendas!AP8</f>
        <v>1050833.3333333333</v>
      </c>
      <c r="AZ9" s="478">
        <f>$C$9*Vendas!AQ8</f>
        <v>1050833.3333333333</v>
      </c>
      <c r="BA9" s="478">
        <f>$C$9*Vendas!AR8</f>
        <v>124839000</v>
      </c>
      <c r="BB9" s="605">
        <f t="shared" si="0"/>
        <v>151320000</v>
      </c>
      <c r="BC9" s="467"/>
      <c r="BD9" s="467"/>
    </row>
    <row r="10" spans="1:56" ht="12.75" customHeight="1">
      <c r="A10" s="480"/>
      <c r="B10" s="481"/>
      <c r="C10" s="43"/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7"/>
      <c r="O10" s="467"/>
      <c r="P10" s="467"/>
      <c r="Q10" s="467"/>
      <c r="R10" s="467"/>
      <c r="S10" s="467"/>
      <c r="T10" s="467"/>
      <c r="U10" s="467"/>
      <c r="V10" s="467"/>
      <c r="W10" s="467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  <c r="AI10" s="467"/>
      <c r="AJ10" s="467"/>
      <c r="AK10" s="467"/>
      <c r="AL10" s="467"/>
      <c r="AM10" s="467"/>
      <c r="AN10" s="467"/>
      <c r="AO10" s="467"/>
      <c r="AP10" s="467"/>
      <c r="AQ10" s="467"/>
      <c r="AR10" s="467"/>
      <c r="AS10" s="467"/>
      <c r="AT10" s="467"/>
      <c r="AU10" s="467"/>
      <c r="AV10" s="467"/>
      <c r="AW10" s="467"/>
      <c r="AX10" s="467"/>
      <c r="AY10" s="467"/>
      <c r="AZ10" s="467"/>
      <c r="BA10" s="467"/>
      <c r="BB10" s="467"/>
      <c r="BC10" s="467"/>
      <c r="BD10" s="467"/>
    </row>
    <row r="11" spans="1:56" ht="12.75">
      <c r="A11" s="482" t="s">
        <v>336</v>
      </c>
      <c r="B11" s="482"/>
      <c r="C11" s="482">
        <f>SUM(E11:BA11)</f>
        <v>10507815.745891184</v>
      </c>
      <c r="D11" s="467"/>
      <c r="E11" s="467">
        <f t="shared" ref="E11:AZ11" si="2">SUM(E5:E9)</f>
        <v>-42360000</v>
      </c>
      <c r="F11" s="467">
        <f t="shared" si="2"/>
        <v>0</v>
      </c>
      <c r="G11" s="467">
        <f t="shared" si="2"/>
        <v>0</v>
      </c>
      <c r="H11" s="467">
        <f t="shared" si="2"/>
        <v>0</v>
      </c>
      <c r="I11" s="467">
        <f t="shared" si="2"/>
        <v>0</v>
      </c>
      <c r="J11" s="467">
        <f t="shared" si="2"/>
        <v>0</v>
      </c>
      <c r="K11" s="467">
        <f t="shared" si="2"/>
        <v>-2116666.1667971038</v>
      </c>
      <c r="L11" s="467">
        <f t="shared" si="2"/>
        <v>0</v>
      </c>
      <c r="M11" s="467">
        <f t="shared" si="2"/>
        <v>0</v>
      </c>
      <c r="N11" s="467">
        <f t="shared" si="2"/>
        <v>0</v>
      </c>
      <c r="O11" s="467">
        <f t="shared" si="2"/>
        <v>0</v>
      </c>
      <c r="P11" s="467">
        <f t="shared" si="2"/>
        <v>0</v>
      </c>
      <c r="Q11" s="467">
        <f t="shared" si="2"/>
        <v>332063.33333333337</v>
      </c>
      <c r="R11" s="467">
        <f t="shared" si="2"/>
        <v>332063.33333333337</v>
      </c>
      <c r="S11" s="467">
        <f t="shared" si="2"/>
        <v>332063.33333333337</v>
      </c>
      <c r="T11" s="467">
        <f t="shared" si="2"/>
        <v>332063.33333333337</v>
      </c>
      <c r="U11" s="467">
        <f t="shared" si="2"/>
        <v>332063.33333333337</v>
      </c>
      <c r="V11" s="467">
        <f t="shared" si="2"/>
        <v>332063.33333333337</v>
      </c>
      <c r="W11" s="467">
        <f t="shared" si="2"/>
        <v>332063.33333333337</v>
      </c>
      <c r="X11" s="467">
        <f t="shared" si="2"/>
        <v>332063.33333333337</v>
      </c>
      <c r="Y11" s="467">
        <f t="shared" si="2"/>
        <v>332063.33333333337</v>
      </c>
      <c r="Z11" s="467">
        <f t="shared" si="2"/>
        <v>332063.33333333337</v>
      </c>
      <c r="AA11" s="467">
        <f t="shared" si="2"/>
        <v>332063.33333333337</v>
      </c>
      <c r="AB11" s="467">
        <f t="shared" si="2"/>
        <v>332063.33333333337</v>
      </c>
      <c r="AC11" s="467">
        <f t="shared" si="2"/>
        <v>-878405.13080376049</v>
      </c>
      <c r="AD11" s="467">
        <f t="shared" si="2"/>
        <v>-878405.13080376049</v>
      </c>
      <c r="AE11" s="467">
        <f t="shared" si="2"/>
        <v>-878405.13080376049</v>
      </c>
      <c r="AF11" s="467">
        <f t="shared" si="2"/>
        <v>-878405.13080376049</v>
      </c>
      <c r="AG11" s="467">
        <f t="shared" si="2"/>
        <v>-878405.13080376049</v>
      </c>
      <c r="AH11" s="467">
        <f t="shared" si="2"/>
        <v>-878405.13080376049</v>
      </c>
      <c r="AI11" s="467">
        <f t="shared" si="2"/>
        <v>-380310.13080376061</v>
      </c>
      <c r="AJ11" s="467">
        <f t="shared" si="2"/>
        <v>-380310.13080376061</v>
      </c>
      <c r="AK11" s="467">
        <f t="shared" si="2"/>
        <v>-1590778.5949408545</v>
      </c>
      <c r="AL11" s="467">
        <f t="shared" si="2"/>
        <v>-1590778.5949408545</v>
      </c>
      <c r="AM11" s="467">
        <f t="shared" si="2"/>
        <v>-1590778.5949408545</v>
      </c>
      <c r="AN11" s="467">
        <f t="shared" si="2"/>
        <v>-1590778.5949408545</v>
      </c>
      <c r="AO11" s="467">
        <f t="shared" si="2"/>
        <v>-1590778.5949408545</v>
      </c>
      <c r="AP11" s="467">
        <f t="shared" si="2"/>
        <v>-1590778.5949408545</v>
      </c>
      <c r="AQ11" s="467">
        <f t="shared" si="2"/>
        <v>-1590778.5949408545</v>
      </c>
      <c r="AR11" s="467">
        <f t="shared" si="2"/>
        <v>-1590778.5949408545</v>
      </c>
      <c r="AS11" s="467">
        <f t="shared" si="2"/>
        <v>-3608226.0351693444</v>
      </c>
      <c r="AT11" s="467">
        <f t="shared" si="2"/>
        <v>-3608226.0351693444</v>
      </c>
      <c r="AU11" s="467">
        <f t="shared" si="2"/>
        <v>-3608226.0351693444</v>
      </c>
      <c r="AV11" s="467">
        <f t="shared" si="2"/>
        <v>-3608226.0351693444</v>
      </c>
      <c r="AW11" s="467">
        <f t="shared" si="2"/>
        <v>-3608226.0351693444</v>
      </c>
      <c r="AX11" s="467">
        <f t="shared" si="2"/>
        <v>-3608226.0351693444</v>
      </c>
      <c r="AY11" s="467">
        <f t="shared" si="2"/>
        <v>-3608226.0351693444</v>
      </c>
      <c r="AZ11" s="467">
        <f t="shared" si="2"/>
        <v>-3608226.0351693444</v>
      </c>
      <c r="BA11" s="467">
        <f>SUM(BA5:BA9)</f>
        <v>98622810</v>
      </c>
      <c r="BB11" s="467">
        <f t="shared" si="0"/>
        <v>10507815.745891184</v>
      </c>
      <c r="BC11" s="467"/>
      <c r="BD11" s="467"/>
    </row>
    <row r="12" spans="1:56" ht="12.75">
      <c r="A12" s="467" t="s">
        <v>337</v>
      </c>
      <c r="B12" s="467"/>
      <c r="C12" s="467"/>
      <c r="D12" s="467"/>
      <c r="E12" s="467">
        <f>E11</f>
        <v>-42360000</v>
      </c>
      <c r="F12" s="467">
        <f t="shared" ref="F12:AZ12" si="3">E12+F11</f>
        <v>-42360000</v>
      </c>
      <c r="G12" s="467">
        <f t="shared" si="3"/>
        <v>-42360000</v>
      </c>
      <c r="H12" s="467">
        <f t="shared" si="3"/>
        <v>-42360000</v>
      </c>
      <c r="I12" s="467">
        <f t="shared" si="3"/>
        <v>-42360000</v>
      </c>
      <c r="J12" s="467">
        <f t="shared" si="3"/>
        <v>-42360000</v>
      </c>
      <c r="K12" s="467">
        <f t="shared" si="3"/>
        <v>-44476666.166797101</v>
      </c>
      <c r="L12" s="467">
        <f t="shared" si="3"/>
        <v>-44476666.166797101</v>
      </c>
      <c r="M12" s="467">
        <f t="shared" si="3"/>
        <v>-44476666.166797101</v>
      </c>
      <c r="N12" s="467">
        <f t="shared" si="3"/>
        <v>-44476666.166797101</v>
      </c>
      <c r="O12" s="467">
        <f t="shared" si="3"/>
        <v>-44476666.166797101</v>
      </c>
      <c r="P12" s="467">
        <f t="shared" si="3"/>
        <v>-44476666.166797101</v>
      </c>
      <c r="Q12" s="467">
        <f t="shared" si="3"/>
        <v>-44144602.833463766</v>
      </c>
      <c r="R12" s="467">
        <f t="shared" si="3"/>
        <v>-43812539.50013043</v>
      </c>
      <c r="S12" s="467">
        <f t="shared" si="3"/>
        <v>-43480476.166797094</v>
      </c>
      <c r="T12" s="467">
        <f t="shared" si="3"/>
        <v>-43148412.833463758</v>
      </c>
      <c r="U12" s="467">
        <f t="shared" si="3"/>
        <v>-42816349.500130422</v>
      </c>
      <c r="V12" s="467">
        <f t="shared" si="3"/>
        <v>-42484286.166797087</v>
      </c>
      <c r="W12" s="467">
        <f t="shared" si="3"/>
        <v>-42152222.833463751</v>
      </c>
      <c r="X12" s="467">
        <f t="shared" si="3"/>
        <v>-41820159.500130415</v>
      </c>
      <c r="Y12" s="467">
        <f t="shared" si="3"/>
        <v>-41488096.166797079</v>
      </c>
      <c r="Z12" s="467">
        <f t="shared" si="3"/>
        <v>-41156032.833463743</v>
      </c>
      <c r="AA12" s="467">
        <f t="shared" si="3"/>
        <v>-40823969.500130408</v>
      </c>
      <c r="AB12" s="467">
        <f t="shared" si="3"/>
        <v>-40491906.166797072</v>
      </c>
      <c r="AC12" s="467">
        <f t="shared" si="3"/>
        <v>-41370311.297600836</v>
      </c>
      <c r="AD12" s="467">
        <f t="shared" si="3"/>
        <v>-42248716.428404599</v>
      </c>
      <c r="AE12" s="467">
        <f t="shared" si="3"/>
        <v>-43127121.559208363</v>
      </c>
      <c r="AF12" s="467">
        <f t="shared" si="3"/>
        <v>-44005526.690012127</v>
      </c>
      <c r="AG12" s="467">
        <f t="shared" si="3"/>
        <v>-44883931.820815891</v>
      </c>
      <c r="AH12" s="467">
        <f t="shared" si="3"/>
        <v>-45762336.951619655</v>
      </c>
      <c r="AI12" s="467">
        <f t="shared" si="3"/>
        <v>-46142647.082423419</v>
      </c>
      <c r="AJ12" s="467">
        <f t="shared" si="3"/>
        <v>-46522957.213227183</v>
      </c>
      <c r="AK12" s="467">
        <f t="shared" si="3"/>
        <v>-48113735.808168039</v>
      </c>
      <c r="AL12" s="467">
        <f t="shared" si="3"/>
        <v>-49704514.403108895</v>
      </c>
      <c r="AM12" s="467">
        <f t="shared" si="3"/>
        <v>-51295292.998049751</v>
      </c>
      <c r="AN12" s="467">
        <f t="shared" si="3"/>
        <v>-52886071.592990607</v>
      </c>
      <c r="AO12" s="467">
        <f t="shared" si="3"/>
        <v>-54476850.187931463</v>
      </c>
      <c r="AP12" s="467">
        <f t="shared" si="3"/>
        <v>-56067628.782872319</v>
      </c>
      <c r="AQ12" s="467">
        <f t="shared" si="3"/>
        <v>-57658407.377813175</v>
      </c>
      <c r="AR12" s="467">
        <f t="shared" si="3"/>
        <v>-59249185.972754031</v>
      </c>
      <c r="AS12" s="467">
        <f t="shared" si="3"/>
        <v>-62857412.00792338</v>
      </c>
      <c r="AT12" s="467">
        <f t="shared" si="3"/>
        <v>-66465638.043092728</v>
      </c>
      <c r="AU12" s="467">
        <f t="shared" si="3"/>
        <v>-70073864.078262076</v>
      </c>
      <c r="AV12" s="467">
        <f t="shared" si="3"/>
        <v>-73682090.113431424</v>
      </c>
      <c r="AW12" s="467">
        <f t="shared" si="3"/>
        <v>-77290316.148600772</v>
      </c>
      <c r="AX12" s="467">
        <f t="shared" si="3"/>
        <v>-80898542.18377012</v>
      </c>
      <c r="AY12" s="467">
        <f t="shared" si="3"/>
        <v>-84506768.218939468</v>
      </c>
      <c r="AZ12" s="467">
        <f t="shared" si="3"/>
        <v>-88114994.254108816</v>
      </c>
      <c r="BA12" s="467">
        <f>AZ12+BA11</f>
        <v>10507815.745891184</v>
      </c>
      <c r="BB12" s="467"/>
      <c r="BC12" s="467"/>
      <c r="BD12" s="467"/>
    </row>
    <row r="13" spans="1:56" ht="12.75">
      <c r="A13" s="467"/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</row>
    <row r="14" spans="1:56" ht="12.75">
      <c r="A14" s="482" t="s">
        <v>338</v>
      </c>
      <c r="B14" s="482"/>
      <c r="C14" s="482">
        <f t="array" ref="C14">E11+NPV(B19,F11:BA11)</f>
        <v>-19614528.071355883</v>
      </c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  <c r="U14" s="467"/>
      <c r="V14" s="467"/>
      <c r="W14" s="467"/>
      <c r="X14" s="467"/>
      <c r="Y14" s="467"/>
      <c r="Z14" s="467"/>
      <c r="AA14" s="467"/>
      <c r="AB14" s="467"/>
      <c r="AC14" s="467"/>
      <c r="AD14" s="467"/>
      <c r="AE14" s="467"/>
      <c r="AF14" s="467"/>
      <c r="AG14" s="467"/>
      <c r="AH14" s="467"/>
      <c r="AI14" s="467"/>
      <c r="AJ14" s="467"/>
      <c r="AK14" s="467"/>
      <c r="AL14" s="467"/>
      <c r="AM14" s="467"/>
      <c r="AN14" s="467"/>
      <c r="AO14" s="467"/>
      <c r="AP14" s="467"/>
      <c r="AQ14" s="467"/>
      <c r="AR14" s="467"/>
      <c r="AS14" s="467"/>
      <c r="AT14" s="467"/>
      <c r="AU14" s="467"/>
      <c r="AV14" s="467"/>
      <c r="AW14" s="467"/>
      <c r="AX14" s="467"/>
      <c r="AY14" s="467"/>
      <c r="AZ14" s="467"/>
      <c r="BA14" s="467"/>
      <c r="BB14" s="467"/>
      <c r="BC14" s="467"/>
      <c r="BD14" s="467"/>
    </row>
    <row r="15" spans="1:56" ht="12.75">
      <c r="A15" s="467" t="s">
        <v>339</v>
      </c>
      <c r="B15" s="467"/>
      <c r="C15" s="467">
        <f>NPV(B19,F9:BA9)</f>
        <v>91147798.241965488</v>
      </c>
      <c r="D15" s="467"/>
      <c r="E15" s="467"/>
      <c r="F15" s="467"/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  <c r="AI15" s="467"/>
      <c r="AJ15" s="467"/>
      <c r="AK15" s="467"/>
      <c r="AL15" s="467"/>
      <c r="AM15" s="467"/>
      <c r="AN15" s="467"/>
      <c r="AO15" s="467"/>
      <c r="AP15" s="467"/>
      <c r="AQ15" s="467"/>
      <c r="AR15" s="467"/>
      <c r="AS15" s="467"/>
      <c r="AT15" s="467"/>
      <c r="AU15" s="467"/>
      <c r="AV15" s="467"/>
      <c r="AW15" s="467"/>
      <c r="AX15" s="467"/>
      <c r="AY15" s="467"/>
      <c r="AZ15" s="467"/>
      <c r="BA15" s="467"/>
      <c r="BB15" s="467"/>
      <c r="BC15" s="467"/>
      <c r="BD15" s="467"/>
    </row>
    <row r="16" spans="1:56" ht="12.75">
      <c r="A16" s="482" t="s">
        <v>340</v>
      </c>
      <c r="B16" s="482"/>
      <c r="C16" s="613">
        <f>C14/C15</f>
        <v>-0.21519475455990916</v>
      </c>
      <c r="D16" s="467"/>
      <c r="E16" s="467"/>
      <c r="F16" s="467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  <c r="AE16" s="467"/>
      <c r="AF16" s="467"/>
      <c r="AG16" s="467"/>
      <c r="AH16" s="467"/>
      <c r="AI16" s="467"/>
      <c r="AJ16" s="467"/>
      <c r="AK16" s="467"/>
      <c r="AL16" s="467"/>
      <c r="AM16" s="467"/>
      <c r="AN16" s="467"/>
      <c r="AO16" s="467"/>
      <c r="AP16" s="467"/>
      <c r="AQ16" s="467"/>
      <c r="AR16" s="467"/>
      <c r="AS16" s="467"/>
      <c r="AT16" s="467"/>
      <c r="AU16" s="467"/>
      <c r="AV16" s="467"/>
      <c r="AW16" s="467"/>
      <c r="AX16" s="467"/>
      <c r="AY16" s="467"/>
      <c r="AZ16" s="467"/>
      <c r="BA16" s="467"/>
      <c r="BB16" s="467"/>
      <c r="BC16" s="467"/>
      <c r="BD16" s="467"/>
    </row>
    <row r="17" spans="1:56" ht="12.75">
      <c r="A17" s="482" t="s">
        <v>341</v>
      </c>
      <c r="B17" s="482"/>
      <c r="C17" s="482">
        <f>MIN(E12:BA12)</f>
        <v>-88114994.254108816</v>
      </c>
      <c r="D17" s="467"/>
      <c r="E17" s="467"/>
      <c r="F17" s="467"/>
      <c r="G17" s="467"/>
      <c r="H17" s="467"/>
      <c r="I17" s="467"/>
      <c r="J17" s="467"/>
      <c r="K17" s="467"/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  <c r="W17" s="467"/>
      <c r="X17" s="467"/>
      <c r="Y17" s="467"/>
      <c r="Z17" s="467"/>
      <c r="AA17" s="467"/>
      <c r="AB17" s="467"/>
      <c r="AC17" s="467"/>
      <c r="AD17" s="467"/>
      <c r="AE17" s="467"/>
      <c r="AF17" s="467"/>
      <c r="AG17" s="467"/>
      <c r="AH17" s="467"/>
      <c r="AI17" s="467"/>
      <c r="AJ17" s="467"/>
      <c r="AK17" s="467"/>
      <c r="AL17" s="467"/>
      <c r="AM17" s="467"/>
      <c r="AN17" s="467"/>
      <c r="AO17" s="467"/>
      <c r="AP17" s="467"/>
      <c r="AQ17" s="467"/>
      <c r="AR17" s="467"/>
      <c r="AS17" s="467"/>
      <c r="AT17" s="467"/>
      <c r="AU17" s="467"/>
      <c r="AV17" s="467"/>
      <c r="AW17" s="467"/>
      <c r="AX17" s="467"/>
      <c r="AY17" s="467"/>
      <c r="AZ17" s="467"/>
      <c r="BA17" s="467"/>
      <c r="BB17" s="467"/>
      <c r="BC17" s="467"/>
      <c r="BD17" s="467"/>
    </row>
    <row r="18" spans="1:56" ht="12.75">
      <c r="A18" s="614" t="s">
        <v>450</v>
      </c>
      <c r="B18" s="484">
        <v>0.18</v>
      </c>
      <c r="C18" s="467" t="s">
        <v>343</v>
      </c>
      <c r="D18" s="467"/>
      <c r="E18" s="467"/>
      <c r="F18" s="467"/>
      <c r="G18" s="467"/>
      <c r="H18" s="467"/>
      <c r="I18" s="467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  <c r="U18" s="467"/>
      <c r="V18" s="467"/>
      <c r="W18" s="467"/>
      <c r="X18" s="467"/>
      <c r="Y18" s="467"/>
      <c r="Z18" s="467"/>
      <c r="AA18" s="467"/>
      <c r="AB18" s="467"/>
      <c r="AC18" s="467"/>
      <c r="AD18" s="467"/>
      <c r="AE18" s="467"/>
      <c r="AF18" s="467"/>
      <c r="AG18" s="467"/>
      <c r="AH18" s="467"/>
      <c r="AI18" s="467"/>
      <c r="AJ18" s="467"/>
      <c r="AK18" s="467"/>
      <c r="AL18" s="467"/>
      <c r="AM18" s="467"/>
      <c r="AN18" s="467"/>
      <c r="AO18" s="467"/>
      <c r="AP18" s="467"/>
      <c r="AQ18" s="467"/>
      <c r="AR18" s="467"/>
      <c r="AS18" s="467"/>
      <c r="AT18" s="467"/>
      <c r="AU18" s="467"/>
      <c r="AV18" s="467"/>
      <c r="AW18" s="467"/>
      <c r="AX18" s="467"/>
      <c r="AY18" s="467"/>
      <c r="AZ18" s="467"/>
      <c r="BA18" s="467"/>
      <c r="BB18" s="467"/>
      <c r="BC18" s="467"/>
      <c r="BD18" s="467"/>
    </row>
    <row r="19" spans="1:56" ht="12.75">
      <c r="A19" s="467"/>
      <c r="B19" s="485">
        <f>B18/12</f>
        <v>1.4999999999999999E-2</v>
      </c>
      <c r="C19" s="467" t="s">
        <v>344</v>
      </c>
      <c r="D19" s="467"/>
      <c r="E19" s="467"/>
      <c r="F19" s="467"/>
      <c r="G19" s="467"/>
      <c r="H19" s="467"/>
      <c r="I19" s="467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67"/>
      <c r="AD19" s="467"/>
      <c r="AE19" s="467"/>
      <c r="AF19" s="467"/>
      <c r="AG19" s="467"/>
      <c r="AH19" s="467"/>
      <c r="AI19" s="467"/>
      <c r="AJ19" s="467"/>
      <c r="AK19" s="467"/>
      <c r="AL19" s="467"/>
      <c r="AM19" s="467"/>
      <c r="AN19" s="467"/>
      <c r="AO19" s="467"/>
      <c r="AP19" s="467"/>
      <c r="AQ19" s="467"/>
      <c r="AR19" s="467"/>
      <c r="AS19" s="467"/>
      <c r="AT19" s="467"/>
      <c r="AU19" s="467"/>
      <c r="AV19" s="467"/>
      <c r="AW19" s="467"/>
      <c r="AX19" s="467"/>
      <c r="AY19" s="467"/>
      <c r="AZ19" s="467"/>
      <c r="BA19" s="467"/>
      <c r="BB19" s="467"/>
      <c r="BC19" s="467"/>
      <c r="BD19" s="467"/>
    </row>
    <row r="20" spans="1:56" ht="12.75" customHeight="1">
      <c r="A20" s="467"/>
      <c r="B20" s="467"/>
      <c r="C20" s="467"/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  <c r="O20" s="467"/>
      <c r="P20" s="467"/>
      <c r="Q20" s="467"/>
      <c r="R20" s="467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7"/>
      <c r="AO20" s="467"/>
      <c r="AP20" s="467"/>
      <c r="AQ20" s="467"/>
      <c r="AR20" s="467"/>
      <c r="AS20" s="467"/>
      <c r="AT20" s="467"/>
      <c r="AU20" s="467"/>
      <c r="AV20" s="467"/>
      <c r="AW20" s="467"/>
      <c r="AX20" s="467"/>
      <c r="AY20" s="467"/>
      <c r="AZ20" s="467"/>
      <c r="BA20" s="467"/>
      <c r="BB20" s="467"/>
      <c r="BC20" s="467"/>
      <c r="BD20" s="467"/>
    </row>
    <row r="21" spans="1:56" ht="12.75" customHeight="1">
      <c r="A21" s="467"/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67"/>
      <c r="AQ21" s="467"/>
      <c r="AR21" s="467"/>
      <c r="AS21" s="467"/>
      <c r="AT21" s="467"/>
      <c r="AU21" s="467"/>
      <c r="AV21" s="467"/>
      <c r="AW21" s="467"/>
      <c r="AX21" s="467"/>
      <c r="AY21" s="467"/>
      <c r="AZ21" s="467"/>
      <c r="BA21" s="467"/>
      <c r="BB21" s="467"/>
      <c r="BC21" s="467"/>
      <c r="BD21" s="467"/>
    </row>
    <row r="22" spans="1:56" ht="15.75" customHeight="1"/>
    <row r="23" spans="1:56" ht="15.75" customHeight="1"/>
    <row r="24" spans="1:56" ht="15.75" customHeight="1"/>
    <row r="25" spans="1:56" ht="15.75" customHeight="1"/>
    <row r="26" spans="1:56" ht="15.75" customHeight="1"/>
    <row r="27" spans="1:56" ht="15.75" customHeight="1"/>
    <row r="28" spans="1:56" ht="15.75" customHeight="1"/>
    <row r="29" spans="1:56" ht="15.75" customHeight="1"/>
    <row r="30" spans="1:56" ht="15.75" customHeight="1"/>
    <row r="31" spans="1:56" ht="15.75" customHeight="1"/>
    <row r="32" spans="1:5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B2:BB3"/>
    <mergeCell ref="A1:C1"/>
  </mergeCells>
  <conditionalFormatting sqref="C16">
    <cfRule type="cellIs" dxfId="1" priority="1" operator="lessThan">
      <formula>0</formula>
    </cfRule>
  </conditionalFormatting>
  <pageMargins left="0.511811024" right="0.511811024" top="0.78740157499999996" bottom="0.78740157499999996" header="0" footer="0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D1000"/>
  <sheetViews>
    <sheetView workbookViewId="0"/>
  </sheetViews>
  <sheetFormatPr defaultColWidth="12.5703125" defaultRowHeight="15" customHeight="1"/>
  <cols>
    <col min="1" max="6" width="8.7109375" customWidth="1"/>
    <col min="7" max="26" width="14.42578125" customWidth="1"/>
  </cols>
  <sheetData>
    <row r="1" spans="1:4" ht="12.75" customHeight="1"/>
    <row r="2" spans="1:4" ht="12.75" customHeight="1"/>
    <row r="3" spans="1:4" ht="12.75" customHeight="1">
      <c r="A3" s="2" t="s">
        <v>345</v>
      </c>
      <c r="C3" s="2" t="s">
        <v>346</v>
      </c>
      <c r="D3" s="2" t="s">
        <v>347</v>
      </c>
    </row>
    <row r="4" spans="1:4" ht="12.75" customHeight="1">
      <c r="A4" s="2" t="s">
        <v>348</v>
      </c>
      <c r="B4" s="376">
        <v>0.15</v>
      </c>
      <c r="C4" s="486">
        <f t="shared" ref="C4:C6" si="0">B4/$C$9</f>
        <v>1.8749999999999999E-2</v>
      </c>
      <c r="D4" s="2">
        <v>24</v>
      </c>
    </row>
    <row r="5" spans="1:4" ht="12.75" customHeight="1">
      <c r="A5" s="2" t="s">
        <v>349</v>
      </c>
      <c r="B5" s="376">
        <v>0.3</v>
      </c>
      <c r="C5" s="486">
        <f t="shared" si="0"/>
        <v>3.7499999999999999E-2</v>
      </c>
      <c r="D5" s="2">
        <v>32</v>
      </c>
    </row>
    <row r="6" spans="1:4" ht="12.75" customHeight="1">
      <c r="A6" s="2" t="s">
        <v>350</v>
      </c>
      <c r="B6" s="376">
        <v>0.55000000000000004</v>
      </c>
      <c r="C6" s="486">
        <f t="shared" si="0"/>
        <v>6.8750000000000006E-2</v>
      </c>
      <c r="D6" s="2">
        <v>40</v>
      </c>
    </row>
    <row r="7" spans="1:4" ht="12.75" customHeight="1"/>
    <row r="8" spans="1:4" ht="12.75" customHeight="1">
      <c r="A8" s="2" t="s">
        <v>351</v>
      </c>
      <c r="C8" s="375">
        <v>24</v>
      </c>
      <c r="D8" s="2" t="s">
        <v>352</v>
      </c>
    </row>
    <row r="9" spans="1:4" ht="12.75" customHeight="1">
      <c r="A9" s="2" t="s">
        <v>353</v>
      </c>
      <c r="C9" s="2">
        <f>C8/3</f>
        <v>8</v>
      </c>
      <c r="D9" s="2" t="s">
        <v>352</v>
      </c>
    </row>
    <row r="10" spans="1:4" ht="12.75" customHeight="1"/>
    <row r="11" spans="1:4" ht="12.75" customHeight="1"/>
    <row r="12" spans="1:4" ht="12.75" customHeight="1"/>
    <row r="13" spans="1:4" ht="12.75" customHeight="1"/>
    <row r="14" spans="1:4" ht="12.75" customHeight="1"/>
    <row r="15" spans="1:4" ht="12.75" customHeight="1"/>
    <row r="16" spans="1: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AR1000"/>
  <sheetViews>
    <sheetView workbookViewId="0"/>
  </sheetViews>
  <sheetFormatPr defaultColWidth="12.5703125" defaultRowHeight="15" customHeight="1"/>
  <cols>
    <col min="1" max="1" width="14.140625" customWidth="1"/>
    <col min="2" max="2" width="10.85546875" customWidth="1"/>
    <col min="3" max="3" width="10.7109375" customWidth="1"/>
    <col min="4" max="5" width="14.28515625" customWidth="1"/>
    <col min="6" max="6" width="3.7109375" customWidth="1"/>
    <col min="7" max="7" width="10.5703125" customWidth="1"/>
    <col min="8" max="8" width="9.28515625" customWidth="1"/>
    <col min="9" max="9" width="11.28515625" customWidth="1"/>
    <col min="10" max="43" width="8.7109375" customWidth="1"/>
    <col min="44" max="44" width="9.28515625" customWidth="1"/>
  </cols>
  <sheetData>
    <row r="1" spans="1:44" ht="12.75" customHeight="1">
      <c r="A1" s="2"/>
      <c r="B1" s="2"/>
      <c r="C1" s="2"/>
      <c r="D1" s="2"/>
      <c r="E1" s="2"/>
      <c r="F1" s="2"/>
      <c r="G1" s="2"/>
      <c r="H1" s="2"/>
      <c r="I1" s="2"/>
      <c r="AR1" s="2"/>
    </row>
    <row r="2" spans="1:44" ht="12.75" customHeight="1">
      <c r="A2" s="2" t="s">
        <v>354</v>
      </c>
      <c r="B2" s="2"/>
      <c r="C2" s="376">
        <v>0.25</v>
      </c>
      <c r="D2" s="43"/>
      <c r="E2" s="43"/>
      <c r="F2" s="43"/>
      <c r="G2" s="43"/>
      <c r="H2" s="2"/>
      <c r="I2" s="2"/>
      <c r="AR2" s="2"/>
    </row>
    <row r="3" spans="1:44" ht="12.75" customHeight="1">
      <c r="A3" s="2"/>
      <c r="B3" s="2"/>
      <c r="C3" s="2"/>
      <c r="D3" s="2"/>
      <c r="E3" s="2"/>
      <c r="F3" s="2"/>
      <c r="G3" s="2"/>
      <c r="H3" s="2"/>
      <c r="I3" s="2"/>
      <c r="AR3" s="2"/>
    </row>
    <row r="4" spans="1:44" ht="39.75" customHeight="1">
      <c r="A4" s="2"/>
      <c r="B4" s="2"/>
      <c r="C4" s="487" t="s">
        <v>354</v>
      </c>
      <c r="D4" s="487" t="s">
        <v>355</v>
      </c>
      <c r="E4" s="487" t="s">
        <v>356</v>
      </c>
      <c r="F4" s="487"/>
      <c r="G4" s="487" t="s">
        <v>357</v>
      </c>
      <c r="H4" s="2">
        <v>12</v>
      </c>
      <c r="I4" s="2">
        <v>13</v>
      </c>
      <c r="J4" s="2">
        <v>14</v>
      </c>
      <c r="K4" s="2">
        <v>15</v>
      </c>
      <c r="L4" s="2">
        <v>16</v>
      </c>
      <c r="M4" s="2">
        <v>17</v>
      </c>
      <c r="N4" s="2">
        <v>18</v>
      </c>
      <c r="O4" s="2">
        <v>19</v>
      </c>
      <c r="P4" s="2">
        <v>20</v>
      </c>
      <c r="Q4" s="2">
        <v>21</v>
      </c>
      <c r="R4" s="2">
        <v>22</v>
      </c>
      <c r="S4" s="2">
        <v>23</v>
      </c>
      <c r="T4" s="2">
        <v>24</v>
      </c>
      <c r="U4" s="2">
        <v>25</v>
      </c>
      <c r="V4" s="2">
        <v>26</v>
      </c>
      <c r="W4" s="2">
        <v>27</v>
      </c>
      <c r="X4" s="2">
        <v>28</v>
      </c>
      <c r="Y4" s="2">
        <v>29</v>
      </c>
      <c r="Z4" s="2">
        <v>30</v>
      </c>
      <c r="AA4" s="2">
        <v>31</v>
      </c>
      <c r="AB4" s="2">
        <v>32</v>
      </c>
      <c r="AC4" s="2">
        <v>33</v>
      </c>
      <c r="AD4" s="2">
        <v>34</v>
      </c>
      <c r="AE4" s="2">
        <v>35</v>
      </c>
      <c r="AF4" s="2">
        <v>36</v>
      </c>
      <c r="AG4" s="2">
        <v>37</v>
      </c>
      <c r="AH4" s="2">
        <v>38</v>
      </c>
      <c r="AI4" s="2">
        <v>39</v>
      </c>
      <c r="AJ4" s="2">
        <v>40</v>
      </c>
      <c r="AK4" s="2">
        <v>41</v>
      </c>
      <c r="AL4" s="2">
        <v>42</v>
      </c>
      <c r="AM4" s="2">
        <v>43</v>
      </c>
      <c r="AN4" s="2">
        <v>44</v>
      </c>
      <c r="AO4" s="2">
        <v>45</v>
      </c>
      <c r="AP4" s="2">
        <v>46</v>
      </c>
      <c r="AQ4" s="2">
        <v>47</v>
      </c>
      <c r="AR4" s="2">
        <v>48</v>
      </c>
    </row>
    <row r="5" spans="1:44" ht="12.75" customHeight="1">
      <c r="A5" s="2" t="s">
        <v>331</v>
      </c>
      <c r="B5" s="376">
        <v>0.4</v>
      </c>
      <c r="C5" s="171">
        <f>B5*C2</f>
        <v>0.1</v>
      </c>
      <c r="D5" s="171">
        <f t="shared" ref="D5:D6" si="0">B5-C5</f>
        <v>0.30000000000000004</v>
      </c>
      <c r="E5" s="11">
        <v>36</v>
      </c>
      <c r="F5" s="2"/>
      <c r="G5" s="43">
        <f t="shared" ref="G5:G8" si="1">SUM(H5:AR5)</f>
        <v>0.40000000000000008</v>
      </c>
      <c r="H5" s="488">
        <f t="shared" ref="H5:AQ5" si="2">$C$5/$E$5</f>
        <v>2.7777777777777779E-3</v>
      </c>
      <c r="I5" s="488">
        <f t="shared" si="2"/>
        <v>2.7777777777777779E-3</v>
      </c>
      <c r="J5" s="488">
        <f t="shared" si="2"/>
        <v>2.7777777777777779E-3</v>
      </c>
      <c r="K5" s="488">
        <f t="shared" si="2"/>
        <v>2.7777777777777779E-3</v>
      </c>
      <c r="L5" s="488">
        <f t="shared" si="2"/>
        <v>2.7777777777777779E-3</v>
      </c>
      <c r="M5" s="488">
        <f t="shared" si="2"/>
        <v>2.7777777777777779E-3</v>
      </c>
      <c r="N5" s="488">
        <f t="shared" si="2"/>
        <v>2.7777777777777779E-3</v>
      </c>
      <c r="O5" s="488">
        <f t="shared" si="2"/>
        <v>2.7777777777777779E-3</v>
      </c>
      <c r="P5" s="488">
        <f t="shared" si="2"/>
        <v>2.7777777777777779E-3</v>
      </c>
      <c r="Q5" s="488">
        <f t="shared" si="2"/>
        <v>2.7777777777777779E-3</v>
      </c>
      <c r="R5" s="488">
        <f t="shared" si="2"/>
        <v>2.7777777777777779E-3</v>
      </c>
      <c r="S5" s="488">
        <f t="shared" si="2"/>
        <v>2.7777777777777779E-3</v>
      </c>
      <c r="T5" s="488">
        <f t="shared" si="2"/>
        <v>2.7777777777777779E-3</v>
      </c>
      <c r="U5" s="488">
        <f t="shared" si="2"/>
        <v>2.7777777777777779E-3</v>
      </c>
      <c r="V5" s="488">
        <f t="shared" si="2"/>
        <v>2.7777777777777779E-3</v>
      </c>
      <c r="W5" s="488">
        <f t="shared" si="2"/>
        <v>2.7777777777777779E-3</v>
      </c>
      <c r="X5" s="488">
        <f t="shared" si="2"/>
        <v>2.7777777777777779E-3</v>
      </c>
      <c r="Y5" s="488">
        <f t="shared" si="2"/>
        <v>2.7777777777777779E-3</v>
      </c>
      <c r="Z5" s="488">
        <f t="shared" si="2"/>
        <v>2.7777777777777779E-3</v>
      </c>
      <c r="AA5" s="488">
        <f t="shared" si="2"/>
        <v>2.7777777777777779E-3</v>
      </c>
      <c r="AB5" s="488">
        <f t="shared" si="2"/>
        <v>2.7777777777777779E-3</v>
      </c>
      <c r="AC5" s="488">
        <f t="shared" si="2"/>
        <v>2.7777777777777779E-3</v>
      </c>
      <c r="AD5" s="488">
        <f t="shared" si="2"/>
        <v>2.7777777777777779E-3</v>
      </c>
      <c r="AE5" s="488">
        <f t="shared" si="2"/>
        <v>2.7777777777777779E-3</v>
      </c>
      <c r="AF5" s="488">
        <f t="shared" si="2"/>
        <v>2.7777777777777779E-3</v>
      </c>
      <c r="AG5" s="488">
        <f t="shared" si="2"/>
        <v>2.7777777777777779E-3</v>
      </c>
      <c r="AH5" s="488">
        <f t="shared" si="2"/>
        <v>2.7777777777777779E-3</v>
      </c>
      <c r="AI5" s="488">
        <f t="shared" si="2"/>
        <v>2.7777777777777779E-3</v>
      </c>
      <c r="AJ5" s="488">
        <f t="shared" si="2"/>
        <v>2.7777777777777779E-3</v>
      </c>
      <c r="AK5" s="488">
        <f t="shared" si="2"/>
        <v>2.7777777777777779E-3</v>
      </c>
      <c r="AL5" s="488">
        <f t="shared" si="2"/>
        <v>2.7777777777777779E-3</v>
      </c>
      <c r="AM5" s="488">
        <f t="shared" si="2"/>
        <v>2.7777777777777779E-3</v>
      </c>
      <c r="AN5" s="488">
        <f t="shared" si="2"/>
        <v>2.7777777777777779E-3</v>
      </c>
      <c r="AO5" s="488">
        <f t="shared" si="2"/>
        <v>2.7777777777777779E-3</v>
      </c>
      <c r="AP5" s="488">
        <f t="shared" si="2"/>
        <v>2.7777777777777779E-3</v>
      </c>
      <c r="AQ5" s="488">
        <f t="shared" si="2"/>
        <v>2.7777777777777779E-3</v>
      </c>
      <c r="AR5" s="171">
        <f t="shared" ref="AR5:AR7" si="3">D5</f>
        <v>0.30000000000000004</v>
      </c>
    </row>
    <row r="6" spans="1:44" ht="12.75" customHeight="1">
      <c r="A6" s="2" t="s">
        <v>358</v>
      </c>
      <c r="B6" s="376">
        <v>0.3</v>
      </c>
      <c r="C6" s="171">
        <f>B6*C2</f>
        <v>7.4999999999999997E-2</v>
      </c>
      <c r="D6" s="171">
        <f t="shared" si="0"/>
        <v>0.22499999999999998</v>
      </c>
      <c r="E6" s="11">
        <v>18</v>
      </c>
      <c r="F6" s="2"/>
      <c r="G6" s="43">
        <f t="shared" si="1"/>
        <v>0.3</v>
      </c>
      <c r="H6" s="488"/>
      <c r="I6" s="488"/>
      <c r="J6" s="488"/>
      <c r="K6" s="488"/>
      <c r="L6" s="488"/>
      <c r="M6" s="488"/>
      <c r="N6" s="488"/>
      <c r="O6" s="488"/>
      <c r="P6" s="488"/>
      <c r="Q6" s="488"/>
      <c r="R6" s="488"/>
      <c r="S6" s="488"/>
      <c r="T6" s="488"/>
      <c r="U6" s="488"/>
      <c r="V6" s="488"/>
      <c r="W6" s="488"/>
      <c r="X6" s="488"/>
      <c r="Y6" s="488"/>
      <c r="Z6" s="488">
        <f t="shared" ref="Z6:AQ6" si="4">$C$6/$E$6</f>
        <v>4.1666666666666666E-3</v>
      </c>
      <c r="AA6" s="488">
        <f t="shared" si="4"/>
        <v>4.1666666666666666E-3</v>
      </c>
      <c r="AB6" s="488">
        <f t="shared" si="4"/>
        <v>4.1666666666666666E-3</v>
      </c>
      <c r="AC6" s="488">
        <f t="shared" si="4"/>
        <v>4.1666666666666666E-3</v>
      </c>
      <c r="AD6" s="488">
        <f t="shared" si="4"/>
        <v>4.1666666666666666E-3</v>
      </c>
      <c r="AE6" s="488">
        <f t="shared" si="4"/>
        <v>4.1666666666666666E-3</v>
      </c>
      <c r="AF6" s="488">
        <f t="shared" si="4"/>
        <v>4.1666666666666666E-3</v>
      </c>
      <c r="AG6" s="488">
        <f t="shared" si="4"/>
        <v>4.1666666666666666E-3</v>
      </c>
      <c r="AH6" s="488">
        <f t="shared" si="4"/>
        <v>4.1666666666666666E-3</v>
      </c>
      <c r="AI6" s="488">
        <f t="shared" si="4"/>
        <v>4.1666666666666666E-3</v>
      </c>
      <c r="AJ6" s="488">
        <f t="shared" si="4"/>
        <v>4.1666666666666666E-3</v>
      </c>
      <c r="AK6" s="488">
        <f t="shared" si="4"/>
        <v>4.1666666666666666E-3</v>
      </c>
      <c r="AL6" s="488">
        <f t="shared" si="4"/>
        <v>4.1666666666666666E-3</v>
      </c>
      <c r="AM6" s="488">
        <f t="shared" si="4"/>
        <v>4.1666666666666666E-3</v>
      </c>
      <c r="AN6" s="488">
        <f t="shared" si="4"/>
        <v>4.1666666666666666E-3</v>
      </c>
      <c r="AO6" s="488">
        <f t="shared" si="4"/>
        <v>4.1666666666666666E-3</v>
      </c>
      <c r="AP6" s="488">
        <f t="shared" si="4"/>
        <v>4.1666666666666666E-3</v>
      </c>
      <c r="AQ6" s="488">
        <f t="shared" si="4"/>
        <v>4.1666666666666666E-3</v>
      </c>
      <c r="AR6" s="171">
        <f t="shared" si="3"/>
        <v>0.22499999999999998</v>
      </c>
    </row>
    <row r="7" spans="1:44" ht="12.75" customHeight="1">
      <c r="A7" s="2" t="s">
        <v>359</v>
      </c>
      <c r="B7" s="489">
        <v>0.3</v>
      </c>
      <c r="C7" s="490" t="s">
        <v>55</v>
      </c>
      <c r="D7" s="267">
        <f>B7</f>
        <v>0.3</v>
      </c>
      <c r="E7" s="11">
        <v>0</v>
      </c>
      <c r="F7" s="2"/>
      <c r="G7" s="43">
        <f t="shared" si="1"/>
        <v>0.3</v>
      </c>
      <c r="H7" s="49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67">
        <f t="shared" si="3"/>
        <v>0.3</v>
      </c>
    </row>
    <row r="8" spans="1:44" ht="12.75" customHeight="1">
      <c r="A8" s="2"/>
      <c r="B8" s="43">
        <f t="shared" ref="B8:D8" si="5">SUM(B5:B7)</f>
        <v>1</v>
      </c>
      <c r="C8" s="171">
        <f t="shared" si="5"/>
        <v>0.17499999999999999</v>
      </c>
      <c r="D8" s="171">
        <f t="shared" si="5"/>
        <v>0.82499999999999996</v>
      </c>
      <c r="E8" s="171"/>
      <c r="F8" s="2"/>
      <c r="G8" s="43">
        <f t="shared" si="1"/>
        <v>1</v>
      </c>
      <c r="H8" s="488">
        <f t="shared" ref="H8:AR8" si="6">SUM(H5:H7)</f>
        <v>2.7777777777777779E-3</v>
      </c>
      <c r="I8" s="488">
        <f t="shared" si="6"/>
        <v>2.7777777777777779E-3</v>
      </c>
      <c r="J8" s="488">
        <f t="shared" si="6"/>
        <v>2.7777777777777779E-3</v>
      </c>
      <c r="K8" s="488">
        <f t="shared" si="6"/>
        <v>2.7777777777777779E-3</v>
      </c>
      <c r="L8" s="488">
        <f t="shared" si="6"/>
        <v>2.7777777777777779E-3</v>
      </c>
      <c r="M8" s="488">
        <f t="shared" si="6"/>
        <v>2.7777777777777779E-3</v>
      </c>
      <c r="N8" s="488">
        <f t="shared" si="6"/>
        <v>2.7777777777777779E-3</v>
      </c>
      <c r="O8" s="488">
        <f t="shared" si="6"/>
        <v>2.7777777777777779E-3</v>
      </c>
      <c r="P8" s="488">
        <f t="shared" si="6"/>
        <v>2.7777777777777779E-3</v>
      </c>
      <c r="Q8" s="488">
        <f t="shared" si="6"/>
        <v>2.7777777777777779E-3</v>
      </c>
      <c r="R8" s="488">
        <f t="shared" si="6"/>
        <v>2.7777777777777779E-3</v>
      </c>
      <c r="S8" s="488">
        <f t="shared" si="6"/>
        <v>2.7777777777777779E-3</v>
      </c>
      <c r="T8" s="488">
        <f t="shared" si="6"/>
        <v>2.7777777777777779E-3</v>
      </c>
      <c r="U8" s="488">
        <f t="shared" si="6"/>
        <v>2.7777777777777779E-3</v>
      </c>
      <c r="V8" s="488">
        <f t="shared" si="6"/>
        <v>2.7777777777777779E-3</v>
      </c>
      <c r="W8" s="488">
        <f t="shared" si="6"/>
        <v>2.7777777777777779E-3</v>
      </c>
      <c r="X8" s="488">
        <f t="shared" si="6"/>
        <v>2.7777777777777779E-3</v>
      </c>
      <c r="Y8" s="488">
        <f t="shared" si="6"/>
        <v>2.7777777777777779E-3</v>
      </c>
      <c r="Z8" s="488">
        <f t="shared" si="6"/>
        <v>6.9444444444444441E-3</v>
      </c>
      <c r="AA8" s="488">
        <f t="shared" si="6"/>
        <v>6.9444444444444441E-3</v>
      </c>
      <c r="AB8" s="488">
        <f t="shared" si="6"/>
        <v>6.9444444444444441E-3</v>
      </c>
      <c r="AC8" s="488">
        <f t="shared" si="6"/>
        <v>6.9444444444444441E-3</v>
      </c>
      <c r="AD8" s="488">
        <f t="shared" si="6"/>
        <v>6.9444444444444441E-3</v>
      </c>
      <c r="AE8" s="488">
        <f t="shared" si="6"/>
        <v>6.9444444444444441E-3</v>
      </c>
      <c r="AF8" s="488">
        <f t="shared" si="6"/>
        <v>6.9444444444444441E-3</v>
      </c>
      <c r="AG8" s="488">
        <f t="shared" si="6"/>
        <v>6.9444444444444441E-3</v>
      </c>
      <c r="AH8" s="488">
        <f t="shared" si="6"/>
        <v>6.9444444444444441E-3</v>
      </c>
      <c r="AI8" s="488">
        <f t="shared" si="6"/>
        <v>6.9444444444444441E-3</v>
      </c>
      <c r="AJ8" s="488">
        <f t="shared" si="6"/>
        <v>6.9444444444444441E-3</v>
      </c>
      <c r="AK8" s="488">
        <f t="shared" si="6"/>
        <v>6.9444444444444441E-3</v>
      </c>
      <c r="AL8" s="488">
        <f t="shared" si="6"/>
        <v>6.9444444444444441E-3</v>
      </c>
      <c r="AM8" s="488">
        <f t="shared" si="6"/>
        <v>6.9444444444444441E-3</v>
      </c>
      <c r="AN8" s="488">
        <f t="shared" si="6"/>
        <v>6.9444444444444441E-3</v>
      </c>
      <c r="AO8" s="488">
        <f t="shared" si="6"/>
        <v>6.9444444444444441E-3</v>
      </c>
      <c r="AP8" s="488">
        <f t="shared" si="6"/>
        <v>6.9444444444444441E-3</v>
      </c>
      <c r="AQ8" s="488">
        <f t="shared" si="6"/>
        <v>6.9444444444444441E-3</v>
      </c>
      <c r="AR8" s="171">
        <f t="shared" si="6"/>
        <v>0.82499999999999996</v>
      </c>
    </row>
    <row r="9" spans="1:44" ht="12.75" customHeight="1">
      <c r="A9" s="2"/>
      <c r="B9" s="2"/>
      <c r="C9" s="2"/>
      <c r="D9" s="2"/>
      <c r="E9" s="2"/>
      <c r="F9" s="2"/>
      <c r="G9" s="2"/>
      <c r="H9" s="2"/>
      <c r="I9" s="2"/>
      <c r="AR9" s="2"/>
    </row>
    <row r="10" spans="1:44" ht="12.75" customHeight="1">
      <c r="A10" s="2"/>
      <c r="B10" s="2"/>
      <c r="C10" s="2"/>
      <c r="D10" s="2"/>
      <c r="E10" s="2"/>
      <c r="F10" s="2"/>
      <c r="G10" s="2"/>
      <c r="H10" s="2"/>
      <c r="I10" s="2"/>
      <c r="AR10" s="2"/>
    </row>
    <row r="11" spans="1:44" ht="12.75" customHeight="1">
      <c r="A11" s="2"/>
      <c r="B11" s="2"/>
      <c r="C11" s="2"/>
      <c r="D11" s="2"/>
      <c r="E11" s="2"/>
      <c r="F11" s="2"/>
      <c r="G11" s="2"/>
      <c r="H11" s="2"/>
      <c r="I11" s="2"/>
      <c r="AR11" s="2"/>
    </row>
    <row r="12" spans="1:44" ht="12.75" customHeight="1">
      <c r="A12" s="2"/>
      <c r="B12" s="2"/>
      <c r="C12" s="2"/>
      <c r="D12" s="2"/>
      <c r="E12" s="2"/>
      <c r="F12" s="2"/>
      <c r="G12" s="2"/>
      <c r="H12" s="2"/>
      <c r="I12" s="2"/>
      <c r="AR12" s="2"/>
    </row>
    <row r="13" spans="1:44" ht="12.75" customHeight="1">
      <c r="A13" s="2"/>
      <c r="B13" s="2"/>
      <c r="C13" s="2"/>
      <c r="D13" s="2"/>
      <c r="E13" s="2"/>
      <c r="F13" s="2"/>
      <c r="G13" s="2"/>
      <c r="H13" s="2"/>
      <c r="I13" s="2"/>
      <c r="AR13" s="2"/>
    </row>
    <row r="14" spans="1:44" ht="12.75" customHeight="1">
      <c r="A14" s="2"/>
      <c r="B14" s="2"/>
      <c r="C14" s="2"/>
      <c r="D14" s="2"/>
      <c r="E14" s="2"/>
      <c r="F14" s="2"/>
      <c r="G14" s="2"/>
      <c r="H14" s="2"/>
      <c r="I14" s="2"/>
      <c r="AR14" s="2"/>
    </row>
    <row r="15" spans="1:44" ht="12.75" customHeight="1">
      <c r="A15" s="2"/>
      <c r="B15" s="2"/>
      <c r="C15" s="2"/>
      <c r="D15" s="2"/>
      <c r="E15" s="2"/>
      <c r="F15" s="2"/>
      <c r="G15" s="2"/>
      <c r="H15" s="2"/>
      <c r="I15" s="2"/>
      <c r="AR15" s="2"/>
    </row>
    <row r="16" spans="1:44" ht="12.75" customHeight="1">
      <c r="A16" s="2"/>
      <c r="B16" s="2"/>
      <c r="C16" s="2"/>
      <c r="D16" s="2"/>
      <c r="E16" s="2"/>
      <c r="F16" s="2"/>
      <c r="G16" s="2"/>
      <c r="H16" s="2"/>
      <c r="I16" s="2"/>
      <c r="AR16" s="2"/>
    </row>
    <row r="17" spans="1:44" ht="12.75" customHeight="1">
      <c r="A17" s="2"/>
      <c r="B17" s="2"/>
      <c r="C17" s="2"/>
      <c r="D17" s="2"/>
      <c r="E17" s="2"/>
      <c r="F17" s="2"/>
      <c r="G17" s="2"/>
      <c r="H17" s="2"/>
      <c r="I17" s="2"/>
      <c r="AR17" s="2"/>
    </row>
    <row r="18" spans="1:44" ht="12.75" customHeight="1">
      <c r="A18" s="2"/>
      <c r="B18" s="2"/>
      <c r="C18" s="2"/>
      <c r="D18" s="2"/>
      <c r="E18" s="2"/>
      <c r="F18" s="2"/>
      <c r="G18" s="2"/>
      <c r="H18" s="2"/>
      <c r="I18" s="2"/>
      <c r="AR18" s="2"/>
    </row>
    <row r="19" spans="1:44" ht="12.75" customHeight="1">
      <c r="A19" s="2"/>
      <c r="B19" s="2"/>
      <c r="C19" s="2"/>
      <c r="D19" s="2"/>
      <c r="E19" s="2"/>
      <c r="F19" s="2"/>
      <c r="G19" s="2"/>
      <c r="H19" s="2"/>
      <c r="I19" s="2"/>
      <c r="AR19" s="2"/>
    </row>
    <row r="20" spans="1:44" ht="12.75" customHeight="1">
      <c r="A20" s="2"/>
      <c r="B20" s="2"/>
      <c r="C20" s="2"/>
      <c r="D20" s="2"/>
      <c r="E20" s="2"/>
      <c r="F20" s="2"/>
      <c r="G20" s="2"/>
      <c r="H20" s="2"/>
      <c r="I20" s="2"/>
      <c r="AR20" s="2"/>
    </row>
    <row r="21" spans="1:44" ht="12.75" customHeight="1">
      <c r="A21" s="2"/>
      <c r="B21" s="2"/>
      <c r="C21" s="2"/>
      <c r="D21" s="2"/>
      <c r="E21" s="2"/>
      <c r="F21" s="2"/>
      <c r="G21" s="2"/>
      <c r="H21" s="2"/>
      <c r="I21" s="2"/>
      <c r="AR21" s="2"/>
    </row>
    <row r="22" spans="1:44" ht="15.75" customHeight="1"/>
    <row r="23" spans="1:44" ht="15.75" customHeight="1"/>
    <row r="24" spans="1:44" ht="15.75" customHeight="1"/>
    <row r="25" spans="1:44" ht="15.75" customHeight="1"/>
    <row r="26" spans="1:44" ht="15.75" customHeight="1"/>
    <row r="27" spans="1:44" ht="15.75" customHeight="1"/>
    <row r="28" spans="1:44" ht="15.75" customHeight="1"/>
    <row r="29" spans="1:44" ht="15.75" customHeight="1"/>
    <row r="30" spans="1:44" ht="15.75" customHeight="1"/>
    <row r="31" spans="1:44" ht="15.75" customHeight="1"/>
    <row r="32" spans="1:4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C100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12.5703125" defaultRowHeight="15" customHeight="1"/>
  <cols>
    <col min="1" max="1" width="21.42578125" customWidth="1"/>
    <col min="2" max="2" width="8.28515625" customWidth="1"/>
    <col min="3" max="3" width="16.85546875" customWidth="1"/>
    <col min="4" max="4" width="1.28515625" customWidth="1"/>
    <col min="5" max="5" width="13.28515625" customWidth="1"/>
    <col min="6" max="10" width="2.7109375" customWidth="1"/>
    <col min="11" max="11" width="15.85546875" customWidth="1"/>
    <col min="12" max="16" width="2.85546875" customWidth="1"/>
    <col min="17" max="28" width="13.42578125" customWidth="1"/>
    <col min="29" max="29" width="14.28515625" customWidth="1"/>
    <col min="30" max="51" width="13.42578125" customWidth="1"/>
    <col min="52" max="52" width="18.28515625" customWidth="1"/>
    <col min="53" max="53" width="13.28515625" customWidth="1"/>
    <col min="54" max="54" width="4.85546875" customWidth="1"/>
    <col min="55" max="55" width="0.85546875" customWidth="1"/>
  </cols>
  <sheetData>
    <row r="1" spans="1:55" ht="12.75" customHeight="1">
      <c r="A1" s="467" t="s">
        <v>329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</row>
    <row r="2" spans="1:55" ht="25.5" customHeight="1">
      <c r="A2" s="468" t="s">
        <v>127</v>
      </c>
      <c r="B2" s="467"/>
      <c r="C2" s="469" t="s">
        <v>360</v>
      </c>
      <c r="D2" s="467"/>
      <c r="E2" s="470" t="s">
        <v>330</v>
      </c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71" t="s">
        <v>331</v>
      </c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70" t="s">
        <v>332</v>
      </c>
      <c r="AD2" s="467"/>
      <c r="AE2" s="467"/>
      <c r="AF2" s="467"/>
      <c r="AG2" s="467"/>
      <c r="AH2" s="467"/>
      <c r="AI2" s="467"/>
      <c r="AJ2" s="467"/>
      <c r="AK2" s="467"/>
      <c r="AL2" s="467"/>
      <c r="AM2" s="467"/>
      <c r="AN2" s="467"/>
      <c r="AO2" s="467"/>
      <c r="AP2" s="467"/>
      <c r="AQ2" s="467"/>
      <c r="AR2" s="467"/>
      <c r="AS2" s="467"/>
      <c r="AT2" s="467"/>
      <c r="AU2" s="467"/>
      <c r="AV2" s="467"/>
      <c r="AW2" s="467"/>
      <c r="AX2" s="467"/>
      <c r="AY2" s="467"/>
      <c r="AZ2" s="470" t="s">
        <v>333</v>
      </c>
      <c r="BA2" s="470" t="s">
        <v>334</v>
      </c>
      <c r="BB2" s="467"/>
      <c r="BC2" s="467"/>
    </row>
    <row r="3" spans="1:55" ht="25.5" customHeight="1">
      <c r="A3" s="492" t="s">
        <v>8</v>
      </c>
      <c r="B3" s="492" t="s">
        <v>361</v>
      </c>
      <c r="C3" s="492" t="s">
        <v>75</v>
      </c>
      <c r="D3" s="493"/>
      <c r="E3" s="494">
        <v>0</v>
      </c>
      <c r="F3" s="494">
        <v>1</v>
      </c>
      <c r="G3" s="494">
        <v>2</v>
      </c>
      <c r="H3" s="494">
        <v>3</v>
      </c>
      <c r="I3" s="494">
        <v>4</v>
      </c>
      <c r="J3" s="494">
        <v>5</v>
      </c>
      <c r="K3" s="494">
        <v>6</v>
      </c>
      <c r="L3" s="494">
        <v>7</v>
      </c>
      <c r="M3" s="494">
        <v>8</v>
      </c>
      <c r="N3" s="494">
        <v>9</v>
      </c>
      <c r="O3" s="494">
        <v>10</v>
      </c>
      <c r="P3" s="494">
        <v>11</v>
      </c>
      <c r="Q3" s="494">
        <v>12</v>
      </c>
      <c r="R3" s="494">
        <v>13</v>
      </c>
      <c r="S3" s="494">
        <v>14</v>
      </c>
      <c r="T3" s="494">
        <v>15</v>
      </c>
      <c r="U3" s="494">
        <v>16</v>
      </c>
      <c r="V3" s="494">
        <v>17</v>
      </c>
      <c r="W3" s="494">
        <v>18</v>
      </c>
      <c r="X3" s="494">
        <v>19</v>
      </c>
      <c r="Y3" s="494">
        <v>20</v>
      </c>
      <c r="Z3" s="494">
        <v>21</v>
      </c>
      <c r="AA3" s="494">
        <v>22</v>
      </c>
      <c r="AB3" s="494">
        <v>23</v>
      </c>
      <c r="AC3" s="494">
        <v>24</v>
      </c>
      <c r="AD3" s="494">
        <v>25</v>
      </c>
      <c r="AE3" s="494">
        <v>26</v>
      </c>
      <c r="AF3" s="494">
        <v>27</v>
      </c>
      <c r="AG3" s="494">
        <v>28</v>
      </c>
      <c r="AH3" s="494">
        <v>29</v>
      </c>
      <c r="AI3" s="494">
        <v>30</v>
      </c>
      <c r="AJ3" s="494">
        <v>31</v>
      </c>
      <c r="AK3" s="494">
        <v>32</v>
      </c>
      <c r="AL3" s="494">
        <v>33</v>
      </c>
      <c r="AM3" s="494">
        <v>34</v>
      </c>
      <c r="AN3" s="494">
        <v>35</v>
      </c>
      <c r="AO3" s="494">
        <v>36</v>
      </c>
      <c r="AP3" s="494">
        <v>37</v>
      </c>
      <c r="AQ3" s="494">
        <v>38</v>
      </c>
      <c r="AR3" s="494">
        <v>39</v>
      </c>
      <c r="AS3" s="494">
        <v>40</v>
      </c>
      <c r="AT3" s="494">
        <v>41</v>
      </c>
      <c r="AU3" s="494">
        <v>42</v>
      </c>
      <c r="AV3" s="494">
        <v>43</v>
      </c>
      <c r="AW3" s="494">
        <v>44</v>
      </c>
      <c r="AX3" s="494">
        <v>45</v>
      </c>
      <c r="AY3" s="494">
        <v>46</v>
      </c>
      <c r="AZ3" s="494">
        <v>47</v>
      </c>
      <c r="BA3" s="494">
        <v>48</v>
      </c>
      <c r="BB3" s="495"/>
      <c r="BC3" s="495"/>
    </row>
    <row r="4" spans="1:55" ht="12.75" customHeight="1">
      <c r="A4" s="496" t="s">
        <v>109</v>
      </c>
      <c r="B4" s="143">
        <f t="shared" ref="B4:B7" si="0">-C4/$C$8</f>
        <v>1.4138240589035718E-2</v>
      </c>
      <c r="C4" s="472">
        <f>-'CustoXReceita Empreend$'!D14</f>
        <v>-2035906.6448211432</v>
      </c>
      <c r="D4" s="171"/>
      <c r="E4" s="473"/>
      <c r="F4" s="467"/>
      <c r="G4" s="467"/>
      <c r="H4" s="467"/>
      <c r="I4" s="467"/>
      <c r="J4" s="467"/>
      <c r="K4" s="467">
        <f>C4</f>
        <v>-2035906.6448211432</v>
      </c>
      <c r="L4" s="467"/>
      <c r="M4" s="467"/>
      <c r="N4" s="467"/>
      <c r="O4" s="467"/>
      <c r="P4" s="467"/>
      <c r="Q4" s="473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73"/>
      <c r="AD4" s="467"/>
      <c r="AE4" s="467"/>
      <c r="AF4" s="467"/>
      <c r="AG4" s="467"/>
      <c r="AH4" s="467"/>
      <c r="AI4" s="467"/>
      <c r="AJ4" s="467"/>
      <c r="AK4" s="467"/>
      <c r="AL4" s="467"/>
      <c r="AM4" s="467"/>
      <c r="AN4" s="467"/>
      <c r="AO4" s="467"/>
      <c r="AP4" s="467"/>
      <c r="AQ4" s="467"/>
      <c r="AR4" s="467"/>
      <c r="AS4" s="467"/>
      <c r="AT4" s="467"/>
      <c r="AU4" s="467"/>
      <c r="AV4" s="467"/>
      <c r="AW4" s="467"/>
      <c r="AX4" s="467"/>
      <c r="AY4" s="467"/>
      <c r="AZ4" s="473"/>
      <c r="BA4" s="473"/>
      <c r="BB4" s="467"/>
      <c r="BC4" s="467">
        <f t="shared" ref="BC4:BC8" si="1">SUM(E4:BA4)</f>
        <v>-2035906.6448211432</v>
      </c>
    </row>
    <row r="5" spans="1:55" ht="12.75" customHeight="1">
      <c r="A5" s="496" t="s">
        <v>125</v>
      </c>
      <c r="B5" s="143">
        <f t="shared" si="0"/>
        <v>0.43121633796558934</v>
      </c>
      <c r="C5" s="472">
        <f>-'CustoXReceita Empreend$'!D15+'CustoXReceita Empreend$'!D14</f>
        <v>-62095152.667044863</v>
      </c>
      <c r="D5" s="171"/>
      <c r="E5" s="473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73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73">
        <f>$C$5*Obras!$C$4</f>
        <v>-1164284.1125070911</v>
      </c>
      <c r="AD5" s="467">
        <f>$C$5*Obras!$C$4</f>
        <v>-1164284.1125070911</v>
      </c>
      <c r="AE5" s="467">
        <f>$C$5*Obras!$C$4</f>
        <v>-1164284.1125070911</v>
      </c>
      <c r="AF5" s="467">
        <f>$C$5*Obras!$C$4</f>
        <v>-1164284.1125070911</v>
      </c>
      <c r="AG5" s="467">
        <f>$C$5*Obras!$C$4</f>
        <v>-1164284.1125070911</v>
      </c>
      <c r="AH5" s="467">
        <f>$C$5*Obras!$C$4</f>
        <v>-1164284.1125070911</v>
      </c>
      <c r="AI5" s="467">
        <f>$C$5*Obras!$C$4</f>
        <v>-1164284.1125070911</v>
      </c>
      <c r="AJ5" s="467">
        <f>$C$5*Obras!$C$4</f>
        <v>-1164284.1125070911</v>
      </c>
      <c r="AK5" s="467">
        <f>$C$5*Obras!$C$5</f>
        <v>-2328568.2250141823</v>
      </c>
      <c r="AL5" s="467">
        <f>$C$5*Obras!$C$5</f>
        <v>-2328568.2250141823</v>
      </c>
      <c r="AM5" s="467">
        <f>$C$5*Obras!$C$5</f>
        <v>-2328568.2250141823</v>
      </c>
      <c r="AN5" s="467">
        <f>$C$5*Obras!$C$5</f>
        <v>-2328568.2250141823</v>
      </c>
      <c r="AO5" s="467">
        <f>$C$5*Obras!$C$5</f>
        <v>-2328568.2250141823</v>
      </c>
      <c r="AP5" s="467">
        <f>$C$5*Obras!$C$5</f>
        <v>-2328568.2250141823</v>
      </c>
      <c r="AQ5" s="467">
        <f>$C$5*Obras!$C$5</f>
        <v>-2328568.2250141823</v>
      </c>
      <c r="AR5" s="467">
        <f>$C$5*Obras!$C$5</f>
        <v>-2328568.2250141823</v>
      </c>
      <c r="AS5" s="467">
        <f>$C$5*Obras!$C$6</f>
        <v>-4269041.7458593342</v>
      </c>
      <c r="AT5" s="467">
        <f>$C$5*Obras!$C$6</f>
        <v>-4269041.7458593342</v>
      </c>
      <c r="AU5" s="467">
        <f>$C$5*Obras!$C$6</f>
        <v>-4269041.7458593342</v>
      </c>
      <c r="AV5" s="467">
        <f>$C$5*Obras!$C$6</f>
        <v>-4269041.7458593342</v>
      </c>
      <c r="AW5" s="467">
        <f>$C$5*Obras!$C$6</f>
        <v>-4269041.7458593342</v>
      </c>
      <c r="AX5" s="467">
        <f>$C$5*Obras!$C$6</f>
        <v>-4269041.7458593342</v>
      </c>
      <c r="AY5" s="467">
        <f>$C$5*Obras!$C$6</f>
        <v>-4269041.7458593342</v>
      </c>
      <c r="AZ5" s="473">
        <f>$C$5*Obras!$C$6</f>
        <v>-4269041.7458593342</v>
      </c>
      <c r="BA5" s="473"/>
      <c r="BB5" s="467"/>
      <c r="BC5" s="467">
        <f t="shared" si="1"/>
        <v>-62095152.667044856</v>
      </c>
    </row>
    <row r="6" spans="1:55" ht="12.75" customHeight="1">
      <c r="A6" s="496" t="s">
        <v>140</v>
      </c>
      <c r="B6" s="143">
        <f t="shared" si="0"/>
        <v>0.21</v>
      </c>
      <c r="C6" s="472">
        <f>-'CustoXReceita Empreend$'!D23</f>
        <v>-30240000</v>
      </c>
      <c r="D6" s="171"/>
      <c r="E6" s="473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73">
        <f t="shared" ref="Q6:BA6" si="2">-Q8*$B$6</f>
        <v>-84000</v>
      </c>
      <c r="R6" s="473">
        <f t="shared" si="2"/>
        <v>-84000</v>
      </c>
      <c r="S6" s="473">
        <f t="shared" si="2"/>
        <v>-84000</v>
      </c>
      <c r="T6" s="473">
        <f t="shared" si="2"/>
        <v>-84000</v>
      </c>
      <c r="U6" s="473">
        <f t="shared" si="2"/>
        <v>-84000</v>
      </c>
      <c r="V6" s="473">
        <f t="shared" si="2"/>
        <v>-84000</v>
      </c>
      <c r="W6" s="473">
        <f t="shared" si="2"/>
        <v>-84000</v>
      </c>
      <c r="X6" s="473">
        <f t="shared" si="2"/>
        <v>-84000</v>
      </c>
      <c r="Y6" s="473">
        <f t="shared" si="2"/>
        <v>-84000</v>
      </c>
      <c r="Z6" s="473">
        <f t="shared" si="2"/>
        <v>-84000</v>
      </c>
      <c r="AA6" s="473">
        <f t="shared" si="2"/>
        <v>-84000</v>
      </c>
      <c r="AB6" s="473">
        <f t="shared" si="2"/>
        <v>-84000</v>
      </c>
      <c r="AC6" s="473">
        <f t="shared" si="2"/>
        <v>-84000</v>
      </c>
      <c r="AD6" s="473">
        <f t="shared" si="2"/>
        <v>-84000</v>
      </c>
      <c r="AE6" s="473">
        <f t="shared" si="2"/>
        <v>-84000</v>
      </c>
      <c r="AF6" s="473">
        <f t="shared" si="2"/>
        <v>-84000</v>
      </c>
      <c r="AG6" s="473">
        <f t="shared" si="2"/>
        <v>-84000</v>
      </c>
      <c r="AH6" s="473">
        <f t="shared" si="2"/>
        <v>-84000</v>
      </c>
      <c r="AI6" s="473">
        <f t="shared" si="2"/>
        <v>-210000</v>
      </c>
      <c r="AJ6" s="473">
        <f t="shared" si="2"/>
        <v>-210000</v>
      </c>
      <c r="AK6" s="473">
        <f t="shared" si="2"/>
        <v>-210000</v>
      </c>
      <c r="AL6" s="473">
        <f t="shared" si="2"/>
        <v>-210000</v>
      </c>
      <c r="AM6" s="473">
        <f t="shared" si="2"/>
        <v>-210000</v>
      </c>
      <c r="AN6" s="473">
        <f t="shared" si="2"/>
        <v>-210000</v>
      </c>
      <c r="AO6" s="473">
        <f t="shared" si="2"/>
        <v>-210000</v>
      </c>
      <c r="AP6" s="473">
        <f t="shared" si="2"/>
        <v>-210000</v>
      </c>
      <c r="AQ6" s="473">
        <f t="shared" si="2"/>
        <v>-210000</v>
      </c>
      <c r="AR6" s="473">
        <f t="shared" si="2"/>
        <v>-210000</v>
      </c>
      <c r="AS6" s="473">
        <f t="shared" si="2"/>
        <v>-210000</v>
      </c>
      <c r="AT6" s="473">
        <f t="shared" si="2"/>
        <v>-210000</v>
      </c>
      <c r="AU6" s="473">
        <f t="shared" si="2"/>
        <v>-210000</v>
      </c>
      <c r="AV6" s="473">
        <f t="shared" si="2"/>
        <v>-210000</v>
      </c>
      <c r="AW6" s="473">
        <f t="shared" si="2"/>
        <v>-210000</v>
      </c>
      <c r="AX6" s="473">
        <f t="shared" si="2"/>
        <v>-210000</v>
      </c>
      <c r="AY6" s="473">
        <f t="shared" si="2"/>
        <v>-210000</v>
      </c>
      <c r="AZ6" s="473">
        <f t="shared" si="2"/>
        <v>-210000</v>
      </c>
      <c r="BA6" s="473">
        <f t="shared" si="2"/>
        <v>-24948000</v>
      </c>
      <c r="BB6" s="467"/>
      <c r="BC6" s="467">
        <f t="shared" si="1"/>
        <v>-30240000</v>
      </c>
    </row>
    <row r="7" spans="1:55" ht="12.75" customHeight="1">
      <c r="A7" s="496" t="s">
        <v>141</v>
      </c>
      <c r="B7" s="143">
        <f t="shared" si="0"/>
        <v>0.29416666666666669</v>
      </c>
      <c r="C7" s="472">
        <f>-'CustoXReceita Empreend$'!D25</f>
        <v>-42360000</v>
      </c>
      <c r="D7" s="171"/>
      <c r="E7" s="473">
        <f>C7</f>
        <v>-42360000</v>
      </c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73"/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67"/>
      <c r="AC7" s="473"/>
      <c r="AD7" s="467"/>
      <c r="AE7" s="467"/>
      <c r="AF7" s="467"/>
      <c r="AG7" s="467"/>
      <c r="AH7" s="467"/>
      <c r="AI7" s="467"/>
      <c r="AJ7" s="467"/>
      <c r="AK7" s="467"/>
      <c r="AL7" s="467"/>
      <c r="AM7" s="467"/>
      <c r="AN7" s="467"/>
      <c r="AO7" s="467"/>
      <c r="AP7" s="467"/>
      <c r="AQ7" s="467"/>
      <c r="AR7" s="467"/>
      <c r="AS7" s="467"/>
      <c r="AT7" s="467"/>
      <c r="AU7" s="467"/>
      <c r="AV7" s="467"/>
      <c r="AW7" s="467"/>
      <c r="AX7" s="467"/>
      <c r="AY7" s="467"/>
      <c r="AZ7" s="473"/>
      <c r="BA7" s="473"/>
      <c r="BB7" s="467"/>
      <c r="BC7" s="467">
        <f t="shared" si="1"/>
        <v>-42360000</v>
      </c>
    </row>
    <row r="8" spans="1:55" ht="12.75" customHeight="1">
      <c r="A8" s="496" t="s">
        <v>335</v>
      </c>
      <c r="B8" s="497">
        <f>SUM(B4:B7)+B9</f>
        <v>1</v>
      </c>
      <c r="C8" s="472">
        <f>'CustoXReceita Empreend$'!D29</f>
        <v>144000000</v>
      </c>
      <c r="D8" s="171"/>
      <c r="E8" s="478"/>
      <c r="F8" s="477"/>
      <c r="G8" s="477"/>
      <c r="H8" s="477"/>
      <c r="I8" s="477"/>
      <c r="J8" s="477"/>
      <c r="K8" s="477"/>
      <c r="L8" s="477"/>
      <c r="M8" s="477"/>
      <c r="N8" s="477"/>
      <c r="O8" s="477"/>
      <c r="P8" s="477"/>
      <c r="Q8" s="478">
        <f>$C$8*Venda!H8</f>
        <v>400000</v>
      </c>
      <c r="R8" s="477">
        <f>$C$8*Venda!I8</f>
        <v>400000</v>
      </c>
      <c r="S8" s="477">
        <f>$C$8*Venda!J8</f>
        <v>400000</v>
      </c>
      <c r="T8" s="477">
        <f>$C$8*Venda!K8</f>
        <v>400000</v>
      </c>
      <c r="U8" s="477">
        <f>$C$8*Venda!L8</f>
        <v>400000</v>
      </c>
      <c r="V8" s="477">
        <f>$C$8*Venda!M8</f>
        <v>400000</v>
      </c>
      <c r="W8" s="477">
        <f>$C$8*Venda!N8</f>
        <v>400000</v>
      </c>
      <c r="X8" s="477">
        <f>$C$8*Venda!O8</f>
        <v>400000</v>
      </c>
      <c r="Y8" s="477">
        <f>$C$8*Venda!P8</f>
        <v>400000</v>
      </c>
      <c r="Z8" s="477">
        <f>$C$8*Venda!Q8</f>
        <v>400000</v>
      </c>
      <c r="AA8" s="477">
        <f>$C$8*Venda!R8</f>
        <v>400000</v>
      </c>
      <c r="AB8" s="477">
        <f>$C$8*Venda!S8</f>
        <v>400000</v>
      </c>
      <c r="AC8" s="478">
        <f>$C$8*Venda!T8</f>
        <v>400000</v>
      </c>
      <c r="AD8" s="477">
        <f>$C$8*Venda!U8</f>
        <v>400000</v>
      </c>
      <c r="AE8" s="477">
        <f>$C$8*Venda!V8</f>
        <v>400000</v>
      </c>
      <c r="AF8" s="477">
        <f>$C$8*Venda!W8</f>
        <v>400000</v>
      </c>
      <c r="AG8" s="477">
        <f>$C$8*Venda!X8</f>
        <v>400000</v>
      </c>
      <c r="AH8" s="477">
        <f>$C$8*Venda!Y8</f>
        <v>400000</v>
      </c>
      <c r="AI8" s="477">
        <f>$C$8*Venda!Z8</f>
        <v>1000000</v>
      </c>
      <c r="AJ8" s="477">
        <f>$C$8*Venda!AA8</f>
        <v>1000000</v>
      </c>
      <c r="AK8" s="477">
        <f>$C$8*Venda!AB8</f>
        <v>1000000</v>
      </c>
      <c r="AL8" s="477">
        <f>$C$8*Venda!AC8</f>
        <v>1000000</v>
      </c>
      <c r="AM8" s="477">
        <f>$C$8*Venda!AD8</f>
        <v>1000000</v>
      </c>
      <c r="AN8" s="477">
        <f>$C$8*Venda!AE8</f>
        <v>1000000</v>
      </c>
      <c r="AO8" s="477">
        <f>$C$8*Venda!AF8</f>
        <v>1000000</v>
      </c>
      <c r="AP8" s="477">
        <f>$C$8*Venda!AG8</f>
        <v>1000000</v>
      </c>
      <c r="AQ8" s="477">
        <f>$C$8*Venda!AH8</f>
        <v>1000000</v>
      </c>
      <c r="AR8" s="477">
        <f>$C$8*Venda!AI8</f>
        <v>1000000</v>
      </c>
      <c r="AS8" s="477">
        <f>$C$8*Venda!AJ8</f>
        <v>1000000</v>
      </c>
      <c r="AT8" s="477">
        <f>$C$8*Venda!AK8</f>
        <v>1000000</v>
      </c>
      <c r="AU8" s="477">
        <f>$C$8*Venda!AL8</f>
        <v>1000000</v>
      </c>
      <c r="AV8" s="477">
        <f>$C$8*Venda!AM8</f>
        <v>1000000</v>
      </c>
      <c r="AW8" s="477">
        <f>$C$8*Venda!AN8</f>
        <v>1000000</v>
      </c>
      <c r="AX8" s="477">
        <f>$C$8*Venda!AO8</f>
        <v>1000000</v>
      </c>
      <c r="AY8" s="477">
        <f>$C$8*Venda!AP8</f>
        <v>1000000</v>
      </c>
      <c r="AZ8" s="478">
        <f>$C$8*Venda!AQ8</f>
        <v>1000000</v>
      </c>
      <c r="BA8" s="478">
        <f>$C$8*Venda!AR8</f>
        <v>118800000</v>
      </c>
      <c r="BB8" s="467"/>
      <c r="BC8" s="467">
        <f t="shared" si="1"/>
        <v>144000000</v>
      </c>
    </row>
    <row r="9" spans="1:55" ht="12.75" customHeight="1">
      <c r="A9" s="498" t="s">
        <v>336</v>
      </c>
      <c r="B9" s="499">
        <f>C9/$C$8</f>
        <v>5.0478754778708335E-2</v>
      </c>
      <c r="C9" s="498">
        <f>SUM(E9:BA9)</f>
        <v>7268940.6881339997</v>
      </c>
      <c r="D9" s="498"/>
      <c r="E9" s="498">
        <f t="shared" ref="E9:BA9" si="3">SUM(E4:E8)</f>
        <v>-42360000</v>
      </c>
      <c r="F9" s="498">
        <f t="shared" si="3"/>
        <v>0</v>
      </c>
      <c r="G9" s="498">
        <f t="shared" si="3"/>
        <v>0</v>
      </c>
      <c r="H9" s="498">
        <f t="shared" si="3"/>
        <v>0</v>
      </c>
      <c r="I9" s="498">
        <f t="shared" si="3"/>
        <v>0</v>
      </c>
      <c r="J9" s="498">
        <f t="shared" si="3"/>
        <v>0</v>
      </c>
      <c r="K9" s="498">
        <f t="shared" si="3"/>
        <v>-2035906.6448211432</v>
      </c>
      <c r="L9" s="498">
        <f t="shared" si="3"/>
        <v>0</v>
      </c>
      <c r="M9" s="498">
        <f t="shared" si="3"/>
        <v>0</v>
      </c>
      <c r="N9" s="498">
        <f t="shared" si="3"/>
        <v>0</v>
      </c>
      <c r="O9" s="498">
        <f t="shared" si="3"/>
        <v>0</v>
      </c>
      <c r="P9" s="498">
        <f t="shared" si="3"/>
        <v>0</v>
      </c>
      <c r="Q9" s="498">
        <f t="shared" si="3"/>
        <v>316000</v>
      </c>
      <c r="R9" s="498">
        <f t="shared" si="3"/>
        <v>316000</v>
      </c>
      <c r="S9" s="498">
        <f t="shared" si="3"/>
        <v>316000</v>
      </c>
      <c r="T9" s="498">
        <f t="shared" si="3"/>
        <v>316000</v>
      </c>
      <c r="U9" s="498">
        <f t="shared" si="3"/>
        <v>316000</v>
      </c>
      <c r="V9" s="498">
        <f t="shared" si="3"/>
        <v>316000</v>
      </c>
      <c r="W9" s="498">
        <f t="shared" si="3"/>
        <v>316000</v>
      </c>
      <c r="X9" s="498">
        <f t="shared" si="3"/>
        <v>316000</v>
      </c>
      <c r="Y9" s="498">
        <f t="shared" si="3"/>
        <v>316000</v>
      </c>
      <c r="Z9" s="498">
        <f t="shared" si="3"/>
        <v>316000</v>
      </c>
      <c r="AA9" s="498">
        <f t="shared" si="3"/>
        <v>316000</v>
      </c>
      <c r="AB9" s="498">
        <f t="shared" si="3"/>
        <v>316000</v>
      </c>
      <c r="AC9" s="498">
        <f t="shared" si="3"/>
        <v>-848284.11250709114</v>
      </c>
      <c r="AD9" s="498">
        <f t="shared" si="3"/>
        <v>-848284.11250709114</v>
      </c>
      <c r="AE9" s="498">
        <f t="shared" si="3"/>
        <v>-848284.11250709114</v>
      </c>
      <c r="AF9" s="498">
        <f t="shared" si="3"/>
        <v>-848284.11250709114</v>
      </c>
      <c r="AG9" s="498">
        <f t="shared" si="3"/>
        <v>-848284.11250709114</v>
      </c>
      <c r="AH9" s="498">
        <f t="shared" si="3"/>
        <v>-848284.11250709114</v>
      </c>
      <c r="AI9" s="498">
        <f t="shared" si="3"/>
        <v>-374284.11250709114</v>
      </c>
      <c r="AJ9" s="498">
        <f t="shared" si="3"/>
        <v>-374284.11250709114</v>
      </c>
      <c r="AK9" s="498">
        <f t="shared" si="3"/>
        <v>-1538568.2250141823</v>
      </c>
      <c r="AL9" s="498">
        <f t="shared" si="3"/>
        <v>-1538568.2250141823</v>
      </c>
      <c r="AM9" s="498">
        <f t="shared" si="3"/>
        <v>-1538568.2250141823</v>
      </c>
      <c r="AN9" s="498">
        <f t="shared" si="3"/>
        <v>-1538568.2250141823</v>
      </c>
      <c r="AO9" s="498">
        <f t="shared" si="3"/>
        <v>-1538568.2250141823</v>
      </c>
      <c r="AP9" s="498">
        <f t="shared" si="3"/>
        <v>-1538568.2250141823</v>
      </c>
      <c r="AQ9" s="498">
        <f t="shared" si="3"/>
        <v>-1538568.2250141823</v>
      </c>
      <c r="AR9" s="498">
        <f t="shared" si="3"/>
        <v>-1538568.2250141823</v>
      </c>
      <c r="AS9" s="498">
        <f t="shared" si="3"/>
        <v>-3479041.7458593342</v>
      </c>
      <c r="AT9" s="498">
        <f t="shared" si="3"/>
        <v>-3479041.7458593342</v>
      </c>
      <c r="AU9" s="498">
        <f t="shared" si="3"/>
        <v>-3479041.7458593342</v>
      </c>
      <c r="AV9" s="498">
        <f t="shared" si="3"/>
        <v>-3479041.7458593342</v>
      </c>
      <c r="AW9" s="498">
        <f t="shared" si="3"/>
        <v>-3479041.7458593342</v>
      </c>
      <c r="AX9" s="498">
        <f t="shared" si="3"/>
        <v>-3479041.7458593342</v>
      </c>
      <c r="AY9" s="498">
        <f t="shared" si="3"/>
        <v>-3479041.7458593342</v>
      </c>
      <c r="AZ9" s="498">
        <f t="shared" si="3"/>
        <v>-3479041.7458593342</v>
      </c>
      <c r="BA9" s="498">
        <f t="shared" si="3"/>
        <v>93852000</v>
      </c>
      <c r="BB9" s="498"/>
      <c r="BC9" s="498"/>
    </row>
    <row r="11" spans="1:55" ht="12.75" customHeight="1">
      <c r="A11" s="467" t="s">
        <v>337</v>
      </c>
      <c r="B11" s="467"/>
      <c r="C11" s="467"/>
      <c r="D11" s="467"/>
      <c r="E11" s="467">
        <f>E9</f>
        <v>-42360000</v>
      </c>
      <c r="F11" s="467">
        <f t="shared" ref="F11:BA11" si="4">E11+F9</f>
        <v>-42360000</v>
      </c>
      <c r="G11" s="467">
        <f t="shared" si="4"/>
        <v>-42360000</v>
      </c>
      <c r="H11" s="467">
        <f t="shared" si="4"/>
        <v>-42360000</v>
      </c>
      <c r="I11" s="467">
        <f t="shared" si="4"/>
        <v>-42360000</v>
      </c>
      <c r="J11" s="467">
        <f t="shared" si="4"/>
        <v>-42360000</v>
      </c>
      <c r="K11" s="467">
        <f t="shared" si="4"/>
        <v>-44395906.644821145</v>
      </c>
      <c r="L11" s="467">
        <f t="shared" si="4"/>
        <v>-44395906.644821145</v>
      </c>
      <c r="M11" s="467">
        <f t="shared" si="4"/>
        <v>-44395906.644821145</v>
      </c>
      <c r="N11" s="467">
        <f t="shared" si="4"/>
        <v>-44395906.644821145</v>
      </c>
      <c r="O11" s="467">
        <f t="shared" si="4"/>
        <v>-44395906.644821145</v>
      </c>
      <c r="P11" s="467">
        <f t="shared" si="4"/>
        <v>-44395906.644821145</v>
      </c>
      <c r="Q11" s="467">
        <f t="shared" si="4"/>
        <v>-44079906.644821145</v>
      </c>
      <c r="R11" s="467">
        <f t="shared" si="4"/>
        <v>-43763906.644821145</v>
      </c>
      <c r="S11" s="467">
        <f t="shared" si="4"/>
        <v>-43447906.644821145</v>
      </c>
      <c r="T11" s="467">
        <f t="shared" si="4"/>
        <v>-43131906.644821145</v>
      </c>
      <c r="U11" s="467">
        <f t="shared" si="4"/>
        <v>-42815906.644821145</v>
      </c>
      <c r="V11" s="467">
        <f t="shared" si="4"/>
        <v>-42499906.644821145</v>
      </c>
      <c r="W11" s="467">
        <f t="shared" si="4"/>
        <v>-42183906.644821145</v>
      </c>
      <c r="X11" s="467">
        <f t="shared" si="4"/>
        <v>-41867906.644821145</v>
      </c>
      <c r="Y11" s="467">
        <f t="shared" si="4"/>
        <v>-41551906.644821145</v>
      </c>
      <c r="Z11" s="467">
        <f t="shared" si="4"/>
        <v>-41235906.644821145</v>
      </c>
      <c r="AA11" s="467">
        <f t="shared" si="4"/>
        <v>-40919906.644821145</v>
      </c>
      <c r="AB11" s="467">
        <f t="shared" si="4"/>
        <v>-40603906.644821145</v>
      </c>
      <c r="AC11" s="467">
        <f t="shared" si="4"/>
        <v>-41452190.757328235</v>
      </c>
      <c r="AD11" s="467">
        <f t="shared" si="4"/>
        <v>-42300474.869835325</v>
      </c>
      <c r="AE11" s="467">
        <f t="shared" si="4"/>
        <v>-43148758.982342415</v>
      </c>
      <c r="AF11" s="467">
        <f t="shared" si="4"/>
        <v>-43997043.094849505</v>
      </c>
      <c r="AG11" s="467">
        <f t="shared" si="4"/>
        <v>-44845327.207356595</v>
      </c>
      <c r="AH11" s="467">
        <f t="shared" si="4"/>
        <v>-45693611.319863684</v>
      </c>
      <c r="AI11" s="467">
        <f t="shared" si="4"/>
        <v>-46067895.432370774</v>
      </c>
      <c r="AJ11" s="467">
        <f t="shared" si="4"/>
        <v>-46442179.544877864</v>
      </c>
      <c r="AK11" s="467">
        <f t="shared" si="4"/>
        <v>-47980747.769892044</v>
      </c>
      <c r="AL11" s="467">
        <f t="shared" si="4"/>
        <v>-49519315.994906224</v>
      </c>
      <c r="AM11" s="467">
        <f t="shared" si="4"/>
        <v>-51057884.219920404</v>
      </c>
      <c r="AN11" s="467">
        <f t="shared" si="4"/>
        <v>-52596452.444934584</v>
      </c>
      <c r="AO11" s="467">
        <f t="shared" si="4"/>
        <v>-54135020.669948764</v>
      </c>
      <c r="AP11" s="467">
        <f t="shared" si="4"/>
        <v>-55673588.894962944</v>
      </c>
      <c r="AQ11" s="467">
        <f t="shared" si="4"/>
        <v>-57212157.119977124</v>
      </c>
      <c r="AR11" s="467">
        <f t="shared" si="4"/>
        <v>-58750725.344991304</v>
      </c>
      <c r="AS11" s="467">
        <f t="shared" si="4"/>
        <v>-62229767.090850636</v>
      </c>
      <c r="AT11" s="467">
        <f t="shared" si="4"/>
        <v>-65708808.836709969</v>
      </c>
      <c r="AU11" s="467">
        <f t="shared" si="4"/>
        <v>-69187850.582569301</v>
      </c>
      <c r="AV11" s="467">
        <f t="shared" si="4"/>
        <v>-72666892.328428641</v>
      </c>
      <c r="AW11" s="467">
        <f t="shared" si="4"/>
        <v>-76145934.074287981</v>
      </c>
      <c r="AX11" s="467">
        <f t="shared" si="4"/>
        <v>-79624975.820147321</v>
      </c>
      <c r="AY11" s="467">
        <f t="shared" si="4"/>
        <v>-83104017.56600666</v>
      </c>
      <c r="AZ11" s="467">
        <f t="shared" si="4"/>
        <v>-86583059.311866</v>
      </c>
      <c r="BA11" s="467">
        <f t="shared" si="4"/>
        <v>7268940.6881339997</v>
      </c>
      <c r="BB11" s="467"/>
      <c r="BC11" s="467"/>
    </row>
    <row r="12" spans="1:55" ht="12.75" customHeight="1">
      <c r="A12" s="467"/>
      <c r="B12" s="467"/>
      <c r="C12" s="467"/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7"/>
      <c r="O12" s="467"/>
      <c r="P12" s="467"/>
      <c r="Q12" s="467"/>
      <c r="R12" s="467"/>
      <c r="S12" s="467"/>
      <c r="T12" s="467"/>
      <c r="U12" s="467"/>
      <c r="V12" s="467"/>
      <c r="W12" s="467"/>
      <c r="X12" s="467"/>
      <c r="Y12" s="467"/>
      <c r="Z12" s="467"/>
      <c r="AA12" s="467"/>
      <c r="AB12" s="467"/>
      <c r="AC12" s="467"/>
      <c r="AD12" s="467"/>
      <c r="AE12" s="467"/>
      <c r="AF12" s="467"/>
      <c r="AG12" s="467"/>
      <c r="AH12" s="467"/>
      <c r="AI12" s="467"/>
      <c r="AJ12" s="467"/>
      <c r="AK12" s="467"/>
      <c r="AL12" s="467"/>
      <c r="AM12" s="467"/>
      <c r="AN12" s="467"/>
      <c r="AO12" s="467"/>
      <c r="AP12" s="467"/>
      <c r="AQ12" s="467"/>
      <c r="AR12" s="467"/>
      <c r="AS12" s="467"/>
      <c r="AT12" s="467"/>
      <c r="AU12" s="467"/>
      <c r="AV12" s="467"/>
      <c r="AW12" s="467"/>
      <c r="AX12" s="467"/>
      <c r="AY12" s="467"/>
      <c r="AZ12" s="467"/>
      <c r="BA12" s="467"/>
      <c r="BB12" s="467"/>
      <c r="BC12" s="467"/>
    </row>
    <row r="13" spans="1:55" ht="12.75">
      <c r="A13" s="482" t="s">
        <v>338</v>
      </c>
      <c r="B13" s="482"/>
      <c r="C13" s="482">
        <f t="array" ref="C13">NPV(B18,F9:BA9)+E9</f>
        <v>-19697630.190340463</v>
      </c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</row>
    <row r="14" spans="1:55" ht="12.75">
      <c r="A14" s="467" t="s">
        <v>339</v>
      </c>
      <c r="B14" s="467"/>
      <c r="C14" s="467">
        <f t="array" ref="C14">NPV(B18,F8:BA8)</f>
        <v>89996482.441327438</v>
      </c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  <c r="U14" s="467"/>
      <c r="V14" s="467"/>
      <c r="W14" s="467"/>
      <c r="X14" s="467"/>
      <c r="Y14" s="467"/>
      <c r="Z14" s="467"/>
      <c r="AA14" s="467"/>
      <c r="AB14" s="467"/>
      <c r="AC14" s="467"/>
      <c r="AD14" s="467"/>
      <c r="AE14" s="467"/>
      <c r="AF14" s="467"/>
      <c r="AG14" s="467"/>
      <c r="AH14" s="467"/>
      <c r="AI14" s="467"/>
      <c r="AJ14" s="467"/>
      <c r="AK14" s="467"/>
      <c r="AL14" s="467"/>
      <c r="AM14" s="467"/>
      <c r="AN14" s="467"/>
      <c r="AO14" s="467"/>
      <c r="AP14" s="467"/>
      <c r="AQ14" s="467"/>
      <c r="AR14" s="467"/>
      <c r="AS14" s="467"/>
      <c r="AT14" s="467"/>
      <c r="AU14" s="467"/>
      <c r="AV14" s="467"/>
      <c r="AW14" s="467"/>
      <c r="AX14" s="467"/>
      <c r="AY14" s="467"/>
      <c r="AZ14" s="467"/>
      <c r="BA14" s="467"/>
      <c r="BB14" s="467"/>
      <c r="BC14" s="467"/>
    </row>
    <row r="15" spans="1:55" ht="12.75">
      <c r="A15" s="482" t="s">
        <v>340</v>
      </c>
      <c r="B15" s="483">
        <f>C13/C14</f>
        <v>-0.21887111202576381</v>
      </c>
      <c r="D15" s="467"/>
      <c r="E15" s="467"/>
      <c r="F15" s="467"/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  <c r="AI15" s="467"/>
      <c r="AJ15" s="467"/>
      <c r="AK15" s="467"/>
      <c r="AL15" s="467"/>
      <c r="AM15" s="467"/>
      <c r="AN15" s="467"/>
      <c r="AO15" s="467"/>
      <c r="AP15" s="467"/>
      <c r="AQ15" s="467"/>
      <c r="AR15" s="467"/>
      <c r="AS15" s="467"/>
      <c r="AT15" s="467"/>
      <c r="AU15" s="467"/>
      <c r="AV15" s="467"/>
      <c r="AW15" s="467"/>
      <c r="AX15" s="467"/>
      <c r="AY15" s="467"/>
      <c r="AZ15" s="467"/>
      <c r="BA15" s="467"/>
      <c r="BB15" s="467"/>
      <c r="BC15" s="467"/>
    </row>
    <row r="16" spans="1:55" ht="12.75">
      <c r="A16" s="482" t="s">
        <v>341</v>
      </c>
      <c r="B16" s="482"/>
      <c r="C16" s="482">
        <f>MIN(E11:BA11)</f>
        <v>-86583059.311866</v>
      </c>
      <c r="D16" s="467"/>
      <c r="E16" s="467"/>
      <c r="F16" s="467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  <c r="AE16" s="467"/>
      <c r="AF16" s="467"/>
      <c r="AG16" s="467"/>
      <c r="AH16" s="467"/>
      <c r="AI16" s="467"/>
      <c r="AJ16" s="467"/>
      <c r="AK16" s="467"/>
      <c r="AL16" s="467"/>
      <c r="AM16" s="467"/>
      <c r="AN16" s="467"/>
      <c r="AO16" s="467"/>
      <c r="AP16" s="467"/>
      <c r="AQ16" s="467"/>
      <c r="AR16" s="467"/>
      <c r="AS16" s="467"/>
      <c r="AT16" s="467"/>
      <c r="AU16" s="467"/>
      <c r="AV16" s="467"/>
      <c r="AW16" s="467"/>
      <c r="AX16" s="467"/>
      <c r="AY16" s="467"/>
      <c r="AZ16" s="467"/>
      <c r="BA16" s="467"/>
      <c r="BB16" s="467"/>
      <c r="BC16" s="467"/>
    </row>
    <row r="17" spans="1:55" ht="12.75" customHeight="1">
      <c r="A17" s="467" t="s">
        <v>342</v>
      </c>
      <c r="B17" s="484">
        <v>0.18</v>
      </c>
      <c r="C17" s="467" t="s">
        <v>343</v>
      </c>
      <c r="D17" s="467"/>
      <c r="E17" s="467"/>
      <c r="F17" s="467"/>
      <c r="G17" s="467"/>
      <c r="H17" s="467"/>
      <c r="I17" s="467"/>
      <c r="J17" s="467"/>
      <c r="K17" s="467"/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  <c r="W17" s="467"/>
      <c r="X17" s="467"/>
      <c r="Y17" s="467"/>
      <c r="Z17" s="467"/>
      <c r="AA17" s="467"/>
      <c r="AB17" s="467"/>
      <c r="AC17" s="467"/>
      <c r="AD17" s="467"/>
      <c r="AE17" s="467"/>
      <c r="AF17" s="467"/>
      <c r="AG17" s="467"/>
      <c r="AH17" s="467"/>
      <c r="AI17" s="467"/>
      <c r="AJ17" s="467"/>
      <c r="AK17" s="467"/>
      <c r="AL17" s="467"/>
      <c r="AM17" s="467"/>
      <c r="AN17" s="467"/>
      <c r="AO17" s="467"/>
      <c r="AP17" s="467"/>
      <c r="AQ17" s="467"/>
      <c r="AR17" s="467"/>
      <c r="AS17" s="467"/>
      <c r="AT17" s="467"/>
      <c r="AU17" s="467"/>
      <c r="AV17" s="467"/>
      <c r="AW17" s="467"/>
      <c r="AX17" s="467"/>
      <c r="AY17" s="467"/>
      <c r="AZ17" s="467"/>
      <c r="BA17" s="467"/>
      <c r="BB17" s="467"/>
      <c r="BC17" s="467"/>
    </row>
    <row r="18" spans="1:55" ht="12.75" customHeight="1">
      <c r="A18" s="467"/>
      <c r="B18" s="485">
        <f>((1+B17)^(1/12))-1</f>
        <v>1.3888430348409919E-2</v>
      </c>
      <c r="C18" s="467" t="s">
        <v>344</v>
      </c>
      <c r="D18" s="467"/>
      <c r="E18" s="467"/>
      <c r="F18" s="467"/>
      <c r="G18" s="467"/>
      <c r="H18" s="467"/>
      <c r="I18" s="467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  <c r="U18" s="467"/>
      <c r="V18" s="467"/>
      <c r="W18" s="467"/>
      <c r="X18" s="467"/>
      <c r="Y18" s="467"/>
      <c r="Z18" s="467"/>
      <c r="AA18" s="467"/>
      <c r="AB18" s="467"/>
      <c r="AC18" s="467"/>
      <c r="AD18" s="467"/>
      <c r="AE18" s="467"/>
      <c r="AF18" s="467"/>
      <c r="AG18" s="467"/>
      <c r="AH18" s="467"/>
      <c r="AI18" s="467"/>
      <c r="AJ18" s="467"/>
      <c r="AK18" s="467"/>
      <c r="AL18" s="467"/>
      <c r="AM18" s="467"/>
      <c r="AN18" s="467"/>
      <c r="AO18" s="467"/>
      <c r="AP18" s="467"/>
      <c r="AQ18" s="467"/>
      <c r="AR18" s="467"/>
      <c r="AS18" s="467"/>
      <c r="AT18" s="467"/>
      <c r="AU18" s="467"/>
      <c r="AV18" s="467"/>
      <c r="AW18" s="467"/>
      <c r="AX18" s="467"/>
      <c r="AY18" s="467"/>
      <c r="AZ18" s="467"/>
      <c r="BA18" s="467"/>
      <c r="BB18" s="467"/>
      <c r="BC18" s="467"/>
    </row>
    <row r="19" spans="1:55" ht="12.75" customHeight="1">
      <c r="A19" s="467"/>
      <c r="B19" s="467"/>
      <c r="C19" s="467"/>
      <c r="D19" s="467"/>
      <c r="E19" s="467"/>
      <c r="F19" s="467"/>
      <c r="G19" s="467"/>
      <c r="H19" s="467"/>
      <c r="I19" s="467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67"/>
      <c r="AD19" s="467"/>
      <c r="AE19" s="467"/>
      <c r="AF19" s="467"/>
      <c r="AG19" s="467"/>
      <c r="AH19" s="467"/>
      <c r="AI19" s="467"/>
      <c r="AJ19" s="467"/>
      <c r="AK19" s="467"/>
      <c r="AL19" s="467"/>
      <c r="AM19" s="467"/>
      <c r="AN19" s="467"/>
      <c r="AO19" s="467"/>
      <c r="AP19" s="467"/>
      <c r="AQ19" s="467"/>
      <c r="AR19" s="467"/>
      <c r="AS19" s="467"/>
      <c r="AT19" s="467"/>
      <c r="AU19" s="467"/>
      <c r="AV19" s="467"/>
      <c r="AW19" s="467"/>
      <c r="AX19" s="467"/>
      <c r="AY19" s="467"/>
      <c r="AZ19" s="467"/>
      <c r="BA19" s="467"/>
      <c r="BB19" s="467"/>
      <c r="BC19" s="467"/>
    </row>
    <row r="20" spans="1:55" ht="12.75" customHeight="1">
      <c r="A20" s="467"/>
      <c r="B20" s="467"/>
      <c r="C20" s="467"/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  <c r="O20" s="467"/>
      <c r="P20" s="467"/>
      <c r="Q20" s="467"/>
      <c r="R20" s="467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7"/>
      <c r="AO20" s="467"/>
      <c r="AP20" s="467"/>
      <c r="AQ20" s="467"/>
      <c r="AR20" s="467"/>
      <c r="AS20" s="467"/>
      <c r="AT20" s="467"/>
      <c r="AU20" s="467"/>
      <c r="AV20" s="467"/>
      <c r="AW20" s="467"/>
      <c r="AX20" s="467"/>
      <c r="AY20" s="467"/>
      <c r="AZ20" s="467"/>
      <c r="BA20" s="467"/>
      <c r="BB20" s="467"/>
      <c r="BC20" s="467"/>
    </row>
    <row r="21" spans="1:55" ht="12.75" customHeight="1">
      <c r="A21" s="467"/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67"/>
      <c r="AQ21" s="467"/>
      <c r="AR21" s="467"/>
      <c r="AS21" s="467"/>
      <c r="AT21" s="467"/>
      <c r="AU21" s="467"/>
      <c r="AV21" s="467"/>
      <c r="AW21" s="467"/>
      <c r="AX21" s="467"/>
      <c r="AY21" s="467"/>
      <c r="AZ21" s="467"/>
      <c r="BA21" s="467"/>
      <c r="BB21" s="467"/>
      <c r="BC21" s="467"/>
    </row>
    <row r="22" spans="1:55" ht="15.75" customHeight="1"/>
    <row r="23" spans="1:55" ht="15.75" customHeight="1"/>
    <row r="24" spans="1:55" ht="15.75" customHeight="1"/>
    <row r="25" spans="1:55" ht="15.75" customHeight="1"/>
    <row r="26" spans="1:55" ht="15.75" customHeight="1"/>
    <row r="27" spans="1:55" ht="15.75" customHeight="1"/>
    <row r="28" spans="1:55" ht="15.75" customHeight="1"/>
    <row r="29" spans="1:55" ht="15.75" customHeight="1"/>
    <row r="30" spans="1:55" ht="15.75" customHeight="1"/>
    <row r="31" spans="1:55" ht="15.75" customHeight="1"/>
    <row r="32" spans="1:5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B15">
    <cfRule type="cellIs" dxfId="0" priority="1" operator="lessThan">
      <formula>0</formula>
    </cfRule>
  </conditionalFormatting>
  <pageMargins left="0.511811024" right="0.511811024" top="0.78740157499999996" bottom="0.78740157499999996" header="0" footer="0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R1000"/>
  <sheetViews>
    <sheetView workbookViewId="0"/>
  </sheetViews>
  <sheetFormatPr defaultColWidth="12.5703125" defaultRowHeight="15" customHeight="1"/>
  <cols>
    <col min="1" max="1" width="14.140625" customWidth="1"/>
    <col min="2" max="2" width="10.85546875" customWidth="1"/>
    <col min="3" max="3" width="10.7109375" customWidth="1"/>
    <col min="4" max="5" width="14.28515625" customWidth="1"/>
    <col min="6" max="6" width="3.7109375" customWidth="1"/>
    <col min="7" max="7" width="10.5703125" customWidth="1"/>
    <col min="8" max="8" width="9.28515625" customWidth="1"/>
    <col min="9" max="9" width="11.28515625" customWidth="1"/>
    <col min="10" max="43" width="8.7109375" customWidth="1"/>
    <col min="44" max="44" width="9.28515625" customWidth="1"/>
  </cols>
  <sheetData>
    <row r="1" spans="1:44" ht="12.75" customHeight="1">
      <c r="A1" s="2" t="s">
        <v>362</v>
      </c>
      <c r="B1" s="2"/>
      <c r="C1" s="2"/>
      <c r="D1" s="2"/>
      <c r="E1" s="2"/>
      <c r="F1" s="2"/>
      <c r="G1" s="2"/>
      <c r="H1" s="2"/>
      <c r="I1" s="2"/>
      <c r="AR1" s="2"/>
    </row>
    <row r="2" spans="1:44" ht="12.75" customHeight="1">
      <c r="A2" s="2" t="s">
        <v>354</v>
      </c>
      <c r="B2" s="2"/>
      <c r="C2" s="376">
        <v>0.25</v>
      </c>
      <c r="D2" s="43"/>
      <c r="E2" s="43"/>
      <c r="F2" s="43"/>
      <c r="G2" s="43"/>
      <c r="H2" s="2"/>
      <c r="I2" s="2"/>
      <c r="AR2" s="2"/>
    </row>
    <row r="3" spans="1:44" ht="12.75" customHeight="1">
      <c r="A3" s="2"/>
      <c r="B3" s="2"/>
      <c r="C3" s="2"/>
      <c r="D3" s="2"/>
      <c r="E3" s="2"/>
      <c r="F3" s="2"/>
      <c r="G3" s="2"/>
      <c r="H3" s="2"/>
      <c r="I3" s="2"/>
      <c r="AR3" s="2"/>
    </row>
    <row r="4" spans="1:44" ht="51" customHeight="1">
      <c r="A4" s="2"/>
      <c r="B4" s="2"/>
      <c r="C4" s="487" t="s">
        <v>354</v>
      </c>
      <c r="D4" s="487" t="s">
        <v>355</v>
      </c>
      <c r="E4" s="487" t="s">
        <v>356</v>
      </c>
      <c r="F4" s="487"/>
      <c r="G4" s="487" t="s">
        <v>357</v>
      </c>
      <c r="H4" s="2">
        <v>12</v>
      </c>
      <c r="I4" s="2">
        <v>13</v>
      </c>
      <c r="J4" s="2">
        <v>14</v>
      </c>
      <c r="K4" s="2">
        <v>15</v>
      </c>
      <c r="L4" s="2">
        <v>16</v>
      </c>
      <c r="M4" s="2">
        <v>17</v>
      </c>
      <c r="N4" s="2">
        <v>18</v>
      </c>
      <c r="O4" s="2">
        <v>19</v>
      </c>
      <c r="P4" s="2">
        <v>20</v>
      </c>
      <c r="Q4" s="2">
        <v>21</v>
      </c>
      <c r="R4" s="2">
        <v>22</v>
      </c>
      <c r="S4" s="2">
        <v>23</v>
      </c>
      <c r="T4" s="2">
        <v>24</v>
      </c>
      <c r="U4" s="2">
        <v>25</v>
      </c>
      <c r="V4" s="2">
        <v>26</v>
      </c>
      <c r="W4" s="2">
        <v>27</v>
      </c>
      <c r="X4" s="2">
        <v>28</v>
      </c>
      <c r="Y4" s="2">
        <v>29</v>
      </c>
      <c r="Z4" s="2">
        <v>30</v>
      </c>
      <c r="AA4" s="2">
        <v>31</v>
      </c>
      <c r="AB4" s="2">
        <v>32</v>
      </c>
      <c r="AC4" s="2">
        <v>33</v>
      </c>
      <c r="AD4" s="2">
        <v>34</v>
      </c>
      <c r="AE4" s="2">
        <v>35</v>
      </c>
      <c r="AF4" s="2">
        <v>36</v>
      </c>
      <c r="AG4" s="2">
        <v>37</v>
      </c>
      <c r="AH4" s="2">
        <v>38</v>
      </c>
      <c r="AI4" s="2">
        <v>39</v>
      </c>
      <c r="AJ4" s="2">
        <v>40</v>
      </c>
      <c r="AK4" s="2">
        <v>41</v>
      </c>
      <c r="AL4" s="2">
        <v>42</v>
      </c>
      <c r="AM4" s="2">
        <v>43</v>
      </c>
      <c r="AN4" s="2">
        <v>44</v>
      </c>
      <c r="AO4" s="2">
        <v>45</v>
      </c>
      <c r="AP4" s="2">
        <v>46</v>
      </c>
      <c r="AQ4" s="2">
        <v>47</v>
      </c>
      <c r="AR4" s="2">
        <v>48</v>
      </c>
    </row>
    <row r="5" spans="1:44" ht="12.75" customHeight="1">
      <c r="A5" s="2" t="s">
        <v>331</v>
      </c>
      <c r="B5" s="376">
        <v>0.4</v>
      </c>
      <c r="C5" s="171">
        <f>B5*C2</f>
        <v>0.1</v>
      </c>
      <c r="D5" s="171">
        <f t="shared" ref="D5:D6" si="0">B5-C5</f>
        <v>0.30000000000000004</v>
      </c>
      <c r="E5" s="11">
        <v>36</v>
      </c>
      <c r="F5" s="2"/>
      <c r="G5" s="43">
        <f t="shared" ref="G5:G8" si="1">SUM(H5:AR5)</f>
        <v>0.40000000000000008</v>
      </c>
      <c r="H5" s="488">
        <f t="shared" ref="H5:AQ5" si="2">$C$5/$E$5</f>
        <v>2.7777777777777779E-3</v>
      </c>
      <c r="I5" s="488">
        <f t="shared" si="2"/>
        <v>2.7777777777777779E-3</v>
      </c>
      <c r="J5" s="488">
        <f t="shared" si="2"/>
        <v>2.7777777777777779E-3</v>
      </c>
      <c r="K5" s="488">
        <f t="shared" si="2"/>
        <v>2.7777777777777779E-3</v>
      </c>
      <c r="L5" s="488">
        <f t="shared" si="2"/>
        <v>2.7777777777777779E-3</v>
      </c>
      <c r="M5" s="488">
        <f t="shared" si="2"/>
        <v>2.7777777777777779E-3</v>
      </c>
      <c r="N5" s="488">
        <f t="shared" si="2"/>
        <v>2.7777777777777779E-3</v>
      </c>
      <c r="O5" s="488">
        <f t="shared" si="2"/>
        <v>2.7777777777777779E-3</v>
      </c>
      <c r="P5" s="488">
        <f t="shared" si="2"/>
        <v>2.7777777777777779E-3</v>
      </c>
      <c r="Q5" s="488">
        <f t="shared" si="2"/>
        <v>2.7777777777777779E-3</v>
      </c>
      <c r="R5" s="488">
        <f t="shared" si="2"/>
        <v>2.7777777777777779E-3</v>
      </c>
      <c r="S5" s="488">
        <f t="shared" si="2"/>
        <v>2.7777777777777779E-3</v>
      </c>
      <c r="T5" s="488">
        <f t="shared" si="2"/>
        <v>2.7777777777777779E-3</v>
      </c>
      <c r="U5" s="488">
        <f t="shared" si="2"/>
        <v>2.7777777777777779E-3</v>
      </c>
      <c r="V5" s="488">
        <f t="shared" si="2"/>
        <v>2.7777777777777779E-3</v>
      </c>
      <c r="W5" s="488">
        <f t="shared" si="2"/>
        <v>2.7777777777777779E-3</v>
      </c>
      <c r="X5" s="488">
        <f t="shared" si="2"/>
        <v>2.7777777777777779E-3</v>
      </c>
      <c r="Y5" s="488">
        <f t="shared" si="2"/>
        <v>2.7777777777777779E-3</v>
      </c>
      <c r="Z5" s="488">
        <f t="shared" si="2"/>
        <v>2.7777777777777779E-3</v>
      </c>
      <c r="AA5" s="488">
        <f t="shared" si="2"/>
        <v>2.7777777777777779E-3</v>
      </c>
      <c r="AB5" s="488">
        <f t="shared" si="2"/>
        <v>2.7777777777777779E-3</v>
      </c>
      <c r="AC5" s="488">
        <f t="shared" si="2"/>
        <v>2.7777777777777779E-3</v>
      </c>
      <c r="AD5" s="488">
        <f t="shared" si="2"/>
        <v>2.7777777777777779E-3</v>
      </c>
      <c r="AE5" s="488">
        <f t="shared" si="2"/>
        <v>2.7777777777777779E-3</v>
      </c>
      <c r="AF5" s="488">
        <f t="shared" si="2"/>
        <v>2.7777777777777779E-3</v>
      </c>
      <c r="AG5" s="488">
        <f t="shared" si="2"/>
        <v>2.7777777777777779E-3</v>
      </c>
      <c r="AH5" s="488">
        <f t="shared" si="2"/>
        <v>2.7777777777777779E-3</v>
      </c>
      <c r="AI5" s="488">
        <f t="shared" si="2"/>
        <v>2.7777777777777779E-3</v>
      </c>
      <c r="AJ5" s="488">
        <f t="shared" si="2"/>
        <v>2.7777777777777779E-3</v>
      </c>
      <c r="AK5" s="488">
        <f t="shared" si="2"/>
        <v>2.7777777777777779E-3</v>
      </c>
      <c r="AL5" s="488">
        <f t="shared" si="2"/>
        <v>2.7777777777777779E-3</v>
      </c>
      <c r="AM5" s="488">
        <f t="shared" si="2"/>
        <v>2.7777777777777779E-3</v>
      </c>
      <c r="AN5" s="488">
        <f t="shared" si="2"/>
        <v>2.7777777777777779E-3</v>
      </c>
      <c r="AO5" s="488">
        <f t="shared" si="2"/>
        <v>2.7777777777777779E-3</v>
      </c>
      <c r="AP5" s="488">
        <f t="shared" si="2"/>
        <v>2.7777777777777779E-3</v>
      </c>
      <c r="AQ5" s="488">
        <f t="shared" si="2"/>
        <v>2.7777777777777779E-3</v>
      </c>
      <c r="AR5" s="171">
        <f t="shared" ref="AR5:AR7" si="3">D5</f>
        <v>0.30000000000000004</v>
      </c>
    </row>
    <row r="6" spans="1:44" ht="12.75" customHeight="1">
      <c r="A6" s="2" t="s">
        <v>358</v>
      </c>
      <c r="B6" s="376">
        <v>0.3</v>
      </c>
      <c r="C6" s="171">
        <f>B6*C2</f>
        <v>7.4999999999999997E-2</v>
      </c>
      <c r="D6" s="171">
        <f t="shared" si="0"/>
        <v>0.22499999999999998</v>
      </c>
      <c r="E6" s="11">
        <v>18</v>
      </c>
      <c r="F6" s="2"/>
      <c r="G6" s="43">
        <f t="shared" si="1"/>
        <v>0.3</v>
      </c>
      <c r="H6" s="488"/>
      <c r="I6" s="488"/>
      <c r="J6" s="488"/>
      <c r="K6" s="488"/>
      <c r="L6" s="488"/>
      <c r="M6" s="488"/>
      <c r="N6" s="488"/>
      <c r="O6" s="488"/>
      <c r="P6" s="488"/>
      <c r="Q6" s="488"/>
      <c r="R6" s="488"/>
      <c r="S6" s="488"/>
      <c r="T6" s="488"/>
      <c r="U6" s="488"/>
      <c r="V6" s="488"/>
      <c r="W6" s="488"/>
      <c r="X6" s="488"/>
      <c r="Y6" s="488"/>
      <c r="Z6" s="488">
        <f t="shared" ref="Z6:AQ6" si="4">$C$6/$E$6</f>
        <v>4.1666666666666666E-3</v>
      </c>
      <c r="AA6" s="488">
        <f t="shared" si="4"/>
        <v>4.1666666666666666E-3</v>
      </c>
      <c r="AB6" s="488">
        <f t="shared" si="4"/>
        <v>4.1666666666666666E-3</v>
      </c>
      <c r="AC6" s="488">
        <f t="shared" si="4"/>
        <v>4.1666666666666666E-3</v>
      </c>
      <c r="AD6" s="488">
        <f t="shared" si="4"/>
        <v>4.1666666666666666E-3</v>
      </c>
      <c r="AE6" s="488">
        <f t="shared" si="4"/>
        <v>4.1666666666666666E-3</v>
      </c>
      <c r="AF6" s="488">
        <f t="shared" si="4"/>
        <v>4.1666666666666666E-3</v>
      </c>
      <c r="AG6" s="488">
        <f t="shared" si="4"/>
        <v>4.1666666666666666E-3</v>
      </c>
      <c r="AH6" s="488">
        <f t="shared" si="4"/>
        <v>4.1666666666666666E-3</v>
      </c>
      <c r="AI6" s="488">
        <f t="shared" si="4"/>
        <v>4.1666666666666666E-3</v>
      </c>
      <c r="AJ6" s="488">
        <f t="shared" si="4"/>
        <v>4.1666666666666666E-3</v>
      </c>
      <c r="AK6" s="488">
        <f t="shared" si="4"/>
        <v>4.1666666666666666E-3</v>
      </c>
      <c r="AL6" s="488">
        <f t="shared" si="4"/>
        <v>4.1666666666666666E-3</v>
      </c>
      <c r="AM6" s="488">
        <f t="shared" si="4"/>
        <v>4.1666666666666666E-3</v>
      </c>
      <c r="AN6" s="488">
        <f t="shared" si="4"/>
        <v>4.1666666666666666E-3</v>
      </c>
      <c r="AO6" s="488">
        <f t="shared" si="4"/>
        <v>4.1666666666666666E-3</v>
      </c>
      <c r="AP6" s="488">
        <f t="shared" si="4"/>
        <v>4.1666666666666666E-3</v>
      </c>
      <c r="AQ6" s="488">
        <f t="shared" si="4"/>
        <v>4.1666666666666666E-3</v>
      </c>
      <c r="AR6" s="171">
        <f t="shared" si="3"/>
        <v>0.22499999999999998</v>
      </c>
    </row>
    <row r="7" spans="1:44" ht="12.75" customHeight="1">
      <c r="A7" s="2" t="s">
        <v>359</v>
      </c>
      <c r="B7" s="489">
        <v>0.3</v>
      </c>
      <c r="C7" s="490" t="s">
        <v>55</v>
      </c>
      <c r="D7" s="267">
        <f>B7</f>
        <v>0.3</v>
      </c>
      <c r="E7" s="11">
        <v>0</v>
      </c>
      <c r="F7" s="2"/>
      <c r="G7" s="43">
        <f t="shared" si="1"/>
        <v>0.3</v>
      </c>
      <c r="H7" s="49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67">
        <f t="shared" si="3"/>
        <v>0.3</v>
      </c>
    </row>
    <row r="8" spans="1:44" ht="12.75" customHeight="1">
      <c r="A8" s="2"/>
      <c r="B8" s="43">
        <f t="shared" ref="B8:D8" si="5">SUM(B5:B7)</f>
        <v>1</v>
      </c>
      <c r="C8" s="171">
        <f t="shared" si="5"/>
        <v>0.17499999999999999</v>
      </c>
      <c r="D8" s="171">
        <f t="shared" si="5"/>
        <v>0.82499999999999996</v>
      </c>
      <c r="E8" s="171"/>
      <c r="F8" s="2"/>
      <c r="G8" s="43">
        <f t="shared" si="1"/>
        <v>1</v>
      </c>
      <c r="H8" s="488">
        <f t="shared" ref="H8:AR8" si="6">SUM(H5:H7)</f>
        <v>2.7777777777777779E-3</v>
      </c>
      <c r="I8" s="488">
        <f t="shared" si="6"/>
        <v>2.7777777777777779E-3</v>
      </c>
      <c r="J8" s="488">
        <f t="shared" si="6"/>
        <v>2.7777777777777779E-3</v>
      </c>
      <c r="K8" s="488">
        <f t="shared" si="6"/>
        <v>2.7777777777777779E-3</v>
      </c>
      <c r="L8" s="488">
        <f t="shared" si="6"/>
        <v>2.7777777777777779E-3</v>
      </c>
      <c r="M8" s="488">
        <f t="shared" si="6"/>
        <v>2.7777777777777779E-3</v>
      </c>
      <c r="N8" s="488">
        <f t="shared" si="6"/>
        <v>2.7777777777777779E-3</v>
      </c>
      <c r="O8" s="488">
        <f t="shared" si="6"/>
        <v>2.7777777777777779E-3</v>
      </c>
      <c r="P8" s="488">
        <f t="shared" si="6"/>
        <v>2.7777777777777779E-3</v>
      </c>
      <c r="Q8" s="488">
        <f t="shared" si="6"/>
        <v>2.7777777777777779E-3</v>
      </c>
      <c r="R8" s="488">
        <f t="shared" si="6"/>
        <v>2.7777777777777779E-3</v>
      </c>
      <c r="S8" s="488">
        <f t="shared" si="6"/>
        <v>2.7777777777777779E-3</v>
      </c>
      <c r="T8" s="488">
        <f t="shared" si="6"/>
        <v>2.7777777777777779E-3</v>
      </c>
      <c r="U8" s="488">
        <f t="shared" si="6"/>
        <v>2.7777777777777779E-3</v>
      </c>
      <c r="V8" s="488">
        <f t="shared" si="6"/>
        <v>2.7777777777777779E-3</v>
      </c>
      <c r="W8" s="488">
        <f t="shared" si="6"/>
        <v>2.7777777777777779E-3</v>
      </c>
      <c r="X8" s="488">
        <f t="shared" si="6"/>
        <v>2.7777777777777779E-3</v>
      </c>
      <c r="Y8" s="488">
        <f t="shared" si="6"/>
        <v>2.7777777777777779E-3</v>
      </c>
      <c r="Z8" s="488">
        <f t="shared" si="6"/>
        <v>6.9444444444444441E-3</v>
      </c>
      <c r="AA8" s="488">
        <f t="shared" si="6"/>
        <v>6.9444444444444441E-3</v>
      </c>
      <c r="AB8" s="488">
        <f t="shared" si="6"/>
        <v>6.9444444444444441E-3</v>
      </c>
      <c r="AC8" s="488">
        <f t="shared" si="6"/>
        <v>6.9444444444444441E-3</v>
      </c>
      <c r="AD8" s="488">
        <f t="shared" si="6"/>
        <v>6.9444444444444441E-3</v>
      </c>
      <c r="AE8" s="488">
        <f t="shared" si="6"/>
        <v>6.9444444444444441E-3</v>
      </c>
      <c r="AF8" s="488">
        <f t="shared" si="6"/>
        <v>6.9444444444444441E-3</v>
      </c>
      <c r="AG8" s="488">
        <f t="shared" si="6"/>
        <v>6.9444444444444441E-3</v>
      </c>
      <c r="AH8" s="488">
        <f t="shared" si="6"/>
        <v>6.9444444444444441E-3</v>
      </c>
      <c r="AI8" s="488">
        <f t="shared" si="6"/>
        <v>6.9444444444444441E-3</v>
      </c>
      <c r="AJ8" s="488">
        <f t="shared" si="6"/>
        <v>6.9444444444444441E-3</v>
      </c>
      <c r="AK8" s="488">
        <f t="shared" si="6"/>
        <v>6.9444444444444441E-3</v>
      </c>
      <c r="AL8" s="488">
        <f t="shared" si="6"/>
        <v>6.9444444444444441E-3</v>
      </c>
      <c r="AM8" s="488">
        <f t="shared" si="6"/>
        <v>6.9444444444444441E-3</v>
      </c>
      <c r="AN8" s="488">
        <f t="shared" si="6"/>
        <v>6.9444444444444441E-3</v>
      </c>
      <c r="AO8" s="488">
        <f t="shared" si="6"/>
        <v>6.9444444444444441E-3</v>
      </c>
      <c r="AP8" s="488">
        <f t="shared" si="6"/>
        <v>6.9444444444444441E-3</v>
      </c>
      <c r="AQ8" s="488">
        <f t="shared" si="6"/>
        <v>6.9444444444444441E-3</v>
      </c>
      <c r="AR8" s="171">
        <f t="shared" si="6"/>
        <v>0.82499999999999996</v>
      </c>
    </row>
    <row r="9" spans="1:44" ht="12.75" customHeight="1">
      <c r="A9" s="2"/>
      <c r="B9" s="2"/>
      <c r="C9" s="2"/>
      <c r="D9" s="2"/>
      <c r="E9" s="2"/>
      <c r="F9" s="2"/>
      <c r="G9" s="2"/>
      <c r="H9" s="2"/>
      <c r="I9" s="2"/>
      <c r="AR9" s="2"/>
    </row>
    <row r="10" spans="1:44" ht="12.75" customHeight="1">
      <c r="A10" s="2"/>
      <c r="B10" s="2"/>
      <c r="C10" s="2"/>
      <c r="D10" s="2"/>
      <c r="E10" s="2"/>
      <c r="F10" s="2"/>
      <c r="G10" s="2"/>
      <c r="H10" s="2"/>
      <c r="I10" s="2"/>
      <c r="AR10" s="2"/>
    </row>
    <row r="11" spans="1:44" ht="12.75" customHeight="1">
      <c r="A11" s="2"/>
      <c r="B11" s="2"/>
      <c r="C11" s="2"/>
      <c r="D11" s="2"/>
      <c r="E11" s="2"/>
      <c r="F11" s="2"/>
      <c r="G11" s="2"/>
      <c r="H11" s="2"/>
      <c r="I11" s="2"/>
      <c r="AR11" s="2"/>
    </row>
    <row r="12" spans="1:44" ht="12.75" customHeight="1">
      <c r="A12" s="2"/>
      <c r="B12" s="2"/>
      <c r="C12" s="2"/>
      <c r="D12" s="2"/>
      <c r="E12" s="2"/>
      <c r="F12" s="2"/>
      <c r="G12" s="2"/>
      <c r="H12" s="2"/>
      <c r="I12" s="2"/>
      <c r="AR12" s="2"/>
    </row>
    <row r="13" spans="1:44" ht="12.75" customHeight="1">
      <c r="A13" s="2"/>
      <c r="B13" s="2"/>
      <c r="C13" s="2"/>
      <c r="D13" s="2"/>
      <c r="E13" s="2"/>
      <c r="F13" s="2"/>
      <c r="G13" s="2"/>
      <c r="H13" s="2"/>
      <c r="I13" s="2"/>
      <c r="AR13" s="2"/>
    </row>
    <row r="14" spans="1:44" ht="12.75" customHeight="1">
      <c r="A14" s="2"/>
      <c r="B14" s="2"/>
      <c r="C14" s="2"/>
      <c r="D14" s="2"/>
      <c r="E14" s="2"/>
      <c r="F14" s="2"/>
      <c r="G14" s="2"/>
      <c r="H14" s="2"/>
      <c r="I14" s="2"/>
      <c r="AR14" s="2"/>
    </row>
    <row r="15" spans="1:44" ht="12.75" customHeight="1">
      <c r="A15" s="2"/>
      <c r="B15" s="2"/>
      <c r="C15" s="2"/>
      <c r="D15" s="2"/>
      <c r="E15" s="2"/>
      <c r="F15" s="2"/>
      <c r="G15" s="2"/>
      <c r="H15" s="2"/>
      <c r="I15" s="2"/>
      <c r="AR15" s="2"/>
    </row>
    <row r="16" spans="1:44" ht="12.75" customHeight="1">
      <c r="A16" s="2"/>
      <c r="B16" s="2"/>
      <c r="C16" s="2"/>
      <c r="D16" s="2"/>
      <c r="E16" s="2"/>
      <c r="F16" s="2"/>
      <c r="G16" s="2"/>
      <c r="H16" s="2"/>
      <c r="I16" s="2"/>
      <c r="AR16" s="2"/>
    </row>
    <row r="17" spans="1:44" ht="12.75" customHeight="1">
      <c r="A17" s="2"/>
      <c r="B17" s="2"/>
      <c r="C17" s="2"/>
      <c r="D17" s="2"/>
      <c r="E17" s="2"/>
      <c r="F17" s="2"/>
      <c r="G17" s="2"/>
      <c r="H17" s="2"/>
      <c r="I17" s="2"/>
      <c r="AR17" s="2"/>
    </row>
    <row r="18" spans="1:44" ht="12.75" customHeight="1">
      <c r="A18" s="2"/>
      <c r="B18" s="2"/>
      <c r="C18" s="2"/>
      <c r="D18" s="2"/>
      <c r="E18" s="2"/>
      <c r="F18" s="2"/>
      <c r="G18" s="2"/>
      <c r="H18" s="2"/>
      <c r="I18" s="2"/>
      <c r="AR18" s="2"/>
    </row>
    <row r="19" spans="1:44" ht="12.75" customHeight="1">
      <c r="A19" s="2"/>
      <c r="B19" s="2"/>
      <c r="C19" s="2"/>
      <c r="D19" s="2"/>
      <c r="E19" s="2"/>
      <c r="F19" s="2"/>
      <c r="G19" s="2"/>
      <c r="H19" s="2"/>
      <c r="I19" s="2"/>
      <c r="AR19" s="2"/>
    </row>
    <row r="20" spans="1:44" ht="12.75" customHeight="1">
      <c r="A20" s="2"/>
      <c r="B20" s="2"/>
      <c r="C20" s="2"/>
      <c r="D20" s="2"/>
      <c r="E20" s="2"/>
      <c r="F20" s="2"/>
      <c r="G20" s="2"/>
      <c r="H20" s="2"/>
      <c r="I20" s="2"/>
      <c r="AR20" s="2"/>
    </row>
    <row r="21" spans="1:44" ht="12.75" customHeight="1">
      <c r="A21" s="2"/>
      <c r="B21" s="2"/>
      <c r="C21" s="2"/>
      <c r="D21" s="2"/>
      <c r="E21" s="2"/>
      <c r="F21" s="2"/>
      <c r="G21" s="2"/>
      <c r="H21" s="2"/>
      <c r="I21" s="2"/>
      <c r="AR21" s="2"/>
    </row>
    <row r="22" spans="1:44" ht="15.75" customHeight="1"/>
    <row r="23" spans="1:44" ht="15.75" customHeight="1"/>
    <row r="24" spans="1:44" ht="15.75" customHeight="1"/>
    <row r="25" spans="1:44" ht="15.75" customHeight="1"/>
    <row r="26" spans="1:44" ht="15.75" customHeight="1"/>
    <row r="27" spans="1:44" ht="15.75" customHeight="1"/>
    <row r="28" spans="1:44" ht="15.75" customHeight="1"/>
    <row r="29" spans="1:44" ht="15.75" customHeight="1"/>
    <row r="30" spans="1:44" ht="15.75" customHeight="1"/>
    <row r="31" spans="1:44" ht="15.75" customHeight="1"/>
    <row r="32" spans="1:4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1000"/>
  <sheetViews>
    <sheetView workbookViewId="0"/>
  </sheetViews>
  <sheetFormatPr defaultColWidth="12.5703125" defaultRowHeight="15" customHeight="1"/>
  <cols>
    <col min="1" max="6" width="8.7109375" customWidth="1"/>
    <col min="7" max="26" width="14.42578125" customWidth="1"/>
  </cols>
  <sheetData>
    <row r="1" spans="1:4" ht="12.75" customHeight="1">
      <c r="A1" s="2" t="s">
        <v>363</v>
      </c>
    </row>
    <row r="2" spans="1:4" ht="12.75" customHeight="1"/>
    <row r="3" spans="1:4" ht="12.75" customHeight="1">
      <c r="A3" s="2" t="s">
        <v>345</v>
      </c>
      <c r="C3" s="2" t="s">
        <v>346</v>
      </c>
      <c r="D3" s="2" t="s">
        <v>347</v>
      </c>
    </row>
    <row r="4" spans="1:4" ht="12.75" customHeight="1">
      <c r="A4" s="2" t="s">
        <v>348</v>
      </c>
      <c r="B4" s="376">
        <v>0.15</v>
      </c>
      <c r="C4" s="486">
        <f t="shared" ref="C4:C6" si="0">B4/$C$9</f>
        <v>1.8749999999999999E-2</v>
      </c>
      <c r="D4" s="2">
        <v>24</v>
      </c>
    </row>
    <row r="5" spans="1:4" ht="12.75" customHeight="1">
      <c r="A5" s="2" t="s">
        <v>349</v>
      </c>
      <c r="B5" s="376">
        <v>0.3</v>
      </c>
      <c r="C5" s="486">
        <f t="shared" si="0"/>
        <v>3.7499999999999999E-2</v>
      </c>
      <c r="D5" s="2">
        <v>32</v>
      </c>
    </row>
    <row r="6" spans="1:4" ht="12.75" customHeight="1">
      <c r="A6" s="2" t="s">
        <v>350</v>
      </c>
      <c r="B6" s="376">
        <v>0.55000000000000004</v>
      </c>
      <c r="C6" s="486">
        <f t="shared" si="0"/>
        <v>6.8750000000000006E-2</v>
      </c>
      <c r="D6" s="2">
        <v>40</v>
      </c>
    </row>
    <row r="7" spans="1:4" ht="12.75" customHeight="1"/>
    <row r="8" spans="1:4" ht="12.75" customHeight="1">
      <c r="A8" s="2" t="s">
        <v>351</v>
      </c>
      <c r="C8" s="375">
        <v>24</v>
      </c>
      <c r="D8" s="2" t="s">
        <v>352</v>
      </c>
    </row>
    <row r="9" spans="1:4" ht="12.75" customHeight="1">
      <c r="A9" s="2" t="s">
        <v>353</v>
      </c>
      <c r="C9" s="2">
        <f>C8/3</f>
        <v>8</v>
      </c>
      <c r="D9" s="2" t="s">
        <v>352</v>
      </c>
    </row>
    <row r="10" spans="1:4" ht="12.75" customHeight="1"/>
    <row r="11" spans="1:4" ht="12.75" customHeight="1"/>
    <row r="12" spans="1:4" ht="12.75" customHeight="1"/>
    <row r="13" spans="1:4" ht="12.75" customHeight="1"/>
    <row r="14" spans="1:4" ht="12.75" customHeight="1"/>
    <row r="15" spans="1:4" ht="12.75" customHeight="1"/>
    <row r="16" spans="1: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E1000"/>
  <sheetViews>
    <sheetView workbookViewId="0"/>
  </sheetViews>
  <sheetFormatPr defaultColWidth="12.5703125" defaultRowHeight="15" customHeight="1"/>
  <cols>
    <col min="1" max="1" width="48" customWidth="1"/>
    <col min="2" max="2" width="25" customWidth="1"/>
    <col min="3" max="3" width="8.7109375" customWidth="1"/>
    <col min="4" max="4" width="60.42578125" customWidth="1"/>
    <col min="5" max="5" width="27" customWidth="1"/>
    <col min="6" max="6" width="8.7109375" customWidth="1"/>
    <col min="7" max="26" width="14.42578125" customWidth="1"/>
  </cols>
  <sheetData>
    <row r="1" spans="1:5" ht="12.75" customHeight="1">
      <c r="A1" s="3" t="s">
        <v>364</v>
      </c>
      <c r="B1" s="2"/>
      <c r="D1" s="3"/>
      <c r="E1" s="3"/>
    </row>
    <row r="2" spans="1:5" ht="12.75" customHeight="1">
      <c r="A2" s="500" t="s">
        <v>365</v>
      </c>
      <c r="B2" s="2"/>
      <c r="D2" s="3"/>
      <c r="E2" s="3"/>
    </row>
    <row r="3" spans="1:5" ht="12.75" customHeight="1">
      <c r="A3" s="2"/>
      <c r="B3" s="2"/>
      <c r="D3" s="3"/>
      <c r="E3" s="3"/>
    </row>
    <row r="4" spans="1:5" ht="12.75" customHeight="1">
      <c r="A4" s="501">
        <v>1</v>
      </c>
      <c r="B4" s="2"/>
      <c r="D4" s="3">
        <v>1</v>
      </c>
      <c r="E4" s="3"/>
    </row>
    <row r="5" spans="1:5" ht="23.25" customHeight="1">
      <c r="A5" s="502" t="s">
        <v>267</v>
      </c>
      <c r="B5" s="2"/>
      <c r="D5" s="503" t="s">
        <v>267</v>
      </c>
      <c r="E5" s="3"/>
    </row>
    <row r="6" spans="1:5" ht="12.75" customHeight="1">
      <c r="A6" s="504" t="s">
        <v>268</v>
      </c>
      <c r="B6" s="2"/>
      <c r="D6" s="505" t="s">
        <v>268</v>
      </c>
      <c r="E6" s="3"/>
    </row>
    <row r="7" spans="1:5" ht="12.75" customHeight="1">
      <c r="A7" s="504" t="s">
        <v>269</v>
      </c>
      <c r="B7" s="2"/>
      <c r="D7" s="505" t="s">
        <v>269</v>
      </c>
      <c r="E7" s="3"/>
    </row>
    <row r="8" spans="1:5" ht="12.75" customHeight="1">
      <c r="A8" s="504" t="s">
        <v>270</v>
      </c>
      <c r="B8" s="2"/>
      <c r="D8" s="505" t="s">
        <v>270</v>
      </c>
      <c r="E8" s="3"/>
    </row>
    <row r="9" spans="1:5" ht="12.75" customHeight="1">
      <c r="A9" s="504" t="s">
        <v>366</v>
      </c>
      <c r="B9" s="2"/>
      <c r="D9" s="505" t="s">
        <v>367</v>
      </c>
      <c r="E9" s="3"/>
    </row>
    <row r="10" spans="1:5" ht="12.75" customHeight="1">
      <c r="A10" s="504" t="s">
        <v>272</v>
      </c>
      <c r="B10" s="2"/>
      <c r="D10" s="505" t="s">
        <v>272</v>
      </c>
      <c r="E10" s="3"/>
    </row>
    <row r="11" spans="1:5" ht="12.75" customHeight="1">
      <c r="A11" s="504" t="s">
        <v>274</v>
      </c>
      <c r="B11" s="2"/>
      <c r="D11" s="505" t="s">
        <v>274</v>
      </c>
      <c r="E11" s="3"/>
    </row>
    <row r="12" spans="1:5" ht="12.75" customHeight="1">
      <c r="A12" s="501">
        <v>2</v>
      </c>
      <c r="B12" s="2"/>
      <c r="D12" s="3">
        <v>2</v>
      </c>
      <c r="E12" s="3"/>
    </row>
    <row r="13" spans="1:5" ht="23.25" customHeight="1">
      <c r="A13" s="502" t="s">
        <v>275</v>
      </c>
      <c r="B13" s="2"/>
      <c r="D13" s="503" t="s">
        <v>275</v>
      </c>
      <c r="E13" s="3"/>
    </row>
    <row r="14" spans="1:5" ht="20.25" customHeight="1">
      <c r="A14" s="506" t="s">
        <v>276</v>
      </c>
      <c r="B14" s="2"/>
      <c r="D14" s="506" t="s">
        <v>368</v>
      </c>
      <c r="E14" s="3"/>
    </row>
    <row r="15" spans="1:5" ht="12.75" customHeight="1">
      <c r="A15" s="504" t="s">
        <v>369</v>
      </c>
      <c r="B15" s="2"/>
      <c r="D15" s="505" t="s">
        <v>369</v>
      </c>
      <c r="E15" s="3"/>
    </row>
    <row r="16" spans="1:5" ht="12.75" customHeight="1">
      <c r="A16" s="504" t="s">
        <v>279</v>
      </c>
      <c r="B16" s="2"/>
      <c r="D16" s="505" t="s">
        <v>279</v>
      </c>
      <c r="E16" s="3"/>
    </row>
    <row r="17" spans="1:5" ht="12.75" customHeight="1">
      <c r="A17" s="504" t="s">
        <v>281</v>
      </c>
      <c r="B17" s="2"/>
      <c r="D17" s="505" t="s">
        <v>281</v>
      </c>
      <c r="E17" s="3"/>
    </row>
    <row r="18" spans="1:5" ht="12.75" customHeight="1">
      <c r="A18" s="501">
        <v>3</v>
      </c>
      <c r="B18" s="2"/>
      <c r="D18" s="3">
        <v>3</v>
      </c>
      <c r="E18" s="3"/>
    </row>
    <row r="19" spans="1:5" ht="23.25" customHeight="1">
      <c r="A19" s="502" t="s">
        <v>283</v>
      </c>
      <c r="B19" s="2"/>
      <c r="D19" s="503" t="s">
        <v>283</v>
      </c>
      <c r="E19" s="3"/>
    </row>
    <row r="20" spans="1:5" ht="12.75" customHeight="1">
      <c r="A20" s="504" t="s">
        <v>370</v>
      </c>
      <c r="B20" s="2"/>
      <c r="D20" s="505" t="s">
        <v>371</v>
      </c>
      <c r="E20" s="3"/>
    </row>
    <row r="21" spans="1:5" ht="12.75" customHeight="1">
      <c r="A21" s="507">
        <v>4</v>
      </c>
      <c r="B21" s="2"/>
      <c r="D21" s="3">
        <v>4</v>
      </c>
      <c r="E21" s="3"/>
    </row>
    <row r="22" spans="1:5" ht="23.25" customHeight="1">
      <c r="A22" s="508" t="s">
        <v>286</v>
      </c>
      <c r="B22" s="2"/>
      <c r="D22" s="503" t="s">
        <v>286</v>
      </c>
      <c r="E22" s="3"/>
    </row>
    <row r="23" spans="1:5" ht="12.75" customHeight="1">
      <c r="A23" s="509" t="s">
        <v>287</v>
      </c>
      <c r="B23" s="2"/>
      <c r="D23" s="510" t="s">
        <v>287</v>
      </c>
      <c r="E23" s="3"/>
    </row>
    <row r="24" spans="1:5" ht="12.75" customHeight="1">
      <c r="A24" s="448"/>
      <c r="B24" s="2"/>
      <c r="D24" s="510"/>
      <c r="E24" s="3"/>
    </row>
    <row r="25" spans="1:5" ht="12.75" customHeight="1">
      <c r="A25" s="448"/>
      <c r="B25" s="2"/>
      <c r="D25" s="510"/>
      <c r="E25" s="3"/>
    </row>
    <row r="26" spans="1:5" ht="17.25" customHeight="1">
      <c r="A26" s="511" t="s">
        <v>372</v>
      </c>
      <c r="B26" s="2"/>
      <c r="D26" s="512" t="s">
        <v>372</v>
      </c>
      <c r="E26" s="3"/>
    </row>
    <row r="27" spans="1:5" ht="18.75" customHeight="1">
      <c r="A27" s="513" t="s">
        <v>289</v>
      </c>
      <c r="B27" s="513" t="s">
        <v>373</v>
      </c>
      <c r="D27" s="513" t="s">
        <v>289</v>
      </c>
      <c r="E27" s="513" t="s">
        <v>374</v>
      </c>
    </row>
    <row r="28" spans="1:5" ht="13.5" customHeight="1">
      <c r="A28" s="514" t="s">
        <v>291</v>
      </c>
      <c r="B28" s="452" t="s">
        <v>292</v>
      </c>
      <c r="D28" s="453" t="s">
        <v>291</v>
      </c>
      <c r="E28" s="453" t="s">
        <v>292</v>
      </c>
    </row>
    <row r="29" spans="1:5" ht="13.5" customHeight="1">
      <c r="A29" s="514" t="s">
        <v>293</v>
      </c>
      <c r="B29" s="515">
        <v>0.9</v>
      </c>
      <c r="D29" s="453" t="s">
        <v>293</v>
      </c>
      <c r="E29" s="456">
        <v>0.9</v>
      </c>
    </row>
    <row r="30" spans="1:5" ht="13.5" customHeight="1">
      <c r="A30" s="514" t="s">
        <v>375</v>
      </c>
      <c r="B30" s="452" t="s">
        <v>376</v>
      </c>
      <c r="D30" s="453" t="s">
        <v>375</v>
      </c>
      <c r="E30" s="453" t="s">
        <v>377</v>
      </c>
    </row>
    <row r="31" spans="1:5" ht="13.5" customHeight="1">
      <c r="A31" s="514" t="s">
        <v>295</v>
      </c>
      <c r="B31" s="452" t="s">
        <v>378</v>
      </c>
      <c r="D31" s="453" t="s">
        <v>295</v>
      </c>
      <c r="E31" s="453" t="s">
        <v>379</v>
      </c>
    </row>
    <row r="32" spans="1:5" ht="13.5" customHeight="1">
      <c r="A32" s="514" t="s">
        <v>298</v>
      </c>
      <c r="B32" s="452" t="s">
        <v>380</v>
      </c>
      <c r="D32" s="453" t="s">
        <v>298</v>
      </c>
      <c r="E32" s="453" t="s">
        <v>299</v>
      </c>
    </row>
    <row r="33" spans="1:5" ht="13.5" customHeight="1">
      <c r="A33" s="514" t="s">
        <v>300</v>
      </c>
      <c r="B33" s="452" t="s">
        <v>381</v>
      </c>
      <c r="D33" s="453" t="s">
        <v>300</v>
      </c>
      <c r="E33" s="453" t="s">
        <v>382</v>
      </c>
    </row>
    <row r="34" spans="1:5" ht="12.75" customHeight="1">
      <c r="A34" s="516" t="s">
        <v>301</v>
      </c>
      <c r="B34" s="460" t="s">
        <v>383</v>
      </c>
      <c r="D34" s="461" t="s">
        <v>301</v>
      </c>
      <c r="E34" s="461" t="s">
        <v>384</v>
      </c>
    </row>
    <row r="35" spans="1:5" ht="12.75" customHeight="1">
      <c r="A35" s="2"/>
      <c r="B35" s="2"/>
      <c r="D35" s="3"/>
      <c r="E35" s="3"/>
    </row>
    <row r="36" spans="1:5" ht="12.75" customHeight="1">
      <c r="A36" s="2"/>
      <c r="B36" s="2"/>
      <c r="D36" s="3"/>
      <c r="E36" s="3"/>
    </row>
    <row r="37" spans="1:5" ht="17.25" customHeight="1">
      <c r="A37" s="517" t="s">
        <v>304</v>
      </c>
      <c r="B37" s="2"/>
      <c r="D37" s="518" t="s">
        <v>304</v>
      </c>
      <c r="E37" s="3"/>
    </row>
    <row r="38" spans="1:5" ht="13.5" customHeight="1">
      <c r="A38" s="452"/>
      <c r="B38" s="463" t="s">
        <v>305</v>
      </c>
      <c r="D38" s="453"/>
      <c r="E38" s="519" t="s">
        <v>305</v>
      </c>
    </row>
    <row r="39" spans="1:5" ht="13.5" customHeight="1">
      <c r="A39" s="452" t="s">
        <v>385</v>
      </c>
      <c r="B39" s="520" t="s">
        <v>307</v>
      </c>
      <c r="D39" s="453" t="s">
        <v>386</v>
      </c>
      <c r="E39" s="519" t="s">
        <v>387</v>
      </c>
    </row>
    <row r="40" spans="1:5" ht="13.5" customHeight="1">
      <c r="A40" s="452" t="s">
        <v>388</v>
      </c>
      <c r="B40" s="520" t="s">
        <v>311</v>
      </c>
      <c r="D40" s="453" t="s">
        <v>389</v>
      </c>
      <c r="E40" s="519" t="s">
        <v>390</v>
      </c>
    </row>
    <row r="41" spans="1:5" ht="12.75" customHeight="1">
      <c r="A41" s="777" t="s">
        <v>314</v>
      </c>
      <c r="B41" s="521" t="s">
        <v>391</v>
      </c>
      <c r="D41" s="778" t="s">
        <v>314</v>
      </c>
      <c r="E41" s="465" t="s">
        <v>392</v>
      </c>
    </row>
    <row r="42" spans="1:5" ht="13.5" customHeight="1">
      <c r="A42" s="772"/>
      <c r="B42" s="463" t="s">
        <v>322</v>
      </c>
      <c r="D42" s="772"/>
      <c r="E42" s="519" t="s">
        <v>322</v>
      </c>
    </row>
    <row r="43" spans="1:5" ht="13.5" customHeight="1">
      <c r="A43" s="452" t="s">
        <v>323</v>
      </c>
      <c r="B43" s="520" t="s">
        <v>393</v>
      </c>
      <c r="D43" s="453" t="s">
        <v>323</v>
      </c>
      <c r="E43" s="519" t="s">
        <v>394</v>
      </c>
    </row>
    <row r="44" spans="1:5" ht="13.5" customHeight="1">
      <c r="A44" s="452" t="s">
        <v>395</v>
      </c>
      <c r="B44" s="771" t="s">
        <v>325</v>
      </c>
      <c r="D44" s="453" t="s">
        <v>396</v>
      </c>
      <c r="E44" s="779" t="s">
        <v>325</v>
      </c>
    </row>
    <row r="45" spans="1:5" ht="13.5" customHeight="1">
      <c r="A45" s="460" t="s">
        <v>397</v>
      </c>
      <c r="B45" s="772"/>
      <c r="D45" s="461" t="s">
        <v>398</v>
      </c>
      <c r="E45" s="772"/>
    </row>
    <row r="46" spans="1:5" ht="12.75" customHeight="1">
      <c r="A46" s="2"/>
      <c r="B46" s="2"/>
      <c r="D46" s="3"/>
      <c r="E46" s="3"/>
    </row>
    <row r="47" spans="1:5" ht="12.75" customHeight="1">
      <c r="A47" s="2"/>
      <c r="B47" s="2"/>
      <c r="D47" s="3"/>
      <c r="E47" s="3"/>
    </row>
    <row r="48" spans="1:5" ht="12.75" customHeight="1">
      <c r="A48" s="2" t="s">
        <v>399</v>
      </c>
      <c r="B48" s="2"/>
      <c r="D48" s="3" t="s">
        <v>399</v>
      </c>
      <c r="E48" s="3"/>
    </row>
    <row r="49" spans="1:5" ht="12.75" customHeight="1">
      <c r="A49" s="2"/>
      <c r="B49" s="2"/>
      <c r="D49" s="3"/>
      <c r="E49" s="3"/>
    </row>
    <row r="50" spans="1:5" ht="15.75" customHeight="1"/>
    <row r="51" spans="1:5" ht="15.75" customHeight="1"/>
    <row r="52" spans="1:5" ht="15.75" customHeight="1"/>
    <row r="53" spans="1:5" ht="15.75" customHeight="1"/>
    <row r="54" spans="1:5" ht="15.75" customHeight="1"/>
    <row r="55" spans="1:5" ht="15.75" customHeight="1"/>
    <row r="56" spans="1:5" ht="15.75" customHeight="1"/>
    <row r="57" spans="1:5" ht="15.75" customHeight="1"/>
    <row r="58" spans="1:5" ht="15.75" customHeight="1"/>
    <row r="59" spans="1:5" ht="15.75" customHeight="1"/>
    <row r="60" spans="1:5" ht="15.75" customHeight="1"/>
    <row r="61" spans="1:5" ht="15.75" customHeight="1"/>
    <row r="62" spans="1:5" ht="15.75" customHeight="1"/>
    <row r="63" spans="1:5" ht="15.75" customHeight="1"/>
    <row r="64" spans="1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41:A42"/>
    <mergeCell ref="D41:D42"/>
    <mergeCell ref="B44:B45"/>
    <mergeCell ref="E44:E45"/>
  </mergeCells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22</vt:i4>
      </vt:variant>
    </vt:vector>
  </HeadingPairs>
  <TitlesOfParts>
    <vt:vector size="22" baseType="lpstr">
      <vt:lpstr>Senha</vt:lpstr>
      <vt:lpstr>Parâmetros</vt:lpstr>
      <vt:lpstr>Equipes</vt:lpstr>
      <vt:lpstr>Entrada</vt:lpstr>
      <vt:lpstr>custo UrbanizR$</vt:lpstr>
      <vt:lpstr>custo Urbanização%</vt:lpstr>
      <vt:lpstr>custo obra$</vt:lpstr>
      <vt:lpstr>Custo de obra%</vt:lpstr>
      <vt:lpstr>CustoXReceita Empreend$</vt:lpstr>
      <vt:lpstr>Financiamento 2022</vt:lpstr>
      <vt:lpstr>Sinapi</vt:lpstr>
      <vt:lpstr>Indices setoriais</vt:lpstr>
      <vt:lpstr>CustoXReceita Empreend%</vt:lpstr>
      <vt:lpstr>ind</vt:lpstr>
      <vt:lpstr>Financiamentos2017</vt:lpstr>
      <vt:lpstr>ViabFinanceira5</vt:lpstr>
      <vt:lpstr>Obra</vt:lpstr>
      <vt:lpstr>Vendas</vt:lpstr>
      <vt:lpstr>ViabFinanceira19</vt:lpstr>
      <vt:lpstr>Venda</vt:lpstr>
      <vt:lpstr>Obras</vt:lpstr>
      <vt:lpstr>Financiamento1015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</dc:creator>
  <cp:lastModifiedBy>João</cp:lastModifiedBy>
  <dcterms:created xsi:type="dcterms:W3CDTF">2022-06-24T06:38:25Z</dcterms:created>
  <dcterms:modified xsi:type="dcterms:W3CDTF">2023-05-26T08:23:48Z</dcterms:modified>
</cp:coreProperties>
</file>