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e6f4b1e99dc1c6/USP/PME3453 - Máqs de Fluxo/2023/Provas/P1/"/>
    </mc:Choice>
  </mc:AlternateContent>
  <xr:revisionPtr revIDLastSave="225" documentId="8_{ED37C21A-F40A-4D52-9982-C7FE89FB479E}" xr6:coauthVersionLast="47" xr6:coauthVersionMax="47" xr10:uidLastSave="{F6AA51CD-5430-4AF3-B82C-16C807AF64B2}"/>
  <bookViews>
    <workbookView xWindow="-60" yWindow="-16320" windowWidth="29040" windowHeight="15720" xr2:uid="{536C96DC-790B-4B0E-B707-C189E971344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1" l="1"/>
  <c r="L40" i="1"/>
  <c r="C54" i="1"/>
  <c r="C44" i="1"/>
  <c r="L14" i="1"/>
  <c r="C19" i="1"/>
  <c r="C45" i="1"/>
  <c r="L16" i="1"/>
  <c r="L17" i="1" s="1"/>
  <c r="L15" i="1"/>
  <c r="E15" i="1"/>
  <c r="L38" i="1"/>
  <c r="L46" i="1" l="1"/>
  <c r="C49" i="1"/>
  <c r="C50" i="1" s="1"/>
  <c r="C25" i="1"/>
  <c r="C24" i="1" l="1"/>
  <c r="L41" i="1" l="1"/>
  <c r="L43" i="1" s="1"/>
</calcChain>
</file>

<file path=xl/sharedStrings.xml><?xml version="1.0" encoding="utf-8"?>
<sst xmlns="http://schemas.openxmlformats.org/spreadsheetml/2006/main" count="116" uniqueCount="89">
  <si>
    <t>n</t>
  </si>
  <si>
    <t>Q</t>
  </si>
  <si>
    <t>H</t>
  </si>
  <si>
    <t>m</t>
  </si>
  <si>
    <t>rpm</t>
  </si>
  <si>
    <t>Q11</t>
  </si>
  <si>
    <t>n11</t>
  </si>
  <si>
    <t>a3</t>
  </si>
  <si>
    <t>mm</t>
  </si>
  <si>
    <t>Pf</t>
  </si>
  <si>
    <t>g</t>
  </si>
  <si>
    <t>kW</t>
  </si>
  <si>
    <t>Pu</t>
  </si>
  <si>
    <t>Turbina Francis</t>
  </si>
  <si>
    <t>Ptot</t>
  </si>
  <si>
    <t>MW</t>
  </si>
  <si>
    <t>#turb</t>
  </si>
  <si>
    <t>D</t>
  </si>
  <si>
    <t>Drotor</t>
  </si>
  <si>
    <t>Porque opera na faixa de melhor rendimento</t>
  </si>
  <si>
    <t>r</t>
  </si>
  <si>
    <t>Pcons</t>
  </si>
  <si>
    <t>W</t>
  </si>
  <si>
    <t>Bomba radial</t>
  </si>
  <si>
    <t>p</t>
  </si>
  <si>
    <t>n síncrona</t>
  </si>
  <si>
    <t>e</t>
  </si>
  <si>
    <r>
      <t xml:space="preserve">entre 2% e 5%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scheme val="minor"/>
      </rPr>
      <t xml:space="preserve"> OK</t>
    </r>
  </si>
  <si>
    <t>Para dobrar a carga, duas bombas devem ser montadas em série.</t>
  </si>
  <si>
    <t>A vazão fornecida continua a mesma.</t>
  </si>
  <si>
    <t>Nova Pcons</t>
  </si>
  <si>
    <t>Considerando não haver nenhuma limitação mecânica, como rotação, por exemplo.</t>
  </si>
  <si>
    <r>
      <t xml:space="preserve">&gt; 2x H inicial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Viável</t>
    </r>
  </si>
  <si>
    <t>Como indicado acima, a carga varia com o quadrado da rotação.</t>
  </si>
  <si>
    <r>
      <t xml:space="preserve">Com base em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2, a vazão varia linearmente com a rotação.</t>
    </r>
  </si>
  <si>
    <t>A solução com variação da rotação consumiria mais potência que a adoção de 2 bombas em série.</t>
  </si>
  <si>
    <t>Modelo</t>
  </si>
  <si>
    <r>
      <t xml:space="preserve">Máx </t>
    </r>
    <r>
      <rPr>
        <sz val="11"/>
        <color theme="1"/>
        <rFont val="Symbol"/>
        <family val="1"/>
        <charset val="2"/>
      </rPr>
      <t>h</t>
    </r>
  </si>
  <si>
    <t>s</t>
  </si>
  <si>
    <r>
      <t xml:space="preserve">Para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 xml:space="preserve"> &lt; 0,05 não ocorre cavitação</t>
    </r>
  </si>
  <si>
    <t>Protótipo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</si>
  <si>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2</t>
    </r>
  </si>
  <si>
    <t>Questão 1</t>
  </si>
  <si>
    <t>igual a 150 MW, garante o fornecimento médio de ..... MW o ano todo.</t>
  </si>
  <si>
    <t>Combustíveis fósseis</t>
  </si>
  <si>
    <t>Hidroeletricidade</t>
  </si>
  <si>
    <t>da ordem de 10 MW</t>
  </si>
  <si>
    <t>1.1 Selecionar qual é fonte primária de energia mais utilizada no mundo atualmente.</t>
  </si>
  <si>
    <t>1.2 E para a produção de energia elétrica?</t>
  </si>
  <si>
    <t>1.3 E no caso da matriz elétrica brasileira, qual é a fonte mais utilizada no momento?</t>
  </si>
  <si>
    <t>1.4 Qual é a máxima potência fornecida por uma turbina eólica atualmente?</t>
  </si>
  <si>
    <t>1.5 Uma usina hidrelétrica situada em região com fator de carga 0,4 e potência instalada</t>
  </si>
  <si>
    <t>Respostas</t>
  </si>
  <si>
    <t>Questão 2 - Bombas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</si>
  <si>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</si>
  <si>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</si>
  <si>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</si>
  <si>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</si>
  <si>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h</t>
  </si>
  <si>
    <r>
      <t xml:space="preserve">= </t>
    </r>
    <r>
      <rPr>
        <sz val="11"/>
        <color theme="1"/>
        <rFont val="Symbol"/>
        <family val="1"/>
        <charset val="2"/>
      </rPr>
      <t xml:space="preserve">r </t>
    </r>
    <r>
      <rPr>
        <sz val="11"/>
        <color theme="1"/>
        <rFont val="Calibri"/>
        <family val="2"/>
        <scheme val="minor"/>
      </rPr>
      <t xml:space="preserve">* g * H * Q / </t>
    </r>
    <r>
      <rPr>
        <sz val="11"/>
        <color theme="1"/>
        <rFont val="Symbol"/>
        <family val="1"/>
        <charset val="2"/>
      </rPr>
      <t>h</t>
    </r>
  </si>
  <si>
    <r>
      <t>n</t>
    </r>
    <r>
      <rPr>
        <vertAlign val="subscript"/>
        <sz val="11"/>
        <color theme="1"/>
        <rFont val="Calibri"/>
        <family val="2"/>
        <scheme val="minor"/>
      </rPr>
      <t>q</t>
    </r>
  </si>
  <si>
    <t>= 60  *60 / n</t>
  </si>
  <si>
    <t>Brasil (f = 60 Hz)</t>
  </si>
  <si>
    <t>= 60 * 60 / 1</t>
  </si>
  <si>
    <t>1 par de polos</t>
  </si>
  <si>
    <t>= 1 - n / n síncrona</t>
  </si>
  <si>
    <t>= 2 * Pcons</t>
  </si>
  <si>
    <r>
      <t>n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associado</t>
    </r>
  </si>
  <si>
    <r>
      <t>= n * Q</t>
    </r>
    <r>
      <rPr>
        <vertAlign val="superscript"/>
        <sz val="11"/>
        <color theme="1"/>
        <rFont val="Calibri"/>
        <family val="2"/>
        <scheme val="minor"/>
      </rPr>
      <t xml:space="preserve"> 0,5</t>
    </r>
    <r>
      <rPr>
        <sz val="11"/>
        <color theme="1"/>
        <rFont val="Calibri"/>
        <family val="2"/>
        <scheme val="minor"/>
      </rPr>
      <t xml:space="preserve"> / ( 2 * H) </t>
    </r>
    <r>
      <rPr>
        <vertAlign val="superscript"/>
        <sz val="11"/>
        <color theme="1"/>
        <rFont val="Calibri"/>
        <family val="2"/>
        <scheme val="minor"/>
      </rPr>
      <t>0,75</t>
    </r>
  </si>
  <si>
    <r>
      <t xml:space="preserve">1,5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 2,25</t>
    </r>
  </si>
  <si>
    <r>
      <t>Como a potência é Q x H, ela varia com a 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potência da rotação.</t>
    </r>
  </si>
  <si>
    <r>
      <t xml:space="preserve">Com base em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:</t>
    </r>
  </si>
  <si>
    <t>Questão 3 - Turbinas</t>
  </si>
  <si>
    <r>
      <t>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</si>
  <si>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(rpm)</t>
  </si>
  <si>
    <r>
      <t xml:space="preserve">= ( n * D / n11)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</si>
  <si>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= Q11 * D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H </t>
    </r>
    <r>
      <rPr>
        <vertAlign val="superscript"/>
        <sz val="11"/>
        <color theme="1"/>
        <rFont val="Calibri"/>
        <family val="2"/>
        <scheme val="minor"/>
      </rPr>
      <t>0,5</t>
    </r>
  </si>
  <si>
    <r>
      <t xml:space="preserve">= </t>
    </r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* g * Q * H / 1000</t>
    </r>
  </si>
  <si>
    <r>
      <t xml:space="preserve">= Pf * Máx </t>
    </r>
    <r>
      <rPr>
        <sz val="11"/>
        <color theme="1"/>
        <rFont val="Symbol"/>
        <family val="1"/>
        <charset val="2"/>
      </rPr>
      <t>h</t>
    </r>
  </si>
  <si>
    <r>
      <t xml:space="preserve"> = n * Q</t>
    </r>
    <r>
      <rPr>
        <vertAlign val="superscript"/>
        <sz val="11"/>
        <color theme="1"/>
        <rFont val="Calibri"/>
        <family val="2"/>
        <scheme val="minor"/>
      </rPr>
      <t xml:space="preserve"> 0,5</t>
    </r>
    <r>
      <rPr>
        <sz val="11"/>
        <color theme="1"/>
        <rFont val="Calibri"/>
        <family val="2"/>
        <scheme val="minor"/>
      </rPr>
      <t xml:space="preserve"> / H </t>
    </r>
    <r>
      <rPr>
        <vertAlign val="superscript"/>
        <sz val="11"/>
        <color theme="1"/>
        <rFont val="Calibri"/>
        <family val="2"/>
        <scheme val="minor"/>
      </rPr>
      <t>0,75</t>
    </r>
  </si>
  <si>
    <r>
      <t xml:space="preserve">= (H </t>
    </r>
    <r>
      <rPr>
        <vertAlign val="superscript"/>
        <sz val="11"/>
        <color theme="1"/>
        <rFont val="Calibri"/>
        <family val="2"/>
        <scheme val="minor"/>
      </rPr>
      <t>0,75</t>
    </r>
    <r>
      <rPr>
        <sz val="11"/>
        <color theme="1"/>
        <rFont val="Calibri"/>
        <family val="2"/>
        <scheme val="minor"/>
      </rPr>
      <t xml:space="preserve"> * n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/ n ) </t>
    </r>
    <r>
      <rPr>
        <vertAlign val="superscript"/>
        <sz val="11"/>
        <color theme="1"/>
        <rFont val="Calibri"/>
        <family val="2"/>
        <scheme val="minor"/>
      </rPr>
      <t>2</t>
    </r>
  </si>
  <si>
    <r>
      <t>= n * Q</t>
    </r>
    <r>
      <rPr>
        <vertAlign val="superscript"/>
        <sz val="11"/>
        <color theme="1"/>
        <rFont val="Calibri"/>
        <family val="2"/>
        <scheme val="minor"/>
      </rPr>
      <t xml:space="preserve"> 0,5</t>
    </r>
    <r>
      <rPr>
        <sz val="11"/>
        <color theme="1"/>
        <rFont val="Calibri"/>
        <family val="2"/>
        <scheme val="minor"/>
      </rPr>
      <t xml:space="preserve"> / H </t>
    </r>
    <r>
      <rPr>
        <vertAlign val="superscript"/>
        <sz val="11"/>
        <color theme="1"/>
        <rFont val="Calibri"/>
        <family val="2"/>
        <scheme val="minor"/>
      </rPr>
      <t>0,75</t>
    </r>
  </si>
  <si>
    <r>
      <t xml:space="preserve">= </t>
    </r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* g * Q * H * Máx </t>
    </r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  <scheme val="minor"/>
      </rPr>
      <t xml:space="preserve"> / 1000000</t>
    </r>
  </si>
  <si>
    <t>= Ptot / Pu</t>
  </si>
  <si>
    <t>2 turbinas foram instaladas</t>
  </si>
  <si>
    <r>
      <t xml:space="preserve">= Q / ( n * D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)</t>
    </r>
  </si>
  <si>
    <t>calculado no modelo</t>
  </si>
  <si>
    <r>
      <t xml:space="preserve">= ( Q / ( n *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2 ) ) </t>
    </r>
    <r>
      <rPr>
        <vertAlign val="superscript"/>
        <sz val="11"/>
        <color theme="1"/>
        <rFont val="Calibri"/>
        <family val="2"/>
        <scheme val="minor"/>
      </rPr>
      <t>1/3</t>
    </r>
  </si>
  <si>
    <t>aplicado ao protótipo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</si>
</sst>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167" fontId="0" fillId="3" borderId="0" xfId="1" applyNumberFormat="1" applyFont="1" applyFill="1"/>
    <xf numFmtId="0" fontId="0" fillId="0" borderId="0" xfId="0" quotePrefix="1"/>
    <xf numFmtId="1" fontId="0" fillId="0" borderId="0" xfId="0" applyNumberFormat="1"/>
    <xf numFmtId="0" fontId="0" fillId="4" borderId="0" xfId="0" applyFill="1"/>
    <xf numFmtId="0" fontId="5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275273</xdr:colOff>
      <xdr:row>22</xdr:row>
      <xdr:rowOff>20002</xdr:rowOff>
    </xdr:from>
    <xdr:ext cx="1244918" cy="60183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AC555F3C-C034-C4D7-EFBE-EE944F97DE78}"/>
                </a:ext>
              </a:extLst>
            </xdr:cNvPr>
            <xdr:cNvSpPr txBox="1"/>
          </xdr:nvSpPr>
          <xdr:spPr>
            <a:xfrm>
              <a:off x="5875973" y="2372677"/>
              <a:ext cx="1244918" cy="601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pt-BR" sz="16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6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6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pt-BR" sz="16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pt-BR" sz="16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pt-BR" sz="16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pt-BR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pt-BR" sz="16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BR" sz="1600"/>
            </a:p>
          </xdr:txBody>
        </xdr:sp>
      </mc:Choice>
      <mc:Fallback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AC555F3C-C034-C4D7-EFBE-EE944F97DE78}"/>
                </a:ext>
              </a:extLst>
            </xdr:cNvPr>
            <xdr:cNvSpPr txBox="1"/>
          </xdr:nvSpPr>
          <xdr:spPr>
            <a:xfrm>
              <a:off x="5875973" y="2372677"/>
              <a:ext cx="1244918" cy="601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600" i="0">
                  <a:latin typeface="Cambria Math" panose="02040503050406030204" pitchFamily="18" charset="0"/>
                </a:rPr>
                <a:t>(</a:t>
              </a:r>
              <a:r>
                <a:rPr lang="pt-BR" sz="1600" b="0" i="0">
                  <a:latin typeface="Cambria Math" panose="02040503050406030204" pitchFamily="18" charset="0"/>
                </a:rPr>
                <a:t>𝑛_2/𝑛_1 )^2=𝐻_2/𝐻_1 </a:t>
              </a:r>
              <a:endParaRPr lang="pt-BR" sz="1600"/>
            </a:p>
          </xdr:txBody>
        </xdr:sp>
      </mc:Fallback>
    </mc:AlternateContent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D34D-8664-4595-A037-D03A1115C11E}">
  <dimension ref="B2:Q55"/>
  <sheetViews>
    <sheetView tabSelected="1" workbookViewId="0">
      <selection activeCell="M51" sqref="M51"/>
    </sheetView>
  </sheetViews>
  <sheetFormatPr defaultRowHeight="14.4"/>
  <cols>
    <col min="1" max="1" width="4.33203125" customWidth="1"/>
    <col min="2" max="2" width="12.77734375" customWidth="1"/>
    <col min="3" max="3" width="9.109375" customWidth="1"/>
    <col min="9" max="9" width="6.33203125" customWidth="1"/>
    <col min="10" max="10" width="4.88671875" customWidth="1"/>
    <col min="11" max="11" width="12" bestFit="1" customWidth="1"/>
  </cols>
  <sheetData>
    <row r="2" spans="2:17">
      <c r="B2" s="5" t="s">
        <v>42</v>
      </c>
    </row>
    <row r="3" spans="2:17">
      <c r="K3" t="s">
        <v>52</v>
      </c>
    </row>
    <row r="4" spans="2:17">
      <c r="B4" t="s">
        <v>47</v>
      </c>
      <c r="K4" t="s">
        <v>44</v>
      </c>
    </row>
    <row r="5" spans="2:17">
      <c r="B5" t="s">
        <v>48</v>
      </c>
      <c r="K5" t="s">
        <v>44</v>
      </c>
    </row>
    <row r="6" spans="2:17">
      <c r="B6" t="s">
        <v>49</v>
      </c>
      <c r="K6" t="s">
        <v>45</v>
      </c>
    </row>
    <row r="7" spans="2:17">
      <c r="B7" t="s">
        <v>50</v>
      </c>
      <c r="K7" t="s">
        <v>46</v>
      </c>
    </row>
    <row r="8" spans="2:17">
      <c r="B8" t="s">
        <v>51</v>
      </c>
      <c r="K8">
        <v>60</v>
      </c>
    </row>
    <row r="9" spans="2:17">
      <c r="B9" t="s">
        <v>43</v>
      </c>
    </row>
    <row r="11" spans="2:17">
      <c r="B11" s="5" t="s">
        <v>53</v>
      </c>
    </row>
    <row r="13" spans="2:17">
      <c r="B13" t="s">
        <v>2</v>
      </c>
      <c r="C13" s="8">
        <v>22.5</v>
      </c>
      <c r="D13" t="s">
        <v>3</v>
      </c>
      <c r="K13" t="s">
        <v>0</v>
      </c>
      <c r="L13" s="8">
        <v>3500</v>
      </c>
      <c r="M13" t="s">
        <v>4</v>
      </c>
    </row>
    <row r="14" spans="2:17" ht="16.8">
      <c r="B14" t="s">
        <v>18</v>
      </c>
      <c r="C14" s="9">
        <v>119</v>
      </c>
      <c r="D14" t="s">
        <v>8</v>
      </c>
      <c r="E14" t="s">
        <v>19</v>
      </c>
      <c r="K14" t="s">
        <v>60</v>
      </c>
      <c r="L14" s="3">
        <f>L13*SQRT(E15)/C13^0.75</f>
        <v>29.61053486714993</v>
      </c>
      <c r="N14" s="11" t="s">
        <v>81</v>
      </c>
      <c r="Q14" t="s">
        <v>23</v>
      </c>
    </row>
    <row r="15" spans="2:17" ht="16.2">
      <c r="B15" t="s">
        <v>1</v>
      </c>
      <c r="C15" s="9">
        <v>27.5</v>
      </c>
      <c r="D15" t="s">
        <v>54</v>
      </c>
      <c r="E15">
        <f>C15/3600</f>
        <v>7.6388888888888886E-3</v>
      </c>
      <c r="F15" t="s">
        <v>55</v>
      </c>
      <c r="K15" t="s">
        <v>24</v>
      </c>
      <c r="L15" s="1">
        <f>60*60/L13</f>
        <v>1.0285714285714285</v>
      </c>
      <c r="N15" s="11" t="s">
        <v>61</v>
      </c>
      <c r="Q15" t="s">
        <v>62</v>
      </c>
    </row>
    <row r="16" spans="2:17">
      <c r="B16" s="7" t="s">
        <v>58</v>
      </c>
      <c r="C16" s="10">
        <v>0.61499999999999999</v>
      </c>
      <c r="K16" t="s">
        <v>25</v>
      </c>
      <c r="L16">
        <f>60*60/1</f>
        <v>3600</v>
      </c>
      <c r="M16" t="s">
        <v>4</v>
      </c>
      <c r="N16" s="11" t="s">
        <v>63</v>
      </c>
      <c r="Q16" t="s">
        <v>64</v>
      </c>
    </row>
    <row r="17" spans="2:16" ht="16.2">
      <c r="B17" s="7" t="s">
        <v>20</v>
      </c>
      <c r="C17" s="8">
        <v>1000</v>
      </c>
      <c r="D17" t="s">
        <v>56</v>
      </c>
      <c r="K17" t="s">
        <v>26</v>
      </c>
      <c r="L17" s="6">
        <f>1-L13/L16</f>
        <v>2.777777777777779E-2</v>
      </c>
      <c r="N17" s="11" t="s">
        <v>65</v>
      </c>
    </row>
    <row r="18" spans="2:16" ht="16.2">
      <c r="B18" t="s">
        <v>10</v>
      </c>
      <c r="C18" s="8">
        <v>9.81</v>
      </c>
      <c r="D18" t="s">
        <v>57</v>
      </c>
      <c r="L18" t="s">
        <v>27</v>
      </c>
    </row>
    <row r="19" spans="2:16">
      <c r="B19" t="s">
        <v>21</v>
      </c>
      <c r="C19" s="12">
        <f>C17*C18*C13*E15/C16</f>
        <v>2741.6158536585367</v>
      </c>
      <c r="D19" t="s">
        <v>22</v>
      </c>
      <c r="E19" s="11" t="s">
        <v>59</v>
      </c>
    </row>
    <row r="20" spans="2:16">
      <c r="C20" s="6"/>
    </row>
    <row r="21" spans="2:16">
      <c r="B21" t="s">
        <v>28</v>
      </c>
      <c r="C21" s="6"/>
      <c r="K21" t="s">
        <v>31</v>
      </c>
    </row>
    <row r="22" spans="2:16">
      <c r="B22" t="s">
        <v>29</v>
      </c>
      <c r="C22" s="6"/>
      <c r="K22" t="s">
        <v>71</v>
      </c>
    </row>
    <row r="23" spans="2:16">
      <c r="C23" s="6"/>
    </row>
    <row r="24" spans="2:16" ht="16.2">
      <c r="B24" t="s">
        <v>30</v>
      </c>
      <c r="C24" s="12">
        <f>2*C19</f>
        <v>5483.2317073170734</v>
      </c>
      <c r="D24" t="s">
        <v>22</v>
      </c>
      <c r="E24" s="11" t="s">
        <v>66</v>
      </c>
      <c r="N24" s="11" t="s">
        <v>69</v>
      </c>
      <c r="P24" t="s">
        <v>32</v>
      </c>
    </row>
    <row r="25" spans="2:16" ht="16.8">
      <c r="B25" t="s">
        <v>67</v>
      </c>
      <c r="C25" s="3">
        <f>L13*SQRT(E15)/(2*C13)^0.75</f>
        <v>17.606529371525426</v>
      </c>
      <c r="E25" s="11" t="s">
        <v>68</v>
      </c>
    </row>
    <row r="27" spans="2:16">
      <c r="K27" t="s">
        <v>33</v>
      </c>
    </row>
    <row r="28" spans="2:16">
      <c r="K28" t="s">
        <v>34</v>
      </c>
    </row>
    <row r="29" spans="2:16" ht="16.2">
      <c r="K29" t="s">
        <v>70</v>
      </c>
    </row>
    <row r="30" spans="2:16">
      <c r="K30" t="s">
        <v>35</v>
      </c>
    </row>
    <row r="32" spans="2:16">
      <c r="B32" s="5" t="s">
        <v>72</v>
      </c>
    </row>
    <row r="33" spans="2:16">
      <c r="B33" s="5"/>
    </row>
    <row r="34" spans="2:16">
      <c r="B34" t="s">
        <v>36</v>
      </c>
      <c r="K34" t="s">
        <v>40</v>
      </c>
    </row>
    <row r="36" spans="2:16">
      <c r="B36" t="s">
        <v>17</v>
      </c>
      <c r="C36" s="8">
        <v>0.46</v>
      </c>
      <c r="D36" t="s">
        <v>3</v>
      </c>
      <c r="K36" t="s">
        <v>14</v>
      </c>
      <c r="L36" s="13">
        <v>355</v>
      </c>
      <c r="M36" t="s">
        <v>15</v>
      </c>
    </row>
    <row r="37" spans="2:16">
      <c r="B37" t="s">
        <v>0</v>
      </c>
      <c r="C37" s="8">
        <v>1050</v>
      </c>
      <c r="D37" t="s">
        <v>4</v>
      </c>
      <c r="K37" t="s">
        <v>2</v>
      </c>
      <c r="L37" s="13">
        <v>166</v>
      </c>
      <c r="M37" t="s">
        <v>3</v>
      </c>
    </row>
    <row r="38" spans="2:16">
      <c r="B38" t="s">
        <v>37</v>
      </c>
      <c r="C38" s="10">
        <v>0.91700000000000004</v>
      </c>
      <c r="K38" t="s">
        <v>0</v>
      </c>
      <c r="L38" s="13">
        <f>187.5</f>
        <v>187.5</v>
      </c>
      <c r="M38" t="s">
        <v>4</v>
      </c>
    </row>
    <row r="39" spans="2:16" ht="16.2">
      <c r="B39" t="s">
        <v>5</v>
      </c>
      <c r="C39" s="9">
        <v>0.4</v>
      </c>
      <c r="D39" t="s">
        <v>73</v>
      </c>
    </row>
    <row r="40" spans="2:16" ht="16.8">
      <c r="B40" t="s">
        <v>6</v>
      </c>
      <c r="C40" s="9">
        <v>70</v>
      </c>
      <c r="D40" t="s">
        <v>74</v>
      </c>
      <c r="K40" t="s">
        <v>1</v>
      </c>
      <c r="L40" s="3">
        <f>(L37^0.75*C54/L38)^2</f>
        <v>119.23826806690958</v>
      </c>
      <c r="M40" t="s">
        <v>55</v>
      </c>
      <c r="N40" s="11" t="s">
        <v>80</v>
      </c>
    </row>
    <row r="41" spans="2:16">
      <c r="B41" s="7" t="s">
        <v>38</v>
      </c>
      <c r="C41" s="9">
        <v>0.06</v>
      </c>
      <c r="K41" t="s">
        <v>12</v>
      </c>
      <c r="L41" s="3">
        <f>C46*C47*L40*L37*C38/1000000</f>
        <v>178.05824576489172</v>
      </c>
      <c r="M41" t="s">
        <v>15</v>
      </c>
      <c r="N41" s="11" t="s">
        <v>82</v>
      </c>
    </row>
    <row r="42" spans="2:16">
      <c r="B42" t="s">
        <v>7</v>
      </c>
      <c r="C42" s="9">
        <v>17.5</v>
      </c>
      <c r="D42" t="s">
        <v>8</v>
      </c>
    </row>
    <row r="43" spans="2:16">
      <c r="K43" t="s">
        <v>16</v>
      </c>
      <c r="L43" s="2">
        <f>L36/L41</f>
        <v>1.9937296274879757</v>
      </c>
      <c r="N43" s="11" t="s">
        <v>83</v>
      </c>
    </row>
    <row r="44" spans="2:16" ht="16.2">
      <c r="B44" t="s">
        <v>2</v>
      </c>
      <c r="C44" s="3">
        <f>(C37*C36/C40)^2</f>
        <v>47.610000000000007</v>
      </c>
      <c r="D44" t="s">
        <v>3</v>
      </c>
      <c r="E44" s="11" t="s">
        <v>75</v>
      </c>
      <c r="L44" t="s">
        <v>84</v>
      </c>
    </row>
    <row r="45" spans="2:16" ht="16.2">
      <c r="B45" t="s">
        <v>1</v>
      </c>
      <c r="C45" s="1">
        <f>C39*C36^2*SQRT(C44)</f>
        <v>0.58401600000000009</v>
      </c>
      <c r="D45" t="s">
        <v>55</v>
      </c>
      <c r="E45" s="11" t="s">
        <v>76</v>
      </c>
    </row>
    <row r="46" spans="2:16" ht="16.2">
      <c r="B46" s="7" t="s">
        <v>20</v>
      </c>
      <c r="C46" s="13">
        <v>1000</v>
      </c>
      <c r="D46" t="s">
        <v>56</v>
      </c>
      <c r="K46" s="14" t="s">
        <v>41</v>
      </c>
      <c r="L46" s="4">
        <f>C45/(C37*C36^3)</f>
        <v>5.7142857142857143E-3</v>
      </c>
      <c r="N46" s="11" t="s">
        <v>85</v>
      </c>
      <c r="P46" t="s">
        <v>86</v>
      </c>
    </row>
    <row r="47" spans="2:16" ht="16.2">
      <c r="B47" t="s">
        <v>10</v>
      </c>
      <c r="C47" s="13">
        <v>9.81</v>
      </c>
      <c r="D47" t="s">
        <v>57</v>
      </c>
      <c r="K47" t="s">
        <v>17</v>
      </c>
      <c r="L47" s="2">
        <f>(L40/(L38*L46))^(1/3)</f>
        <v>4.8100635246440477</v>
      </c>
      <c r="M47" t="s">
        <v>3</v>
      </c>
      <c r="N47" s="11" t="s">
        <v>87</v>
      </c>
      <c r="P47" t="s">
        <v>88</v>
      </c>
    </row>
    <row r="49" spans="2:5">
      <c r="B49" t="s">
        <v>9</v>
      </c>
      <c r="C49" s="3">
        <f>C46*C47*C45*C44/1000</f>
        <v>272.76706726560008</v>
      </c>
      <c r="D49" t="s">
        <v>11</v>
      </c>
      <c r="E49" s="11" t="s">
        <v>77</v>
      </c>
    </row>
    <row r="50" spans="2:5">
      <c r="B50" t="s">
        <v>12</v>
      </c>
      <c r="C50" s="3">
        <f>C49*C38</f>
        <v>250.12740068255528</v>
      </c>
      <c r="D50" t="s">
        <v>11</v>
      </c>
      <c r="E50" s="11" t="s">
        <v>78</v>
      </c>
    </row>
    <row r="52" spans="2:5">
      <c r="B52" t="s">
        <v>39</v>
      </c>
    </row>
    <row r="54" spans="2:5" ht="16.8">
      <c r="B54" t="s">
        <v>60</v>
      </c>
      <c r="C54" s="3">
        <f>C37*SQRT(C45)/C44^0.75</f>
        <v>44.271887242357316</v>
      </c>
      <c r="E54" s="11" t="s">
        <v>79</v>
      </c>
    </row>
    <row r="55" spans="2:5">
      <c r="C55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Gissoni</dc:creator>
  <cp:lastModifiedBy>Humberto Gissoni</cp:lastModifiedBy>
  <dcterms:created xsi:type="dcterms:W3CDTF">2023-04-22T22:40:49Z</dcterms:created>
  <dcterms:modified xsi:type="dcterms:W3CDTF">2023-05-23T15:15:51Z</dcterms:modified>
</cp:coreProperties>
</file>