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ther\Documents\SEP0301_2018\Plano_Agregado_23_04_2018\"/>
    </mc:Choice>
  </mc:AlternateContent>
  <bookViews>
    <workbookView xWindow="0" yWindow="0" windowWidth="23040" windowHeight="8520"/>
  </bookViews>
  <sheets>
    <sheet name="Input" sheetId="1" r:id="rId1"/>
    <sheet name="capacidade" sheetId="2" r:id="rId2"/>
    <sheet name="Linha A" sheetId="3" r:id="rId3"/>
    <sheet name="Gr_A" sheetId="4" r:id="rId4"/>
    <sheet name="Linha B" sheetId="5" r:id="rId5"/>
    <sheet name="Gr_B" sheetId="6" r:id="rId6"/>
    <sheet name="Linha A_B" sheetId="7" r:id="rId7"/>
    <sheet name="Gr_A_B" sheetId="8" r:id="rId8"/>
    <sheet name="Linha A_B ant prod" sheetId="9" r:id="rId9"/>
    <sheet name="Gr_A_B_ant prod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G11" i="2" s="1"/>
  <c r="H8" i="2"/>
  <c r="I8" i="2"/>
  <c r="I11" i="2" s="1"/>
  <c r="J8" i="2"/>
  <c r="J11" i="2" s="1"/>
  <c r="K8" i="2"/>
  <c r="K11" i="2" s="1"/>
  <c r="I15" i="9"/>
  <c r="M15" i="9"/>
  <c r="F11" i="2"/>
  <c r="N5" i="9"/>
  <c r="N9" i="9" s="1"/>
  <c r="M5" i="9"/>
  <c r="M9" i="9" s="1"/>
  <c r="L5" i="9"/>
  <c r="L9" i="9" s="1"/>
  <c r="E5" i="9"/>
  <c r="E9" i="9" s="1"/>
  <c r="D5" i="9"/>
  <c r="D9" i="9" s="1"/>
  <c r="C5" i="9"/>
  <c r="C9" i="9" s="1"/>
  <c r="N4" i="9"/>
  <c r="M4" i="9"/>
  <c r="L4" i="9"/>
  <c r="E4" i="9"/>
  <c r="D4" i="9"/>
  <c r="C4" i="9"/>
  <c r="N3" i="9"/>
  <c r="M3" i="9"/>
  <c r="L3" i="9"/>
  <c r="E3" i="9"/>
  <c r="D3" i="9"/>
  <c r="C3" i="9"/>
  <c r="D2" i="9"/>
  <c r="E2" i="9" s="1"/>
  <c r="F2" i="9" s="1"/>
  <c r="G2" i="9" s="1"/>
  <c r="H2" i="9" s="1"/>
  <c r="I2" i="9" s="1"/>
  <c r="J2" i="9" s="1"/>
  <c r="K2" i="9" s="1"/>
  <c r="L2" i="9" s="1"/>
  <c r="M2" i="9" s="1"/>
  <c r="N2" i="9" s="1"/>
  <c r="D2" i="7"/>
  <c r="E2" i="7" s="1"/>
  <c r="F2" i="7" s="1"/>
  <c r="G2" i="7" s="1"/>
  <c r="H2" i="7" s="1"/>
  <c r="I2" i="7" s="1"/>
  <c r="J2" i="7" s="1"/>
  <c r="K2" i="7" s="1"/>
  <c r="L2" i="7" s="1"/>
  <c r="M2" i="7" s="1"/>
  <c r="N2" i="7" s="1"/>
  <c r="D2" i="5"/>
  <c r="E2" i="5" s="1"/>
  <c r="F2" i="5" s="1"/>
  <c r="G2" i="5" s="1"/>
  <c r="H2" i="5" s="1"/>
  <c r="I2" i="5" s="1"/>
  <c r="J2" i="5" s="1"/>
  <c r="K2" i="5" s="1"/>
  <c r="L2" i="5" s="1"/>
  <c r="M2" i="5" s="1"/>
  <c r="N2" i="5" s="1"/>
  <c r="F4" i="3"/>
  <c r="J4" i="3"/>
  <c r="N4" i="3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A15" i="2"/>
  <c r="D15" i="2" s="1"/>
  <c r="D3" i="5" s="1"/>
  <c r="A14" i="2"/>
  <c r="D14" i="2" s="1"/>
  <c r="D3" i="3" s="1"/>
  <c r="N11" i="2"/>
  <c r="C11" i="2"/>
  <c r="D10" i="2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C8" i="2"/>
  <c r="D8" i="2"/>
  <c r="D11" i="2" s="1"/>
  <c r="E8" i="2"/>
  <c r="E11" i="2" s="1"/>
  <c r="H11" i="2"/>
  <c r="L8" i="2"/>
  <c r="L11" i="2" s="1"/>
  <c r="M8" i="2"/>
  <c r="M11" i="2" s="1"/>
  <c r="N8" i="2"/>
  <c r="O7" i="2"/>
  <c r="O6" i="2"/>
  <c r="O5" i="2"/>
  <c r="O4" i="2"/>
  <c r="O3" i="2"/>
  <c r="O8" i="2" s="1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I9" i="1"/>
  <c r="H15" i="1"/>
  <c r="H14" i="1"/>
  <c r="H13" i="1"/>
  <c r="H11" i="1"/>
  <c r="H10" i="1"/>
  <c r="S5" i="1"/>
  <c r="R7" i="1"/>
  <c r="R8" i="1"/>
  <c r="R6" i="1"/>
  <c r="S2" i="1"/>
  <c r="R4" i="1"/>
  <c r="R3" i="1"/>
  <c r="B16" i="1"/>
  <c r="M15" i="1"/>
  <c r="F19" i="2" s="1"/>
  <c r="M14" i="1"/>
  <c r="M13" i="1"/>
  <c r="J10" i="1"/>
  <c r="J9" i="1"/>
  <c r="L12" i="1"/>
  <c r="O4" i="1"/>
  <c r="O8" i="1" s="1"/>
  <c r="O5" i="1"/>
  <c r="C13" i="1" s="1"/>
  <c r="O6" i="1"/>
  <c r="B12" i="1" s="1"/>
  <c r="O7" i="1"/>
  <c r="C14" i="1" s="1"/>
  <c r="O3" i="1"/>
  <c r="L2" i="1"/>
  <c r="M2" i="1" s="1"/>
  <c r="N2" i="1" s="1"/>
  <c r="E2" i="1"/>
  <c r="F2" i="1" s="1"/>
  <c r="G2" i="1" s="1"/>
  <c r="H2" i="1" s="1"/>
  <c r="I2" i="1" s="1"/>
  <c r="J2" i="1" s="1"/>
  <c r="K2" i="1" s="1"/>
  <c r="D2" i="1"/>
  <c r="N6" i="9" l="1"/>
  <c r="N7" i="9" s="1"/>
  <c r="N10" i="9" s="1"/>
  <c r="C6" i="9"/>
  <c r="C7" i="9" s="1"/>
  <c r="C10" i="9" s="1"/>
  <c r="D6" i="9"/>
  <c r="D7" i="9" s="1"/>
  <c r="D10" i="9" s="1"/>
  <c r="L6" i="9"/>
  <c r="L7" i="9" s="1"/>
  <c r="L10" i="9" s="1"/>
  <c r="E6" i="9"/>
  <c r="E7" i="9" s="1"/>
  <c r="E10" i="9" s="1"/>
  <c r="M6" i="9"/>
  <c r="M7" i="9" s="1"/>
  <c r="M10" i="9" s="1"/>
  <c r="D16" i="2"/>
  <c r="D3" i="7" s="1"/>
  <c r="I4" i="5"/>
  <c r="C15" i="2"/>
  <c r="C3" i="5" s="1"/>
  <c r="M19" i="2"/>
  <c r="L4" i="5"/>
  <c r="H4" i="5"/>
  <c r="D4" i="5"/>
  <c r="N12" i="2"/>
  <c r="N4" i="7" s="1"/>
  <c r="K15" i="2"/>
  <c r="K3" i="5" s="1"/>
  <c r="I19" i="2"/>
  <c r="C4" i="5"/>
  <c r="K4" i="5"/>
  <c r="G4" i="5"/>
  <c r="J12" i="2"/>
  <c r="J4" i="7" s="1"/>
  <c r="G15" i="2"/>
  <c r="G3" i="5" s="1"/>
  <c r="E19" i="2"/>
  <c r="N4" i="5"/>
  <c r="J4" i="5"/>
  <c r="F4" i="5"/>
  <c r="M4" i="5"/>
  <c r="E4" i="5"/>
  <c r="F12" i="2"/>
  <c r="F4" i="7" s="1"/>
  <c r="L19" i="2"/>
  <c r="H19" i="2"/>
  <c r="D19" i="2"/>
  <c r="M4" i="3"/>
  <c r="I4" i="3"/>
  <c r="E4" i="3"/>
  <c r="M12" i="2"/>
  <c r="M4" i="7" s="1"/>
  <c r="H12" i="2"/>
  <c r="H4" i="7" s="1"/>
  <c r="K19" i="2"/>
  <c r="L4" i="3"/>
  <c r="H4" i="3"/>
  <c r="D4" i="3"/>
  <c r="I12" i="2"/>
  <c r="I4" i="7" s="1"/>
  <c r="E12" i="2"/>
  <c r="E4" i="7" s="1"/>
  <c r="L12" i="2"/>
  <c r="L4" i="7" s="1"/>
  <c r="D12" i="2"/>
  <c r="D4" i="7" s="1"/>
  <c r="C19" i="2"/>
  <c r="G19" i="2"/>
  <c r="C12" i="2"/>
  <c r="C4" i="7" s="1"/>
  <c r="K12" i="2"/>
  <c r="K4" i="7" s="1"/>
  <c r="G12" i="2"/>
  <c r="G4" i="7" s="1"/>
  <c r="N19" i="2"/>
  <c r="J19" i="2"/>
  <c r="C4" i="3"/>
  <c r="K4" i="3"/>
  <c r="G4" i="3"/>
  <c r="C14" i="2"/>
  <c r="G14" i="2"/>
  <c r="N14" i="2"/>
  <c r="F14" i="2"/>
  <c r="J15" i="2"/>
  <c r="J3" i="5" s="1"/>
  <c r="K14" i="2"/>
  <c r="J14" i="2"/>
  <c r="N15" i="2"/>
  <c r="N3" i="5" s="1"/>
  <c r="F15" i="2"/>
  <c r="F3" i="5" s="1"/>
  <c r="M14" i="2"/>
  <c r="I14" i="2"/>
  <c r="E14" i="2"/>
  <c r="M15" i="2"/>
  <c r="M3" i="5" s="1"/>
  <c r="I15" i="2"/>
  <c r="I3" i="5" s="1"/>
  <c r="E15" i="2"/>
  <c r="E3" i="5" s="1"/>
  <c r="L14" i="2"/>
  <c r="H14" i="2"/>
  <c r="L15" i="2"/>
  <c r="L3" i="5" s="1"/>
  <c r="H15" i="2"/>
  <c r="H3" i="5" s="1"/>
  <c r="R3" i="2"/>
  <c r="R4" i="2"/>
  <c r="R6" i="2"/>
  <c r="R7" i="2"/>
  <c r="B10" i="1"/>
  <c r="B14" i="1"/>
  <c r="C11" i="1"/>
  <c r="B9" i="1"/>
  <c r="C10" i="1"/>
  <c r="B11" i="1"/>
  <c r="B15" i="1"/>
  <c r="C15" i="1"/>
  <c r="B13" i="1"/>
  <c r="D17" i="2" l="1"/>
  <c r="D5" i="7" s="1"/>
  <c r="M16" i="2"/>
  <c r="M3" i="3"/>
  <c r="K3" i="3"/>
  <c r="K16" i="2"/>
  <c r="G3" i="3"/>
  <c r="G16" i="2"/>
  <c r="D5" i="3"/>
  <c r="D5" i="5"/>
  <c r="H3" i="3"/>
  <c r="H16" i="2"/>
  <c r="C3" i="3"/>
  <c r="C16" i="2"/>
  <c r="L3" i="3"/>
  <c r="L16" i="2"/>
  <c r="E16" i="2"/>
  <c r="E3" i="3"/>
  <c r="F3" i="3"/>
  <c r="F16" i="2"/>
  <c r="I16" i="2"/>
  <c r="I3" i="3"/>
  <c r="J16" i="2"/>
  <c r="J3" i="3"/>
  <c r="N16" i="2"/>
  <c r="N3" i="3"/>
  <c r="S5" i="2"/>
  <c r="S2" i="2"/>
  <c r="F17" i="2" l="1"/>
  <c r="F3" i="7"/>
  <c r="L3" i="7"/>
  <c r="L17" i="2"/>
  <c r="H3" i="7"/>
  <c r="H17" i="2"/>
  <c r="D9" i="7"/>
  <c r="D6" i="7"/>
  <c r="D7" i="7" s="1"/>
  <c r="D10" i="7" s="1"/>
  <c r="J17" i="2"/>
  <c r="J3" i="7"/>
  <c r="G17" i="2"/>
  <c r="G3" i="7"/>
  <c r="C3" i="7"/>
  <c r="C17" i="2"/>
  <c r="D9" i="5"/>
  <c r="D6" i="5"/>
  <c r="D7" i="5" s="1"/>
  <c r="D10" i="5" s="1"/>
  <c r="M17" i="2"/>
  <c r="M3" i="7"/>
  <c r="N17" i="2"/>
  <c r="N3" i="7"/>
  <c r="I17" i="2"/>
  <c r="I3" i="7"/>
  <c r="E17" i="2"/>
  <c r="E3" i="7"/>
  <c r="D9" i="3"/>
  <c r="D6" i="3"/>
  <c r="D7" i="3" s="1"/>
  <c r="D10" i="3" s="1"/>
  <c r="K3" i="7"/>
  <c r="K17" i="2"/>
  <c r="K9" i="9" l="1"/>
  <c r="K10" i="9"/>
  <c r="J9" i="9"/>
  <c r="J10" i="9"/>
  <c r="I9" i="9"/>
  <c r="I10" i="9"/>
  <c r="H9" i="9"/>
  <c r="H10" i="9"/>
  <c r="G9" i="9"/>
  <c r="G10" i="9"/>
  <c r="F9" i="9"/>
  <c r="F10" i="9"/>
  <c r="E5" i="7"/>
  <c r="E5" i="5"/>
  <c r="E5" i="3"/>
  <c r="N5" i="5"/>
  <c r="N5" i="3"/>
  <c r="N5" i="7"/>
  <c r="G5" i="3"/>
  <c r="G5" i="7"/>
  <c r="G5" i="5"/>
  <c r="C5" i="3"/>
  <c r="C5" i="5"/>
  <c r="C5" i="7"/>
  <c r="H5" i="7"/>
  <c r="H5" i="3"/>
  <c r="H5" i="5"/>
  <c r="I5" i="7"/>
  <c r="I5" i="5"/>
  <c r="I5" i="3"/>
  <c r="M5" i="7"/>
  <c r="M5" i="5"/>
  <c r="M5" i="3"/>
  <c r="J5" i="5"/>
  <c r="J5" i="3"/>
  <c r="J5" i="7"/>
  <c r="F5" i="5"/>
  <c r="F5" i="7"/>
  <c r="F5" i="3"/>
  <c r="K5" i="3"/>
  <c r="K5" i="7"/>
  <c r="K5" i="5"/>
  <c r="L5" i="7"/>
  <c r="L5" i="3"/>
  <c r="L5" i="5"/>
  <c r="I8" i="7" l="1"/>
  <c r="F8" i="7"/>
  <c r="L9" i="7"/>
  <c r="L6" i="7"/>
  <c r="L7" i="7" s="1"/>
  <c r="L10" i="7" s="1"/>
  <c r="F9" i="3"/>
  <c r="F6" i="3"/>
  <c r="F7" i="3" s="1"/>
  <c r="F10" i="3" s="1"/>
  <c r="J9" i="3"/>
  <c r="J6" i="3"/>
  <c r="J7" i="3" s="1"/>
  <c r="J10" i="3" s="1"/>
  <c r="M6" i="7"/>
  <c r="M7" i="7" s="1"/>
  <c r="M10" i="7" s="1"/>
  <c r="M9" i="7"/>
  <c r="H9" i="5"/>
  <c r="H6" i="5"/>
  <c r="H7" i="5" s="1"/>
  <c r="H10" i="5" s="1"/>
  <c r="C9" i="5"/>
  <c r="C6" i="5"/>
  <c r="C7" i="5" s="1"/>
  <c r="C10" i="5" s="1"/>
  <c r="G9" i="3"/>
  <c r="G6" i="3"/>
  <c r="G7" i="3" s="1"/>
  <c r="G10" i="3" s="1"/>
  <c r="E9" i="3"/>
  <c r="E6" i="3"/>
  <c r="E7" i="3" s="1"/>
  <c r="E10" i="3" s="1"/>
  <c r="K9" i="5"/>
  <c r="K6" i="5"/>
  <c r="K7" i="5" s="1"/>
  <c r="K10" i="5" s="1"/>
  <c r="F9" i="7"/>
  <c r="F6" i="7"/>
  <c r="F7" i="7" s="1"/>
  <c r="F10" i="7" s="1"/>
  <c r="J9" i="5"/>
  <c r="J6" i="5"/>
  <c r="J7" i="5" s="1"/>
  <c r="J10" i="5" s="1"/>
  <c r="I9" i="3"/>
  <c r="I6" i="3"/>
  <c r="I7" i="3" s="1"/>
  <c r="I10" i="3" s="1"/>
  <c r="H9" i="3"/>
  <c r="H6" i="3"/>
  <c r="H7" i="3" s="1"/>
  <c r="H10" i="3" s="1"/>
  <c r="C9" i="3"/>
  <c r="C6" i="3"/>
  <c r="C7" i="3" s="1"/>
  <c r="C10" i="3" s="1"/>
  <c r="N9" i="7"/>
  <c r="N6" i="7"/>
  <c r="N7" i="7" s="1"/>
  <c r="N10" i="7" s="1"/>
  <c r="E9" i="5"/>
  <c r="E6" i="5"/>
  <c r="E7" i="5" s="1"/>
  <c r="E10" i="5" s="1"/>
  <c r="L9" i="5"/>
  <c r="L6" i="5"/>
  <c r="L7" i="5" s="1"/>
  <c r="L10" i="5" s="1"/>
  <c r="K9" i="7"/>
  <c r="K6" i="7"/>
  <c r="K7" i="7" s="1"/>
  <c r="K10" i="7" s="1"/>
  <c r="F9" i="5"/>
  <c r="F6" i="5"/>
  <c r="F7" i="5" s="1"/>
  <c r="F10" i="5" s="1"/>
  <c r="M9" i="3"/>
  <c r="M6" i="3"/>
  <c r="M7" i="3" s="1"/>
  <c r="M10" i="3" s="1"/>
  <c r="I9" i="5"/>
  <c r="I6" i="5"/>
  <c r="I7" i="5" s="1"/>
  <c r="I10" i="5" s="1"/>
  <c r="H9" i="7"/>
  <c r="H6" i="7"/>
  <c r="H7" i="7" s="1"/>
  <c r="H10" i="7" s="1"/>
  <c r="G9" i="5"/>
  <c r="G6" i="5"/>
  <c r="G7" i="5" s="1"/>
  <c r="G10" i="5" s="1"/>
  <c r="N9" i="3"/>
  <c r="N6" i="3"/>
  <c r="N7" i="3" s="1"/>
  <c r="N10" i="3" s="1"/>
  <c r="E6" i="7"/>
  <c r="E7" i="7" s="1"/>
  <c r="E10" i="7" s="1"/>
  <c r="E9" i="7"/>
  <c r="L9" i="3"/>
  <c r="L6" i="3"/>
  <c r="L7" i="3" s="1"/>
  <c r="L10" i="3" s="1"/>
  <c r="K9" i="3"/>
  <c r="K6" i="3"/>
  <c r="K7" i="3" s="1"/>
  <c r="K10" i="3" s="1"/>
  <c r="J6" i="7"/>
  <c r="J7" i="7" s="1"/>
  <c r="J10" i="7" s="1"/>
  <c r="J9" i="7"/>
  <c r="M9" i="5"/>
  <c r="M6" i="5"/>
  <c r="M7" i="5" s="1"/>
  <c r="M10" i="5" s="1"/>
  <c r="I6" i="7"/>
  <c r="I7" i="7" s="1"/>
  <c r="I10" i="7" s="1"/>
  <c r="I9" i="7"/>
  <c r="C9" i="7"/>
  <c r="C6" i="7"/>
  <c r="C7" i="7" s="1"/>
  <c r="C10" i="7" s="1"/>
  <c r="G9" i="7"/>
  <c r="G6" i="7"/>
  <c r="G7" i="7" s="1"/>
  <c r="G10" i="7" s="1"/>
  <c r="N9" i="5"/>
  <c r="N6" i="5"/>
  <c r="N7" i="5" s="1"/>
  <c r="N10" i="5" s="1"/>
</calcChain>
</file>

<file path=xl/sharedStrings.xml><?xml version="1.0" encoding="utf-8"?>
<sst xmlns="http://schemas.openxmlformats.org/spreadsheetml/2006/main" count="118" uniqueCount="45">
  <si>
    <t>Produtos</t>
  </si>
  <si>
    <t>Ref(A)</t>
  </si>
  <si>
    <t>Ref(B)</t>
  </si>
  <si>
    <t>Ref(C)</t>
  </si>
  <si>
    <t>Ref(D)</t>
  </si>
  <si>
    <t>Ref(E)</t>
  </si>
  <si>
    <t>Fam.(C1)</t>
  </si>
  <si>
    <t>Fam.(C2)</t>
  </si>
  <si>
    <t>%</t>
  </si>
  <si>
    <t>Fam.</t>
  </si>
  <si>
    <t>Linha A</t>
  </si>
  <si>
    <t>t. pad.</t>
  </si>
  <si>
    <t>Linha B</t>
  </si>
  <si>
    <t>min.</t>
  </si>
  <si>
    <t>Disp.</t>
  </si>
  <si>
    <t>horas</t>
  </si>
  <si>
    <t>F. C.</t>
  </si>
  <si>
    <t>Ef.</t>
  </si>
  <si>
    <t>t. prod.</t>
  </si>
  <si>
    <t>No caso das linhas dedicadas</t>
  </si>
  <si>
    <t>Fam. C1</t>
  </si>
  <si>
    <t>Fam. C2</t>
  </si>
  <si>
    <t>Exemplo</t>
  </si>
  <si>
    <t>t. pond.</t>
  </si>
  <si>
    <t>ocup.</t>
  </si>
  <si>
    <t>disp.</t>
  </si>
  <si>
    <t>linha A</t>
  </si>
  <si>
    <t>linha B</t>
  </si>
  <si>
    <t>Disp. (h)</t>
  </si>
  <si>
    <t>VOLUME</t>
  </si>
  <si>
    <t>capacidade</t>
  </si>
  <si>
    <t>falta de cap.</t>
  </si>
  <si>
    <t>Geral</t>
  </si>
  <si>
    <t>ocup. Vol.</t>
  </si>
  <si>
    <t>ocup. Horas</t>
  </si>
  <si>
    <t>falta de cap. Vol.</t>
  </si>
  <si>
    <t>falta de cap. Horas</t>
  </si>
  <si>
    <t>Total de horas nec.</t>
  </si>
  <si>
    <t>Volume</t>
  </si>
  <si>
    <t>Horas</t>
  </si>
  <si>
    <t>anterior</t>
  </si>
  <si>
    <t>atual</t>
  </si>
  <si>
    <t>Ajuste para balanceamento de capacidade</t>
  </si>
  <si>
    <t>red</t>
  </si>
  <si>
    <t>aumento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</si>
</sst>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3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8" fillId="7" borderId="1" xfId="1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Capacidade linha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1"/>
          <c:tx>
            <c:strRef>
              <c:f>'Linha A'!$B$6</c:f>
              <c:strCache>
                <c:ptCount val="1"/>
                <c:pt idx="0">
                  <c:v>falta de cap. Horas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'Linha A'!$C$2:$N$2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A'!$C$6:$N$6</c:f>
              <c:numCache>
                <c:formatCode>General</c:formatCode>
                <c:ptCount val="12"/>
                <c:pt idx="0">
                  <c:v>6.3147165886635461</c:v>
                </c:pt>
                <c:pt idx="1">
                  <c:v>6.3147165886635461</c:v>
                </c:pt>
                <c:pt idx="2">
                  <c:v>19.531565262610503</c:v>
                </c:pt>
                <c:pt idx="3">
                  <c:v>-6.9021320852834114</c:v>
                </c:pt>
                <c:pt idx="4">
                  <c:v>-15.713364534581384</c:v>
                </c:pt>
                <c:pt idx="5">
                  <c:v>-9.839209568382735</c:v>
                </c:pt>
                <c:pt idx="6">
                  <c:v>4.8461778471138839</c:v>
                </c:pt>
                <c:pt idx="7">
                  <c:v>22.468642745709825</c:v>
                </c:pt>
                <c:pt idx="8">
                  <c:v>23.937181487259487</c:v>
                </c:pt>
                <c:pt idx="9">
                  <c:v>13.657410296411856</c:v>
                </c:pt>
                <c:pt idx="10">
                  <c:v>38.622568902756115</c:v>
                </c:pt>
                <c:pt idx="11">
                  <c:v>4.8461778471138839</c:v>
                </c:pt>
              </c:numCache>
            </c:numRef>
          </c:val>
        </c:ser>
        <c:ser>
          <c:idx val="5"/>
          <c:order val="2"/>
          <c:tx>
            <c:strRef>
              <c:f>'Linha A'!$B$7</c:f>
              <c:strCache>
                <c:ptCount val="1"/>
                <c:pt idx="0">
                  <c:v>Total de horas nec.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'Linha A'!$C$2:$N$2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A'!$C$7:$N$7</c:f>
              <c:numCache>
                <c:formatCode>0.00</c:formatCode>
                <c:ptCount val="12"/>
                <c:pt idx="0">
                  <c:v>153.51471658866356</c:v>
                </c:pt>
                <c:pt idx="1">
                  <c:v>153.51471658866356</c:v>
                </c:pt>
                <c:pt idx="2">
                  <c:v>166.73156526261053</c:v>
                </c:pt>
                <c:pt idx="3">
                  <c:v>140.29786791471662</c:v>
                </c:pt>
                <c:pt idx="4">
                  <c:v>131.48663546541863</c:v>
                </c:pt>
                <c:pt idx="5">
                  <c:v>137.36079043161729</c:v>
                </c:pt>
                <c:pt idx="6">
                  <c:v>152.04617784711391</c:v>
                </c:pt>
                <c:pt idx="7">
                  <c:v>169.66864274570983</c:v>
                </c:pt>
                <c:pt idx="8">
                  <c:v>171.13718148725951</c:v>
                </c:pt>
                <c:pt idx="9">
                  <c:v>160.85741029641187</c:v>
                </c:pt>
                <c:pt idx="10">
                  <c:v>185.82256890275613</c:v>
                </c:pt>
                <c:pt idx="11">
                  <c:v>152.04617784711391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112816"/>
        <c:axId val="746098672"/>
      </c:barChart>
      <c:lineChart>
        <c:grouping val="standard"/>
        <c:varyColors val="0"/>
        <c:ser>
          <c:idx val="2"/>
          <c:order val="0"/>
          <c:tx>
            <c:strRef>
              <c:f>'Linha A'!$B$4</c:f>
              <c:strCache>
                <c:ptCount val="1"/>
                <c:pt idx="0">
                  <c:v>ocup. Horas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'Linha A'!$C$2:$N$2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A'!$C$4:$N$4</c:f>
              <c:numCache>
                <c:formatCode>0.00</c:formatCode>
                <c:ptCount val="12"/>
                <c:pt idx="0">
                  <c:v>147.20000000000002</c:v>
                </c:pt>
                <c:pt idx="1">
                  <c:v>147.20000000000002</c:v>
                </c:pt>
                <c:pt idx="2">
                  <c:v>147.20000000000002</c:v>
                </c:pt>
                <c:pt idx="3">
                  <c:v>147.20000000000002</c:v>
                </c:pt>
                <c:pt idx="4">
                  <c:v>147.20000000000002</c:v>
                </c:pt>
                <c:pt idx="5">
                  <c:v>147.20000000000002</c:v>
                </c:pt>
                <c:pt idx="6">
                  <c:v>147.20000000000002</c:v>
                </c:pt>
                <c:pt idx="7">
                  <c:v>147.20000000000002</c:v>
                </c:pt>
                <c:pt idx="8">
                  <c:v>147.20000000000002</c:v>
                </c:pt>
                <c:pt idx="9">
                  <c:v>147.20000000000002</c:v>
                </c:pt>
                <c:pt idx="10">
                  <c:v>147.20000000000002</c:v>
                </c:pt>
                <c:pt idx="11">
                  <c:v>147.20000000000002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112816"/>
        <c:axId val="746098672"/>
      </c:lineChart>
      <c:catAx>
        <c:axId val="74611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6098672"/>
        <c:crosses val="autoZero"/>
        <c:auto val="1"/>
        <c:lblAlgn val="ctr"/>
        <c:lblOffset val="100"/>
        <c:noMultiLvlLbl val="0"/>
      </c:catAx>
      <c:valAx>
        <c:axId val="74609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611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Capacidade linha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1"/>
          <c:tx>
            <c:strRef>
              <c:f>'Linha B'!$B$6</c:f>
              <c:strCache>
                <c:ptCount val="1"/>
                <c:pt idx="0">
                  <c:v>falta de cap. Horas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'Linha B'!$C$2:$N$2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B'!$C$6:$N$6</c:f>
              <c:numCache>
                <c:formatCode>General</c:formatCode>
                <c:ptCount val="12"/>
                <c:pt idx="0">
                  <c:v>6.45</c:v>
                </c:pt>
                <c:pt idx="1">
                  <c:v>6.45</c:v>
                </c:pt>
                <c:pt idx="2">
                  <c:v>19.95</c:v>
                </c:pt>
                <c:pt idx="3">
                  <c:v>-7.05</c:v>
                </c:pt>
                <c:pt idx="4">
                  <c:v>-16.05</c:v>
                </c:pt>
                <c:pt idx="5">
                  <c:v>-10.050000000000001</c:v>
                </c:pt>
                <c:pt idx="6">
                  <c:v>4.95</c:v>
                </c:pt>
                <c:pt idx="7">
                  <c:v>22.95</c:v>
                </c:pt>
                <c:pt idx="8">
                  <c:v>24.45</c:v>
                </c:pt>
                <c:pt idx="9">
                  <c:v>13.95</c:v>
                </c:pt>
                <c:pt idx="10">
                  <c:v>39.450000000000003</c:v>
                </c:pt>
                <c:pt idx="11">
                  <c:v>4.95</c:v>
                </c:pt>
              </c:numCache>
            </c:numRef>
          </c:val>
        </c:ser>
        <c:ser>
          <c:idx val="5"/>
          <c:order val="2"/>
          <c:tx>
            <c:strRef>
              <c:f>'Linha B'!$B$7</c:f>
              <c:strCache>
                <c:ptCount val="1"/>
                <c:pt idx="0">
                  <c:v>Total de horas nec.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'Linha B'!$C$2:$N$2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B'!$C$7:$N$7</c:f>
              <c:numCache>
                <c:formatCode>0.00</c:formatCode>
                <c:ptCount val="12"/>
                <c:pt idx="0">
                  <c:v>158.44999999999999</c:v>
                </c:pt>
                <c:pt idx="1">
                  <c:v>158.44999999999999</c:v>
                </c:pt>
                <c:pt idx="2">
                  <c:v>171.95</c:v>
                </c:pt>
                <c:pt idx="3">
                  <c:v>144.94999999999999</c:v>
                </c:pt>
                <c:pt idx="4">
                  <c:v>135.94999999999999</c:v>
                </c:pt>
                <c:pt idx="5">
                  <c:v>141.94999999999999</c:v>
                </c:pt>
                <c:pt idx="6">
                  <c:v>156.94999999999999</c:v>
                </c:pt>
                <c:pt idx="7">
                  <c:v>174.95</c:v>
                </c:pt>
                <c:pt idx="8">
                  <c:v>176.45</c:v>
                </c:pt>
                <c:pt idx="9">
                  <c:v>165.95</c:v>
                </c:pt>
                <c:pt idx="10">
                  <c:v>191.45</c:v>
                </c:pt>
                <c:pt idx="11">
                  <c:v>156.94999999999999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101936"/>
        <c:axId val="746099216"/>
      </c:barChart>
      <c:lineChart>
        <c:grouping val="standard"/>
        <c:varyColors val="0"/>
        <c:ser>
          <c:idx val="2"/>
          <c:order val="0"/>
          <c:tx>
            <c:strRef>
              <c:f>'Linha B'!$B$4</c:f>
              <c:strCache>
                <c:ptCount val="1"/>
                <c:pt idx="0">
                  <c:v>ocup. Horas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'Linha A'!$C$2:$N$2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B'!$C$4:$N$4</c:f>
              <c:numCache>
                <c:formatCode>0.00</c:formatCode>
                <c:ptCount val="12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101936"/>
        <c:axId val="746099216"/>
      </c:lineChart>
      <c:catAx>
        <c:axId val="74610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6099216"/>
        <c:crosses val="autoZero"/>
        <c:auto val="1"/>
        <c:lblAlgn val="ctr"/>
        <c:lblOffset val="100"/>
        <c:noMultiLvlLbl val="0"/>
      </c:catAx>
      <c:valAx>
        <c:axId val="7460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610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Capacidade linhas A &amp;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1"/>
          <c:tx>
            <c:strRef>
              <c:f>'Linha A_B'!$B$6</c:f>
              <c:strCache>
                <c:ptCount val="1"/>
                <c:pt idx="0">
                  <c:v>falta de cap. Horas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'Linha A_B'!$C$2:$N$2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A_B'!$C$6:$N$6</c:f>
              <c:numCache>
                <c:formatCode>0.00</c:formatCode>
                <c:ptCount val="12"/>
                <c:pt idx="0">
                  <c:v>12.629433177327092</c:v>
                </c:pt>
                <c:pt idx="1">
                  <c:v>12.629433177327092</c:v>
                </c:pt>
                <c:pt idx="2">
                  <c:v>39.063130525221005</c:v>
                </c:pt>
                <c:pt idx="3">
                  <c:v>-13.804264170566823</c:v>
                </c:pt>
                <c:pt idx="4">
                  <c:v>-31.426729069162768</c:v>
                </c:pt>
                <c:pt idx="5">
                  <c:v>-19.67841913676547</c:v>
                </c:pt>
                <c:pt idx="6">
                  <c:v>9.6923556942277678</c:v>
                </c:pt>
                <c:pt idx="7">
                  <c:v>44.937285491419651</c:v>
                </c:pt>
                <c:pt idx="8">
                  <c:v>47.874362974518974</c:v>
                </c:pt>
                <c:pt idx="9">
                  <c:v>27.314820592823711</c:v>
                </c:pt>
                <c:pt idx="10">
                  <c:v>77.245137805512229</c:v>
                </c:pt>
                <c:pt idx="11">
                  <c:v>9.6923556942277678</c:v>
                </c:pt>
              </c:numCache>
            </c:numRef>
          </c:val>
        </c:ser>
        <c:ser>
          <c:idx val="5"/>
          <c:order val="2"/>
          <c:tx>
            <c:strRef>
              <c:f>'Linha A_B'!$B$7</c:f>
              <c:strCache>
                <c:ptCount val="1"/>
                <c:pt idx="0">
                  <c:v>Total de horas nec.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'Linha A_B'!$C$2:$N$2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A_B'!$C$7:$N$7</c:f>
              <c:numCache>
                <c:formatCode>0.00</c:formatCode>
                <c:ptCount val="12"/>
                <c:pt idx="0">
                  <c:v>311.82943317732713</c:v>
                </c:pt>
                <c:pt idx="1">
                  <c:v>311.82943317732713</c:v>
                </c:pt>
                <c:pt idx="2">
                  <c:v>338.26313052522107</c:v>
                </c:pt>
                <c:pt idx="3">
                  <c:v>285.39573582943325</c:v>
                </c:pt>
                <c:pt idx="4">
                  <c:v>267.77327093083727</c:v>
                </c:pt>
                <c:pt idx="5">
                  <c:v>279.52158086323459</c:v>
                </c:pt>
                <c:pt idx="6">
                  <c:v>308.89235569422783</c:v>
                </c:pt>
                <c:pt idx="7">
                  <c:v>344.13728549141968</c:v>
                </c:pt>
                <c:pt idx="8">
                  <c:v>347.07436297451903</c:v>
                </c:pt>
                <c:pt idx="9">
                  <c:v>326.51482059282375</c:v>
                </c:pt>
                <c:pt idx="10">
                  <c:v>376.44513780551227</c:v>
                </c:pt>
                <c:pt idx="11">
                  <c:v>308.89235569422783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108464"/>
        <c:axId val="746100848"/>
      </c:barChart>
      <c:lineChart>
        <c:grouping val="standard"/>
        <c:varyColors val="0"/>
        <c:ser>
          <c:idx val="2"/>
          <c:order val="0"/>
          <c:tx>
            <c:strRef>
              <c:f>'Linha A_B'!$B$4</c:f>
              <c:strCache>
                <c:ptCount val="1"/>
                <c:pt idx="0">
                  <c:v>ocup. Horas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'Linha A'!$C$2:$N$2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A_B'!$C$4:$N$4</c:f>
              <c:numCache>
                <c:formatCode>0.00</c:formatCode>
                <c:ptCount val="12"/>
                <c:pt idx="0">
                  <c:v>299.20000000000005</c:v>
                </c:pt>
                <c:pt idx="1">
                  <c:v>299.20000000000005</c:v>
                </c:pt>
                <c:pt idx="2">
                  <c:v>299.20000000000005</c:v>
                </c:pt>
                <c:pt idx="3">
                  <c:v>299.20000000000005</c:v>
                </c:pt>
                <c:pt idx="4">
                  <c:v>299.20000000000005</c:v>
                </c:pt>
                <c:pt idx="5">
                  <c:v>299.20000000000005</c:v>
                </c:pt>
                <c:pt idx="6">
                  <c:v>299.20000000000005</c:v>
                </c:pt>
                <c:pt idx="7">
                  <c:v>299.20000000000005</c:v>
                </c:pt>
                <c:pt idx="8">
                  <c:v>299.20000000000005</c:v>
                </c:pt>
                <c:pt idx="9">
                  <c:v>299.20000000000005</c:v>
                </c:pt>
                <c:pt idx="10">
                  <c:v>299.20000000000005</c:v>
                </c:pt>
                <c:pt idx="11">
                  <c:v>299.20000000000005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108464"/>
        <c:axId val="746100848"/>
      </c:lineChart>
      <c:catAx>
        <c:axId val="74610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6100848"/>
        <c:crosses val="autoZero"/>
        <c:auto val="1"/>
        <c:lblAlgn val="ctr"/>
        <c:lblOffset val="100"/>
        <c:noMultiLvlLbl val="0"/>
      </c:catAx>
      <c:valAx>
        <c:axId val="74610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610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Capacidade linhas A &amp;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1"/>
          <c:tx>
            <c:strRef>
              <c:f>'Linha A_B ant prod'!$B$6</c:f>
              <c:strCache>
                <c:ptCount val="1"/>
                <c:pt idx="0">
                  <c:v>falta de cap. Horas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'Linha A_B ant prod'!$C$2:$N$2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A_B ant prod'!$C$6:$N$6</c:f>
              <c:numCache>
                <c:formatCode>0.00</c:formatCode>
                <c:ptCount val="12"/>
                <c:pt idx="0">
                  <c:v>12.629433177327092</c:v>
                </c:pt>
                <c:pt idx="1">
                  <c:v>12.629433177327092</c:v>
                </c:pt>
                <c:pt idx="2">
                  <c:v>39.063130525221005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37.594591783671348</c:v>
                </c:pt>
                <c:pt idx="9">
                  <c:v>27.314820592823711</c:v>
                </c:pt>
                <c:pt idx="10">
                  <c:v>77.245137805512229</c:v>
                </c:pt>
                <c:pt idx="11">
                  <c:v>9.6923556942277678</c:v>
                </c:pt>
              </c:numCache>
            </c:numRef>
          </c:val>
        </c:ser>
        <c:ser>
          <c:idx val="5"/>
          <c:order val="2"/>
          <c:tx>
            <c:strRef>
              <c:f>'Linha A_B ant prod'!$B$7</c:f>
              <c:strCache>
                <c:ptCount val="1"/>
                <c:pt idx="0">
                  <c:v>Total de horas nec.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'Linha A_B ant prod'!$C$2:$N$2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A_B ant prod'!$C$7:$N$7</c:f>
              <c:numCache>
                <c:formatCode>0.00</c:formatCode>
                <c:ptCount val="12"/>
                <c:pt idx="0">
                  <c:v>311.82943317732713</c:v>
                </c:pt>
                <c:pt idx="1">
                  <c:v>311.82943317732713</c:v>
                </c:pt>
                <c:pt idx="2">
                  <c:v>338.26313052522107</c:v>
                </c:pt>
                <c:pt idx="3">
                  <c:v>299.20000000000005</c:v>
                </c:pt>
                <c:pt idx="4">
                  <c:v>299.20000000000005</c:v>
                </c:pt>
                <c:pt idx="5">
                  <c:v>299.20000000000005</c:v>
                </c:pt>
                <c:pt idx="6">
                  <c:v>299.20000000000005</c:v>
                </c:pt>
                <c:pt idx="7">
                  <c:v>299.20000000000005</c:v>
                </c:pt>
                <c:pt idx="8">
                  <c:v>336.79459178367142</c:v>
                </c:pt>
                <c:pt idx="9">
                  <c:v>326.51482059282375</c:v>
                </c:pt>
                <c:pt idx="10">
                  <c:v>376.44513780551227</c:v>
                </c:pt>
                <c:pt idx="11">
                  <c:v>308.89235569422783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106288"/>
        <c:axId val="746104656"/>
      </c:barChart>
      <c:lineChart>
        <c:grouping val="standard"/>
        <c:varyColors val="0"/>
        <c:ser>
          <c:idx val="2"/>
          <c:order val="0"/>
          <c:tx>
            <c:strRef>
              <c:f>'Linha A_B ant prod'!$B$4</c:f>
              <c:strCache>
                <c:ptCount val="1"/>
                <c:pt idx="0">
                  <c:v>ocup. Horas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'Linha A'!$C$2:$N$2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'Linha A_B ant prod'!$C$4:$N$4</c:f>
              <c:numCache>
                <c:formatCode>0.00</c:formatCode>
                <c:ptCount val="12"/>
                <c:pt idx="0">
                  <c:v>299.20000000000005</c:v>
                </c:pt>
                <c:pt idx="1">
                  <c:v>299.20000000000005</c:v>
                </c:pt>
                <c:pt idx="2">
                  <c:v>299.20000000000005</c:v>
                </c:pt>
                <c:pt idx="3">
                  <c:v>299.20000000000005</c:v>
                </c:pt>
                <c:pt idx="4">
                  <c:v>299.20000000000005</c:v>
                </c:pt>
                <c:pt idx="5">
                  <c:v>299.20000000000005</c:v>
                </c:pt>
                <c:pt idx="6">
                  <c:v>299.20000000000005</c:v>
                </c:pt>
                <c:pt idx="7">
                  <c:v>299.20000000000005</c:v>
                </c:pt>
                <c:pt idx="8">
                  <c:v>299.20000000000005</c:v>
                </c:pt>
                <c:pt idx="9">
                  <c:v>299.20000000000005</c:v>
                </c:pt>
                <c:pt idx="10">
                  <c:v>299.20000000000005</c:v>
                </c:pt>
                <c:pt idx="11">
                  <c:v>299.20000000000005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106288"/>
        <c:axId val="746104656"/>
      </c:lineChart>
      <c:catAx>
        <c:axId val="74610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6104656"/>
        <c:crosses val="autoZero"/>
        <c:auto val="1"/>
        <c:lblAlgn val="ctr"/>
        <c:lblOffset val="100"/>
        <c:noMultiLvlLbl val="0"/>
      </c:catAx>
      <c:valAx>
        <c:axId val="74610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610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83342</xdr:colOff>
      <xdr:row>15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83342</xdr:colOff>
      <xdr:row>15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83342</xdr:colOff>
      <xdr:row>15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83342</xdr:colOff>
      <xdr:row>15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6"/>
  <sheetViews>
    <sheetView showGridLines="0" tabSelected="1" zoomScale="160" zoomScaleNormal="160" workbookViewId="0"/>
  </sheetViews>
  <sheetFormatPr defaultRowHeight="14.4" x14ac:dyDescent="0.3"/>
  <cols>
    <col min="1" max="1" width="7.5546875" style="1" bestFit="1" customWidth="1"/>
    <col min="2" max="2" width="8.44140625" style="1" bestFit="1" customWidth="1"/>
    <col min="3" max="3" width="7.33203125" style="1" bestFit="1" customWidth="1"/>
    <col min="4" max="4" width="6.33203125" style="1" customWidth="1"/>
    <col min="5" max="5" width="7.5546875" style="1" bestFit="1" customWidth="1"/>
    <col min="6" max="7" width="6.33203125" style="1" customWidth="1"/>
    <col min="8" max="8" width="7.33203125" style="1" bestFit="1" customWidth="1"/>
    <col min="9" max="11" width="6.33203125" style="1" customWidth="1"/>
    <col min="12" max="12" width="7.88671875" style="1" bestFit="1" customWidth="1"/>
    <col min="13" max="14" width="6.33203125" style="1" customWidth="1"/>
    <col min="15" max="17" width="9.109375" style="1"/>
    <col min="18" max="18" width="26.109375" style="1" bestFit="1" customWidth="1"/>
    <col min="19" max="71" width="9.109375" style="1"/>
  </cols>
  <sheetData>
    <row r="1" spans="1:19" ht="4.5" customHeight="1" x14ac:dyDescent="0.3">
      <c r="Q1" s="21"/>
    </row>
    <row r="2" spans="1:19" x14ac:dyDescent="0.3">
      <c r="A2" s="3"/>
      <c r="B2" s="4" t="s">
        <v>0</v>
      </c>
      <c r="C2" s="4">
        <v>1</v>
      </c>
      <c r="D2" s="4">
        <f>C2+1</f>
        <v>2</v>
      </c>
      <c r="E2" s="4">
        <f t="shared" ref="E2:N2" si="0">D2+1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  <c r="O2" s="3"/>
      <c r="Q2" s="20" t="s">
        <v>22</v>
      </c>
      <c r="R2" s="13" t="s">
        <v>9</v>
      </c>
      <c r="S2" s="19">
        <f>SUM(R3:R4)</f>
        <v>17.785714285714285</v>
      </c>
    </row>
    <row r="3" spans="1:19" x14ac:dyDescent="0.3">
      <c r="A3" s="36" t="s">
        <v>6</v>
      </c>
      <c r="B3" s="4" t="s">
        <v>1</v>
      </c>
      <c r="C3" s="4">
        <v>100</v>
      </c>
      <c r="D3" s="4">
        <v>120</v>
      </c>
      <c r="E3" s="4">
        <v>140</v>
      </c>
      <c r="F3" s="4">
        <v>90</v>
      </c>
      <c r="G3" s="4">
        <v>80</v>
      </c>
      <c r="H3" s="4">
        <v>100</v>
      </c>
      <c r="I3" s="4">
        <v>70</v>
      </c>
      <c r="J3" s="4">
        <v>60</v>
      </c>
      <c r="K3" s="4">
        <v>100</v>
      </c>
      <c r="L3" s="4">
        <v>110</v>
      </c>
      <c r="M3" s="4">
        <v>130</v>
      </c>
      <c r="N3" s="4">
        <v>140</v>
      </c>
      <c r="O3" s="4">
        <f>SUM(C3:N3)</f>
        <v>1240</v>
      </c>
      <c r="Q3" s="21"/>
      <c r="R3" s="18">
        <f>C10*F10</f>
        <v>6.6428571428571423</v>
      </c>
      <c r="S3" s="3"/>
    </row>
    <row r="4" spans="1:19" x14ac:dyDescent="0.3">
      <c r="A4" s="36"/>
      <c r="B4" s="4" t="s">
        <v>2</v>
      </c>
      <c r="C4" s="4">
        <v>50</v>
      </c>
      <c r="D4" s="4">
        <v>200</v>
      </c>
      <c r="E4" s="4">
        <v>300</v>
      </c>
      <c r="F4" s="4">
        <v>80</v>
      </c>
      <c r="G4" s="4">
        <v>120</v>
      </c>
      <c r="H4" s="4">
        <v>100</v>
      </c>
      <c r="I4" s="4">
        <v>70</v>
      </c>
      <c r="J4" s="4">
        <v>120</v>
      </c>
      <c r="K4" s="4">
        <v>100</v>
      </c>
      <c r="L4" s="4">
        <v>130</v>
      </c>
      <c r="M4" s="4">
        <v>140</v>
      </c>
      <c r="N4" s="4">
        <v>150</v>
      </c>
      <c r="O4" s="4">
        <f t="shared" ref="O4:O7" si="1">SUM(C4:N4)</f>
        <v>1560</v>
      </c>
      <c r="Q4" s="21"/>
      <c r="R4" s="18">
        <f>C11*F11</f>
        <v>11.142857142857142</v>
      </c>
      <c r="S4" s="3"/>
    </row>
    <row r="5" spans="1:19" x14ac:dyDescent="0.3">
      <c r="A5" s="36" t="s">
        <v>7</v>
      </c>
      <c r="B5" s="4" t="s">
        <v>3</v>
      </c>
      <c r="C5" s="4">
        <v>200</v>
      </c>
      <c r="D5" s="4">
        <v>180</v>
      </c>
      <c r="E5" s="4">
        <v>100</v>
      </c>
      <c r="F5" s="4">
        <v>130</v>
      </c>
      <c r="G5" s="4">
        <v>120</v>
      </c>
      <c r="H5" s="4">
        <v>100</v>
      </c>
      <c r="I5" s="4">
        <v>170</v>
      </c>
      <c r="J5" s="4">
        <v>180</v>
      </c>
      <c r="K5" s="4">
        <v>100</v>
      </c>
      <c r="L5" s="4">
        <v>80</v>
      </c>
      <c r="M5" s="4">
        <v>200</v>
      </c>
      <c r="N5" s="4">
        <v>150</v>
      </c>
      <c r="O5" s="4">
        <f t="shared" si="1"/>
        <v>1710</v>
      </c>
      <c r="Q5" s="21"/>
      <c r="R5" s="13" t="s">
        <v>9</v>
      </c>
      <c r="S5" s="19">
        <f>SUM(R6:R8)</f>
        <v>17.576846307385232</v>
      </c>
    </row>
    <row r="6" spans="1:19" x14ac:dyDescent="0.3">
      <c r="A6" s="36"/>
      <c r="B6" s="4" t="s">
        <v>4</v>
      </c>
      <c r="C6" s="4">
        <v>300</v>
      </c>
      <c r="D6" s="4">
        <v>250</v>
      </c>
      <c r="E6" s="4">
        <v>200</v>
      </c>
      <c r="F6" s="4">
        <v>300</v>
      </c>
      <c r="G6" s="4">
        <v>200</v>
      </c>
      <c r="H6" s="4">
        <v>240</v>
      </c>
      <c r="I6" s="4">
        <v>230</v>
      </c>
      <c r="J6" s="4">
        <v>200</v>
      </c>
      <c r="K6" s="4">
        <v>300</v>
      </c>
      <c r="L6" s="4">
        <v>280</v>
      </c>
      <c r="M6" s="4">
        <v>400</v>
      </c>
      <c r="N6" s="4">
        <v>300</v>
      </c>
      <c r="O6" s="4">
        <f t="shared" si="1"/>
        <v>3200</v>
      </c>
      <c r="Q6" s="21"/>
      <c r="R6" s="18">
        <f>C13*F13</f>
        <v>2.9011976047904193</v>
      </c>
      <c r="S6" s="3"/>
    </row>
    <row r="7" spans="1:19" x14ac:dyDescent="0.3">
      <c r="A7" s="36"/>
      <c r="B7" s="4" t="s">
        <v>5</v>
      </c>
      <c r="C7" s="4">
        <v>400</v>
      </c>
      <c r="D7" s="4">
        <v>300</v>
      </c>
      <c r="E7" s="4">
        <v>400</v>
      </c>
      <c r="F7" s="4">
        <v>360</v>
      </c>
      <c r="G7" s="4">
        <v>380</v>
      </c>
      <c r="H7" s="4">
        <v>400</v>
      </c>
      <c r="I7" s="4">
        <v>500</v>
      </c>
      <c r="J7" s="4">
        <v>600</v>
      </c>
      <c r="K7" s="4">
        <v>570</v>
      </c>
      <c r="L7" s="4">
        <v>500</v>
      </c>
      <c r="M7" s="4">
        <v>400</v>
      </c>
      <c r="N7" s="4">
        <v>300</v>
      </c>
      <c r="O7" s="4">
        <f t="shared" si="1"/>
        <v>5110</v>
      </c>
      <c r="Q7" s="21"/>
      <c r="R7" s="18">
        <f>C14*F14</f>
        <v>7.0259481037924152</v>
      </c>
      <c r="S7" s="3"/>
    </row>
    <row r="8" spans="1:19" x14ac:dyDescent="0.3">
      <c r="A8" s="3"/>
      <c r="B8" s="4" t="s">
        <v>8</v>
      </c>
      <c r="C8" s="3"/>
      <c r="D8" s="3"/>
      <c r="E8" s="3"/>
      <c r="G8" s="3"/>
      <c r="H8" s="3"/>
      <c r="I8" s="3"/>
      <c r="J8" s="3"/>
      <c r="K8" s="4" t="s">
        <v>17</v>
      </c>
      <c r="L8" s="3"/>
      <c r="M8" s="9" t="s">
        <v>11</v>
      </c>
      <c r="N8" s="3"/>
      <c r="O8" s="4">
        <f>SUM(O3:O7)</f>
        <v>12820</v>
      </c>
      <c r="Q8" s="21"/>
      <c r="R8" s="18">
        <f>C15*F15</f>
        <v>7.6497005988023954</v>
      </c>
      <c r="S8" s="3"/>
    </row>
    <row r="9" spans="1:19" x14ac:dyDescent="0.3">
      <c r="A9" s="4" t="s">
        <v>6</v>
      </c>
      <c r="B9" s="10">
        <f>(O3+O4)/O8</f>
        <v>0.21840873634945399</v>
      </c>
      <c r="C9" s="11" t="s">
        <v>9</v>
      </c>
      <c r="D9" s="3"/>
      <c r="E9" s="4" t="s">
        <v>6</v>
      </c>
      <c r="F9" s="4" t="s">
        <v>18</v>
      </c>
      <c r="G9" s="3"/>
      <c r="H9" s="2" t="s">
        <v>23</v>
      </c>
      <c r="I9" s="23">
        <f>SUM(H10+H11+H13+H14+H15)</f>
        <v>17.622464898595943</v>
      </c>
      <c r="J9" s="4">
        <f>M9/K9</f>
        <v>19.23076923076923</v>
      </c>
      <c r="K9" s="15">
        <v>0.78</v>
      </c>
      <c r="L9" s="4" t="s">
        <v>10</v>
      </c>
      <c r="M9" s="12">
        <v>15</v>
      </c>
      <c r="N9" s="4" t="s">
        <v>13</v>
      </c>
      <c r="O9" s="3"/>
      <c r="Q9" s="21"/>
    </row>
    <row r="10" spans="1:19" x14ac:dyDescent="0.3">
      <c r="A10" s="4" t="s">
        <v>1</v>
      </c>
      <c r="B10" s="6">
        <f>(O3/O8)</f>
        <v>9.6723868954758194E-2</v>
      </c>
      <c r="C10" s="6">
        <f>O3/($O$3+$O$4)</f>
        <v>0.44285714285714284</v>
      </c>
      <c r="D10" s="3"/>
      <c r="E10" s="4" t="s">
        <v>1</v>
      </c>
      <c r="F10" s="4">
        <v>15</v>
      </c>
      <c r="G10" s="17" t="s">
        <v>13</v>
      </c>
      <c r="H10" s="2">
        <f>B10*F10</f>
        <v>1.4508580343213728</v>
      </c>
      <c r="J10" s="4">
        <f>M10/K10</f>
        <v>21.951219512195124</v>
      </c>
      <c r="K10" s="15">
        <v>0.82</v>
      </c>
      <c r="L10" s="4" t="s">
        <v>12</v>
      </c>
      <c r="M10" s="12">
        <v>18</v>
      </c>
      <c r="N10" s="4" t="s">
        <v>13</v>
      </c>
      <c r="O10" s="3"/>
      <c r="Q10" s="21"/>
      <c r="R10" s="2" t="s">
        <v>19</v>
      </c>
    </row>
    <row r="11" spans="1:19" x14ac:dyDescent="0.3">
      <c r="A11" s="4" t="s">
        <v>2</v>
      </c>
      <c r="B11" s="6">
        <f>O4/O8</f>
        <v>0.12168486739469579</v>
      </c>
      <c r="C11" s="6">
        <f>O4/($O$3+$O$4)</f>
        <v>0.55714285714285716</v>
      </c>
      <c r="D11" s="3"/>
      <c r="E11" s="4" t="s">
        <v>2</v>
      </c>
      <c r="F11" s="4">
        <v>20</v>
      </c>
      <c r="G11" s="17" t="s">
        <v>13</v>
      </c>
      <c r="H11" s="2">
        <f>B11*F11</f>
        <v>2.4336973478939159</v>
      </c>
      <c r="J11" s="3"/>
      <c r="K11" s="3"/>
      <c r="L11" s="3"/>
      <c r="M11" s="3"/>
      <c r="N11" s="3"/>
      <c r="O11" s="4" t="s">
        <v>41</v>
      </c>
      <c r="P11" s="2" t="s">
        <v>40</v>
      </c>
      <c r="Q11" s="21"/>
      <c r="R11" s="2" t="s">
        <v>10</v>
      </c>
      <c r="S11" s="2" t="s">
        <v>20</v>
      </c>
    </row>
    <row r="12" spans="1:19" x14ac:dyDescent="0.3">
      <c r="A12" s="4" t="s">
        <v>7</v>
      </c>
      <c r="B12" s="10">
        <f>(O5+O6+O7)/O8</f>
        <v>0.78159126365054599</v>
      </c>
      <c r="C12" s="11" t="s">
        <v>9</v>
      </c>
      <c r="D12" s="3"/>
      <c r="E12" s="4" t="s">
        <v>7</v>
      </c>
      <c r="F12" s="4" t="s">
        <v>18</v>
      </c>
      <c r="G12" s="3"/>
      <c r="J12" s="3"/>
      <c r="K12" s="3"/>
      <c r="L12" s="14">
        <f>8*20</f>
        <v>160</v>
      </c>
      <c r="M12" s="9" t="s">
        <v>14</v>
      </c>
      <c r="N12" s="3"/>
      <c r="O12" s="4" t="s">
        <v>16</v>
      </c>
      <c r="P12" s="4" t="s">
        <v>16</v>
      </c>
      <c r="Q12" s="21"/>
      <c r="R12" s="2" t="s">
        <v>12</v>
      </c>
      <c r="S12" s="2" t="s">
        <v>21</v>
      </c>
    </row>
    <row r="13" spans="1:19" x14ac:dyDescent="0.3">
      <c r="A13" s="4" t="s">
        <v>3</v>
      </c>
      <c r="B13" s="6">
        <f>O5/$O$8</f>
        <v>0.13338533541341654</v>
      </c>
      <c r="C13" s="6">
        <f>O5/($O$5+$O$6+$O$7)</f>
        <v>0.17065868263473055</v>
      </c>
      <c r="D13" s="3"/>
      <c r="E13" s="4" t="s">
        <v>3</v>
      </c>
      <c r="F13" s="4">
        <v>17</v>
      </c>
      <c r="G13" s="4" t="s">
        <v>13</v>
      </c>
      <c r="H13" s="2">
        <f>B13*F13</f>
        <v>2.2675507020280814</v>
      </c>
      <c r="J13" s="3"/>
      <c r="K13" s="3"/>
      <c r="L13" s="4" t="s">
        <v>10</v>
      </c>
      <c r="M13" s="12">
        <f>O13*$L$12</f>
        <v>147.20000000000002</v>
      </c>
      <c r="N13" s="4" t="s">
        <v>15</v>
      </c>
      <c r="O13" s="6">
        <v>0.92</v>
      </c>
      <c r="P13" s="6">
        <v>0.82</v>
      </c>
      <c r="Q13" s="21"/>
    </row>
    <row r="14" spans="1:19" x14ac:dyDescent="0.3">
      <c r="A14" s="4" t="s">
        <v>4</v>
      </c>
      <c r="B14" s="6">
        <f t="shared" ref="B14:B15" si="2">O6/$O$8</f>
        <v>0.24960998439937598</v>
      </c>
      <c r="C14" s="6">
        <f t="shared" ref="C14:C15" si="3">O6/($O$5+$O$6+$O$7)</f>
        <v>0.31936127744510978</v>
      </c>
      <c r="D14" s="3"/>
      <c r="E14" s="4" t="s">
        <v>4</v>
      </c>
      <c r="F14" s="4">
        <v>22</v>
      </c>
      <c r="G14" s="4" t="s">
        <v>13</v>
      </c>
      <c r="H14" s="2">
        <f>B14*F14</f>
        <v>5.4914196567862721</v>
      </c>
      <c r="J14" s="3"/>
      <c r="K14" s="3"/>
      <c r="L14" s="4" t="s">
        <v>12</v>
      </c>
      <c r="M14" s="12">
        <f>O14*$L$12</f>
        <v>152</v>
      </c>
      <c r="N14" s="4" t="s">
        <v>15</v>
      </c>
      <c r="O14" s="6">
        <v>0.95</v>
      </c>
      <c r="P14" s="6">
        <v>0.87</v>
      </c>
      <c r="Q14" s="21"/>
    </row>
    <row r="15" spans="1:19" x14ac:dyDescent="0.3">
      <c r="A15" s="4" t="s">
        <v>5</v>
      </c>
      <c r="B15" s="6">
        <f t="shared" si="2"/>
        <v>0.39859594383775349</v>
      </c>
      <c r="C15" s="6">
        <f t="shared" si="3"/>
        <v>0.50998003992015972</v>
      </c>
      <c r="D15" s="3"/>
      <c r="E15" s="4" t="s">
        <v>5</v>
      </c>
      <c r="F15" s="4">
        <v>15</v>
      </c>
      <c r="G15" s="4" t="s">
        <v>13</v>
      </c>
      <c r="H15" s="2">
        <f>B15*F15</f>
        <v>5.9789391575663027</v>
      </c>
      <c r="J15" s="3"/>
      <c r="K15" s="3"/>
      <c r="L15" s="3"/>
      <c r="M15" s="12">
        <f>SUM(M13:M14)</f>
        <v>299.20000000000005</v>
      </c>
      <c r="N15" s="4" t="s">
        <v>15</v>
      </c>
      <c r="O15" s="3"/>
      <c r="Q15" s="21"/>
    </row>
    <row r="16" spans="1:19" x14ac:dyDescent="0.3">
      <c r="B16" s="16">
        <f>B10+B11+B13+B14++B15</f>
        <v>1</v>
      </c>
    </row>
  </sheetData>
  <mergeCells count="2">
    <mergeCell ref="A3:A4"/>
    <mergeCell ref="A5:A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1"/>
  <sheetViews>
    <sheetView showGridLines="0" zoomScale="160" zoomScaleNormal="160" workbookViewId="0"/>
  </sheetViews>
  <sheetFormatPr defaultRowHeight="14.4" x14ac:dyDescent="0.3"/>
  <cols>
    <col min="1" max="1" width="8.44140625" style="1" bestFit="1" customWidth="1"/>
    <col min="2" max="2" width="17.44140625" style="1" bestFit="1" customWidth="1"/>
    <col min="3" max="3" width="7.33203125" style="1" bestFit="1" customWidth="1"/>
    <col min="4" max="4" width="6.33203125" style="1" customWidth="1"/>
    <col min="5" max="5" width="7.5546875" style="1" bestFit="1" customWidth="1"/>
    <col min="6" max="7" width="6.33203125" style="1" customWidth="1"/>
    <col min="8" max="8" width="7.33203125" style="1" bestFit="1" customWidth="1"/>
    <col min="9" max="11" width="6.33203125" style="1" customWidth="1"/>
    <col min="12" max="12" width="7.88671875" style="1" bestFit="1" customWidth="1"/>
    <col min="13" max="14" width="6.33203125" style="1" customWidth="1"/>
    <col min="15" max="17" width="9.109375" style="1"/>
    <col min="18" max="18" width="26.109375" style="1" bestFit="1" customWidth="1"/>
    <col min="19" max="71" width="9.109375" style="1"/>
  </cols>
  <sheetData>
    <row r="1" spans="17:17" ht="4.5" customHeight="1" x14ac:dyDescent="0.3">
      <c r="Q1" s="2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"/>
  <sheetViews>
    <sheetView showGridLines="0" topLeftCell="E7" zoomScale="160" zoomScaleNormal="160" workbookViewId="0">
      <selection activeCell="J7" sqref="J1:N1048576"/>
    </sheetView>
  </sheetViews>
  <sheetFormatPr defaultRowHeight="14.4" x14ac:dyDescent="0.3"/>
  <cols>
    <col min="1" max="1" width="8.44140625" style="1" bestFit="1" customWidth="1"/>
    <col min="2" max="2" width="10.44140625" style="1" bestFit="1" customWidth="1"/>
    <col min="3" max="3" width="7.33203125" style="1" bestFit="1" customWidth="1"/>
    <col min="4" max="4" width="12" style="1" bestFit="1" customWidth="1"/>
    <col min="5" max="5" width="7.5546875" style="1" bestFit="1" customWidth="1"/>
    <col min="6" max="7" width="12" style="1" bestFit="1" customWidth="1"/>
    <col min="8" max="8" width="7.33203125" style="1" bestFit="1" customWidth="1"/>
    <col min="9" max="9" width="7.44140625" style="1" bestFit="1" customWidth="1"/>
    <col min="10" max="14" width="12" style="1" bestFit="1" customWidth="1"/>
    <col min="15" max="17" width="9.109375" style="1"/>
    <col min="18" max="18" width="26.109375" style="1" bestFit="1" customWidth="1"/>
    <col min="19" max="71" width="9.109375" style="1"/>
  </cols>
  <sheetData>
    <row r="1" spans="1:19" ht="4.5" customHeight="1" x14ac:dyDescent="0.3">
      <c r="Q1" s="21"/>
    </row>
    <row r="2" spans="1:19" x14ac:dyDescent="0.3">
      <c r="A2" s="3"/>
      <c r="B2" s="4" t="s">
        <v>0</v>
      </c>
      <c r="C2" s="4">
        <v>1</v>
      </c>
      <c r="D2" s="4">
        <f>C2+1</f>
        <v>2</v>
      </c>
      <c r="E2" s="4">
        <f t="shared" ref="E2:N2" si="0">D2+1</f>
        <v>3</v>
      </c>
      <c r="F2" s="35">
        <f t="shared" si="0"/>
        <v>4</v>
      </c>
      <c r="G2" s="35">
        <f t="shared" si="0"/>
        <v>5</v>
      </c>
      <c r="H2" s="35">
        <f t="shared" si="0"/>
        <v>6</v>
      </c>
      <c r="I2" s="35">
        <f t="shared" si="0"/>
        <v>7</v>
      </c>
      <c r="J2" s="35">
        <f t="shared" si="0"/>
        <v>8</v>
      </c>
      <c r="K2" s="35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  <c r="O2" s="3"/>
      <c r="Q2" s="20" t="s">
        <v>22</v>
      </c>
      <c r="R2" s="13" t="s">
        <v>9</v>
      </c>
      <c r="S2" s="19" t="e">
        <f>SUM(R3:R4)</f>
        <v>#REF!</v>
      </c>
    </row>
    <row r="3" spans="1:19" x14ac:dyDescent="0.3">
      <c r="A3" s="36" t="s">
        <v>6</v>
      </c>
      <c r="B3" s="4" t="s">
        <v>1</v>
      </c>
      <c r="C3" s="4">
        <v>100</v>
      </c>
      <c r="D3" s="4">
        <v>120</v>
      </c>
      <c r="E3" s="4">
        <v>140</v>
      </c>
      <c r="F3" s="35">
        <v>90</v>
      </c>
      <c r="G3" s="35">
        <v>80</v>
      </c>
      <c r="H3" s="35">
        <v>100</v>
      </c>
      <c r="I3" s="35">
        <v>70</v>
      </c>
      <c r="J3" s="35">
        <v>60</v>
      </c>
      <c r="K3" s="35">
        <v>100</v>
      </c>
      <c r="L3" s="4">
        <v>110</v>
      </c>
      <c r="M3" s="4">
        <v>130</v>
      </c>
      <c r="N3" s="4">
        <v>140</v>
      </c>
      <c r="O3" s="4">
        <f>SUM(C3:N3)</f>
        <v>1240</v>
      </c>
      <c r="Q3" s="21"/>
      <c r="R3" s="18" t="e">
        <f>#REF!*#REF!</f>
        <v>#REF!</v>
      </c>
      <c r="S3" s="3"/>
    </row>
    <row r="4" spans="1:19" x14ac:dyDescent="0.3">
      <c r="A4" s="36"/>
      <c r="B4" s="4" t="s">
        <v>2</v>
      </c>
      <c r="C4" s="4">
        <v>50</v>
      </c>
      <c r="D4" s="4">
        <v>200</v>
      </c>
      <c r="E4" s="4">
        <v>300</v>
      </c>
      <c r="F4" s="35">
        <v>80</v>
      </c>
      <c r="G4" s="35">
        <v>120</v>
      </c>
      <c r="H4" s="35">
        <v>100</v>
      </c>
      <c r="I4" s="35">
        <v>70</v>
      </c>
      <c r="J4" s="35">
        <v>120</v>
      </c>
      <c r="K4" s="35">
        <v>100</v>
      </c>
      <c r="L4" s="4">
        <v>130</v>
      </c>
      <c r="M4" s="4">
        <v>140</v>
      </c>
      <c r="N4" s="4">
        <v>150</v>
      </c>
      <c r="O4" s="4">
        <f t="shared" ref="O4:O7" si="1">SUM(C4:N4)</f>
        <v>1560</v>
      </c>
      <c r="Q4" s="21"/>
      <c r="R4" s="18" t="e">
        <f>#REF!*#REF!</f>
        <v>#REF!</v>
      </c>
      <c r="S4" s="3"/>
    </row>
    <row r="5" spans="1:19" x14ac:dyDescent="0.3">
      <c r="A5" s="36" t="s">
        <v>7</v>
      </c>
      <c r="B5" s="4" t="s">
        <v>3</v>
      </c>
      <c r="C5" s="4">
        <v>200</v>
      </c>
      <c r="D5" s="4">
        <v>180</v>
      </c>
      <c r="E5" s="4">
        <v>100</v>
      </c>
      <c r="F5" s="35">
        <v>130</v>
      </c>
      <c r="G5" s="35">
        <v>120</v>
      </c>
      <c r="H5" s="35">
        <v>100</v>
      </c>
      <c r="I5" s="35">
        <v>170</v>
      </c>
      <c r="J5" s="35">
        <v>180</v>
      </c>
      <c r="K5" s="35">
        <v>100</v>
      </c>
      <c r="L5" s="4">
        <v>80</v>
      </c>
      <c r="M5" s="4">
        <v>200</v>
      </c>
      <c r="N5" s="4">
        <v>150</v>
      </c>
      <c r="O5" s="4">
        <f t="shared" si="1"/>
        <v>1710</v>
      </c>
      <c r="Q5" s="21"/>
      <c r="R5" s="13" t="s">
        <v>9</v>
      </c>
      <c r="S5" s="19" t="e">
        <f>SUM(R6:R7)</f>
        <v>#REF!</v>
      </c>
    </row>
    <row r="6" spans="1:19" x14ac:dyDescent="0.3">
      <c r="A6" s="36"/>
      <c r="B6" s="4" t="s">
        <v>4</v>
      </c>
      <c r="C6" s="4">
        <v>300</v>
      </c>
      <c r="D6" s="4">
        <v>250</v>
      </c>
      <c r="E6" s="4">
        <v>200</v>
      </c>
      <c r="F6" s="35">
        <v>300</v>
      </c>
      <c r="G6" s="35">
        <v>200</v>
      </c>
      <c r="H6" s="35">
        <v>240</v>
      </c>
      <c r="I6" s="35">
        <v>230</v>
      </c>
      <c r="J6" s="35">
        <v>200</v>
      </c>
      <c r="K6" s="35">
        <v>300</v>
      </c>
      <c r="L6" s="4">
        <v>280</v>
      </c>
      <c r="M6" s="4">
        <v>400</v>
      </c>
      <c r="N6" s="4">
        <v>300</v>
      </c>
      <c r="O6" s="4">
        <f t="shared" si="1"/>
        <v>3200</v>
      </c>
      <c r="Q6" s="21"/>
      <c r="R6" s="18" t="e">
        <f>#REF!*#REF!</f>
        <v>#REF!</v>
      </c>
      <c r="S6" s="3"/>
    </row>
    <row r="7" spans="1:19" x14ac:dyDescent="0.3">
      <c r="A7" s="36"/>
      <c r="B7" s="4" t="s">
        <v>5</v>
      </c>
      <c r="C7" s="4">
        <v>400</v>
      </c>
      <c r="D7" s="4">
        <v>300</v>
      </c>
      <c r="E7" s="4">
        <v>400</v>
      </c>
      <c r="F7" s="35">
        <v>360</v>
      </c>
      <c r="G7" s="35">
        <v>380</v>
      </c>
      <c r="H7" s="35">
        <v>400</v>
      </c>
      <c r="I7" s="35">
        <v>500</v>
      </c>
      <c r="J7" s="35">
        <v>600</v>
      </c>
      <c r="K7" s="35">
        <v>570</v>
      </c>
      <c r="L7" s="4">
        <v>500</v>
      </c>
      <c r="M7" s="4">
        <v>400</v>
      </c>
      <c r="N7" s="4">
        <v>300</v>
      </c>
      <c r="O7" s="4">
        <f t="shared" si="1"/>
        <v>5110</v>
      </c>
      <c r="Q7" s="21"/>
      <c r="R7" s="18" t="e">
        <f>#REF!*#REF!</f>
        <v>#REF!</v>
      </c>
      <c r="S7" s="3"/>
    </row>
    <row r="8" spans="1:19" x14ac:dyDescent="0.3">
      <c r="C8" s="4">
        <f t="shared" ref="C8:N8" si="2">SUM(C3:C7)</f>
        <v>1050</v>
      </c>
      <c r="D8" s="4">
        <f t="shared" si="2"/>
        <v>1050</v>
      </c>
      <c r="E8" s="4">
        <f t="shared" si="2"/>
        <v>1140</v>
      </c>
      <c r="F8" s="35">
        <f t="shared" ref="F8:K8" si="3">SUM(F3:F7)</f>
        <v>960</v>
      </c>
      <c r="G8" s="35">
        <f t="shared" si="3"/>
        <v>900</v>
      </c>
      <c r="H8" s="35">
        <f t="shared" si="3"/>
        <v>940</v>
      </c>
      <c r="I8" s="35">
        <f t="shared" si="3"/>
        <v>1040</v>
      </c>
      <c r="J8" s="35">
        <f t="shared" si="3"/>
        <v>1160</v>
      </c>
      <c r="K8" s="35">
        <f t="shared" si="3"/>
        <v>1170</v>
      </c>
      <c r="L8" s="4">
        <f t="shared" si="2"/>
        <v>1100</v>
      </c>
      <c r="M8" s="4">
        <f t="shared" si="2"/>
        <v>1270</v>
      </c>
      <c r="N8" s="4">
        <f t="shared" si="2"/>
        <v>1040</v>
      </c>
      <c r="O8" s="4">
        <f>SUM(O3:O7)</f>
        <v>12820</v>
      </c>
    </row>
    <row r="9" spans="1:19" ht="6" customHeight="1" x14ac:dyDescent="0.3"/>
    <row r="10" spans="1:19" x14ac:dyDescent="0.3">
      <c r="B10" s="22" t="s">
        <v>15</v>
      </c>
      <c r="C10" s="4">
        <v>1</v>
      </c>
      <c r="D10" s="4">
        <f>C10+1</f>
        <v>2</v>
      </c>
      <c r="E10" s="4">
        <f t="shared" ref="E10:N10" si="4">D10+1</f>
        <v>3</v>
      </c>
      <c r="F10" s="4">
        <f t="shared" si="4"/>
        <v>4</v>
      </c>
      <c r="G10" s="4">
        <f t="shared" si="4"/>
        <v>5</v>
      </c>
      <c r="H10" s="4">
        <f t="shared" si="4"/>
        <v>6</v>
      </c>
      <c r="I10" s="4">
        <f t="shared" si="4"/>
        <v>7</v>
      </c>
      <c r="J10" s="4">
        <f t="shared" si="4"/>
        <v>8</v>
      </c>
      <c r="K10" s="4">
        <f t="shared" si="4"/>
        <v>9</v>
      </c>
      <c r="L10" s="4">
        <f t="shared" si="4"/>
        <v>10</v>
      </c>
      <c r="M10" s="4">
        <f t="shared" si="4"/>
        <v>11</v>
      </c>
      <c r="N10" s="4">
        <f t="shared" si="4"/>
        <v>12</v>
      </c>
    </row>
    <row r="11" spans="1:19" x14ac:dyDescent="0.3">
      <c r="B11" s="2" t="s">
        <v>24</v>
      </c>
      <c r="C11" s="2">
        <f>C8*(Input!$I$9/60)</f>
        <v>308.39313572542903</v>
      </c>
      <c r="D11" s="2">
        <f>D8*(Input!$I$9/60)</f>
        <v>308.39313572542903</v>
      </c>
      <c r="E11" s="2">
        <f>E8*(Input!$I$9/60)</f>
        <v>334.82683307332292</v>
      </c>
      <c r="F11" s="2">
        <f>F8*(Input!$I$9/60)</f>
        <v>281.95943837753509</v>
      </c>
      <c r="G11" s="2">
        <f>G8*(Input!$I$9/60)</f>
        <v>264.33697347893917</v>
      </c>
      <c r="H11" s="2">
        <f>H8*(Input!$I$9/60)</f>
        <v>276.08528341133643</v>
      </c>
      <c r="I11" s="8">
        <f>I8*(Input!$I$9/60)</f>
        <v>305.45605824232968</v>
      </c>
      <c r="J11" s="2">
        <f>J8*(Input!$I$9/60)</f>
        <v>340.70098803952158</v>
      </c>
      <c r="K11" s="2">
        <f>K8*(Input!$I$9/60)</f>
        <v>343.63806552262093</v>
      </c>
      <c r="L11" s="2">
        <f>L8*(Input!$I$9/60)</f>
        <v>323.07852314092565</v>
      </c>
      <c r="M11" s="2">
        <f>M8*(Input!$I$9/60)</f>
        <v>373.00884035361418</v>
      </c>
      <c r="N11" s="2">
        <f>N8*(Input!$I$9/60)</f>
        <v>305.45605824232968</v>
      </c>
    </row>
    <row r="12" spans="1:19" x14ac:dyDescent="0.3">
      <c r="B12" s="2" t="s">
        <v>25</v>
      </c>
      <c r="C12" s="8">
        <f>Input!$M$15</f>
        <v>299.20000000000005</v>
      </c>
      <c r="D12" s="8">
        <f>Input!$M$15</f>
        <v>299.20000000000005</v>
      </c>
      <c r="E12" s="8">
        <f>Input!$M$15</f>
        <v>299.20000000000005</v>
      </c>
      <c r="F12" s="8">
        <f>Input!$M$15</f>
        <v>299.20000000000005</v>
      </c>
      <c r="G12" s="8">
        <f>Input!$M$15</f>
        <v>299.20000000000005</v>
      </c>
      <c r="H12" s="8">
        <f>Input!$M$15</f>
        <v>299.20000000000005</v>
      </c>
      <c r="I12" s="8">
        <f>Input!$M$15</f>
        <v>299.20000000000005</v>
      </c>
      <c r="J12" s="8">
        <f>Input!$M$15</f>
        <v>299.20000000000005</v>
      </c>
      <c r="K12" s="8">
        <f>Input!$M$15</f>
        <v>299.20000000000005</v>
      </c>
      <c r="L12" s="8">
        <f>Input!$M$15</f>
        <v>299.20000000000005</v>
      </c>
      <c r="M12" s="8">
        <f>Input!$M$15</f>
        <v>299.20000000000005</v>
      </c>
      <c r="N12" s="8">
        <f>Input!$M$15</f>
        <v>299.20000000000005</v>
      </c>
    </row>
    <row r="13" spans="1:19" x14ac:dyDescent="0.3">
      <c r="A13" s="2" t="s">
        <v>28</v>
      </c>
      <c r="B13" s="37" t="s">
        <v>29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9" x14ac:dyDescent="0.3">
      <c r="A14" s="8">
        <f>Input!M13</f>
        <v>147.20000000000002</v>
      </c>
      <c r="B14" s="2" t="s">
        <v>26</v>
      </c>
      <c r="C14" s="2">
        <f>$A$14/(Input!$I$9/60)</f>
        <v>501.17847025495757</v>
      </c>
      <c r="D14" s="2">
        <f>$A$14/(Input!$I$9/60)</f>
        <v>501.17847025495757</v>
      </c>
      <c r="E14" s="2">
        <f>$A$14/(Input!$I$9/60)</f>
        <v>501.17847025495757</v>
      </c>
      <c r="F14" s="2">
        <f>$A$14/(Input!$I$9/60)</f>
        <v>501.17847025495757</v>
      </c>
      <c r="G14" s="2">
        <f>$A$14/(Input!$I$9/60)</f>
        <v>501.17847025495757</v>
      </c>
      <c r="H14" s="2">
        <f>$A$14/(Input!$I$9/60)</f>
        <v>501.17847025495757</v>
      </c>
      <c r="I14" s="8">
        <f>$A$14/(Input!$I$9/60)</f>
        <v>501.17847025495757</v>
      </c>
      <c r="J14" s="2">
        <f>$A$14/(Input!$I$9/60)</f>
        <v>501.17847025495757</v>
      </c>
      <c r="K14" s="2">
        <f>$A$14/(Input!$I$9/60)</f>
        <v>501.17847025495757</v>
      </c>
      <c r="L14" s="2">
        <f>$A$14/(Input!$I$9/60)</f>
        <v>501.17847025495757</v>
      </c>
      <c r="M14" s="2">
        <f>$A$14/(Input!$I$9/60)</f>
        <v>501.17847025495757</v>
      </c>
      <c r="N14" s="2">
        <f>$A$14/(Input!$I$9/60)</f>
        <v>501.17847025495757</v>
      </c>
    </row>
    <row r="15" spans="1:19" x14ac:dyDescent="0.3">
      <c r="A15" s="8">
        <f>Input!M14</f>
        <v>152</v>
      </c>
      <c r="B15" s="2" t="s">
        <v>27</v>
      </c>
      <c r="C15" s="8">
        <f>$A$15/(Input!$M$10/60)</f>
        <v>506.66666666666669</v>
      </c>
      <c r="D15" s="8">
        <f>$A$15/(Input!$M$10/60)</f>
        <v>506.66666666666669</v>
      </c>
      <c r="E15" s="8">
        <f>$A$15/(Input!$M$10/60)</f>
        <v>506.66666666666669</v>
      </c>
      <c r="F15" s="8">
        <f>$A$15/(Input!$M$10/60)</f>
        <v>506.66666666666669</v>
      </c>
      <c r="G15" s="8">
        <f>$A$15/(Input!$M$10/60)</f>
        <v>506.66666666666669</v>
      </c>
      <c r="H15" s="8">
        <f>$A$15/(Input!$M$10/60)</f>
        <v>506.66666666666669</v>
      </c>
      <c r="I15" s="8">
        <f>$A$15/(Input!$M$10/60)</f>
        <v>506.66666666666669</v>
      </c>
      <c r="J15" s="8">
        <f>$A$15/(Input!$M$10/60)</f>
        <v>506.66666666666669</v>
      </c>
      <c r="K15" s="8">
        <f>$A$15/(Input!$M$10/60)</f>
        <v>506.66666666666669</v>
      </c>
      <c r="L15" s="8">
        <f>$A$15/(Input!$M$10/60)</f>
        <v>506.66666666666669</v>
      </c>
      <c r="M15" s="8">
        <f>$A$15/(Input!$M$10/60)</f>
        <v>506.66666666666669</v>
      </c>
      <c r="N15" s="8">
        <f>$A$15/(Input!$M$10/60)</f>
        <v>506.66666666666669</v>
      </c>
    </row>
    <row r="16" spans="1:19" x14ac:dyDescent="0.3">
      <c r="B16" s="2" t="s">
        <v>30</v>
      </c>
      <c r="C16" s="8">
        <f>ROUNDDOWN(SUM(C14:C15),0)</f>
        <v>1007</v>
      </c>
      <c r="D16" s="8">
        <f t="shared" ref="D16:N16" si="5">ROUNDDOWN(SUM(D14:D15),0)</f>
        <v>1007</v>
      </c>
      <c r="E16" s="8">
        <f t="shared" si="5"/>
        <v>1007</v>
      </c>
      <c r="F16" s="8">
        <f t="shared" si="5"/>
        <v>1007</v>
      </c>
      <c r="G16" s="8">
        <f t="shared" si="5"/>
        <v>1007</v>
      </c>
      <c r="H16" s="8">
        <f t="shared" si="5"/>
        <v>1007</v>
      </c>
      <c r="I16" s="8">
        <f t="shared" si="5"/>
        <v>1007</v>
      </c>
      <c r="J16" s="8">
        <f t="shared" si="5"/>
        <v>1007</v>
      </c>
      <c r="K16" s="8">
        <f t="shared" si="5"/>
        <v>1007</v>
      </c>
      <c r="L16" s="8">
        <f t="shared" si="5"/>
        <v>1007</v>
      </c>
      <c r="M16" s="8">
        <f t="shared" si="5"/>
        <v>1007</v>
      </c>
      <c r="N16" s="8">
        <f t="shared" si="5"/>
        <v>1007</v>
      </c>
    </row>
    <row r="17" spans="1:14" x14ac:dyDescent="0.3">
      <c r="B17" s="2" t="s">
        <v>31</v>
      </c>
      <c r="C17" s="8">
        <f>C8-C16</f>
        <v>43</v>
      </c>
      <c r="D17" s="8">
        <f t="shared" ref="D17:N17" si="6">D8-D16</f>
        <v>43</v>
      </c>
      <c r="E17" s="8">
        <f t="shared" si="6"/>
        <v>133</v>
      </c>
      <c r="F17" s="8">
        <f t="shared" si="6"/>
        <v>-47</v>
      </c>
      <c r="G17" s="24">
        <f t="shared" si="6"/>
        <v>-107</v>
      </c>
      <c r="H17" s="8">
        <f t="shared" si="6"/>
        <v>-67</v>
      </c>
      <c r="I17" s="8">
        <f t="shared" si="6"/>
        <v>33</v>
      </c>
      <c r="J17" s="8">
        <f t="shared" si="6"/>
        <v>153</v>
      </c>
      <c r="K17" s="8">
        <f t="shared" si="6"/>
        <v>163</v>
      </c>
      <c r="L17" s="8">
        <f t="shared" si="6"/>
        <v>93</v>
      </c>
      <c r="M17" s="8">
        <f t="shared" si="6"/>
        <v>263</v>
      </c>
      <c r="N17" s="8">
        <f t="shared" si="6"/>
        <v>33</v>
      </c>
    </row>
    <row r="19" spans="1:14" x14ac:dyDescent="0.3">
      <c r="A19" s="26" t="s">
        <v>32</v>
      </c>
      <c r="B19" s="2" t="s">
        <v>30</v>
      </c>
      <c r="C19" s="25">
        <f>ROUNDDOWN(Input!$M$15/(Input!$I$9/60),0)</f>
        <v>1018</v>
      </c>
      <c r="D19" s="25">
        <f>ROUNDDOWN(Input!$M$15/(Input!$I$9/60),0)</f>
        <v>1018</v>
      </c>
      <c r="E19" s="25">
        <f>ROUNDDOWN(Input!$M$15/(Input!$I$9/60),0)</f>
        <v>1018</v>
      </c>
      <c r="F19" s="25">
        <f>ROUNDDOWN(Input!$M$15/(Input!$I$9/60),0)</f>
        <v>1018</v>
      </c>
      <c r="G19" s="25">
        <f>ROUNDDOWN(Input!$M$15/(Input!$I$9/60),0)</f>
        <v>1018</v>
      </c>
      <c r="H19" s="25">
        <f>ROUNDDOWN(Input!$M$15/(Input!$I$9/60),0)</f>
        <v>1018</v>
      </c>
      <c r="I19" s="25">
        <f>ROUNDDOWN(Input!$M$15/(Input!$I$9/60),0)</f>
        <v>1018</v>
      </c>
      <c r="J19" s="25">
        <f>ROUNDDOWN(Input!$M$15/(Input!$I$9/60),0)</f>
        <v>1018</v>
      </c>
      <c r="K19" s="25">
        <f>ROUNDDOWN(Input!$M$15/(Input!$I$9/60),0)</f>
        <v>1018</v>
      </c>
      <c r="L19" s="25">
        <f>ROUNDDOWN(Input!$M$15/(Input!$I$9/60),0)</f>
        <v>1018</v>
      </c>
      <c r="M19" s="25">
        <f>ROUNDDOWN(Input!$M$15/(Input!$I$9/60),0)</f>
        <v>1018</v>
      </c>
      <c r="N19" s="25">
        <f>ROUNDDOWN(Input!$M$15/(Input!$I$9/60),0)</f>
        <v>1018</v>
      </c>
    </row>
  </sheetData>
  <mergeCells count="3">
    <mergeCell ref="A3:A4"/>
    <mergeCell ref="A5:A7"/>
    <mergeCell ref="B13:N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showGridLines="0" zoomScale="160" zoomScaleNormal="160" workbookViewId="0"/>
  </sheetViews>
  <sheetFormatPr defaultRowHeight="14.4" x14ac:dyDescent="0.3"/>
  <cols>
    <col min="1" max="1" width="8.44140625" style="1" bestFit="1" customWidth="1"/>
    <col min="2" max="2" width="17.44140625" style="1" bestFit="1" customWidth="1"/>
    <col min="3" max="3" width="7.33203125" style="1" bestFit="1" customWidth="1"/>
    <col min="4" max="4" width="6.33203125" style="1" customWidth="1"/>
    <col min="5" max="5" width="7.5546875" style="1" bestFit="1" customWidth="1"/>
    <col min="6" max="7" width="6.33203125" style="1" customWidth="1"/>
    <col min="8" max="8" width="7.33203125" style="1" bestFit="1" customWidth="1"/>
    <col min="9" max="11" width="6.33203125" style="1" customWidth="1"/>
    <col min="12" max="12" width="7.88671875" style="1" bestFit="1" customWidth="1"/>
    <col min="13" max="14" width="6.33203125" style="1" customWidth="1"/>
    <col min="15" max="17" width="9.109375" style="1"/>
    <col min="18" max="18" width="26.109375" style="1" bestFit="1" customWidth="1"/>
    <col min="19" max="71" width="9.109375" style="1"/>
  </cols>
  <sheetData>
    <row r="1" spans="2:17" ht="4.5" customHeight="1" x14ac:dyDescent="0.3">
      <c r="Q1" s="21"/>
    </row>
    <row r="2" spans="2:17" x14ac:dyDescent="0.3">
      <c r="B2" s="22" t="s">
        <v>15</v>
      </c>
      <c r="C2" s="4">
        <v>1</v>
      </c>
      <c r="D2" s="4">
        <f>C2+1</f>
        <v>2</v>
      </c>
      <c r="E2" s="4">
        <f t="shared" ref="E2:N2" si="0">D2+1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</row>
    <row r="3" spans="2:17" x14ac:dyDescent="0.3">
      <c r="B3" s="2" t="s">
        <v>33</v>
      </c>
      <c r="C3" s="2">
        <f>capacidade!C14</f>
        <v>501.17847025495757</v>
      </c>
      <c r="D3" s="2">
        <f>capacidade!D14</f>
        <v>501.17847025495757</v>
      </c>
      <c r="E3" s="2">
        <f>capacidade!E14</f>
        <v>501.17847025495757</v>
      </c>
      <c r="F3" s="2">
        <f>capacidade!F14</f>
        <v>501.17847025495757</v>
      </c>
      <c r="G3" s="2">
        <f>capacidade!G14</f>
        <v>501.17847025495757</v>
      </c>
      <c r="H3" s="2">
        <f>capacidade!H14</f>
        <v>501.17847025495757</v>
      </c>
      <c r="I3" s="2">
        <f>capacidade!I14</f>
        <v>501.17847025495757</v>
      </c>
      <c r="J3" s="2">
        <f>capacidade!J14</f>
        <v>501.17847025495757</v>
      </c>
      <c r="K3" s="2">
        <f>capacidade!K14</f>
        <v>501.17847025495757</v>
      </c>
      <c r="L3" s="2">
        <f>capacidade!L14</f>
        <v>501.17847025495757</v>
      </c>
      <c r="M3" s="2">
        <f>capacidade!M14</f>
        <v>501.17847025495757</v>
      </c>
      <c r="N3" s="2">
        <f>capacidade!N14</f>
        <v>501.17847025495757</v>
      </c>
    </row>
    <row r="4" spans="2:17" x14ac:dyDescent="0.3">
      <c r="B4" s="2" t="s">
        <v>34</v>
      </c>
      <c r="C4" s="8">
        <f>capacidade!$A$14</f>
        <v>147.20000000000002</v>
      </c>
      <c r="D4" s="8">
        <f>capacidade!$A$14</f>
        <v>147.20000000000002</v>
      </c>
      <c r="E4" s="8">
        <f>capacidade!$A$14</f>
        <v>147.20000000000002</v>
      </c>
      <c r="F4" s="8">
        <f>capacidade!$A$14</f>
        <v>147.20000000000002</v>
      </c>
      <c r="G4" s="8">
        <f>capacidade!$A$14</f>
        <v>147.20000000000002</v>
      </c>
      <c r="H4" s="8">
        <f>capacidade!$A$14</f>
        <v>147.20000000000002</v>
      </c>
      <c r="I4" s="8">
        <f>capacidade!$A$14</f>
        <v>147.20000000000002</v>
      </c>
      <c r="J4" s="8">
        <f>capacidade!$A$14</f>
        <v>147.20000000000002</v>
      </c>
      <c r="K4" s="8">
        <f>capacidade!$A$14</f>
        <v>147.20000000000002</v>
      </c>
      <c r="L4" s="8">
        <f>capacidade!$A$14</f>
        <v>147.20000000000002</v>
      </c>
      <c r="M4" s="8">
        <f>capacidade!$A$14</f>
        <v>147.20000000000002</v>
      </c>
      <c r="N4" s="8">
        <f>capacidade!$A$14</f>
        <v>147.20000000000002</v>
      </c>
    </row>
    <row r="5" spans="2:17" x14ac:dyDescent="0.3">
      <c r="B5" s="2" t="s">
        <v>35</v>
      </c>
      <c r="C5" s="2">
        <f>capacidade!C17/2</f>
        <v>21.5</v>
      </c>
      <c r="D5" s="2">
        <f>capacidade!D17/2</f>
        <v>21.5</v>
      </c>
      <c r="E5" s="2">
        <f>capacidade!E17/2</f>
        <v>66.5</v>
      </c>
      <c r="F5" s="2">
        <f>capacidade!F17/2</f>
        <v>-23.5</v>
      </c>
      <c r="G5" s="2">
        <f>capacidade!G17/2</f>
        <v>-53.5</v>
      </c>
      <c r="H5" s="2">
        <f>capacidade!H17/2</f>
        <v>-33.5</v>
      </c>
      <c r="I5" s="2">
        <f>capacidade!I17/2</f>
        <v>16.5</v>
      </c>
      <c r="J5" s="2">
        <f>capacidade!J17/2</f>
        <v>76.5</v>
      </c>
      <c r="K5" s="2">
        <f>capacidade!K17/2</f>
        <v>81.5</v>
      </c>
      <c r="L5" s="2">
        <f>capacidade!L17/2</f>
        <v>46.5</v>
      </c>
      <c r="M5" s="2">
        <f>capacidade!M17/2</f>
        <v>131.5</v>
      </c>
      <c r="N5" s="2">
        <f>capacidade!N17/2</f>
        <v>16.5</v>
      </c>
    </row>
    <row r="6" spans="2:17" x14ac:dyDescent="0.3">
      <c r="B6" s="2" t="s">
        <v>36</v>
      </c>
      <c r="C6" s="2">
        <f>(C5*Input!$I$9)/60</f>
        <v>6.3147165886635461</v>
      </c>
      <c r="D6" s="2">
        <f>(D5*Input!$I$9)/60</f>
        <v>6.3147165886635461</v>
      </c>
      <c r="E6" s="2">
        <f>(E5*Input!$I$9)/60</f>
        <v>19.531565262610503</v>
      </c>
      <c r="F6" s="2">
        <f>(F5*Input!$I$9)/60</f>
        <v>-6.9021320852834114</v>
      </c>
      <c r="G6" s="2">
        <f>(G5*Input!$I$9)/60</f>
        <v>-15.713364534581384</v>
      </c>
      <c r="H6" s="2">
        <f>(H5*Input!$I$9)/60</f>
        <v>-9.839209568382735</v>
      </c>
      <c r="I6" s="2">
        <f>(I5*Input!$I$9)/60</f>
        <v>4.8461778471138839</v>
      </c>
      <c r="J6" s="2">
        <f>(J5*Input!$I$9)/60</f>
        <v>22.468642745709825</v>
      </c>
      <c r="K6" s="2">
        <f>(K5*Input!$I$9)/60</f>
        <v>23.937181487259487</v>
      </c>
      <c r="L6" s="2">
        <f>(L5*Input!$I$9)/60</f>
        <v>13.657410296411856</v>
      </c>
      <c r="M6" s="2">
        <f>(M5*Input!$I$9)/60</f>
        <v>38.622568902756115</v>
      </c>
      <c r="N6" s="2">
        <f>(N5*Input!$I$9)/60</f>
        <v>4.8461778471138839</v>
      </c>
    </row>
    <row r="7" spans="2:17" x14ac:dyDescent="0.3">
      <c r="B7" s="2" t="s">
        <v>37</v>
      </c>
      <c r="C7" s="8">
        <f>C6+C4</f>
        <v>153.51471658866356</v>
      </c>
      <c r="D7" s="8">
        <f t="shared" ref="D7:N7" si="1">D6+D4</f>
        <v>153.51471658866356</v>
      </c>
      <c r="E7" s="8">
        <f t="shared" si="1"/>
        <v>166.73156526261053</v>
      </c>
      <c r="F7" s="8">
        <f t="shared" si="1"/>
        <v>140.29786791471662</v>
      </c>
      <c r="G7" s="8">
        <f t="shared" si="1"/>
        <v>131.48663546541863</v>
      </c>
      <c r="H7" s="8">
        <f t="shared" si="1"/>
        <v>137.36079043161729</v>
      </c>
      <c r="I7" s="8">
        <f t="shared" si="1"/>
        <v>152.04617784711391</v>
      </c>
      <c r="J7" s="8">
        <f t="shared" si="1"/>
        <v>169.66864274570983</v>
      </c>
      <c r="K7" s="8">
        <f t="shared" si="1"/>
        <v>171.13718148725951</v>
      </c>
      <c r="L7" s="8">
        <f t="shared" si="1"/>
        <v>160.85741029641187</v>
      </c>
      <c r="M7" s="8">
        <f t="shared" si="1"/>
        <v>185.82256890275613</v>
      </c>
      <c r="N7" s="8">
        <f t="shared" si="1"/>
        <v>152.04617784711391</v>
      </c>
    </row>
    <row r="9" spans="2:17" x14ac:dyDescent="0.3">
      <c r="B9" s="2" t="s">
        <v>38</v>
      </c>
      <c r="C9" s="6">
        <f>C5/capacidade!C8</f>
        <v>2.0476190476190478E-2</v>
      </c>
      <c r="D9" s="6">
        <f>D5/capacidade!D8</f>
        <v>2.0476190476190478E-2</v>
      </c>
      <c r="E9" s="6">
        <f>E5/capacidade!E8</f>
        <v>5.8333333333333334E-2</v>
      </c>
      <c r="F9" s="6">
        <f>F5/capacidade!F8</f>
        <v>-2.4479166666666666E-2</v>
      </c>
      <c r="G9" s="10">
        <f>G5/capacidade!G8</f>
        <v>-5.9444444444444446E-2</v>
      </c>
      <c r="H9" s="6">
        <f>H5/capacidade!H8</f>
        <v>-3.5638297872340428E-2</v>
      </c>
      <c r="I9" s="6">
        <f>I5/capacidade!I8</f>
        <v>1.5865384615384615E-2</v>
      </c>
      <c r="J9" s="6">
        <f>J5/capacidade!J8</f>
        <v>6.5948275862068972E-2</v>
      </c>
      <c r="K9" s="6">
        <f>K5/capacidade!K8</f>
        <v>6.965811965811966E-2</v>
      </c>
      <c r="L9" s="6">
        <f>L5/capacidade!L8</f>
        <v>4.2272727272727274E-2</v>
      </c>
      <c r="M9" s="6">
        <f>M5/capacidade!M8</f>
        <v>0.10354330708661418</v>
      </c>
      <c r="N9" s="6">
        <f>N5/capacidade!N8</f>
        <v>1.5865384615384615E-2</v>
      </c>
    </row>
    <row r="10" spans="2:17" x14ac:dyDescent="0.3">
      <c r="B10" s="2" t="s">
        <v>39</v>
      </c>
      <c r="C10" s="5">
        <f>(C7-C4)/C4</f>
        <v>4.2898889868638199E-2</v>
      </c>
      <c r="D10" s="5">
        <f t="shared" ref="D10:N10" si="2">(D7-D4)/D4</f>
        <v>4.2898889868638199E-2</v>
      </c>
      <c r="E10" s="5">
        <f t="shared" si="2"/>
        <v>0.13268726401229966</v>
      </c>
      <c r="F10" s="5">
        <f t="shared" si="2"/>
        <v>-4.6889484275023076E-2</v>
      </c>
      <c r="G10" s="5">
        <f t="shared" si="2"/>
        <v>-0.10674840037079746</v>
      </c>
      <c r="H10" s="5">
        <f t="shared" si="2"/>
        <v>-6.6842456306947878E-2</v>
      </c>
      <c r="I10" s="5">
        <f t="shared" si="2"/>
        <v>3.2922403852675898E-2</v>
      </c>
      <c r="J10" s="5">
        <f t="shared" si="2"/>
        <v>0.15264023604422428</v>
      </c>
      <c r="K10" s="5">
        <f t="shared" si="2"/>
        <v>0.16261672206018676</v>
      </c>
      <c r="L10" s="5">
        <f t="shared" si="2"/>
        <v>9.2781319948450083E-2</v>
      </c>
      <c r="M10" s="5">
        <f t="shared" si="2"/>
        <v>0.26238158221981051</v>
      </c>
      <c r="N10" s="5">
        <f t="shared" si="2"/>
        <v>3.2922403852675898E-2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"/>
  <sheetViews>
    <sheetView showGridLines="0" zoomScale="160" zoomScaleNormal="160" workbookViewId="0"/>
  </sheetViews>
  <sheetFormatPr defaultRowHeight="14.4" x14ac:dyDescent="0.3"/>
  <cols>
    <col min="1" max="1" width="8.44140625" style="1" bestFit="1" customWidth="1"/>
    <col min="2" max="2" width="17.44140625" style="1" bestFit="1" customWidth="1"/>
    <col min="3" max="3" width="7.33203125" style="1" bestFit="1" customWidth="1"/>
    <col min="4" max="4" width="6.33203125" style="1" customWidth="1"/>
    <col min="5" max="5" width="7.5546875" style="1" bestFit="1" customWidth="1"/>
    <col min="6" max="7" width="6.33203125" style="1" customWidth="1"/>
    <col min="8" max="8" width="7.33203125" style="1" bestFit="1" customWidth="1"/>
    <col min="9" max="11" width="6.33203125" style="1" customWidth="1"/>
    <col min="12" max="12" width="7.88671875" style="1" bestFit="1" customWidth="1"/>
    <col min="13" max="14" width="6.33203125" style="1" customWidth="1"/>
    <col min="15" max="17" width="9.109375" style="1"/>
    <col min="18" max="18" width="26.109375" style="1" bestFit="1" customWidth="1"/>
    <col min="19" max="71" width="9.109375" style="1"/>
  </cols>
  <sheetData>
    <row r="1" spans="17:17" ht="4.5" customHeight="1" x14ac:dyDescent="0.3">
      <c r="Q1" s="2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showGridLines="0" zoomScale="160" zoomScaleNormal="160" workbookViewId="0"/>
  </sheetViews>
  <sheetFormatPr defaultRowHeight="14.4" x14ac:dyDescent="0.3"/>
  <cols>
    <col min="1" max="1" width="8.44140625" style="1" bestFit="1" customWidth="1"/>
    <col min="2" max="2" width="17.44140625" style="1" bestFit="1" customWidth="1"/>
    <col min="3" max="3" width="7.33203125" style="1" bestFit="1" customWidth="1"/>
    <col min="4" max="4" width="6.33203125" style="1" customWidth="1"/>
    <col min="5" max="5" width="7.5546875" style="1" bestFit="1" customWidth="1"/>
    <col min="6" max="7" width="6.33203125" style="1" customWidth="1"/>
    <col min="8" max="8" width="7.33203125" style="1" bestFit="1" customWidth="1"/>
    <col min="9" max="11" width="6.33203125" style="1" customWidth="1"/>
    <col min="12" max="12" width="7.88671875" style="1" bestFit="1" customWidth="1"/>
    <col min="13" max="14" width="6.33203125" style="1" customWidth="1"/>
    <col min="15" max="17" width="9.109375" style="1"/>
    <col min="18" max="18" width="26.109375" style="1" bestFit="1" customWidth="1"/>
    <col min="19" max="71" width="9.109375" style="1"/>
  </cols>
  <sheetData>
    <row r="1" spans="2:17" ht="4.5" customHeight="1" x14ac:dyDescent="0.3">
      <c r="Q1" s="21"/>
    </row>
    <row r="2" spans="2:17" x14ac:dyDescent="0.3">
      <c r="B2" s="22" t="s">
        <v>15</v>
      </c>
      <c r="C2" s="4">
        <v>1</v>
      </c>
      <c r="D2" s="4">
        <f>C2+1</f>
        <v>2</v>
      </c>
      <c r="E2" s="4">
        <f t="shared" ref="E2:N2" si="0">D2+1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</row>
    <row r="3" spans="2:17" x14ac:dyDescent="0.3">
      <c r="B3" s="2" t="s">
        <v>33</v>
      </c>
      <c r="C3" s="8">
        <f>capacidade!C15</f>
        <v>506.66666666666669</v>
      </c>
      <c r="D3" s="8">
        <f>capacidade!D15</f>
        <v>506.66666666666669</v>
      </c>
      <c r="E3" s="8">
        <f>capacidade!E15</f>
        <v>506.66666666666669</v>
      </c>
      <c r="F3" s="8">
        <f>capacidade!F15</f>
        <v>506.66666666666669</v>
      </c>
      <c r="G3" s="8">
        <f>capacidade!G15</f>
        <v>506.66666666666669</v>
      </c>
      <c r="H3" s="8">
        <f>capacidade!H15</f>
        <v>506.66666666666669</v>
      </c>
      <c r="I3" s="8">
        <f>capacidade!I15</f>
        <v>506.66666666666669</v>
      </c>
      <c r="J3" s="8">
        <f>capacidade!J15</f>
        <v>506.66666666666669</v>
      </c>
      <c r="K3" s="8">
        <f>capacidade!K15</f>
        <v>506.66666666666669</v>
      </c>
      <c r="L3" s="8">
        <f>capacidade!L15</f>
        <v>506.66666666666669</v>
      </c>
      <c r="M3" s="8">
        <f>capacidade!M15</f>
        <v>506.66666666666669</v>
      </c>
      <c r="N3" s="8">
        <f>capacidade!N15</f>
        <v>506.66666666666669</v>
      </c>
    </row>
    <row r="4" spans="2:17" x14ac:dyDescent="0.3">
      <c r="B4" s="2" t="s">
        <v>34</v>
      </c>
      <c r="C4" s="8">
        <f>capacidade!$A$15</f>
        <v>152</v>
      </c>
      <c r="D4" s="8">
        <f>capacidade!$A$15</f>
        <v>152</v>
      </c>
      <c r="E4" s="8">
        <f>capacidade!$A$15</f>
        <v>152</v>
      </c>
      <c r="F4" s="8">
        <f>capacidade!$A$15</f>
        <v>152</v>
      </c>
      <c r="G4" s="8">
        <f>capacidade!$A$15</f>
        <v>152</v>
      </c>
      <c r="H4" s="8">
        <f>capacidade!$A$15</f>
        <v>152</v>
      </c>
      <c r="I4" s="8">
        <f>capacidade!$A$15</f>
        <v>152</v>
      </c>
      <c r="J4" s="8">
        <f>capacidade!$A$15</f>
        <v>152</v>
      </c>
      <c r="K4" s="8">
        <f>capacidade!$A$15</f>
        <v>152</v>
      </c>
      <c r="L4" s="8">
        <f>capacidade!$A$15</f>
        <v>152</v>
      </c>
      <c r="M4" s="8">
        <f>capacidade!$A$15</f>
        <v>152</v>
      </c>
      <c r="N4" s="8">
        <f>capacidade!$A$15</f>
        <v>152</v>
      </c>
    </row>
    <row r="5" spans="2:17" x14ac:dyDescent="0.3">
      <c r="B5" s="2" t="s">
        <v>35</v>
      </c>
      <c r="C5" s="2">
        <f>capacidade!C17/2</f>
        <v>21.5</v>
      </c>
      <c r="D5" s="2">
        <f>capacidade!D17/2</f>
        <v>21.5</v>
      </c>
      <c r="E5" s="2">
        <f>capacidade!E17/2</f>
        <v>66.5</v>
      </c>
      <c r="F5" s="2">
        <f>capacidade!F17/2</f>
        <v>-23.5</v>
      </c>
      <c r="G5" s="2">
        <f>capacidade!G17/2</f>
        <v>-53.5</v>
      </c>
      <c r="H5" s="2">
        <f>capacidade!H17/2</f>
        <v>-33.5</v>
      </c>
      <c r="I5" s="2">
        <f>capacidade!I17/2</f>
        <v>16.5</v>
      </c>
      <c r="J5" s="2">
        <f>capacidade!J17/2</f>
        <v>76.5</v>
      </c>
      <c r="K5" s="2">
        <f>capacidade!K17/2</f>
        <v>81.5</v>
      </c>
      <c r="L5" s="2">
        <f>capacidade!L17/2</f>
        <v>46.5</v>
      </c>
      <c r="M5" s="2">
        <f>capacidade!M17/2</f>
        <v>131.5</v>
      </c>
      <c r="N5" s="2">
        <f>capacidade!N17/2</f>
        <v>16.5</v>
      </c>
    </row>
    <row r="6" spans="2:17" x14ac:dyDescent="0.3">
      <c r="B6" s="2" t="s">
        <v>36</v>
      </c>
      <c r="C6" s="2">
        <f>(C5*Input!$M$10)/60</f>
        <v>6.45</v>
      </c>
      <c r="D6" s="2">
        <f>(D5*Input!$M$10)/60</f>
        <v>6.45</v>
      </c>
      <c r="E6" s="2">
        <f>(E5*Input!$M$10)/60</f>
        <v>19.95</v>
      </c>
      <c r="F6" s="2">
        <f>(F5*Input!$M$10)/60</f>
        <v>-7.05</v>
      </c>
      <c r="G6" s="2">
        <f>(G5*Input!$M$10)/60</f>
        <v>-16.05</v>
      </c>
      <c r="H6" s="2">
        <f>(H5*Input!$M$10)/60</f>
        <v>-10.050000000000001</v>
      </c>
      <c r="I6" s="2">
        <f>(I5*Input!$M$10)/60</f>
        <v>4.95</v>
      </c>
      <c r="J6" s="2">
        <f>(J5*Input!$M$10)/60</f>
        <v>22.95</v>
      </c>
      <c r="K6" s="2">
        <f>(K5*Input!$M$10)/60</f>
        <v>24.45</v>
      </c>
      <c r="L6" s="2">
        <f>(L5*Input!$M$10)/60</f>
        <v>13.95</v>
      </c>
      <c r="M6" s="2">
        <f>(M5*Input!$M$10)/60</f>
        <v>39.450000000000003</v>
      </c>
      <c r="N6" s="2">
        <f>(N5*Input!$M$10)/60</f>
        <v>4.95</v>
      </c>
    </row>
    <row r="7" spans="2:17" x14ac:dyDescent="0.3">
      <c r="B7" s="2" t="s">
        <v>37</v>
      </c>
      <c r="C7" s="8">
        <f>C6+C4</f>
        <v>158.44999999999999</v>
      </c>
      <c r="D7" s="8">
        <f t="shared" ref="D7:N7" si="1">D6+D4</f>
        <v>158.44999999999999</v>
      </c>
      <c r="E7" s="8">
        <f t="shared" si="1"/>
        <v>171.95</v>
      </c>
      <c r="F7" s="8">
        <f t="shared" si="1"/>
        <v>144.94999999999999</v>
      </c>
      <c r="G7" s="8">
        <f t="shared" si="1"/>
        <v>135.94999999999999</v>
      </c>
      <c r="H7" s="8">
        <f t="shared" si="1"/>
        <v>141.94999999999999</v>
      </c>
      <c r="I7" s="8">
        <f t="shared" si="1"/>
        <v>156.94999999999999</v>
      </c>
      <c r="J7" s="8">
        <f t="shared" si="1"/>
        <v>174.95</v>
      </c>
      <c r="K7" s="8">
        <f t="shared" si="1"/>
        <v>176.45</v>
      </c>
      <c r="L7" s="8">
        <f t="shared" si="1"/>
        <v>165.95</v>
      </c>
      <c r="M7" s="8">
        <f t="shared" si="1"/>
        <v>191.45</v>
      </c>
      <c r="N7" s="8">
        <f t="shared" si="1"/>
        <v>156.94999999999999</v>
      </c>
    </row>
    <row r="9" spans="2:17" x14ac:dyDescent="0.3">
      <c r="B9" s="2" t="s">
        <v>38</v>
      </c>
      <c r="C9" s="6">
        <f>C5/capacidade!C8</f>
        <v>2.0476190476190478E-2</v>
      </c>
      <c r="D9" s="6">
        <f>D5/capacidade!D8</f>
        <v>2.0476190476190478E-2</v>
      </c>
      <c r="E9" s="6">
        <f>E5/capacidade!E8</f>
        <v>5.8333333333333334E-2</v>
      </c>
      <c r="F9" s="6">
        <f>F5/capacidade!F8</f>
        <v>-2.4479166666666666E-2</v>
      </c>
      <c r="G9" s="10">
        <f>G5/capacidade!G8</f>
        <v>-5.9444444444444446E-2</v>
      </c>
      <c r="H9" s="6">
        <f>H5/capacidade!H8</f>
        <v>-3.5638297872340428E-2</v>
      </c>
      <c r="I9" s="6">
        <f>I5/capacidade!I8</f>
        <v>1.5865384615384615E-2</v>
      </c>
      <c r="J9" s="6">
        <f>J5/capacidade!J8</f>
        <v>6.5948275862068972E-2</v>
      </c>
      <c r="K9" s="6">
        <f>K5/capacidade!K8</f>
        <v>6.965811965811966E-2</v>
      </c>
      <c r="L9" s="6">
        <f>L5/capacidade!L8</f>
        <v>4.2272727272727274E-2</v>
      </c>
      <c r="M9" s="6">
        <f>M5/capacidade!M8</f>
        <v>0.10354330708661418</v>
      </c>
      <c r="N9" s="6">
        <f>N5/capacidade!N8</f>
        <v>1.5865384615384615E-2</v>
      </c>
    </row>
    <row r="10" spans="2:17" x14ac:dyDescent="0.3">
      <c r="B10" s="2" t="s">
        <v>39</v>
      </c>
      <c r="C10" s="5">
        <f>(C7-C4)/C4</f>
        <v>4.2434210526315713E-2</v>
      </c>
      <c r="D10" s="5">
        <f t="shared" ref="D10:N10" si="2">(D7-D4)/D4</f>
        <v>4.2434210526315713E-2</v>
      </c>
      <c r="E10" s="5">
        <f t="shared" si="2"/>
        <v>0.13124999999999992</v>
      </c>
      <c r="F10" s="5">
        <f t="shared" si="2"/>
        <v>-4.6381578947368496E-2</v>
      </c>
      <c r="G10" s="5">
        <f t="shared" si="2"/>
        <v>-0.10559210526315797</v>
      </c>
      <c r="H10" s="5">
        <f t="shared" si="2"/>
        <v>-6.611842105263166E-2</v>
      </c>
      <c r="I10" s="5">
        <f t="shared" si="2"/>
        <v>3.2565789473684138E-2</v>
      </c>
      <c r="J10" s="5">
        <f t="shared" si="2"/>
        <v>0.15098684210526309</v>
      </c>
      <c r="K10" s="5">
        <f t="shared" si="2"/>
        <v>0.16085526315789467</v>
      </c>
      <c r="L10" s="5">
        <f t="shared" si="2"/>
        <v>9.1776315789473609E-2</v>
      </c>
      <c r="M10" s="5">
        <f t="shared" si="2"/>
        <v>0.25953947368421043</v>
      </c>
      <c r="N10" s="5">
        <f t="shared" si="2"/>
        <v>3.2565789473684138E-2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"/>
  <sheetViews>
    <sheetView showGridLines="0" zoomScale="160" zoomScaleNormal="160" workbookViewId="0">
      <selection activeCell="N11" sqref="N11"/>
    </sheetView>
  </sheetViews>
  <sheetFormatPr defaultRowHeight="14.4" x14ac:dyDescent="0.3"/>
  <cols>
    <col min="1" max="1" width="8.44140625" style="1" bestFit="1" customWidth="1"/>
    <col min="2" max="2" width="17.44140625" style="1" bestFit="1" customWidth="1"/>
    <col min="3" max="3" width="7.33203125" style="1" bestFit="1" customWidth="1"/>
    <col min="4" max="4" width="6.33203125" style="1" customWidth="1"/>
    <col min="5" max="5" width="7.5546875" style="1" bestFit="1" customWidth="1"/>
    <col min="6" max="7" width="6.33203125" style="1" customWidth="1"/>
    <col min="8" max="8" width="7.33203125" style="1" bestFit="1" customWidth="1"/>
    <col min="9" max="11" width="6.33203125" style="1" customWidth="1"/>
    <col min="12" max="12" width="7.88671875" style="1" bestFit="1" customWidth="1"/>
    <col min="13" max="14" width="6.33203125" style="1" customWidth="1"/>
    <col min="15" max="17" width="9.109375" style="1"/>
    <col min="18" max="18" width="26.109375" style="1" bestFit="1" customWidth="1"/>
    <col min="19" max="71" width="9.109375" style="1"/>
  </cols>
  <sheetData>
    <row r="1" spans="17:17" ht="4.5" customHeight="1" x14ac:dyDescent="0.3">
      <c r="Q1" s="2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showGridLines="0" topLeftCell="C1" zoomScale="160" zoomScaleNormal="160" workbookViewId="0">
      <selection activeCell="I8" sqref="I8"/>
    </sheetView>
  </sheetViews>
  <sheetFormatPr defaultRowHeight="14.4" x14ac:dyDescent="0.3"/>
  <cols>
    <col min="1" max="1" width="0.33203125" style="1" customWidth="1"/>
    <col min="2" max="2" width="15.6640625" style="1" bestFit="1" customWidth="1"/>
    <col min="3" max="3" width="7.33203125" style="1" bestFit="1" customWidth="1"/>
    <col min="4" max="4" width="12" style="1" bestFit="1" customWidth="1"/>
    <col min="5" max="5" width="7.5546875" style="1" bestFit="1" customWidth="1"/>
    <col min="6" max="7" width="7.44140625" style="1" bestFit="1" customWidth="1"/>
    <col min="8" max="8" width="7.33203125" style="1" bestFit="1" customWidth="1"/>
    <col min="9" max="14" width="7.44140625" style="1" bestFit="1" customWidth="1"/>
    <col min="15" max="17" width="9.109375" style="1"/>
    <col min="18" max="18" width="26.109375" style="1" bestFit="1" customWidth="1"/>
    <col min="19" max="71" width="9.109375" style="1"/>
  </cols>
  <sheetData>
    <row r="1" spans="2:17" ht="4.5" customHeight="1" x14ac:dyDescent="0.3">
      <c r="Q1" s="21"/>
    </row>
    <row r="2" spans="2:17" x14ac:dyDescent="0.3">
      <c r="B2" s="27" t="s">
        <v>15</v>
      </c>
      <c r="C2" s="4">
        <v>1</v>
      </c>
      <c r="D2" s="4">
        <f>C2+1</f>
        <v>2</v>
      </c>
      <c r="E2" s="4">
        <f t="shared" ref="E2:N2" si="0">D2+1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</row>
    <row r="3" spans="2:17" x14ac:dyDescent="0.3">
      <c r="B3" s="28" t="s">
        <v>33</v>
      </c>
      <c r="C3" s="8">
        <f>capacidade!C16</f>
        <v>1007</v>
      </c>
      <c r="D3" s="8">
        <f>capacidade!D16</f>
        <v>1007</v>
      </c>
      <c r="E3" s="8">
        <f>capacidade!E16</f>
        <v>1007</v>
      </c>
      <c r="F3" s="8">
        <f>capacidade!F16</f>
        <v>1007</v>
      </c>
      <c r="G3" s="8">
        <f>capacidade!G16</f>
        <v>1007</v>
      </c>
      <c r="H3" s="8">
        <f>capacidade!H16</f>
        <v>1007</v>
      </c>
      <c r="I3" s="8">
        <f>capacidade!I16</f>
        <v>1007</v>
      </c>
      <c r="J3" s="8">
        <f>capacidade!J16</f>
        <v>1007</v>
      </c>
      <c r="K3" s="8">
        <f>capacidade!K16</f>
        <v>1007</v>
      </c>
      <c r="L3" s="8">
        <f>capacidade!L16</f>
        <v>1007</v>
      </c>
      <c r="M3" s="8">
        <f>capacidade!M16</f>
        <v>1007</v>
      </c>
      <c r="N3" s="8">
        <f>capacidade!N16</f>
        <v>1007</v>
      </c>
    </row>
    <row r="4" spans="2:17" x14ac:dyDescent="0.3">
      <c r="B4" s="28" t="s">
        <v>34</v>
      </c>
      <c r="C4" s="8">
        <f>capacidade!C12</f>
        <v>299.20000000000005</v>
      </c>
      <c r="D4" s="8">
        <f>capacidade!D12</f>
        <v>299.20000000000005</v>
      </c>
      <c r="E4" s="8">
        <f>capacidade!E12</f>
        <v>299.20000000000005</v>
      </c>
      <c r="F4" s="8">
        <f>capacidade!F12</f>
        <v>299.20000000000005</v>
      </c>
      <c r="G4" s="8">
        <f>capacidade!G12</f>
        <v>299.20000000000005</v>
      </c>
      <c r="H4" s="8">
        <f>capacidade!H12</f>
        <v>299.20000000000005</v>
      </c>
      <c r="I4" s="8">
        <f>capacidade!I12</f>
        <v>299.20000000000005</v>
      </c>
      <c r="J4" s="8">
        <f>capacidade!J12</f>
        <v>299.20000000000005</v>
      </c>
      <c r="K4" s="8">
        <f>capacidade!K12</f>
        <v>299.20000000000005</v>
      </c>
      <c r="L4" s="8">
        <f>capacidade!L12</f>
        <v>299.20000000000005</v>
      </c>
      <c r="M4" s="8">
        <f>capacidade!M12</f>
        <v>299.20000000000005</v>
      </c>
      <c r="N4" s="8">
        <f>capacidade!N12</f>
        <v>299.20000000000005</v>
      </c>
    </row>
    <row r="5" spans="2:17" x14ac:dyDescent="0.3">
      <c r="B5" s="28" t="s">
        <v>35</v>
      </c>
      <c r="C5" s="8">
        <f>capacidade!C17</f>
        <v>43</v>
      </c>
      <c r="D5" s="8">
        <f>capacidade!D17</f>
        <v>43</v>
      </c>
      <c r="E5" s="8">
        <f>capacidade!E17</f>
        <v>133</v>
      </c>
      <c r="F5" s="32">
        <f>capacidade!F17</f>
        <v>-47</v>
      </c>
      <c r="G5" s="32">
        <f>capacidade!G17</f>
        <v>-107</v>
      </c>
      <c r="H5" s="32">
        <f>capacidade!H17</f>
        <v>-67</v>
      </c>
      <c r="I5" s="33">
        <f>capacidade!I17</f>
        <v>33</v>
      </c>
      <c r="J5" s="33">
        <f>capacidade!J17</f>
        <v>153</v>
      </c>
      <c r="K5" s="8">
        <f>capacidade!K17</f>
        <v>163</v>
      </c>
      <c r="L5" s="8">
        <f>capacidade!L17</f>
        <v>93</v>
      </c>
      <c r="M5" s="8">
        <f>capacidade!M17</f>
        <v>263</v>
      </c>
      <c r="N5" s="8">
        <f>capacidade!N17</f>
        <v>33</v>
      </c>
    </row>
    <row r="6" spans="2:17" x14ac:dyDescent="0.3">
      <c r="B6" s="28" t="s">
        <v>36</v>
      </c>
      <c r="C6" s="8">
        <f>(C5*Input!$I$9)/60</f>
        <v>12.629433177327092</v>
      </c>
      <c r="D6" s="8">
        <f>(D5*Input!$I$9)/60</f>
        <v>12.629433177327092</v>
      </c>
      <c r="E6" s="8">
        <f>(E5*Input!$I$9)/60</f>
        <v>39.063130525221005</v>
      </c>
      <c r="F6" s="8">
        <f>(F5*Input!$I$9)/60</f>
        <v>-13.804264170566823</v>
      </c>
      <c r="G6" s="8">
        <f>(G5*Input!$I$9)/60</f>
        <v>-31.426729069162768</v>
      </c>
      <c r="H6" s="8">
        <f>(H5*Input!$I$9)/60</f>
        <v>-19.67841913676547</v>
      </c>
      <c r="I6" s="8">
        <f>(I5*Input!$I$9)/60</f>
        <v>9.6923556942277678</v>
      </c>
      <c r="J6" s="8">
        <f>(J5*Input!$I$9)/60</f>
        <v>44.937285491419651</v>
      </c>
      <c r="K6" s="8">
        <f>(K5*Input!$I$9)/60</f>
        <v>47.874362974518974</v>
      </c>
      <c r="L6" s="8">
        <f>(L5*Input!$I$9)/60</f>
        <v>27.314820592823711</v>
      </c>
      <c r="M6" s="8">
        <f>(M5*Input!$I$9)/60</f>
        <v>77.245137805512229</v>
      </c>
      <c r="N6" s="8">
        <f>(N5*Input!$I$9)/60</f>
        <v>9.6923556942277678</v>
      </c>
    </row>
    <row r="7" spans="2:17" x14ac:dyDescent="0.3">
      <c r="B7" s="28" t="s">
        <v>37</v>
      </c>
      <c r="C7" s="8">
        <f>C6+C4</f>
        <v>311.82943317732713</v>
      </c>
      <c r="D7" s="8">
        <f t="shared" ref="D7:N7" si="1">D6+D4</f>
        <v>311.82943317732713</v>
      </c>
      <c r="E7" s="8">
        <f t="shared" si="1"/>
        <v>338.26313052522107</v>
      </c>
      <c r="F7" s="8">
        <f t="shared" si="1"/>
        <v>285.39573582943325</v>
      </c>
      <c r="G7" s="8">
        <f t="shared" si="1"/>
        <v>267.77327093083727</v>
      </c>
      <c r="H7" s="8">
        <f t="shared" si="1"/>
        <v>279.52158086323459</v>
      </c>
      <c r="I7" s="8">
        <f t="shared" si="1"/>
        <v>308.89235569422783</v>
      </c>
      <c r="J7" s="8">
        <f t="shared" si="1"/>
        <v>344.13728549141968</v>
      </c>
      <c r="K7" s="8">
        <f t="shared" si="1"/>
        <v>347.07436297451903</v>
      </c>
      <c r="L7" s="8">
        <f t="shared" si="1"/>
        <v>326.51482059282375</v>
      </c>
      <c r="M7" s="8">
        <f t="shared" si="1"/>
        <v>376.44513780551227</v>
      </c>
      <c r="N7" s="8">
        <f t="shared" si="1"/>
        <v>308.89235569422783</v>
      </c>
    </row>
    <row r="8" spans="2:17" x14ac:dyDescent="0.3">
      <c r="B8" s="29"/>
      <c r="F8" s="32">
        <f>(F5+G5+H5)*-1</f>
        <v>221</v>
      </c>
      <c r="I8" s="33">
        <f>I5+J5</f>
        <v>186</v>
      </c>
    </row>
    <row r="9" spans="2:17" x14ac:dyDescent="0.3">
      <c r="B9" s="28" t="s">
        <v>38</v>
      </c>
      <c r="C9" s="6">
        <f>C5/capacidade!C8</f>
        <v>4.0952380952380955E-2</v>
      </c>
      <c r="D9" s="6">
        <f>D5/capacidade!D8</f>
        <v>4.0952380952380955E-2</v>
      </c>
      <c r="E9" s="6">
        <f>E5/capacidade!E8</f>
        <v>0.11666666666666667</v>
      </c>
      <c r="F9" s="6">
        <f>F5/capacidade!F8</f>
        <v>-4.8958333333333333E-2</v>
      </c>
      <c r="G9" s="10">
        <f>G5/capacidade!G8</f>
        <v>-0.11888888888888889</v>
      </c>
      <c r="H9" s="6">
        <f>H5/capacidade!H8</f>
        <v>-7.1276595744680857E-2</v>
      </c>
      <c r="I9" s="6">
        <f>I5/capacidade!I8</f>
        <v>3.1730769230769229E-2</v>
      </c>
      <c r="J9" s="6">
        <f>J5/capacidade!J8</f>
        <v>0.13189655172413794</v>
      </c>
      <c r="K9" s="6">
        <f>K5/capacidade!K8</f>
        <v>0.13931623931623932</v>
      </c>
      <c r="L9" s="6">
        <f>L5/capacidade!L8</f>
        <v>8.4545454545454549E-2</v>
      </c>
      <c r="M9" s="6">
        <f>M5/capacidade!M8</f>
        <v>0.20708661417322835</v>
      </c>
      <c r="N9" s="6">
        <f>N5/capacidade!N8</f>
        <v>3.1730769230769229E-2</v>
      </c>
    </row>
    <row r="10" spans="2:17" x14ac:dyDescent="0.3">
      <c r="B10" s="28" t="s">
        <v>39</v>
      </c>
      <c r="C10" s="30">
        <f>(C7-C4)/C4</f>
        <v>4.2210672384114592E-2</v>
      </c>
      <c r="D10" s="30">
        <f t="shared" ref="D10:N10" si="2">(D7-D4)/D4</f>
        <v>4.2210672384114592E-2</v>
      </c>
      <c r="E10" s="31">
        <f t="shared" si="2"/>
        <v>0.13055859132761036</v>
      </c>
      <c r="F10" s="30">
        <f t="shared" si="2"/>
        <v>-4.6137246559380993E-2</v>
      </c>
      <c r="G10" s="30">
        <f t="shared" si="2"/>
        <v>-0.10503585918837824</v>
      </c>
      <c r="H10" s="30">
        <f t="shared" si="2"/>
        <v>-6.5770117435713413E-2</v>
      </c>
      <c r="I10" s="30">
        <f t="shared" si="2"/>
        <v>3.2394236945948479E-2</v>
      </c>
      <c r="J10" s="31">
        <f t="shared" si="2"/>
        <v>0.15019146220394258</v>
      </c>
      <c r="K10" s="31">
        <f t="shared" si="2"/>
        <v>0.1600078976421089</v>
      </c>
      <c r="L10" s="5">
        <f t="shared" si="2"/>
        <v>9.1292849574945531E-2</v>
      </c>
      <c r="M10" s="31">
        <f t="shared" si="2"/>
        <v>0.25817225202377075</v>
      </c>
      <c r="N10" s="30">
        <f t="shared" si="2"/>
        <v>3.2394236945948479E-2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"/>
  <sheetViews>
    <sheetView showGridLines="0" zoomScale="160" zoomScaleNormal="160" workbookViewId="0">
      <selection activeCell="N5" sqref="N5"/>
    </sheetView>
  </sheetViews>
  <sheetFormatPr defaultRowHeight="14.4" x14ac:dyDescent="0.3"/>
  <cols>
    <col min="1" max="1" width="8.44140625" style="1" bestFit="1" customWidth="1"/>
    <col min="2" max="2" width="17.44140625" style="1" bestFit="1" customWidth="1"/>
    <col min="3" max="3" width="7.33203125" style="1" bestFit="1" customWidth="1"/>
    <col min="4" max="4" width="6.33203125" style="1" customWidth="1"/>
    <col min="5" max="5" width="7.5546875" style="1" bestFit="1" customWidth="1"/>
    <col min="6" max="7" width="6.33203125" style="1" customWidth="1"/>
    <col min="8" max="8" width="7.33203125" style="1" bestFit="1" customWidth="1"/>
    <col min="9" max="11" width="6.33203125" style="1" customWidth="1"/>
    <col min="12" max="12" width="7.88671875" style="1" bestFit="1" customWidth="1"/>
    <col min="13" max="14" width="6.33203125" style="1" customWidth="1"/>
    <col min="15" max="17" width="9.109375" style="1"/>
    <col min="18" max="18" width="26.109375" style="1" bestFit="1" customWidth="1"/>
    <col min="19" max="71" width="9.109375" style="1"/>
  </cols>
  <sheetData>
    <row r="1" spans="17:17" ht="4.5" customHeight="1" x14ac:dyDescent="0.3">
      <c r="Q1" s="2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15"/>
  <sheetViews>
    <sheetView showGridLines="0" zoomScale="160" zoomScaleNormal="160" workbookViewId="0">
      <selection activeCell="B2" sqref="B2"/>
    </sheetView>
  </sheetViews>
  <sheetFormatPr defaultRowHeight="14.4" x14ac:dyDescent="0.3"/>
  <cols>
    <col min="1" max="1" width="0.33203125" style="1" customWidth="1"/>
    <col min="2" max="2" width="15.6640625" style="1" bestFit="1" customWidth="1"/>
    <col min="3" max="3" width="7.33203125" style="1" bestFit="1" customWidth="1"/>
    <col min="4" max="4" width="12" style="1" bestFit="1" customWidth="1"/>
    <col min="5" max="5" width="7.5546875" style="1" bestFit="1" customWidth="1"/>
    <col min="6" max="7" width="7.44140625" style="1" bestFit="1" customWidth="1"/>
    <col min="8" max="8" width="7.33203125" style="1" bestFit="1" customWidth="1"/>
    <col min="9" max="11" width="7.44140625" style="1" bestFit="1" customWidth="1"/>
    <col min="12" max="12" width="8.109375" style="1" bestFit="1" customWidth="1"/>
    <col min="13" max="14" width="7.44140625" style="1" bestFit="1" customWidth="1"/>
    <col min="15" max="17" width="9.109375" style="1"/>
    <col min="18" max="18" width="26.109375" style="1" bestFit="1" customWidth="1"/>
    <col min="19" max="71" width="9.109375" style="1"/>
  </cols>
  <sheetData>
    <row r="1" spans="2:17" ht="4.5" customHeight="1" x14ac:dyDescent="0.3">
      <c r="Q1" s="21"/>
    </row>
    <row r="2" spans="2:17" x14ac:dyDescent="0.3">
      <c r="B2" s="27" t="s">
        <v>15</v>
      </c>
      <c r="C2" s="4">
        <v>1</v>
      </c>
      <c r="D2" s="4">
        <f>C2+1</f>
        <v>2</v>
      </c>
      <c r="E2" s="4">
        <f t="shared" ref="E2:N2" si="0">D2+1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</row>
    <row r="3" spans="2:17" x14ac:dyDescent="0.3">
      <c r="B3" s="28" t="s">
        <v>33</v>
      </c>
      <c r="C3" s="8">
        <f>capacidade!C16</f>
        <v>1007</v>
      </c>
      <c r="D3" s="8">
        <f>capacidade!D16</f>
        <v>1007</v>
      </c>
      <c r="E3" s="8">
        <f>capacidade!E16</f>
        <v>1007</v>
      </c>
      <c r="F3" s="24">
        <v>1007</v>
      </c>
      <c r="G3" s="24">
        <v>1007</v>
      </c>
      <c r="H3" s="24">
        <v>1007</v>
      </c>
      <c r="I3" s="24">
        <v>1007</v>
      </c>
      <c r="J3" s="24">
        <v>1007</v>
      </c>
      <c r="K3" s="24">
        <v>1007</v>
      </c>
      <c r="L3" s="8">
        <f>capacidade!L16</f>
        <v>1007</v>
      </c>
      <c r="M3" s="8">
        <f>capacidade!M16</f>
        <v>1007</v>
      </c>
      <c r="N3" s="8">
        <f>capacidade!N16</f>
        <v>1007</v>
      </c>
    </row>
    <row r="4" spans="2:17" x14ac:dyDescent="0.3">
      <c r="B4" s="28" t="s">
        <v>34</v>
      </c>
      <c r="C4" s="8">
        <f>capacidade!C12</f>
        <v>299.20000000000005</v>
      </c>
      <c r="D4" s="8">
        <f>capacidade!D12</f>
        <v>299.20000000000005</v>
      </c>
      <c r="E4" s="8">
        <f>capacidade!E12</f>
        <v>299.20000000000005</v>
      </c>
      <c r="F4" s="24">
        <v>299.20000000000005</v>
      </c>
      <c r="G4" s="24">
        <v>299.20000000000005</v>
      </c>
      <c r="H4" s="24">
        <v>299.20000000000005</v>
      </c>
      <c r="I4" s="24">
        <v>299.20000000000005</v>
      </c>
      <c r="J4" s="24">
        <v>299.20000000000005</v>
      </c>
      <c r="K4" s="24">
        <v>299.20000000000005</v>
      </c>
      <c r="L4" s="8">
        <f>capacidade!L12</f>
        <v>299.20000000000005</v>
      </c>
      <c r="M4" s="8">
        <f>capacidade!M12</f>
        <v>299.20000000000005</v>
      </c>
      <c r="N4" s="8">
        <f>capacidade!N12</f>
        <v>299.20000000000005</v>
      </c>
    </row>
    <row r="5" spans="2:17" x14ac:dyDescent="0.3">
      <c r="B5" s="28" t="s">
        <v>35</v>
      </c>
      <c r="C5" s="8">
        <f>capacidade!C17</f>
        <v>43</v>
      </c>
      <c r="D5" s="8">
        <f>capacidade!D17</f>
        <v>43</v>
      </c>
      <c r="E5" s="8">
        <f>capacidade!E17</f>
        <v>133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128</v>
      </c>
      <c r="L5" s="8">
        <f>capacidade!L17</f>
        <v>93</v>
      </c>
      <c r="M5" s="8">
        <f>capacidade!M17</f>
        <v>263</v>
      </c>
      <c r="N5" s="8">
        <f>capacidade!N17</f>
        <v>33</v>
      </c>
    </row>
    <row r="6" spans="2:17" x14ac:dyDescent="0.3">
      <c r="B6" s="28" t="s">
        <v>36</v>
      </c>
      <c r="C6" s="8">
        <f>(C5*Input!$I$9)/60</f>
        <v>12.629433177327092</v>
      </c>
      <c r="D6" s="8">
        <f>(D5*Input!$I$9)/60</f>
        <v>12.629433177327092</v>
      </c>
      <c r="E6" s="8">
        <f>(E5*Input!$I$9)/60</f>
        <v>39.063130525221005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37.594591783671348</v>
      </c>
      <c r="L6" s="8">
        <f>(L5*Input!$I$9)/60</f>
        <v>27.314820592823711</v>
      </c>
      <c r="M6" s="8">
        <f>(M5*Input!$I$9)/60</f>
        <v>77.245137805512229</v>
      </c>
      <c r="N6" s="8">
        <f>(N5*Input!$I$9)/60</f>
        <v>9.6923556942277678</v>
      </c>
    </row>
    <row r="7" spans="2:17" x14ac:dyDescent="0.3">
      <c r="B7" s="28" t="s">
        <v>37</v>
      </c>
      <c r="C7" s="8">
        <f>C6+C4</f>
        <v>311.82943317732713</v>
      </c>
      <c r="D7" s="8">
        <f t="shared" ref="D7:N7" si="1">D6+D4</f>
        <v>311.82943317732713</v>
      </c>
      <c r="E7" s="8">
        <f t="shared" si="1"/>
        <v>338.26313052522107</v>
      </c>
      <c r="F7" s="24">
        <v>299.20000000000005</v>
      </c>
      <c r="G7" s="24">
        <v>299.20000000000005</v>
      </c>
      <c r="H7" s="24">
        <v>299.20000000000005</v>
      </c>
      <c r="I7" s="24">
        <v>299.20000000000005</v>
      </c>
      <c r="J7" s="24">
        <v>299.20000000000005</v>
      </c>
      <c r="K7" s="24">
        <v>336.79459178367142</v>
      </c>
      <c r="L7" s="8">
        <f t="shared" si="1"/>
        <v>326.51482059282375</v>
      </c>
      <c r="M7" s="8">
        <f t="shared" si="1"/>
        <v>376.44513780551227</v>
      </c>
      <c r="N7" s="8">
        <f t="shared" si="1"/>
        <v>308.89235569422783</v>
      </c>
    </row>
    <row r="8" spans="2:17" x14ac:dyDescent="0.3">
      <c r="B8" s="29"/>
    </row>
    <row r="9" spans="2:17" x14ac:dyDescent="0.3">
      <c r="B9" s="28" t="s">
        <v>38</v>
      </c>
      <c r="C9" s="6">
        <f>C5/capacidade!C8</f>
        <v>4.0952380952380955E-2</v>
      </c>
      <c r="D9" s="6">
        <f>D5/capacidade!D8</f>
        <v>4.0952380952380955E-2</v>
      </c>
      <c r="E9" s="6">
        <f>E5/capacidade!E8</f>
        <v>0.11666666666666667</v>
      </c>
      <c r="F9" s="6">
        <f>F5/capacidade!F8</f>
        <v>0</v>
      </c>
      <c r="G9" s="10">
        <f>G5/capacidade!G8</f>
        <v>0</v>
      </c>
      <c r="H9" s="6">
        <f>H5/capacidade!H8</f>
        <v>0</v>
      </c>
      <c r="I9" s="6">
        <f>I5/capacidade!I8</f>
        <v>0</v>
      </c>
      <c r="J9" s="6">
        <f>J5/capacidade!J8</f>
        <v>0</v>
      </c>
      <c r="K9" s="6">
        <f>K5/capacidade!K8</f>
        <v>0.1094017094017094</v>
      </c>
      <c r="L9" s="6">
        <f>L5/capacidade!L8</f>
        <v>8.4545454545454549E-2</v>
      </c>
      <c r="M9" s="6">
        <f>M5/capacidade!M8</f>
        <v>0.20708661417322835</v>
      </c>
      <c r="N9" s="6">
        <f>N5/capacidade!N8</f>
        <v>3.1730769230769229E-2</v>
      </c>
    </row>
    <row r="10" spans="2:17" x14ac:dyDescent="0.3">
      <c r="B10" s="28" t="s">
        <v>39</v>
      </c>
      <c r="C10" s="30">
        <f>(C7-C4)/C4</f>
        <v>4.2210672384114592E-2</v>
      </c>
      <c r="D10" s="30">
        <f t="shared" ref="D10:N10" si="2">(D7-D4)/D4</f>
        <v>4.2210672384114592E-2</v>
      </c>
      <c r="E10" s="31">
        <f t="shared" si="2"/>
        <v>0.13055859132761036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4">
        <f t="shared" si="2"/>
        <v>0</v>
      </c>
      <c r="K10" s="34">
        <f t="shared" si="2"/>
        <v>0.12565037360852729</v>
      </c>
      <c r="L10" s="5">
        <f t="shared" si="2"/>
        <v>9.1292849574945531E-2</v>
      </c>
      <c r="M10" s="31">
        <f t="shared" si="2"/>
        <v>0.25817225202377075</v>
      </c>
      <c r="N10" s="30">
        <f t="shared" si="2"/>
        <v>3.2394236945948479E-2</v>
      </c>
    </row>
    <row r="12" spans="2:17" x14ac:dyDescent="0.3">
      <c r="C12" s="1" t="s">
        <v>42</v>
      </c>
      <c r="G12" s="7">
        <v>7</v>
      </c>
      <c r="H12" s="7" t="s">
        <v>43</v>
      </c>
      <c r="I12" s="7">
        <v>-33</v>
      </c>
      <c r="K12" s="7">
        <v>4</v>
      </c>
      <c r="L12" s="7" t="s">
        <v>44</v>
      </c>
      <c r="M12" s="7">
        <v>47</v>
      </c>
    </row>
    <row r="13" spans="2:17" x14ac:dyDescent="0.3">
      <c r="G13" s="7">
        <v>8</v>
      </c>
      <c r="H13" s="7" t="s">
        <v>43</v>
      </c>
      <c r="I13" s="7">
        <v>-153</v>
      </c>
      <c r="K13" s="7">
        <v>5</v>
      </c>
      <c r="L13" s="7" t="s">
        <v>44</v>
      </c>
      <c r="M13" s="7">
        <v>107</v>
      </c>
    </row>
    <row r="14" spans="2:17" x14ac:dyDescent="0.3">
      <c r="G14" s="7">
        <v>9</v>
      </c>
      <c r="H14" s="7" t="s">
        <v>43</v>
      </c>
      <c r="I14" s="7">
        <v>-35</v>
      </c>
      <c r="K14" s="7">
        <v>6</v>
      </c>
      <c r="L14" s="7" t="s">
        <v>44</v>
      </c>
      <c r="M14" s="7">
        <v>67</v>
      </c>
    </row>
    <row r="15" spans="2:17" x14ac:dyDescent="0.3">
      <c r="I15" s="7">
        <f>SUM(I12:I14)</f>
        <v>-221</v>
      </c>
      <c r="M15" s="7">
        <f>SUM(M12:M14)</f>
        <v>221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Input</vt:lpstr>
      <vt:lpstr>capacidade</vt:lpstr>
      <vt:lpstr>Linha A</vt:lpstr>
      <vt:lpstr>Gr_A</vt:lpstr>
      <vt:lpstr>Linha B</vt:lpstr>
      <vt:lpstr>Gr_B</vt:lpstr>
      <vt:lpstr>Linha A_B</vt:lpstr>
      <vt:lpstr>Gr_A_B</vt:lpstr>
      <vt:lpstr>Linha A_B ant prod</vt:lpstr>
      <vt:lpstr>Gr_A_B_ant prod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EESC</dc:creator>
  <cp:lastModifiedBy>walther</cp:lastModifiedBy>
  <dcterms:created xsi:type="dcterms:W3CDTF">2018-04-18T10:16:57Z</dcterms:created>
  <dcterms:modified xsi:type="dcterms:W3CDTF">2018-04-23T23:44:48Z</dcterms:modified>
</cp:coreProperties>
</file>