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/PRO 3363/2023/"/>
    </mc:Choice>
  </mc:AlternateContent>
  <xr:revisionPtr revIDLastSave="0" documentId="13_ncr:1_{DC741199-56D9-5A49-9002-27CA85A0FE89}" xr6:coauthVersionLast="45" xr6:coauthVersionMax="45" xr10:uidLastSave="{00000000-0000-0000-0000-000000000000}"/>
  <bookViews>
    <workbookView xWindow="0" yWindow="460" windowWidth="14500" windowHeight="15940" firstSheet="3" activeTab="3" xr2:uid="{00000000-000D-0000-FFFF-FFFF00000000}"/>
  </bookViews>
  <sheets>
    <sheet name="GRUPO" sheetId="6" r:id="rId1"/>
    <sheet name="Situação Atual" sheetId="1" r:id="rId2"/>
    <sheet name="PE - Situação Atual" sheetId="2" r:id="rId3"/>
    <sheet name="Situação MAGNATEX" sheetId="3" r:id="rId4"/>
    <sheet name="PE - Situação MAGNATEX" sheetId="4" r:id="rId5"/>
    <sheet name="Perguntas propostas" sheetId="5" r:id="rId6"/>
  </sheets>
  <definedNames>
    <definedName name="solver_adj" localSheetId="2" hidden="1">'PE - Situação Atual'!$C$21</definedName>
    <definedName name="solver_adj" localSheetId="4" hidden="1">'PE - Situação MAGNATEX'!$C$22</definedName>
    <definedName name="solver_adj" localSheetId="3" hidden="1">'Situação MAGNATEX'!$C$22</definedName>
    <definedName name="solver_cvg" localSheetId="2" hidden="1">0.0001</definedName>
    <definedName name="solver_cvg" localSheetId="4" hidden="1">0.0001</definedName>
    <definedName name="solver_cvg" localSheetId="3" hidden="1">0.0001</definedName>
    <definedName name="solver_drv" localSheetId="2" hidden="1">1</definedName>
    <definedName name="solver_drv" localSheetId="4" hidden="1">1</definedName>
    <definedName name="solver_drv" localSheetId="3" hidden="1">1</definedName>
    <definedName name="solver_eng" localSheetId="2" hidden="1">1</definedName>
    <definedName name="solver_eng" localSheetId="4" hidden="1">1</definedName>
    <definedName name="solver_eng" localSheetId="3" hidden="1">1</definedName>
    <definedName name="solver_est" localSheetId="2" hidden="1">1</definedName>
    <definedName name="solver_est" localSheetId="4" hidden="1">1</definedName>
    <definedName name="solver_est" localSheetId="3" hidden="1">1</definedName>
    <definedName name="solver_itr" localSheetId="2" hidden="1">2147483647</definedName>
    <definedName name="solver_itr" localSheetId="4" hidden="1">2147483647</definedName>
    <definedName name="solver_itr" localSheetId="3" hidden="1">2147483647</definedName>
    <definedName name="solver_lhs1" localSheetId="2" hidden="1">'PE - Situação Atual'!$C$21</definedName>
    <definedName name="solver_lin" localSheetId="4" hidden="1">2</definedName>
    <definedName name="solver_mip" localSheetId="2" hidden="1">2147483647</definedName>
    <definedName name="solver_mip" localSheetId="4" hidden="1">2147483647</definedName>
    <definedName name="solver_mip" localSheetId="3" hidden="1">2147483647</definedName>
    <definedName name="solver_mni" localSheetId="2" hidden="1">30</definedName>
    <definedName name="solver_mni" localSheetId="4" hidden="1">30</definedName>
    <definedName name="solver_mni" localSheetId="3" hidden="1">30</definedName>
    <definedName name="solver_mrt" localSheetId="2" hidden="1">0.075</definedName>
    <definedName name="solver_mrt" localSheetId="4" hidden="1">0.075</definedName>
    <definedName name="solver_mrt" localSheetId="3" hidden="1">0.075</definedName>
    <definedName name="solver_msl" localSheetId="2" hidden="1">2</definedName>
    <definedName name="solver_msl" localSheetId="4" hidden="1">2</definedName>
    <definedName name="solver_msl" localSheetId="3" hidden="1">2</definedName>
    <definedName name="solver_neg" localSheetId="2" hidden="1">1</definedName>
    <definedName name="solver_neg" localSheetId="4" hidden="1">1</definedName>
    <definedName name="solver_neg" localSheetId="3" hidden="1">1</definedName>
    <definedName name="solver_nod" localSheetId="2" hidden="1">2147483647</definedName>
    <definedName name="solver_nod" localSheetId="4" hidden="1">2147483647</definedName>
    <definedName name="solver_nod" localSheetId="3" hidden="1">2147483647</definedName>
    <definedName name="solver_num" localSheetId="2" hidden="1">1</definedName>
    <definedName name="solver_num" localSheetId="4" hidden="1">0</definedName>
    <definedName name="solver_num" localSheetId="3" hidden="1">0</definedName>
    <definedName name="solver_nwt" localSheetId="2" hidden="1">1</definedName>
    <definedName name="solver_nwt" localSheetId="4" hidden="1">1</definedName>
    <definedName name="solver_nwt" localSheetId="3" hidden="1">1</definedName>
    <definedName name="solver_opt" localSheetId="2" hidden="1">'PE - Situação Atual'!$C$40</definedName>
    <definedName name="solver_opt" localSheetId="4" hidden="1">'PE - Situação MAGNATEX'!$C$43</definedName>
    <definedName name="solver_opt" localSheetId="3" hidden="1">'Situação MAGNATEX'!$C$43</definedName>
    <definedName name="solver_pre" localSheetId="2" hidden="1">0.000001</definedName>
    <definedName name="solver_pre" localSheetId="4" hidden="1">0.000001</definedName>
    <definedName name="solver_pre" localSheetId="3" hidden="1">0.000001</definedName>
    <definedName name="solver_rbv" localSheetId="2" hidden="1">1</definedName>
    <definedName name="solver_rbv" localSheetId="4" hidden="1">1</definedName>
    <definedName name="solver_rbv" localSheetId="3" hidden="1">1</definedName>
    <definedName name="solver_rel1" localSheetId="2" hidden="1">4</definedName>
    <definedName name="solver_rhs1" localSheetId="2" hidden="1">número inteiro</definedName>
    <definedName name="solver_rlx" localSheetId="2" hidden="1">2</definedName>
    <definedName name="solver_rlx" localSheetId="4" hidden="1">2</definedName>
    <definedName name="solver_rlx" localSheetId="3" hidden="1">2</definedName>
    <definedName name="solver_rsd" localSheetId="2" hidden="1">0</definedName>
    <definedName name="solver_rsd" localSheetId="4" hidden="1">0</definedName>
    <definedName name="solver_rsd" localSheetId="3" hidden="1">0</definedName>
    <definedName name="solver_scl" localSheetId="2" hidden="1">1</definedName>
    <definedName name="solver_scl" localSheetId="4" hidden="1">1</definedName>
    <definedName name="solver_scl" localSheetId="3" hidden="1">1</definedName>
    <definedName name="solver_sho" localSheetId="2" hidden="1">2</definedName>
    <definedName name="solver_sho" localSheetId="4" hidden="1">2</definedName>
    <definedName name="solver_sho" localSheetId="3" hidden="1">2</definedName>
    <definedName name="solver_ssz" localSheetId="2" hidden="1">100</definedName>
    <definedName name="solver_ssz" localSheetId="4" hidden="1">100</definedName>
    <definedName name="solver_ssz" localSheetId="3" hidden="1">100</definedName>
    <definedName name="solver_tim" localSheetId="2" hidden="1">2147483647</definedName>
    <definedName name="solver_tim" localSheetId="4" hidden="1">2147483647</definedName>
    <definedName name="solver_tim" localSheetId="3" hidden="1">2147483647</definedName>
    <definedName name="solver_tol" localSheetId="2" hidden="1">0.01</definedName>
    <definedName name="solver_tol" localSheetId="4" hidden="1">0.01</definedName>
    <definedName name="solver_tol" localSheetId="3" hidden="1">0.01</definedName>
    <definedName name="solver_typ" localSheetId="2" hidden="1">3</definedName>
    <definedName name="solver_typ" localSheetId="4" hidden="1">3</definedName>
    <definedName name="solver_typ" localSheetId="3" hidden="1">1</definedName>
    <definedName name="solver_val" localSheetId="2" hidden="1">0</definedName>
    <definedName name="solver_val" localSheetId="4" hidden="1">0</definedName>
    <definedName name="solver_val" localSheetId="3" hidden="1">0</definedName>
    <definedName name="solver_ver" localSheetId="2" hidden="1">3</definedName>
    <definedName name="solver_ver" localSheetId="4" hidden="1">2</definedName>
    <definedName name="solver_ver" localSheetId="3" hidden="1">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C23" i="4"/>
  <c r="C24" i="4"/>
  <c r="C25" i="4"/>
  <c r="C4" i="2"/>
  <c r="D36" i="4"/>
  <c r="C36" i="4"/>
  <c r="E31" i="4"/>
  <c r="E32" i="4"/>
  <c r="D23" i="4"/>
  <c r="D22" i="4"/>
  <c r="D8" i="4"/>
  <c r="C8" i="4"/>
  <c r="D36" i="3"/>
  <c r="C36" i="3"/>
  <c r="E31" i="3"/>
  <c r="D8" i="3"/>
  <c r="E6" i="3"/>
  <c r="E5" i="3"/>
  <c r="E4" i="3"/>
  <c r="D33" i="2"/>
  <c r="C33" i="2"/>
  <c r="C15" i="2"/>
  <c r="C22" i="2"/>
  <c r="D22" i="2"/>
  <c r="D21" i="2"/>
  <c r="D7" i="2"/>
  <c r="D33" i="1"/>
  <c r="C33" i="1"/>
  <c r="C15" i="1"/>
  <c r="D7" i="1"/>
  <c r="C7" i="1"/>
  <c r="E29" i="1"/>
  <c r="E6" i="1"/>
  <c r="E5" i="1"/>
  <c r="E4" i="1"/>
  <c r="E7" i="1"/>
  <c r="E33" i="4"/>
  <c r="E35" i="4"/>
  <c r="F35" i="4"/>
  <c r="D24" i="4"/>
  <c r="D25" i="4"/>
  <c r="C42" i="4"/>
  <c r="C7" i="2"/>
  <c r="C6" i="2"/>
  <c r="E6" i="2"/>
  <c r="D23" i="2"/>
  <c r="C39" i="2"/>
  <c r="C23" i="2"/>
  <c r="E30" i="1"/>
  <c r="F29" i="1"/>
  <c r="F32" i="4"/>
  <c r="F31" i="3"/>
  <c r="E32" i="3"/>
  <c r="F31" i="4"/>
  <c r="E34" i="4"/>
  <c r="F34" i="4"/>
  <c r="F33" i="4"/>
  <c r="C7" i="4"/>
  <c r="C5" i="2"/>
  <c r="E5" i="2"/>
  <c r="E4" i="2"/>
  <c r="E29" i="2"/>
  <c r="E30" i="2"/>
  <c r="F30" i="1"/>
  <c r="E31" i="1"/>
  <c r="E33" i="3"/>
  <c r="F32" i="3"/>
  <c r="F36" i="4"/>
  <c r="E36" i="4"/>
  <c r="C4" i="4"/>
  <c r="E4" i="4"/>
  <c r="C6" i="4"/>
  <c r="E6" i="4"/>
  <c r="E7" i="4"/>
  <c r="C5" i="4"/>
  <c r="E5" i="4"/>
  <c r="F29" i="2"/>
  <c r="E7" i="2"/>
  <c r="C22" i="1"/>
  <c r="D22" i="1"/>
  <c r="C21" i="1"/>
  <c r="E32" i="1"/>
  <c r="F32" i="1"/>
  <c r="F31" i="1"/>
  <c r="E31" i="2"/>
  <c r="F30" i="2"/>
  <c r="E34" i="3"/>
  <c r="F34" i="3"/>
  <c r="F33" i="3"/>
  <c r="C7" i="3"/>
  <c r="C23" i="3"/>
  <c r="D23" i="3"/>
  <c r="E35" i="3"/>
  <c r="F33" i="1"/>
  <c r="C38" i="1"/>
  <c r="E8" i="4"/>
  <c r="C41" i="4"/>
  <c r="C43" i="4"/>
  <c r="D22" i="3"/>
  <c r="F31" i="2"/>
  <c r="E32" i="2"/>
  <c r="F32" i="2"/>
  <c r="C8" i="3"/>
  <c r="E7" i="3"/>
  <c r="E8" i="3"/>
  <c r="D21" i="1"/>
  <c r="D23" i="1"/>
  <c r="C39" i="1"/>
  <c r="C23" i="1"/>
  <c r="C24" i="3"/>
  <c r="D24" i="3"/>
  <c r="F35" i="3"/>
  <c r="F36" i="3"/>
  <c r="E33" i="1"/>
  <c r="E36" i="3"/>
  <c r="D25" i="3"/>
  <c r="C42" i="3"/>
  <c r="C40" i="1"/>
  <c r="E33" i="2"/>
  <c r="F33" i="2"/>
  <c r="C38" i="2"/>
  <c r="C40" i="2"/>
  <c r="C25" i="3"/>
  <c r="C43" i="3"/>
</calcChain>
</file>

<file path=xl/sharedStrings.xml><?xml version="1.0" encoding="utf-8"?>
<sst xmlns="http://schemas.openxmlformats.org/spreadsheetml/2006/main" count="147" uniqueCount="43">
  <si>
    <t>Material</t>
  </si>
  <si>
    <t>Quantidade (kg)</t>
  </si>
  <si>
    <t>R$/kg</t>
  </si>
  <si>
    <t>Custo total (R$/mês)</t>
  </si>
  <si>
    <t>MX-1</t>
  </si>
  <si>
    <t>Custo do Material (R$/mês)</t>
  </si>
  <si>
    <t>MS-5</t>
  </si>
  <si>
    <t>MN-3</t>
  </si>
  <si>
    <t>Total</t>
  </si>
  <si>
    <t>MK-12</t>
  </si>
  <si>
    <t>Produto</t>
  </si>
  <si>
    <t>Produção (kg/mês)</t>
  </si>
  <si>
    <t>Receita (R$/mês)</t>
  </si>
  <si>
    <t>MASTER</t>
  </si>
  <si>
    <t>GTEX</t>
  </si>
  <si>
    <t>GTEX-MINUS</t>
  </si>
  <si>
    <t>Operações</t>
  </si>
  <si>
    <t>MAGNATEX</t>
  </si>
  <si>
    <t>CDu (R$/kg)</t>
  </si>
  <si>
    <t>CFP (R$/mês)</t>
  </si>
  <si>
    <t>Material utilizado (kg/mês)</t>
  </si>
  <si>
    <t>CD da operação (R$/mês)</t>
  </si>
  <si>
    <t>Mistura</t>
  </si>
  <si>
    <t>Cozimento</t>
  </si>
  <si>
    <t>Refrigeração</t>
  </si>
  <si>
    <t>Embalagem</t>
  </si>
  <si>
    <t>Custos totais</t>
  </si>
  <si>
    <t>Receita total</t>
  </si>
  <si>
    <t>Lucro da empresa</t>
  </si>
  <si>
    <t>Fervura</t>
  </si>
  <si>
    <t>Qual o efeito nos resultados finais da fabricação do MAGNATEX?</t>
  </si>
  <si>
    <t>Se for decidido realizar o investimento para fabricar o MAGNATEX, como deveria ser analisada a opção de utilizar o GTEX-50 para a fabricação do MAGNATEX ou sua venda direta como GTEX como é feito hoje?</t>
  </si>
  <si>
    <t>A que preço de venda do MAGNATEX seria indiferente utilizar um kg da camada de MASTER em sua própria fabricação ou destina-lo para fabricar o MAGNATEX (camada de MASTER pode ser utilizada para fabricar MAGNATEX, porem o contrário não ocorre)?</t>
  </si>
  <si>
    <t>Leonardo Lemos de Carvalho</t>
  </si>
  <si>
    <t>NOME</t>
  </si>
  <si>
    <t>Lucas Liberman Fernandes</t>
  </si>
  <si>
    <t>Pedro Antonio Cardoso Expósito</t>
  </si>
  <si>
    <t>Nº USP</t>
  </si>
  <si>
    <t xml:space="preserve">O Lucro foi de R$0,36 e ele foi obtido a partir da produção de 4018 kg/mês </t>
  </si>
  <si>
    <t xml:space="preserve">O Lucro foi de R$0,67 e ele foi obtido a partir da produção de 5478 kg/mês </t>
  </si>
  <si>
    <t>A fabricação do MAGNATEX trouxe como consequência uma diminuição no lucro da empresa, uma vez que aumentou seus custos totais em uma proporção maior do que aumento sua receita total</t>
  </si>
  <si>
    <t>A análise que deve ser realizada consiste em determinar, para cada kilo de GTEX, quantos kilos de GTEX-50 serão produzidos, assim como determinar seus custos. Assim, poderá ser feita uma análise do que é mais lucrativo para a empresa</t>
  </si>
  <si>
    <t>O preço de venda seria de R$4,35.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</si>
</sst>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rgb="FFCCCCCC"/>
      </patternFill>
    </fill>
    <fill>
      <patternFill patternType="solid">
        <fgColor theme="1" tint="4.9989318521683403E-2"/>
        <bgColor rgb="FFCCCCCC"/>
      </patternFill>
    </fill>
    <fill>
      <patternFill patternType="solid">
        <fgColor theme="1"/>
        <bgColor rgb="FFCCCCC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2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/>
    <xf numFmtId="2" fontId="3" fillId="4" borderId="1" xfId="0" applyNumberFormat="1" applyFont="1" applyFill="1" applyBorder="1" applyAlignment="1">
      <alignment horizontal="center"/>
    </xf>
    <xf numFmtId="2" fontId="3" fillId="0" borderId="0" xfId="0" applyNumberFormat="1" applyFont="1" applyAlignment="1"/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0" fontId="7" fillId="3" borderId="5" xfId="0" applyFont="1" applyFill="1" applyBorder="1" applyAlignment="1"/>
    <xf numFmtId="0" fontId="8" fillId="0" borderId="5" xfId="0" applyFont="1" applyBorder="1" applyAlignment="1"/>
    <xf numFmtId="2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2" fontId="6" fillId="5" borderId="15" xfId="0" applyNumberFormat="1" applyFont="1" applyFill="1" applyBorder="1" applyAlignment="1">
      <alignment horizontal="center"/>
    </xf>
    <xf numFmtId="2" fontId="6" fillId="5" borderId="9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/>
    <xf numFmtId="0" fontId="11" fillId="0" borderId="0" xfId="0" applyFont="1"/>
    <xf numFmtId="0" fontId="10" fillId="0" borderId="0" xfId="0" applyFont="1" applyAlignment="1"/>
    <xf numFmtId="2" fontId="1" fillId="0" borderId="0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/>
    <xf numFmtId="0" fontId="12" fillId="7" borderId="5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B15" sqref="B15"/>
    </sheetView>
  </sheetViews>
  <sheetFormatPr baseColWidth="10" defaultColWidth="8.83203125" defaultRowHeight="13" x14ac:dyDescent="0.15"/>
  <cols>
    <col min="2" max="2" width="59.5" bestFit="1" customWidth="1"/>
    <col min="3" max="3" width="19" bestFit="1" customWidth="1"/>
  </cols>
  <sheetData>
    <row r="1" spans="1:3" x14ac:dyDescent="0.15">
      <c r="A1" s="2"/>
    </row>
    <row r="2" spans="1:3" ht="20" x14ac:dyDescent="0.2">
      <c r="A2" s="2"/>
      <c r="B2" s="24" t="s">
        <v>34</v>
      </c>
      <c r="C2" s="24" t="s">
        <v>37</v>
      </c>
    </row>
    <row r="3" spans="1:3" ht="20" x14ac:dyDescent="0.2">
      <c r="A3" s="2"/>
      <c r="B3" s="25" t="s">
        <v>33</v>
      </c>
      <c r="C3" s="25">
        <v>10274116</v>
      </c>
    </row>
    <row r="4" spans="1:3" ht="20" x14ac:dyDescent="0.2">
      <c r="B4" s="25" t="s">
        <v>35</v>
      </c>
      <c r="C4" s="25">
        <v>10334321</v>
      </c>
    </row>
    <row r="5" spans="1:3" ht="20" x14ac:dyDescent="0.2">
      <c r="B5" s="25" t="s">
        <v>36</v>
      </c>
      <c r="C5" s="25">
        <v>10334450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G40"/>
  <sheetViews>
    <sheetView topLeftCell="A11" workbookViewId="0">
      <selection activeCell="E40" sqref="E40"/>
    </sheetView>
  </sheetViews>
  <sheetFormatPr baseColWidth="10" defaultColWidth="14.5" defaultRowHeight="15.75" customHeight="1" x14ac:dyDescent="0.15"/>
  <cols>
    <col min="2" max="2" width="23" customWidth="1"/>
    <col min="3" max="3" width="15.5" bestFit="1" customWidth="1"/>
    <col min="4" max="4" width="20.83203125" customWidth="1"/>
    <col min="5" max="6" width="22.83203125" customWidth="1"/>
    <col min="7" max="7" width="15.5" bestFit="1" customWidth="1"/>
  </cols>
  <sheetData>
    <row r="2" spans="2:7" ht="15.75" customHeight="1" x14ac:dyDescent="0.15">
      <c r="B2" s="3"/>
      <c r="C2" s="4"/>
      <c r="D2" s="4"/>
      <c r="E2" s="4"/>
      <c r="F2" s="4"/>
      <c r="G2" s="4"/>
    </row>
    <row r="3" spans="2:7" ht="13" x14ac:dyDescent="0.15">
      <c r="B3" s="5" t="s">
        <v>0</v>
      </c>
      <c r="C3" s="5" t="s">
        <v>1</v>
      </c>
      <c r="D3" s="5" t="s">
        <v>2</v>
      </c>
      <c r="E3" s="5" t="s">
        <v>3</v>
      </c>
      <c r="F3" s="4"/>
      <c r="G3" s="4"/>
    </row>
    <row r="4" spans="2:7" ht="13" x14ac:dyDescent="0.15">
      <c r="B4" s="6" t="s">
        <v>4</v>
      </c>
      <c r="C4" s="6">
        <v>9000</v>
      </c>
      <c r="D4" s="14">
        <v>1</v>
      </c>
      <c r="E4" s="14">
        <f t="shared" ref="E4:E6" si="0">C4*D4</f>
        <v>9000</v>
      </c>
      <c r="F4" s="4"/>
      <c r="G4" s="4"/>
    </row>
    <row r="5" spans="2:7" ht="13" x14ac:dyDescent="0.15">
      <c r="B5" s="6" t="s">
        <v>6</v>
      </c>
      <c r="C5" s="6">
        <v>6000</v>
      </c>
      <c r="D5" s="14">
        <v>0.8</v>
      </c>
      <c r="E5" s="14">
        <f t="shared" si="0"/>
        <v>4800</v>
      </c>
      <c r="F5" s="4"/>
      <c r="G5" s="4"/>
    </row>
    <row r="6" spans="2:7" ht="13" x14ac:dyDescent="0.15">
      <c r="B6" s="6" t="s">
        <v>7</v>
      </c>
      <c r="C6" s="6">
        <v>5000</v>
      </c>
      <c r="D6" s="14">
        <v>1.2</v>
      </c>
      <c r="E6" s="14">
        <f t="shared" si="0"/>
        <v>6000</v>
      </c>
      <c r="F6" s="4"/>
      <c r="G6" s="4"/>
    </row>
    <row r="7" spans="2:7" ht="13" x14ac:dyDescent="0.15">
      <c r="B7" s="6" t="s">
        <v>8</v>
      </c>
      <c r="C7" s="6">
        <f t="shared" ref="C7:E7" si="1">SUM(C4:C6)</f>
        <v>20000</v>
      </c>
      <c r="D7" s="14">
        <f t="shared" si="1"/>
        <v>3</v>
      </c>
      <c r="E7" s="14">
        <f t="shared" si="1"/>
        <v>19800</v>
      </c>
      <c r="F7" s="4"/>
      <c r="G7" s="4"/>
    </row>
    <row r="8" spans="2:7" ht="15.75" customHeight="1" x14ac:dyDescent="0.15">
      <c r="B8" s="4"/>
      <c r="C8" s="4"/>
      <c r="D8" s="4"/>
      <c r="E8" s="4"/>
      <c r="F8" s="4"/>
      <c r="G8" s="4"/>
    </row>
    <row r="9" spans="2:7" ht="13" x14ac:dyDescent="0.15">
      <c r="B9" s="3"/>
      <c r="C9" s="4"/>
      <c r="D9" s="4"/>
      <c r="E9" s="3"/>
      <c r="F9" s="4"/>
      <c r="G9" s="4"/>
    </row>
    <row r="10" spans="2:7" ht="13" x14ac:dyDescent="0.15">
      <c r="D10" s="4"/>
    </row>
    <row r="11" spans="2:7" ht="13" x14ac:dyDescent="0.15">
      <c r="D11" s="4"/>
    </row>
    <row r="12" spans="2:7" ht="13" x14ac:dyDescent="0.15">
      <c r="B12" s="5" t="s">
        <v>10</v>
      </c>
      <c r="C12" s="5" t="s">
        <v>2</v>
      </c>
      <c r="D12" s="4"/>
    </row>
    <row r="13" spans="2:7" ht="13" x14ac:dyDescent="0.15">
      <c r="B13" s="6" t="s">
        <v>13</v>
      </c>
      <c r="C13" s="14">
        <v>5</v>
      </c>
      <c r="D13" s="4"/>
    </row>
    <row r="14" spans="2:7" ht="13" x14ac:dyDescent="0.15">
      <c r="B14" s="6" t="s">
        <v>14</v>
      </c>
      <c r="C14" s="14">
        <v>2.5</v>
      </c>
      <c r="D14" s="3"/>
      <c r="E14" s="3"/>
      <c r="F14" s="4"/>
      <c r="G14" s="4"/>
    </row>
    <row r="15" spans="2:7" ht="13" x14ac:dyDescent="0.15">
      <c r="B15" s="9" t="s">
        <v>8</v>
      </c>
      <c r="C15" s="14">
        <f>SUM(C13:C14)</f>
        <v>7.5</v>
      </c>
      <c r="D15" s="3"/>
      <c r="E15" s="3"/>
      <c r="F15" s="4"/>
      <c r="G15" s="4"/>
    </row>
    <row r="16" spans="2:7" ht="13" x14ac:dyDescent="0.15"/>
    <row r="17" spans="2:7" ht="13" x14ac:dyDescent="0.15"/>
    <row r="18" spans="2:7" ht="13" x14ac:dyDescent="0.15"/>
    <row r="19" spans="2:7" ht="13" x14ac:dyDescent="0.15"/>
    <row r="20" spans="2:7" ht="13" x14ac:dyDescent="0.15">
      <c r="B20" s="5" t="s">
        <v>10</v>
      </c>
      <c r="C20" s="7" t="s">
        <v>11</v>
      </c>
      <c r="D20" s="8" t="s">
        <v>12</v>
      </c>
      <c r="G20" s="4"/>
    </row>
    <row r="21" spans="2:7" ht="13" x14ac:dyDescent="0.15">
      <c r="B21" s="6" t="s">
        <v>13</v>
      </c>
      <c r="C21" s="6">
        <f>0.6*E31</f>
        <v>10800</v>
      </c>
      <c r="D21" s="15">
        <f>C13*C21</f>
        <v>54000</v>
      </c>
      <c r="G21" s="4"/>
    </row>
    <row r="22" spans="2:7" ht="15.75" customHeight="1" x14ac:dyDescent="0.15">
      <c r="B22" s="6" t="s">
        <v>14</v>
      </c>
      <c r="C22" s="6">
        <f>0.4*E31</f>
        <v>7200</v>
      </c>
      <c r="D22" s="14">
        <f>C14*C22</f>
        <v>18000</v>
      </c>
      <c r="G22" s="4"/>
    </row>
    <row r="23" spans="2:7" ht="13" x14ac:dyDescent="0.15">
      <c r="B23" s="6" t="s">
        <v>8</v>
      </c>
      <c r="C23" s="6">
        <f>SUM(C21:C22)</f>
        <v>18000</v>
      </c>
      <c r="D23" s="14">
        <f>SUM(D21:D22)</f>
        <v>72000</v>
      </c>
      <c r="G23" s="4"/>
    </row>
    <row r="24" spans="2:7" ht="13" x14ac:dyDescent="0.15">
      <c r="G24" s="4"/>
    </row>
    <row r="25" spans="2:7" ht="13" x14ac:dyDescent="0.15">
      <c r="G25" s="4"/>
    </row>
    <row r="26" spans="2:7" ht="13" x14ac:dyDescent="0.15">
      <c r="G26" s="4"/>
    </row>
    <row r="27" spans="2:7" ht="15.75" customHeight="1" x14ac:dyDescent="0.15">
      <c r="G27" s="4"/>
    </row>
    <row r="28" spans="2:7" ht="15.75" customHeight="1" x14ac:dyDescent="0.15">
      <c r="B28" s="10" t="s">
        <v>16</v>
      </c>
      <c r="C28" s="10" t="s">
        <v>18</v>
      </c>
      <c r="D28" s="10" t="s">
        <v>19</v>
      </c>
      <c r="E28" s="10" t="s">
        <v>20</v>
      </c>
      <c r="F28" s="10" t="s">
        <v>21</v>
      </c>
      <c r="G28" s="4"/>
    </row>
    <row r="29" spans="2:7" ht="15.75" customHeight="1" x14ac:dyDescent="0.15">
      <c r="B29" s="9" t="s">
        <v>22</v>
      </c>
      <c r="C29" s="16">
        <v>0.2</v>
      </c>
      <c r="D29" s="16">
        <v>2000</v>
      </c>
      <c r="E29" s="6">
        <f>C7</f>
        <v>20000</v>
      </c>
      <c r="F29" s="14">
        <f>E29*C29</f>
        <v>4000</v>
      </c>
      <c r="G29" s="4"/>
    </row>
    <row r="30" spans="2:7" ht="15.75" customHeight="1" x14ac:dyDescent="0.15">
      <c r="B30" s="9" t="s">
        <v>23</v>
      </c>
      <c r="C30" s="16">
        <v>0.4</v>
      </c>
      <c r="D30" s="16">
        <v>2500</v>
      </c>
      <c r="E30" s="6">
        <f>E29</f>
        <v>20000</v>
      </c>
      <c r="F30" s="14">
        <f>E30*C30</f>
        <v>8000</v>
      </c>
      <c r="G30" s="4"/>
    </row>
    <row r="31" spans="2:7" ht="15.75" customHeight="1" x14ac:dyDescent="0.15">
      <c r="B31" s="9" t="s">
        <v>24</v>
      </c>
      <c r="C31" s="16">
        <v>0.35</v>
      </c>
      <c r="D31" s="14">
        <v>3500</v>
      </c>
      <c r="E31" s="6">
        <f>0.9*E30</f>
        <v>18000</v>
      </c>
      <c r="F31" s="14">
        <f>E31*C31</f>
        <v>6300</v>
      </c>
      <c r="G31" s="4"/>
    </row>
    <row r="32" spans="2:7" ht="15.75" customHeight="1" x14ac:dyDescent="0.15">
      <c r="B32" s="9" t="s">
        <v>25</v>
      </c>
      <c r="C32" s="16">
        <v>0.65</v>
      </c>
      <c r="D32" s="16">
        <v>2000</v>
      </c>
      <c r="E32" s="6">
        <f>0.6*E31</f>
        <v>10800</v>
      </c>
      <c r="F32" s="14">
        <f>E32*C32</f>
        <v>7020</v>
      </c>
      <c r="G32" s="4"/>
    </row>
    <row r="33" spans="2:7" ht="15.75" customHeight="1" x14ac:dyDescent="0.15">
      <c r="B33" s="9" t="s">
        <v>8</v>
      </c>
      <c r="C33" s="14">
        <f>SUM(C29:C32)</f>
        <v>1.6</v>
      </c>
      <c r="D33" s="14">
        <f>SUM(D29:D32)</f>
        <v>10000</v>
      </c>
      <c r="E33" s="6">
        <f>SUM(E29:E32)</f>
        <v>68800</v>
      </c>
      <c r="F33" s="14">
        <f t="shared" ref="F33" si="2">SUM(F29:F32)</f>
        <v>25320</v>
      </c>
      <c r="G33" s="4"/>
    </row>
    <row r="34" spans="2:7" ht="15.75" customHeight="1" x14ac:dyDescent="0.15">
      <c r="B34" s="4"/>
      <c r="C34" s="4"/>
      <c r="D34" s="4"/>
      <c r="E34" s="4"/>
      <c r="F34" s="4"/>
      <c r="G34" s="4"/>
    </row>
    <row r="35" spans="2:7" ht="15.75" customHeight="1" x14ac:dyDescent="0.15">
      <c r="B35" s="3"/>
      <c r="C35" s="4"/>
      <c r="D35" s="4"/>
      <c r="E35" s="4"/>
      <c r="F35" s="4"/>
    </row>
    <row r="36" spans="2:7" ht="15.75" customHeight="1" x14ac:dyDescent="0.15">
      <c r="D36" s="4"/>
      <c r="E36" s="4"/>
      <c r="F36" s="4"/>
    </row>
    <row r="37" spans="2:7" ht="15.75" customHeight="1" x14ac:dyDescent="0.15">
      <c r="D37" s="4"/>
      <c r="E37" s="4"/>
      <c r="F37" s="4"/>
    </row>
    <row r="38" spans="2:7" ht="15.75" customHeight="1" x14ac:dyDescent="0.15">
      <c r="B38" s="12" t="s">
        <v>26</v>
      </c>
      <c r="C38" s="26">
        <f>E7+D33+F33</f>
        <v>55120</v>
      </c>
      <c r="D38" s="4"/>
      <c r="E38" s="4"/>
      <c r="F38" s="4"/>
    </row>
    <row r="39" spans="2:7" ht="15.75" customHeight="1" x14ac:dyDescent="0.15">
      <c r="B39" s="13" t="s">
        <v>27</v>
      </c>
      <c r="C39" s="26">
        <f>D23</f>
        <v>72000</v>
      </c>
    </row>
    <row r="40" spans="2:7" ht="15.75" customHeight="1" x14ac:dyDescent="0.15">
      <c r="B40" s="11" t="s">
        <v>28</v>
      </c>
      <c r="C40" s="26">
        <f>C39-C38</f>
        <v>16880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J43"/>
  <sheetViews>
    <sheetView topLeftCell="A17" workbookViewId="0">
      <selection activeCell="C4" sqref="C4"/>
    </sheetView>
  </sheetViews>
  <sheetFormatPr baseColWidth="10" defaultColWidth="14.5" defaultRowHeight="15.75" customHeight="1" x14ac:dyDescent="0.15"/>
  <cols>
    <col min="2" max="2" width="23" customWidth="1"/>
    <col min="3" max="3" width="16.83203125" style="1" bestFit="1" customWidth="1"/>
    <col min="4" max="4" width="20.83203125" style="1" customWidth="1"/>
    <col min="5" max="6" width="22.83203125" style="1" customWidth="1"/>
    <col min="7" max="7" width="14.5" style="1"/>
    <col min="9" max="9" width="22.1640625" customWidth="1"/>
  </cols>
  <sheetData>
    <row r="2" spans="2:10" ht="13" x14ac:dyDescent="0.15">
      <c r="B2" s="3"/>
      <c r="C2" s="17"/>
      <c r="D2" s="17"/>
      <c r="E2" s="17"/>
      <c r="F2" s="17"/>
      <c r="G2" s="17"/>
    </row>
    <row r="3" spans="2:10" ht="13" x14ac:dyDescent="0.15">
      <c r="B3" s="5" t="s">
        <v>0</v>
      </c>
      <c r="C3" s="18" t="s">
        <v>1</v>
      </c>
      <c r="D3" s="18" t="s">
        <v>2</v>
      </c>
      <c r="E3" s="18" t="s">
        <v>3</v>
      </c>
      <c r="F3" s="17"/>
      <c r="G3" s="17"/>
    </row>
    <row r="4" spans="2:10" ht="13" x14ac:dyDescent="0.15">
      <c r="B4" s="6" t="s">
        <v>4</v>
      </c>
      <c r="C4" s="14">
        <f>C7*(9/20)</f>
        <v>3348.2142857146364</v>
      </c>
      <c r="D4" s="14">
        <v>1</v>
      </c>
      <c r="E4" s="14">
        <f t="shared" ref="E4:E6" si="0">C4*D4</f>
        <v>3348.2142857146364</v>
      </c>
      <c r="F4" s="17"/>
      <c r="G4" s="17"/>
    </row>
    <row r="5" spans="2:10" ht="13" x14ac:dyDescent="0.15">
      <c r="B5" s="6" t="s">
        <v>6</v>
      </c>
      <c r="C5" s="14">
        <f>C7*(6/20)</f>
        <v>2232.1428571430906</v>
      </c>
      <c r="D5" s="14">
        <v>0.8</v>
      </c>
      <c r="E5" s="14">
        <f t="shared" si="0"/>
        <v>1785.7142857144727</v>
      </c>
      <c r="F5" s="17"/>
      <c r="G5" s="17"/>
    </row>
    <row r="6" spans="2:10" ht="13" x14ac:dyDescent="0.15">
      <c r="B6" s="6" t="s">
        <v>7</v>
      </c>
      <c r="C6" s="14">
        <f>C7/4</f>
        <v>1860.1190476192423</v>
      </c>
      <c r="D6" s="14">
        <v>1.2</v>
      </c>
      <c r="E6" s="14">
        <f t="shared" si="0"/>
        <v>2232.1428571430906</v>
      </c>
      <c r="F6" s="17"/>
      <c r="G6" s="17"/>
    </row>
    <row r="7" spans="2:10" ht="13" x14ac:dyDescent="0.15">
      <c r="B7" s="6" t="s">
        <v>8</v>
      </c>
      <c r="C7" s="14">
        <f>(C21+C22)/0.9</f>
        <v>7440.4761904769694</v>
      </c>
      <c r="D7" s="14">
        <f t="shared" ref="D7:E7" si="1">SUM(D4:D6)</f>
        <v>3</v>
      </c>
      <c r="E7" s="14">
        <f t="shared" si="1"/>
        <v>7366.0714285721997</v>
      </c>
      <c r="F7" s="17"/>
      <c r="G7" s="17"/>
    </row>
    <row r="8" spans="2:10" ht="15.75" customHeight="1" x14ac:dyDescent="0.15">
      <c r="B8" s="4"/>
      <c r="C8" s="17"/>
      <c r="D8" s="17"/>
      <c r="E8" s="17"/>
      <c r="F8" s="17"/>
      <c r="G8" s="17"/>
    </row>
    <row r="9" spans="2:10" ht="13" x14ac:dyDescent="0.15">
      <c r="B9" s="3"/>
      <c r="C9" s="17"/>
      <c r="D9" s="17"/>
      <c r="E9" s="19"/>
      <c r="F9" s="17"/>
      <c r="G9" s="17"/>
    </row>
    <row r="10" spans="2:10" ht="13" x14ac:dyDescent="0.15">
      <c r="B10" s="4"/>
      <c r="C10" s="17"/>
      <c r="D10" s="17"/>
      <c r="E10" s="17"/>
      <c r="F10" s="17"/>
      <c r="G10" s="17"/>
      <c r="I10" s="46"/>
      <c r="J10" s="46"/>
    </row>
    <row r="11" spans="2:10" ht="13" x14ac:dyDescent="0.15">
      <c r="B11" s="4"/>
      <c r="C11" s="17"/>
      <c r="D11" s="17"/>
      <c r="E11" s="17"/>
      <c r="F11" s="17"/>
      <c r="G11" s="17"/>
      <c r="I11" s="46"/>
      <c r="J11" s="46"/>
    </row>
    <row r="12" spans="2:10" ht="13" x14ac:dyDescent="0.15">
      <c r="B12" s="5" t="s">
        <v>10</v>
      </c>
      <c r="C12" s="18" t="s">
        <v>2</v>
      </c>
      <c r="D12" s="17"/>
      <c r="E12" s="17"/>
      <c r="F12" s="17"/>
      <c r="G12" s="17"/>
      <c r="I12" s="46"/>
      <c r="J12" s="46"/>
    </row>
    <row r="13" spans="2:10" ht="13" x14ac:dyDescent="0.15">
      <c r="B13" s="6" t="s">
        <v>13</v>
      </c>
      <c r="C13" s="14">
        <v>5</v>
      </c>
      <c r="D13" s="17"/>
      <c r="E13" s="17"/>
      <c r="F13" s="17"/>
      <c r="G13" s="17"/>
      <c r="I13" s="46"/>
      <c r="J13" s="46"/>
    </row>
    <row r="14" spans="2:10" ht="13" x14ac:dyDescent="0.15">
      <c r="B14" s="6" t="s">
        <v>14</v>
      </c>
      <c r="C14" s="14">
        <v>2.5</v>
      </c>
      <c r="D14" s="19"/>
      <c r="E14" s="19"/>
      <c r="F14" s="17"/>
      <c r="G14" s="17"/>
      <c r="I14" s="46"/>
      <c r="J14" s="46"/>
    </row>
    <row r="15" spans="2:10" ht="13" x14ac:dyDescent="0.15">
      <c r="B15" s="6" t="s">
        <v>8</v>
      </c>
      <c r="C15" s="14">
        <f>SUM(C13:C14)</f>
        <v>7.5</v>
      </c>
      <c r="D15" s="17"/>
      <c r="E15" s="17"/>
      <c r="F15" s="17"/>
      <c r="G15" s="17"/>
    </row>
    <row r="16" spans="2:10" ht="13" x14ac:dyDescent="0.15">
      <c r="B16" s="4"/>
      <c r="C16" s="17"/>
      <c r="D16" s="17"/>
      <c r="E16" s="17"/>
      <c r="F16" s="17"/>
      <c r="G16" s="17"/>
    </row>
    <row r="17" spans="2:7" ht="13" x14ac:dyDescent="0.15">
      <c r="B17" s="4"/>
      <c r="C17" s="17"/>
      <c r="D17" s="17"/>
      <c r="E17" s="17"/>
      <c r="F17" s="17"/>
      <c r="G17" s="17"/>
    </row>
    <row r="18" spans="2:7" ht="13" x14ac:dyDescent="0.15">
      <c r="B18" s="4"/>
      <c r="C18" s="17"/>
      <c r="D18" s="17"/>
      <c r="E18" s="17"/>
      <c r="F18" s="17"/>
      <c r="G18" s="17"/>
    </row>
    <row r="19" spans="2:7" ht="13" x14ac:dyDescent="0.15">
      <c r="B19" s="4"/>
      <c r="C19" s="17"/>
      <c r="D19" s="17"/>
      <c r="E19" s="17"/>
      <c r="F19" s="17"/>
      <c r="G19" s="17"/>
    </row>
    <row r="20" spans="2:7" ht="13" x14ac:dyDescent="0.15">
      <c r="B20" s="18" t="s">
        <v>10</v>
      </c>
      <c r="C20" s="18" t="s">
        <v>11</v>
      </c>
      <c r="D20" s="18" t="s">
        <v>12</v>
      </c>
      <c r="E20" s="17"/>
      <c r="F20" s="17"/>
      <c r="G20" s="17"/>
    </row>
    <row r="21" spans="2:7" ht="13" x14ac:dyDescent="0.15">
      <c r="B21" s="14" t="s">
        <v>13</v>
      </c>
      <c r="C21" s="23">
        <v>4017.8571428575638</v>
      </c>
      <c r="D21" s="14">
        <f>C13*C21</f>
        <v>20089.28571428782</v>
      </c>
      <c r="E21" s="17"/>
      <c r="F21" s="17"/>
      <c r="G21" s="17"/>
    </row>
    <row r="22" spans="2:7" ht="15.75" customHeight="1" x14ac:dyDescent="0.15">
      <c r="B22" s="14" t="s">
        <v>14</v>
      </c>
      <c r="C22" s="14">
        <f>C21*(2/3)</f>
        <v>2678.571428571709</v>
      </c>
      <c r="D22" s="14">
        <f>C14*C22</f>
        <v>6696.4285714292728</v>
      </c>
      <c r="E22" s="17"/>
      <c r="F22" s="17"/>
      <c r="G22" s="17"/>
    </row>
    <row r="23" spans="2:7" ht="13" x14ac:dyDescent="0.15">
      <c r="B23" s="14" t="s">
        <v>8</v>
      </c>
      <c r="C23" s="14">
        <f t="shared" ref="C23:D23" si="2">SUM(C21:C22)</f>
        <v>6696.4285714292728</v>
      </c>
      <c r="D23" s="14">
        <f t="shared" si="2"/>
        <v>26785.714285717091</v>
      </c>
      <c r="E23" s="17"/>
      <c r="F23" s="17"/>
      <c r="G23" s="17"/>
    </row>
    <row r="24" spans="2:7" ht="13" x14ac:dyDescent="0.15">
      <c r="B24" s="4"/>
      <c r="C24" s="17"/>
      <c r="D24" s="17"/>
      <c r="E24" s="17"/>
      <c r="F24" s="17"/>
      <c r="G24" s="17"/>
    </row>
    <row r="25" spans="2:7" ht="13" x14ac:dyDescent="0.15">
      <c r="B25" s="4"/>
      <c r="C25" s="17"/>
      <c r="D25" s="17"/>
      <c r="E25" s="17"/>
      <c r="F25" s="17"/>
      <c r="G25" s="17"/>
    </row>
    <row r="26" spans="2:7" ht="13" x14ac:dyDescent="0.15">
      <c r="B26" s="4"/>
      <c r="C26" s="17"/>
      <c r="D26" s="17"/>
      <c r="E26" s="17"/>
      <c r="F26" s="17"/>
      <c r="G26" s="17"/>
    </row>
    <row r="27" spans="2:7" ht="15.75" customHeight="1" x14ac:dyDescent="0.15">
      <c r="B27" s="3"/>
      <c r="C27" s="17"/>
      <c r="D27" s="19"/>
      <c r="E27" s="19"/>
      <c r="F27" s="17"/>
      <c r="G27" s="17"/>
    </row>
    <row r="28" spans="2:7" ht="15.75" customHeight="1" x14ac:dyDescent="0.15">
      <c r="B28" s="5" t="s">
        <v>16</v>
      </c>
      <c r="C28" s="18" t="s">
        <v>18</v>
      </c>
      <c r="D28" s="18" t="s">
        <v>19</v>
      </c>
      <c r="E28" s="18" t="s">
        <v>20</v>
      </c>
      <c r="F28" s="18" t="s">
        <v>21</v>
      </c>
      <c r="G28" s="17"/>
    </row>
    <row r="29" spans="2:7" ht="15.75" customHeight="1" x14ac:dyDescent="0.15">
      <c r="B29" s="6" t="s">
        <v>22</v>
      </c>
      <c r="C29" s="14">
        <v>0.2</v>
      </c>
      <c r="D29" s="14">
        <v>2000</v>
      </c>
      <c r="E29" s="14">
        <f>C7</f>
        <v>7440.4761904769694</v>
      </c>
      <c r="F29" s="14">
        <f t="shared" ref="F29:F32" si="3">E29*C29</f>
        <v>1488.0952380953941</v>
      </c>
      <c r="G29" s="17"/>
    </row>
    <row r="30" spans="2:7" ht="15.75" customHeight="1" x14ac:dyDescent="0.15">
      <c r="B30" s="6" t="s">
        <v>23</v>
      </c>
      <c r="C30" s="14">
        <v>0.4</v>
      </c>
      <c r="D30" s="14">
        <v>2500</v>
      </c>
      <c r="E30" s="14">
        <f>E29</f>
        <v>7440.4761904769694</v>
      </c>
      <c r="F30" s="14">
        <f t="shared" si="3"/>
        <v>2976.1904761907881</v>
      </c>
      <c r="G30" s="17"/>
    </row>
    <row r="31" spans="2:7" ht="15.75" customHeight="1" x14ac:dyDescent="0.15">
      <c r="B31" s="6" t="s">
        <v>24</v>
      </c>
      <c r="C31" s="14">
        <v>0.35</v>
      </c>
      <c r="D31" s="14">
        <v>3500</v>
      </c>
      <c r="E31" s="14">
        <f>0.9*E30</f>
        <v>6696.4285714292728</v>
      </c>
      <c r="F31" s="14">
        <f t="shared" si="3"/>
        <v>2343.7500000002451</v>
      </c>
      <c r="G31" s="17"/>
    </row>
    <row r="32" spans="2:7" ht="15.75" customHeight="1" x14ac:dyDescent="0.15">
      <c r="B32" s="6" t="s">
        <v>25</v>
      </c>
      <c r="C32" s="14">
        <v>0.65</v>
      </c>
      <c r="D32" s="14">
        <v>2000</v>
      </c>
      <c r="E32" s="14">
        <f>0.6*E31</f>
        <v>4017.8571428575633</v>
      </c>
      <c r="F32" s="14">
        <f t="shared" si="3"/>
        <v>2611.6071428574164</v>
      </c>
      <c r="G32" s="17"/>
    </row>
    <row r="33" spans="2:7" ht="15.75" customHeight="1" x14ac:dyDescent="0.15">
      <c r="B33" s="6" t="s">
        <v>8</v>
      </c>
      <c r="C33" s="14">
        <f t="shared" ref="C33:F33" si="4">SUM(C29:C32)</f>
        <v>1.6</v>
      </c>
      <c r="D33" s="14">
        <f t="shared" si="4"/>
        <v>10000</v>
      </c>
      <c r="E33" s="14">
        <f t="shared" si="4"/>
        <v>25595.238095240773</v>
      </c>
      <c r="F33" s="14">
        <f t="shared" si="4"/>
        <v>9419.6428571438428</v>
      </c>
      <c r="G33" s="17"/>
    </row>
    <row r="34" spans="2:7" ht="15.75" customHeight="1" x14ac:dyDescent="0.15">
      <c r="B34" s="4"/>
      <c r="C34" s="17"/>
      <c r="D34" s="17"/>
      <c r="E34" s="17"/>
      <c r="F34" s="17"/>
      <c r="G34" s="17"/>
    </row>
    <row r="35" spans="2:7" ht="15.75" customHeight="1" x14ac:dyDescent="0.15">
      <c r="B35" s="3"/>
      <c r="C35" s="17"/>
      <c r="D35" s="17"/>
      <c r="E35" s="17"/>
      <c r="F35" s="17"/>
      <c r="G35" s="17"/>
    </row>
    <row r="36" spans="2:7" ht="15.75" customHeight="1" x14ac:dyDescent="0.15">
      <c r="B36" s="4"/>
      <c r="C36" s="17"/>
      <c r="D36" s="17"/>
      <c r="E36" s="17"/>
      <c r="F36" s="17"/>
      <c r="G36" s="17"/>
    </row>
    <row r="37" spans="2:7" ht="15.75" customHeight="1" x14ac:dyDescent="0.15">
      <c r="B37" s="4"/>
      <c r="C37" s="17"/>
      <c r="D37" s="17"/>
      <c r="E37" s="17"/>
      <c r="F37" s="17"/>
      <c r="G37" s="17"/>
    </row>
    <row r="38" spans="2:7" ht="15.75" customHeight="1" x14ac:dyDescent="0.15">
      <c r="B38" s="20" t="s">
        <v>26</v>
      </c>
      <c r="C38" s="14">
        <f>E7+D33+F33</f>
        <v>26785.714285716043</v>
      </c>
      <c r="D38" s="17"/>
      <c r="E38" s="47" t="s">
        <v>38</v>
      </c>
      <c r="F38" s="47"/>
      <c r="G38" s="47"/>
    </row>
    <row r="39" spans="2:7" ht="15.75" customHeight="1" x14ac:dyDescent="0.15">
      <c r="B39" s="21" t="s">
        <v>27</v>
      </c>
      <c r="C39" s="14">
        <f>D23</f>
        <v>26785.714285717091</v>
      </c>
      <c r="D39" s="17"/>
      <c r="E39" s="17"/>
      <c r="F39" s="17"/>
      <c r="G39" s="17"/>
    </row>
    <row r="40" spans="2:7" ht="15.75" customHeight="1" x14ac:dyDescent="0.15">
      <c r="B40" s="22" t="s">
        <v>28</v>
      </c>
      <c r="C40" s="14">
        <f>C39-C38</f>
        <v>1.0477378964424133E-9</v>
      </c>
      <c r="D40" s="17"/>
      <c r="E40" s="17"/>
      <c r="F40" s="17"/>
      <c r="G40" s="17"/>
    </row>
    <row r="41" spans="2:7" ht="15.75" customHeight="1" x14ac:dyDescent="0.15">
      <c r="B41" s="4"/>
      <c r="C41" s="17"/>
      <c r="D41" s="17"/>
      <c r="E41" s="17"/>
      <c r="F41" s="17"/>
      <c r="G41" s="17"/>
    </row>
    <row r="42" spans="2:7" ht="15.75" customHeight="1" x14ac:dyDescent="0.15">
      <c r="B42" s="4"/>
      <c r="C42" s="17"/>
      <c r="D42" s="17"/>
      <c r="E42" s="17"/>
      <c r="F42" s="17"/>
      <c r="G42" s="17"/>
    </row>
    <row r="43" spans="2:7" ht="15.75" customHeight="1" x14ac:dyDescent="0.15">
      <c r="B43" s="4"/>
      <c r="C43" s="17"/>
      <c r="D43" s="17"/>
      <c r="E43" s="17"/>
      <c r="F43" s="17"/>
      <c r="G43" s="17"/>
    </row>
  </sheetData>
  <mergeCells count="2">
    <mergeCell ref="I10:J14"/>
    <mergeCell ref="E38:G3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J43"/>
  <sheetViews>
    <sheetView tabSelected="1" workbookViewId="0">
      <selection activeCell="C41" sqref="C41"/>
    </sheetView>
  </sheetViews>
  <sheetFormatPr baseColWidth="10" defaultColWidth="14.5" defaultRowHeight="15.75" customHeight="1" x14ac:dyDescent="0.15"/>
  <cols>
    <col min="1" max="1" width="14.5" style="4"/>
    <col min="2" max="2" width="27.33203125" style="4" customWidth="1"/>
    <col min="3" max="3" width="16.83203125" style="4" bestFit="1" customWidth="1"/>
    <col min="4" max="4" width="14.5" style="4"/>
    <col min="5" max="5" width="23.83203125" style="4" customWidth="1"/>
    <col min="6" max="6" width="27.5" style="4" customWidth="1"/>
    <col min="7" max="7" width="25.83203125" style="4" customWidth="1"/>
    <col min="8" max="16384" width="14.5" style="4"/>
  </cols>
  <sheetData>
    <row r="2" spans="2:10" ht="13" x14ac:dyDescent="0.15">
      <c r="B2" s="3"/>
    </row>
    <row r="3" spans="2:10" ht="13" x14ac:dyDescent="0.15">
      <c r="B3" s="5" t="s">
        <v>0</v>
      </c>
      <c r="C3" s="5" t="s">
        <v>1</v>
      </c>
      <c r="D3" s="5" t="s">
        <v>2</v>
      </c>
      <c r="E3" s="10" t="s">
        <v>5</v>
      </c>
    </row>
    <row r="4" spans="2:10" ht="13" x14ac:dyDescent="0.15">
      <c r="B4" s="6" t="s">
        <v>4</v>
      </c>
      <c r="C4" s="6">
        <v>9000</v>
      </c>
      <c r="D4" s="14">
        <v>1</v>
      </c>
      <c r="E4" s="14">
        <f t="shared" ref="E4:E7" si="0">D4*C4</f>
        <v>9000</v>
      </c>
    </row>
    <row r="5" spans="2:10" ht="13" x14ac:dyDescent="0.15">
      <c r="B5" s="6" t="s">
        <v>6</v>
      </c>
      <c r="C5" s="6">
        <v>6000</v>
      </c>
      <c r="D5" s="14">
        <v>0.8</v>
      </c>
      <c r="E5" s="14">
        <f t="shared" si="0"/>
        <v>4800</v>
      </c>
    </row>
    <row r="6" spans="2:10" ht="13" x14ac:dyDescent="0.15">
      <c r="B6" s="6" t="s">
        <v>7</v>
      </c>
      <c r="C6" s="6">
        <v>5000</v>
      </c>
      <c r="D6" s="14">
        <v>1.2</v>
      </c>
      <c r="E6" s="14">
        <f t="shared" si="0"/>
        <v>6000</v>
      </c>
    </row>
    <row r="7" spans="2:10" ht="13" x14ac:dyDescent="0.15">
      <c r="B7" s="6" t="s">
        <v>9</v>
      </c>
      <c r="C7" s="6">
        <f>0.5* 0.4*E33</f>
        <v>3600</v>
      </c>
      <c r="D7" s="14">
        <v>1</v>
      </c>
      <c r="E7" s="14">
        <f t="shared" si="0"/>
        <v>3600</v>
      </c>
    </row>
    <row r="8" spans="2:10" ht="13" x14ac:dyDescent="0.15">
      <c r="B8" s="9" t="s">
        <v>8</v>
      </c>
      <c r="C8" s="6">
        <f t="shared" ref="C8:E8" si="1">SUM(C4:C7)</f>
        <v>23600</v>
      </c>
      <c r="D8" s="14">
        <f t="shared" si="1"/>
        <v>4</v>
      </c>
      <c r="E8" s="14">
        <f t="shared" si="1"/>
        <v>23400</v>
      </c>
    </row>
    <row r="10" spans="2:10" ht="13" x14ac:dyDescent="0.15">
      <c r="B10" s="3"/>
      <c r="E10" s="3"/>
    </row>
    <row r="11" spans="2:10" ht="13" x14ac:dyDescent="0.15">
      <c r="D11" s="3"/>
      <c r="I11" s="27"/>
      <c r="J11" s="27"/>
    </row>
    <row r="12" spans="2:10" ht="13" x14ac:dyDescent="0.15">
      <c r="D12" s="3"/>
      <c r="I12" s="27"/>
      <c r="J12" s="27"/>
    </row>
    <row r="13" spans="2:10" ht="13" x14ac:dyDescent="0.15">
      <c r="B13" s="5" t="s">
        <v>10</v>
      </c>
      <c r="C13" s="5" t="s">
        <v>2</v>
      </c>
      <c r="D13" s="3"/>
      <c r="I13" s="27"/>
      <c r="J13" s="27"/>
    </row>
    <row r="14" spans="2:10" ht="13" x14ac:dyDescent="0.15">
      <c r="B14" s="6" t="s">
        <v>13</v>
      </c>
      <c r="C14" s="14">
        <v>5</v>
      </c>
      <c r="D14" s="3"/>
      <c r="I14" s="27"/>
      <c r="J14" s="27"/>
    </row>
    <row r="15" spans="2:10" ht="13" x14ac:dyDescent="0.15">
      <c r="B15" s="6" t="s">
        <v>15</v>
      </c>
      <c r="C15" s="14">
        <v>1.8</v>
      </c>
      <c r="D15" s="3"/>
      <c r="I15" s="27"/>
      <c r="J15" s="27"/>
    </row>
    <row r="16" spans="2:10" ht="13" x14ac:dyDescent="0.15">
      <c r="B16" s="6" t="s">
        <v>17</v>
      </c>
      <c r="C16" s="14">
        <v>6</v>
      </c>
      <c r="D16" s="3"/>
    </row>
    <row r="21" spans="2:6" ht="13" x14ac:dyDescent="0.15">
      <c r="B21" s="10" t="s">
        <v>10</v>
      </c>
      <c r="C21" s="10" t="s">
        <v>11</v>
      </c>
      <c r="D21" s="10" t="s">
        <v>12</v>
      </c>
    </row>
    <row r="22" spans="2:6" ht="13" x14ac:dyDescent="0.15">
      <c r="B22" s="9" t="s">
        <v>13</v>
      </c>
      <c r="C22" s="28">
        <v>10800</v>
      </c>
      <c r="D22" s="14">
        <f>C22*C14</f>
        <v>54000</v>
      </c>
    </row>
    <row r="23" spans="2:6" ht="13" x14ac:dyDescent="0.15">
      <c r="B23" s="9" t="s">
        <v>15</v>
      </c>
      <c r="C23" s="6">
        <f>0.5*0.4*E33</f>
        <v>3600</v>
      </c>
      <c r="D23" s="14">
        <f>C23*C15</f>
        <v>6480</v>
      </c>
    </row>
    <row r="24" spans="2:6" ht="13" x14ac:dyDescent="0.15">
      <c r="B24" s="9" t="s">
        <v>17</v>
      </c>
      <c r="C24" s="6">
        <f>0.5*E35</f>
        <v>3600</v>
      </c>
      <c r="D24" s="14">
        <f>C24*C16</f>
        <v>21600</v>
      </c>
    </row>
    <row r="25" spans="2:6" ht="15.75" customHeight="1" x14ac:dyDescent="0.15">
      <c r="B25" s="9" t="s">
        <v>8</v>
      </c>
      <c r="C25" s="6">
        <f t="shared" ref="C25:D25" si="2">SUM(C22:C24)</f>
        <v>18000</v>
      </c>
      <c r="D25" s="14">
        <f t="shared" si="2"/>
        <v>82080</v>
      </c>
    </row>
    <row r="26" spans="2:6" ht="13" x14ac:dyDescent="0.15">
      <c r="B26" s="3"/>
    </row>
    <row r="30" spans="2:6" ht="15.75" customHeight="1" x14ac:dyDescent="0.15">
      <c r="B30" s="8" t="s">
        <v>16</v>
      </c>
      <c r="C30" s="8" t="s">
        <v>18</v>
      </c>
      <c r="D30" s="8" t="s">
        <v>19</v>
      </c>
      <c r="E30" s="8" t="s">
        <v>20</v>
      </c>
      <c r="F30" s="29" t="s">
        <v>21</v>
      </c>
    </row>
    <row r="31" spans="2:6" ht="15.75" customHeight="1" x14ac:dyDescent="0.15">
      <c r="B31" s="30" t="s">
        <v>22</v>
      </c>
      <c r="C31" s="31">
        <v>0.2</v>
      </c>
      <c r="D31" s="31">
        <v>2000</v>
      </c>
      <c r="E31" s="32">
        <f>SUM(C4:C6)</f>
        <v>20000</v>
      </c>
      <c r="F31" s="31">
        <f t="shared" ref="F31:F35" si="3">E31*C31</f>
        <v>4000</v>
      </c>
    </row>
    <row r="32" spans="2:6" ht="15.75" customHeight="1" x14ac:dyDescent="0.15">
      <c r="B32" s="30" t="s">
        <v>23</v>
      </c>
      <c r="C32" s="31">
        <v>0.4</v>
      </c>
      <c r="D32" s="31">
        <v>2500</v>
      </c>
      <c r="E32" s="32">
        <f>E31</f>
        <v>20000</v>
      </c>
      <c r="F32" s="31">
        <f t="shared" si="3"/>
        <v>8000</v>
      </c>
    </row>
    <row r="33" spans="2:6" ht="15.75" customHeight="1" x14ac:dyDescent="0.15">
      <c r="B33" s="30" t="s">
        <v>24</v>
      </c>
      <c r="C33" s="31">
        <v>0.35</v>
      </c>
      <c r="D33" s="31">
        <v>3500</v>
      </c>
      <c r="E33" s="32">
        <f>0.9*E32</f>
        <v>18000</v>
      </c>
      <c r="F33" s="31">
        <f t="shared" si="3"/>
        <v>6300</v>
      </c>
    </row>
    <row r="34" spans="2:6" ht="15.75" customHeight="1" x14ac:dyDescent="0.15">
      <c r="B34" s="30" t="s">
        <v>25</v>
      </c>
      <c r="C34" s="31">
        <v>0.65</v>
      </c>
      <c r="D34" s="31">
        <v>2000</v>
      </c>
      <c r="E34" s="32">
        <f>0.6*E33</f>
        <v>10800</v>
      </c>
      <c r="F34" s="31">
        <f t="shared" si="3"/>
        <v>7020</v>
      </c>
    </row>
    <row r="35" spans="2:6" ht="15.75" customHeight="1" x14ac:dyDescent="0.15">
      <c r="B35" s="33" t="s">
        <v>29</v>
      </c>
      <c r="C35" s="34">
        <v>0.8</v>
      </c>
      <c r="D35" s="34">
        <v>4000</v>
      </c>
      <c r="E35" s="32">
        <f>2*(0.5*0.4*E33)</f>
        <v>7200</v>
      </c>
      <c r="F35" s="31">
        <f t="shared" si="3"/>
        <v>5760</v>
      </c>
    </row>
    <row r="36" spans="2:6" ht="15.75" customHeight="1" x14ac:dyDescent="0.15">
      <c r="B36" s="33" t="s">
        <v>8</v>
      </c>
      <c r="C36" s="31">
        <f t="shared" ref="C36:F36" si="4">SUM(C31:C35)</f>
        <v>2.4000000000000004</v>
      </c>
      <c r="D36" s="31">
        <f t="shared" si="4"/>
        <v>14000</v>
      </c>
      <c r="E36" s="32">
        <f t="shared" si="4"/>
        <v>76000</v>
      </c>
      <c r="F36" s="31">
        <f t="shared" si="4"/>
        <v>31080</v>
      </c>
    </row>
    <row r="38" spans="2:6" ht="15.75" customHeight="1" x14ac:dyDescent="0.15">
      <c r="B38" s="3"/>
    </row>
    <row r="41" spans="2:6" ht="15.75" customHeight="1" x14ac:dyDescent="0.15">
      <c r="B41" s="35" t="s">
        <v>26</v>
      </c>
      <c r="C41" s="26">
        <f>SUM(E8+D36+F36)</f>
        <v>68480</v>
      </c>
    </row>
    <row r="42" spans="2:6" ht="15.75" customHeight="1" x14ac:dyDescent="0.15">
      <c r="B42" s="35" t="s">
        <v>27</v>
      </c>
      <c r="C42" s="26">
        <f>D25</f>
        <v>82080</v>
      </c>
    </row>
    <row r="43" spans="2:6" ht="15.75" customHeight="1" x14ac:dyDescent="0.15">
      <c r="B43" s="35" t="s">
        <v>28</v>
      </c>
      <c r="C43" s="26">
        <f>C42-C41</f>
        <v>13600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J43"/>
  <sheetViews>
    <sheetView topLeftCell="B22" workbookViewId="0">
      <selection activeCell="C22" sqref="C22"/>
    </sheetView>
  </sheetViews>
  <sheetFormatPr baseColWidth="10" defaultColWidth="14.5" defaultRowHeight="15.75" customHeight="1" x14ac:dyDescent="0.15"/>
  <cols>
    <col min="1" max="1" width="14.5" style="4"/>
    <col min="2" max="2" width="27.33203125" style="4" customWidth="1"/>
    <col min="3" max="3" width="16.83203125" style="4" bestFit="1" customWidth="1"/>
    <col min="4" max="4" width="14.5" style="4"/>
    <col min="5" max="5" width="23.83203125" style="4" customWidth="1"/>
    <col min="6" max="6" width="27.5" style="4" customWidth="1"/>
    <col min="7" max="7" width="25.83203125" style="4" customWidth="1"/>
    <col min="8" max="16384" width="14.5" style="4"/>
  </cols>
  <sheetData>
    <row r="2" spans="2:10" ht="13" x14ac:dyDescent="0.15">
      <c r="B2" s="3"/>
    </row>
    <row r="3" spans="2:10" ht="13" x14ac:dyDescent="0.15">
      <c r="B3" s="5" t="s">
        <v>0</v>
      </c>
      <c r="C3" s="5" t="s">
        <v>1</v>
      </c>
      <c r="D3" s="5" t="s">
        <v>2</v>
      </c>
      <c r="E3" s="5" t="s">
        <v>5</v>
      </c>
    </row>
    <row r="4" spans="2:10" ht="13" x14ac:dyDescent="0.15">
      <c r="B4" s="6" t="s">
        <v>4</v>
      </c>
      <c r="C4" s="14">
        <f>(C8-C7)*(9/20)</f>
        <v>4565.2173913042889</v>
      </c>
      <c r="D4" s="14">
        <v>1</v>
      </c>
      <c r="E4" s="14">
        <f t="shared" ref="E4:E7" si="0">D4*C4</f>
        <v>4565.2173913042889</v>
      </c>
    </row>
    <row r="5" spans="2:10" ht="13" x14ac:dyDescent="0.15">
      <c r="B5" s="6" t="s">
        <v>6</v>
      </c>
      <c r="C5" s="14">
        <f>(C8-C7)*(6/20)</f>
        <v>3043.4782608695259</v>
      </c>
      <c r="D5" s="14">
        <v>0.8</v>
      </c>
      <c r="E5" s="14">
        <f t="shared" si="0"/>
        <v>2434.7826086956206</v>
      </c>
    </row>
    <row r="6" spans="2:10" ht="13" x14ac:dyDescent="0.15">
      <c r="B6" s="6" t="s">
        <v>7</v>
      </c>
      <c r="C6" s="14">
        <f>(C8-C7)/4</f>
        <v>2536.2318840579383</v>
      </c>
      <c r="D6" s="14">
        <v>1.2</v>
      </c>
      <c r="E6" s="14">
        <f t="shared" si="0"/>
        <v>3043.4782608695259</v>
      </c>
    </row>
    <row r="7" spans="2:10" ht="13" x14ac:dyDescent="0.15">
      <c r="B7" s="6" t="s">
        <v>9</v>
      </c>
      <c r="C7" s="14">
        <f>C24</f>
        <v>1826.0869565217154</v>
      </c>
      <c r="D7" s="14">
        <v>1</v>
      </c>
      <c r="E7" s="14">
        <f t="shared" si="0"/>
        <v>1826.0869565217154</v>
      </c>
    </row>
    <row r="8" spans="2:10" ht="13" x14ac:dyDescent="0.15">
      <c r="B8" s="6" t="s">
        <v>8</v>
      </c>
      <c r="C8" s="14">
        <f>C22*(1/3)+(C22/0.6)/0.9</f>
        <v>11971.014492753467</v>
      </c>
      <c r="D8" s="14">
        <f t="shared" ref="D8:E8" si="1">SUM(D4:D7)</f>
        <v>4</v>
      </c>
      <c r="E8" s="14">
        <f t="shared" si="1"/>
        <v>11869.565217391151</v>
      </c>
    </row>
    <row r="10" spans="2:10" ht="13" x14ac:dyDescent="0.15">
      <c r="B10" s="3"/>
      <c r="E10" s="3"/>
    </row>
    <row r="11" spans="2:10" ht="13" x14ac:dyDescent="0.15">
      <c r="D11" s="3"/>
      <c r="I11" s="48"/>
      <c r="J11" s="48"/>
    </row>
    <row r="12" spans="2:10" ht="13" x14ac:dyDescent="0.15">
      <c r="D12" s="3"/>
      <c r="I12" s="48"/>
      <c r="J12" s="48"/>
    </row>
    <row r="13" spans="2:10" ht="13" x14ac:dyDescent="0.15">
      <c r="B13" s="5" t="s">
        <v>10</v>
      </c>
      <c r="C13" s="5" t="s">
        <v>2</v>
      </c>
      <c r="D13" s="3"/>
      <c r="I13" s="48"/>
      <c r="J13" s="48"/>
    </row>
    <row r="14" spans="2:10" ht="13" x14ac:dyDescent="0.15">
      <c r="B14" s="6" t="s">
        <v>13</v>
      </c>
      <c r="C14" s="14">
        <v>5</v>
      </c>
      <c r="D14" s="3"/>
      <c r="I14" s="48"/>
      <c r="J14" s="48"/>
    </row>
    <row r="15" spans="2:10" ht="13" x14ac:dyDescent="0.15">
      <c r="B15" s="6" t="s">
        <v>15</v>
      </c>
      <c r="C15" s="14">
        <v>1.8</v>
      </c>
      <c r="D15" s="3"/>
      <c r="I15" s="48"/>
      <c r="J15" s="48"/>
    </row>
    <row r="16" spans="2:10" ht="13" x14ac:dyDescent="0.15">
      <c r="B16" s="6" t="s">
        <v>17</v>
      </c>
      <c r="C16" s="14">
        <v>6</v>
      </c>
      <c r="D16" s="3"/>
    </row>
    <row r="21" spans="2:6" ht="13" x14ac:dyDescent="0.15">
      <c r="B21" s="5" t="s">
        <v>10</v>
      </c>
      <c r="C21" s="5" t="s">
        <v>11</v>
      </c>
      <c r="D21" s="5" t="s">
        <v>12</v>
      </c>
    </row>
    <row r="22" spans="2:6" ht="13" x14ac:dyDescent="0.15">
      <c r="B22" s="6" t="s">
        <v>13</v>
      </c>
      <c r="C22" s="23">
        <v>5478.2608695651461</v>
      </c>
      <c r="D22" s="14">
        <f>C22*C14</f>
        <v>27391.304347825731</v>
      </c>
    </row>
    <row r="23" spans="2:6" ht="13" x14ac:dyDescent="0.15">
      <c r="B23" s="6" t="s">
        <v>15</v>
      </c>
      <c r="C23" s="14">
        <f>C22/3</f>
        <v>1826.0869565217154</v>
      </c>
      <c r="D23" s="14">
        <f>C23*C15</f>
        <v>3286.9565217390877</v>
      </c>
    </row>
    <row r="24" spans="2:6" ht="13" x14ac:dyDescent="0.15">
      <c r="B24" s="6" t="s">
        <v>17</v>
      </c>
      <c r="C24" s="14">
        <f>C23</f>
        <v>1826.0869565217154</v>
      </c>
      <c r="D24" s="14">
        <f>C24*C16</f>
        <v>10956.521739130292</v>
      </c>
    </row>
    <row r="25" spans="2:6" ht="15.75" customHeight="1" x14ac:dyDescent="0.15">
      <c r="B25" s="6" t="s">
        <v>8</v>
      </c>
      <c r="C25" s="14">
        <f>SUM(C22:C24)</f>
        <v>9130.4347826085759</v>
      </c>
      <c r="D25" s="14">
        <f t="shared" ref="C25:D25" si="2">SUM(D22:D24)</f>
        <v>41634.78260869511</v>
      </c>
    </row>
    <row r="26" spans="2:6" ht="13" x14ac:dyDescent="0.15">
      <c r="B26" s="3"/>
    </row>
    <row r="29" spans="2:6" ht="13" x14ac:dyDescent="0.15">
      <c r="B29" s="36"/>
      <c r="C29" s="36"/>
      <c r="D29" s="36"/>
      <c r="E29" s="36"/>
      <c r="F29" s="36"/>
    </row>
    <row r="30" spans="2:6" ht="15.75" customHeight="1" x14ac:dyDescent="0.15">
      <c r="B30" s="37" t="s">
        <v>16</v>
      </c>
      <c r="C30" s="38" t="s">
        <v>18</v>
      </c>
      <c r="D30" s="38" t="s">
        <v>19</v>
      </c>
      <c r="E30" s="38" t="s">
        <v>20</v>
      </c>
      <c r="F30" s="38" t="s">
        <v>21</v>
      </c>
    </row>
    <row r="31" spans="2:6" ht="15.75" customHeight="1" x14ac:dyDescent="0.15">
      <c r="B31" s="30" t="s">
        <v>22</v>
      </c>
      <c r="C31" s="31">
        <v>0.2</v>
      </c>
      <c r="D31" s="31">
        <v>2000</v>
      </c>
      <c r="E31" s="31">
        <f>(C22/0.6)/0.9</f>
        <v>10144.927536231753</v>
      </c>
      <c r="F31" s="31">
        <f t="shared" ref="F31:F35" si="3">E31*C31</f>
        <v>2028.9855072463506</v>
      </c>
    </row>
    <row r="32" spans="2:6" ht="15.75" customHeight="1" x14ac:dyDescent="0.15">
      <c r="B32" s="30" t="s">
        <v>23</v>
      </c>
      <c r="C32" s="31">
        <v>0.4</v>
      </c>
      <c r="D32" s="31">
        <v>2500</v>
      </c>
      <c r="E32" s="31">
        <f>E31</f>
        <v>10144.927536231753</v>
      </c>
      <c r="F32" s="31">
        <f t="shared" si="3"/>
        <v>4057.9710144927012</v>
      </c>
    </row>
    <row r="33" spans="2:7" ht="15.75" customHeight="1" x14ac:dyDescent="0.15">
      <c r="B33" s="30" t="s">
        <v>24</v>
      </c>
      <c r="C33" s="31">
        <v>0.35</v>
      </c>
      <c r="D33" s="31">
        <v>3500</v>
      </c>
      <c r="E33" s="31">
        <f>E31*0.9</f>
        <v>9130.4347826085777</v>
      </c>
      <c r="F33" s="31">
        <f t="shared" si="3"/>
        <v>3195.6521739130021</v>
      </c>
    </row>
    <row r="34" spans="2:7" ht="15.75" customHeight="1" x14ac:dyDescent="0.15">
      <c r="B34" s="30" t="s">
        <v>25</v>
      </c>
      <c r="C34" s="31">
        <v>0.65</v>
      </c>
      <c r="D34" s="31">
        <v>2000</v>
      </c>
      <c r="E34" s="31">
        <f>E33*0.6</f>
        <v>5478.2608695651461</v>
      </c>
      <c r="F34" s="31">
        <f t="shared" si="3"/>
        <v>3560.8695652173451</v>
      </c>
    </row>
    <row r="35" spans="2:7" ht="15.75" customHeight="1" x14ac:dyDescent="0.15">
      <c r="B35" s="30" t="s">
        <v>29</v>
      </c>
      <c r="C35" s="31">
        <v>0.8</v>
      </c>
      <c r="D35" s="31">
        <v>4000</v>
      </c>
      <c r="E35" s="31">
        <f>2*(0.5*0.4*E33)</f>
        <v>3652.1739130434312</v>
      </c>
      <c r="F35" s="31">
        <f t="shared" si="3"/>
        <v>2921.7391304347452</v>
      </c>
    </row>
    <row r="36" spans="2:7" ht="15.75" customHeight="1" x14ac:dyDescent="0.15">
      <c r="B36" s="30" t="s">
        <v>8</v>
      </c>
      <c r="C36" s="31">
        <f t="shared" ref="C36:F36" si="4">SUM(C31:C35)</f>
        <v>2.4000000000000004</v>
      </c>
      <c r="D36" s="31">
        <f t="shared" si="4"/>
        <v>14000</v>
      </c>
      <c r="E36" s="31">
        <f t="shared" si="4"/>
        <v>38550.724637680658</v>
      </c>
      <c r="F36" s="31">
        <f t="shared" si="4"/>
        <v>15765.217391304144</v>
      </c>
    </row>
    <row r="38" spans="2:7" ht="15.75" customHeight="1" x14ac:dyDescent="0.15">
      <c r="B38" s="3"/>
    </row>
    <row r="41" spans="2:7" ht="15.75" customHeight="1" x14ac:dyDescent="0.15">
      <c r="B41" s="39" t="s">
        <v>26</v>
      </c>
      <c r="C41" s="26">
        <f>SUM(E8+D36+F36)</f>
        <v>41634.782608695299</v>
      </c>
      <c r="E41" s="47" t="s">
        <v>39</v>
      </c>
      <c r="F41" s="47"/>
      <c r="G41" s="47"/>
    </row>
    <row r="42" spans="2:7" ht="15.75" customHeight="1" x14ac:dyDescent="0.15">
      <c r="B42" s="40" t="s">
        <v>27</v>
      </c>
      <c r="C42" s="26">
        <f>D25</f>
        <v>41634.78260869511</v>
      </c>
    </row>
    <row r="43" spans="2:7" ht="15.75" customHeight="1" x14ac:dyDescent="0.15">
      <c r="B43" s="41" t="s">
        <v>28</v>
      </c>
      <c r="C43" s="26">
        <f>C42-C41</f>
        <v>-1.8917489796876907E-10</v>
      </c>
    </row>
  </sheetData>
  <mergeCells count="2">
    <mergeCell ref="I11:J15"/>
    <mergeCell ref="E41:G4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Z1004"/>
  <sheetViews>
    <sheetView workbookViewId="0">
      <selection activeCell="A11" sqref="A11:J11"/>
    </sheetView>
  </sheetViews>
  <sheetFormatPr baseColWidth="10" defaultColWidth="14.5" defaultRowHeight="15.75" customHeight="1" x14ac:dyDescent="0.2"/>
  <cols>
    <col min="1" max="16384" width="14.5" style="42"/>
  </cols>
  <sheetData>
    <row r="2" spans="1:26" ht="16" x14ac:dyDescent="0.2">
      <c r="A2" s="49" t="s">
        <v>30</v>
      </c>
      <c r="B2" s="49"/>
      <c r="C2" s="49"/>
      <c r="D2" s="49"/>
      <c r="E2" s="49"/>
      <c r="F2" s="43"/>
      <c r="G2" s="43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51" customHeight="1" x14ac:dyDescent="0.2">
      <c r="A3" s="54" t="s">
        <v>40</v>
      </c>
      <c r="B3" s="54"/>
      <c r="C3" s="54"/>
      <c r="D3" s="54"/>
      <c r="E3" s="54"/>
      <c r="F3" s="43"/>
      <c r="G3" s="43"/>
      <c r="H3" s="43"/>
      <c r="I3" s="43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6" x14ac:dyDescent="0.2"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6" x14ac:dyDescent="0.2">
      <c r="A5" s="51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6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8.5" customHeight="1" x14ac:dyDescent="0.2">
      <c r="A7" s="53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6" x14ac:dyDescent="0.2">
      <c r="A8" s="45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6" x14ac:dyDescent="0.2">
      <c r="A9" s="51" t="s">
        <v>32</v>
      </c>
      <c r="B9" s="52"/>
      <c r="C9" s="52"/>
      <c r="D9" s="52"/>
      <c r="E9" s="52"/>
      <c r="F9" s="52"/>
      <c r="G9" s="52"/>
      <c r="H9" s="52"/>
      <c r="I9" s="52"/>
      <c r="J9" s="52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6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6" x14ac:dyDescent="0.2">
      <c r="A11" s="50" t="s">
        <v>42</v>
      </c>
      <c r="B11" s="50"/>
      <c r="C11" s="50"/>
      <c r="D11" s="50"/>
      <c r="E11" s="50"/>
      <c r="F11" s="50"/>
      <c r="G11" s="50"/>
      <c r="H11" s="50"/>
      <c r="I11" s="50"/>
      <c r="J11" s="50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6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6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6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6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6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6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6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6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6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6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6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6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6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6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6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6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6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6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6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6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6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6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6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6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6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6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6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6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6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6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6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6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6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6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6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6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6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6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6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6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6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6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6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6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6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6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6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6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6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6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6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6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6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6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6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6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6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6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6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6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6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6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6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6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6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6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6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6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6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6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6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6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6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6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6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6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6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6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6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6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6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6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6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6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6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6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6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6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6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6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6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6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6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6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6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6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6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6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6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6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6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6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6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6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6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6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6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6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6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6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6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6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6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6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6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6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6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6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6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6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6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6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6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6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6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6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6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6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6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6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6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6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6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6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6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6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6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6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6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6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6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6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6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6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6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6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6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6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6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6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6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6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6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6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6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6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6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6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6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6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6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6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6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6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6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6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6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6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6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6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6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6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6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6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6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6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6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6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6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6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6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6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6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6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6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6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6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6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6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6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6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6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6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6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6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6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6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6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6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6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6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6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6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6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6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6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6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6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6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6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6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6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6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6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6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6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6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6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6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6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6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6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6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6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6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6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6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6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6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6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6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6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6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6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6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6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6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6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6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6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6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6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6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6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6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6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6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6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6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6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6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6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6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6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6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6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6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6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6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6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6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6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6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6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6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6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6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6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6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6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6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6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6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6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6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6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6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6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6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6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6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6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6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6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6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6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6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6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6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6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6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6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6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6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6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6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6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6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6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6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6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6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6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6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6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6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6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6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6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6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6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6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6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6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6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6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6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6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6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6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6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6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6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6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6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6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6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6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6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6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6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6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6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6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6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6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6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6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6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6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6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6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6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6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6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6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6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6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6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6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6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6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6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6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6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6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6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6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6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6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6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6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6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6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6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6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6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6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6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6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6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6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6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6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6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6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6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6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6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6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6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6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6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6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6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6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6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6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6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6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6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6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6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6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6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6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6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6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6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6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6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6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6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6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6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6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6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6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6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6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6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6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6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6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6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6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6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6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6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6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6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6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6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6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6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6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6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6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6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6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6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6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6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6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6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6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6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6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6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6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6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6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6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6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6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6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6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6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6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6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6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6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6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6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6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6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6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6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6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6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6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6" x14ac:dyDescent="0.2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6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6" x14ac:dyDescent="0.2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6" x14ac:dyDescent="0.2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6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6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6" x14ac:dyDescent="0.2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6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6" x14ac:dyDescent="0.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6" x14ac:dyDescent="0.2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6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6" x14ac:dyDescent="0.2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6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6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6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6" x14ac:dyDescent="0.2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6" x14ac:dyDescent="0.2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6" x14ac:dyDescent="0.2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6" x14ac:dyDescent="0.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6" x14ac:dyDescent="0.2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6" x14ac:dyDescent="0.2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6" x14ac:dyDescent="0.2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6" x14ac:dyDescent="0.2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6" x14ac:dyDescent="0.2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6" x14ac:dyDescent="0.2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6" x14ac:dyDescent="0.2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6" x14ac:dyDescent="0.2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6" x14ac:dyDescent="0.2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6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6" x14ac:dyDescent="0.2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6" x14ac:dyDescent="0.2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6" x14ac:dyDescent="0.2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6" x14ac:dyDescent="0.2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6" x14ac:dyDescent="0.2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6" x14ac:dyDescent="0.2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6" x14ac:dyDescent="0.2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6" x14ac:dyDescent="0.2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6" x14ac:dyDescent="0.2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6" x14ac:dyDescent="0.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6" x14ac:dyDescent="0.2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6" x14ac:dyDescent="0.2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6" x14ac:dyDescent="0.2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6" x14ac:dyDescent="0.2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6" x14ac:dyDescent="0.2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6" x14ac:dyDescent="0.2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6" x14ac:dyDescent="0.2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6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6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6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6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6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6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6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6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6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6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6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6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6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6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6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6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6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6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6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6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6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6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6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6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6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6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6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6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6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6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6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6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6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6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6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6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6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6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6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6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6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6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6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6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6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6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6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6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6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6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6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6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6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6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6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6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6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6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6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6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6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6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6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6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6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6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6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6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6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6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6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6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6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6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6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6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6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6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6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6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6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6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6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6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6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6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6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6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6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6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6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6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6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6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6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6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6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6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6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6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6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6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6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6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6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6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6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6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6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6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6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6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6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6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6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6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6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6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6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6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6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6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6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6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6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6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6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6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6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6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6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6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6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6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6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6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6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6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6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6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6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6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6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6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6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6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6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6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6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6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6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6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6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6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6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6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6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6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6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6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6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6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6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6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6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6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6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6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6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6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6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6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6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6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6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6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6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6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6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6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6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6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6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6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6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6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6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6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6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6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6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6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6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6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6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6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6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6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6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6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6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6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6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6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6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6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6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6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6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6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6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6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6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6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6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6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6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6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6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6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6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6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6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6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6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6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6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6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6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6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6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6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6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6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6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6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6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6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6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6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6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6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6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6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6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6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6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6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6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6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6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6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6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6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6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6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6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6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6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6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6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6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6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6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6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6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6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6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6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6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6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6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6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6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6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6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6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6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6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6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6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6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6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6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6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6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6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6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6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6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6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6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6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6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6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6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6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6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6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6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6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6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6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6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6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6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6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6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6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6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6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6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6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6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6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6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6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6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6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6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6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6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6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6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6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6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6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6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6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6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6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6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6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6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6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6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6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6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6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6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6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6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6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6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6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6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6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6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6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6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6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6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6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6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6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6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6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6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6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6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6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6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6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6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6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6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6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6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6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6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6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6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6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6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6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6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6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6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6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6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6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6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6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6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6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6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6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6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6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6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6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6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6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6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6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6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6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6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6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6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6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6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6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6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6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6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6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6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6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6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6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6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6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6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6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6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6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6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6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6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6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6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6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6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6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6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6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6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6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6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6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6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6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6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6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6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6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6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6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6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6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6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6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6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6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6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6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6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6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6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6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6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6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6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6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6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6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6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6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6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6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6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6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6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6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6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6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6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6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6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6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6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6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6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6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6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6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6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6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6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6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6" x14ac:dyDescent="0.2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6" x14ac:dyDescent="0.2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6" x14ac:dyDescent="0.2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16" x14ac:dyDescent="0.2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</sheetData>
  <mergeCells count="6">
    <mergeCell ref="A2:E2"/>
    <mergeCell ref="A11:J11"/>
    <mergeCell ref="A5:J6"/>
    <mergeCell ref="A9:J10"/>
    <mergeCell ref="A7:J7"/>
    <mergeCell ref="A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GRUPO</vt:lpstr>
      <vt:lpstr>Situação Atual</vt:lpstr>
      <vt:lpstr>PE - Situação Atual</vt:lpstr>
      <vt:lpstr>Situação MAGNATEX</vt:lpstr>
      <vt:lpstr>PE - Situação MAGNATEX</vt:lpstr>
      <vt:lpstr>Perguntas propostas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</dc:creator>
  <cp:lastModifiedBy>Microsoft Office User</cp:lastModifiedBy>
  <dcterms:created xsi:type="dcterms:W3CDTF">2020-04-14T05:06:32Z</dcterms:created>
  <dcterms:modified xsi:type="dcterms:W3CDTF">2023-05-11T11:33:32Z</dcterms:modified>
</cp:coreProperties>
</file>