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H:\EleMaqIII 2019\Planilhas_calculo_engrenagens\"/>
    </mc:Choice>
  </mc:AlternateContent>
  <xr:revisionPtr revIDLastSave="0" documentId="13_ncr:1_{F6AE4689-A72A-4278-87FE-DD091161ABFB}" xr6:coauthVersionLast="41" xr6:coauthVersionMax="41" xr10:uidLastSave="{00000000-0000-0000-0000-000000000000}"/>
  <bookViews>
    <workbookView xWindow="-108" yWindow="-108" windowWidth="23256" windowHeight="12600" xr2:uid="{00000000-000D-0000-FFFF-FFFF00000000}"/>
  </bookViews>
  <sheets>
    <sheet name="Calc engren Niemann" sheetId="1" r:id="rId1"/>
    <sheet name="Tabela função evolvente" sheetId="2" r:id="rId2"/>
  </sheets>
  <definedNames>
    <definedName name="_xlnm.Print_Area" localSheetId="0">'Calc engren Niemann'!$A$1:$K$526</definedName>
    <definedName name="BuiltIn_Print_Area">'Calc engren Niemann'!$A$1:$K$524</definedName>
    <definedName name="BuiltIn_Print_Area___0">'Tabela função evolvente'!$A$1:$H$47</definedName>
  </definedNames>
  <calcPr calcId="181029"/>
</workbook>
</file>

<file path=xl/calcChain.xml><?xml version="1.0" encoding="utf-8"?>
<calcChain xmlns="http://schemas.openxmlformats.org/spreadsheetml/2006/main">
  <c r="F21" i="1" l="1"/>
  <c r="E52" i="1" s="1"/>
  <c r="F23" i="1"/>
  <c r="E55" i="1"/>
  <c r="H58" i="1"/>
  <c r="E60" i="1"/>
  <c r="H68" i="1"/>
  <c r="B65" i="1" s="1"/>
  <c r="F71" i="1"/>
  <c r="H71" i="1" s="1"/>
  <c r="H128" i="1"/>
  <c r="H130" i="1"/>
  <c r="E159" i="1"/>
  <c r="J159" i="1" s="1"/>
  <c r="H166" i="1"/>
  <c r="H182" i="1"/>
  <c r="H243" i="1"/>
  <c r="J243" i="1" s="1"/>
  <c r="C270" i="1"/>
  <c r="H272" i="1"/>
  <c r="H274" i="1"/>
  <c r="K350" i="1"/>
  <c r="H394" i="1"/>
  <c r="H396" i="1"/>
  <c r="K458" i="1"/>
  <c r="K504" i="1"/>
  <c r="G7" i="2"/>
  <c r="I5" i="2" s="1"/>
  <c r="H87" i="1" l="1"/>
  <c r="D105" i="1"/>
  <c r="E76" i="1"/>
  <c r="H76" i="1" s="1"/>
  <c r="H169" i="1"/>
  <c r="H124" i="1"/>
  <c r="H85" i="1"/>
  <c r="H233" i="1"/>
  <c r="H92" i="1" l="1"/>
  <c r="H97" i="1"/>
  <c r="H138" i="1" s="1"/>
  <c r="K210" i="1" s="1"/>
  <c r="H210" i="1" s="1"/>
  <c r="H217" i="1" s="1"/>
  <c r="H79" i="1"/>
  <c r="H81" i="1"/>
  <c r="H430" i="1"/>
  <c r="H115" i="1"/>
  <c r="H118" i="1" s="1"/>
  <c r="H90" i="1"/>
  <c r="H122" i="1"/>
  <c r="H239" i="1"/>
  <c r="H411" i="1" s="1"/>
  <c r="D65" i="1"/>
  <c r="H95" i="1"/>
  <c r="H136" i="1" s="1"/>
  <c r="H152" i="1"/>
  <c r="H143" i="1" l="1"/>
  <c r="H417" i="1"/>
  <c r="H419" i="1"/>
  <c r="H311" i="1"/>
  <c r="E199" i="1"/>
  <c r="H172" i="1"/>
  <c r="H175" i="1" s="1"/>
  <c r="H108" i="1"/>
  <c r="H112" i="1" s="1"/>
  <c r="H426" i="1" s="1"/>
  <c r="H246" i="1"/>
  <c r="H141" i="1"/>
  <c r="K208" i="1"/>
  <c r="H446" i="1" l="1"/>
  <c r="H296" i="1"/>
  <c r="H305" i="1"/>
  <c r="H485" i="1"/>
  <c r="H208" i="1"/>
  <c r="H491" i="1" l="1"/>
  <c r="H488" i="1"/>
  <c r="H215" i="1"/>
  <c r="H212" i="1"/>
  <c r="H221" i="1" s="1"/>
  <c r="D307" i="1"/>
  <c r="F314" i="1"/>
  <c r="I314" i="1"/>
  <c r="H190" i="1"/>
  <c r="H193" i="1"/>
  <c r="H198" i="1" s="1"/>
  <c r="I317" i="1" l="1"/>
  <c r="H335" i="1" s="1"/>
  <c r="H196" i="1"/>
  <c r="C326" i="1"/>
  <c r="E227" i="1"/>
  <c r="H285" i="1"/>
  <c r="H290" i="1" s="1"/>
  <c r="H497" i="1" l="1"/>
  <c r="F344" i="1"/>
  <c r="H358" i="1" s="1"/>
  <c r="H495" i="1"/>
  <c r="H451" i="1"/>
  <c r="H469" i="1" s="1"/>
  <c r="H287" i="1"/>
  <c r="H292" i="1" s="1"/>
  <c r="I344" i="1" s="1"/>
  <c r="H361" i="1" s="1"/>
  <c r="H229" i="1"/>
  <c r="H438" i="1" s="1"/>
  <c r="H225" i="1"/>
  <c r="H434" i="1" s="1"/>
  <c r="H442" i="1" s="1"/>
  <c r="H449" i="1" s="1"/>
  <c r="H466" i="1" s="1"/>
  <c r="D515" i="1" l="1"/>
  <c r="G515" i="1"/>
  <c r="D513" i="1"/>
  <c r="G513" i="1"/>
</calcChain>
</file>

<file path=xl/sharedStrings.xml><?xml version="1.0" encoding="utf-8"?>
<sst xmlns="http://schemas.openxmlformats.org/spreadsheetml/2006/main" count="315" uniqueCount="300">
  <si>
    <t xml:space="preserve">     Cálculo de engrenagens cilíndricas</t>
  </si>
  <si>
    <t>Método de Niemann</t>
  </si>
  <si>
    <t xml:space="preserve">Prof. João Lirani e Prof Klaus Schützer </t>
  </si>
  <si>
    <t>Dados de entrada</t>
  </si>
  <si>
    <t>identificação do projeto</t>
  </si>
  <si>
    <t>relação de transmissão</t>
  </si>
  <si>
    <t>-</t>
  </si>
  <si>
    <t>entrar dados</t>
  </si>
  <si>
    <t xml:space="preserve">rotação </t>
  </si>
  <si>
    <t>rpm</t>
  </si>
  <si>
    <t>potência  de entrada</t>
  </si>
  <si>
    <t>N</t>
  </si>
  <si>
    <t>HP</t>
  </si>
  <si>
    <t xml:space="preserve"> </t>
  </si>
  <si>
    <t>módulo normal</t>
  </si>
  <si>
    <t>-</t>
  </si>
  <si>
    <t>ângulo de pressão normal</t>
  </si>
  <si>
    <t>graus</t>
  </si>
  <si>
    <t>ângulo de hélice no diam. primitivo</t>
  </si>
  <si>
    <t>b</t>
  </si>
  <si>
    <t>graus</t>
  </si>
  <si>
    <t xml:space="preserve"> </t>
  </si>
  <si>
    <t xml:space="preserve">       = (7/6) * módulo</t>
  </si>
  <si>
    <t>raio no pé do dente</t>
  </si>
  <si>
    <t>mm</t>
  </si>
  <si>
    <t>correção da engrenagem menor</t>
  </si>
  <si>
    <r>
      <t xml:space="preserve"> </t>
    </r>
    <r>
      <rPr>
        <sz val="11.9"/>
        <color indexed="8"/>
        <rFont val="Arial"/>
        <family val="2"/>
      </rPr>
      <t xml:space="preserve"> = </t>
    </r>
    <r>
      <rPr>
        <sz val="11.9"/>
        <color indexed="8"/>
        <rFont val="Symbol"/>
        <family val="1"/>
        <charset val="2"/>
      </rPr>
      <t xml:space="preserve">d </t>
    </r>
    <r>
      <rPr>
        <sz val="11.9"/>
        <color indexed="8"/>
        <rFont val="Arial"/>
        <family val="2"/>
      </rPr>
      <t>Aula 3</t>
    </r>
  </si>
  <si>
    <t>correção da engrenagem maior</t>
  </si>
  <si>
    <t>mm</t>
  </si>
  <si>
    <t>engrenagem motora   1 ou 2 ?</t>
  </si>
  <si>
    <t xml:space="preserve"> </t>
  </si>
  <si>
    <t>-</t>
  </si>
  <si>
    <t>qualidade da engrenagem DIN 3962  Tab 22.12</t>
  </si>
  <si>
    <t>-</t>
  </si>
  <si>
    <t>tipo de serviço : continuo =1 ; intermitente =2</t>
  </si>
  <si>
    <t>-</t>
  </si>
  <si>
    <t>temperatura de serviço</t>
  </si>
  <si>
    <t xml:space="preserve"> </t>
  </si>
  <si>
    <t>órgão acionador</t>
  </si>
  <si>
    <t>órgão acionado</t>
  </si>
  <si>
    <t>1 - Cálculos geométricos</t>
  </si>
  <si>
    <t>a) Geometria e cinemática do Par</t>
  </si>
  <si>
    <t>escolher</t>
  </si>
  <si>
    <t xml:space="preserve"> número de dentes  </t>
  </si>
  <si>
    <t>relação de transmissão efetiva</t>
  </si>
  <si>
    <t>erro em relação à  pedida</t>
  </si>
  <si>
    <t>%</t>
  </si>
  <si>
    <t>largura dos dentes</t>
  </si>
  <si>
    <t>mm</t>
  </si>
  <si>
    <t>módulo frontal</t>
  </si>
  <si>
    <t xml:space="preserve"> </t>
  </si>
  <si>
    <t>âng de pressão frontal</t>
  </si>
  <si>
    <t>graus</t>
  </si>
  <si>
    <t xml:space="preserve"> </t>
  </si>
  <si>
    <t>âng hélice no diam base</t>
  </si>
  <si>
    <t>graus</t>
  </si>
  <si>
    <t>numero equiv dentes</t>
  </si>
  <si>
    <t>dentes</t>
  </si>
  <si>
    <t>dentes</t>
  </si>
  <si>
    <t>diâmetro primitivo frontal</t>
  </si>
  <si>
    <t>eng menor</t>
  </si>
  <si>
    <t>mm</t>
  </si>
  <si>
    <t>eng maior</t>
  </si>
  <si>
    <t>mm</t>
  </si>
  <si>
    <t>diâmetro de base</t>
  </si>
  <si>
    <t>mm</t>
  </si>
  <si>
    <t>mm</t>
  </si>
  <si>
    <t xml:space="preserve">diâmetro externo sem correção </t>
  </si>
  <si>
    <t>mm</t>
  </si>
  <si>
    <t>mm</t>
  </si>
  <si>
    <t>b) Engrenagem corrigida</t>
  </si>
  <si>
    <t xml:space="preserve">ângulo de pressão no diâmetro de rolamento - secção frontal </t>
  </si>
  <si>
    <t xml:space="preserve"> </t>
  </si>
  <si>
    <t>Resolver na tabela de</t>
  </si>
  <si>
    <t>função evolvente anexa</t>
  </si>
  <si>
    <t>ângulo de hélice no diâmetro de rolamento</t>
  </si>
  <si>
    <t>graus</t>
  </si>
  <si>
    <t xml:space="preserve">ângulo de pressão no diâmetro de rolamento - secção normal </t>
  </si>
  <si>
    <t>graus</t>
  </si>
  <si>
    <t xml:space="preserve">distância entre centros sem correção       </t>
  </si>
  <si>
    <t xml:space="preserve"> </t>
  </si>
  <si>
    <t>[mm]</t>
  </si>
  <si>
    <t xml:space="preserve">distância entre centros corrigida       </t>
  </si>
  <si>
    <t>[mm]</t>
  </si>
  <si>
    <t xml:space="preserve">diâmetro de rolamento </t>
  </si>
  <si>
    <t>[mm]</t>
  </si>
  <si>
    <t>[mm]</t>
  </si>
  <si>
    <t>diâmetro corrigido de raiz</t>
  </si>
  <si>
    <t>[mm]</t>
  </si>
  <si>
    <t>[mm]</t>
  </si>
  <si>
    <t>diâmetro externo corrigido segundo Niemann</t>
  </si>
  <si>
    <t>[mm]</t>
  </si>
  <si>
    <t xml:space="preserve"> </t>
  </si>
  <si>
    <t>[mm]</t>
  </si>
  <si>
    <t xml:space="preserve"> </t>
  </si>
  <si>
    <t>adendo corrigido</t>
  </si>
  <si>
    <t>c) Desvios geométricos</t>
  </si>
  <si>
    <t xml:space="preserve">desvio de passo de engrenamento   </t>
  </si>
  <si>
    <t xml:space="preserve"> </t>
  </si>
  <si>
    <t xml:space="preserve">     Tab 22.12 pg 193</t>
  </si>
  <si>
    <t>[microns]</t>
  </si>
  <si>
    <t xml:space="preserve"> </t>
  </si>
  <si>
    <t>desvio de forma dos flancos</t>
  </si>
  <si>
    <t>DIN 3961 - segundo Klaus Schuetzer pg 75</t>
  </si>
  <si>
    <t>correção   =</t>
  </si>
  <si>
    <t>Até qualidade 9, correção=1,4; Acima de qualidade 9, correção=1,6</t>
  </si>
  <si>
    <t>[microns]</t>
  </si>
  <si>
    <t>[microns]</t>
  </si>
  <si>
    <t>desvio de passo de rolamento intermitente</t>
  </si>
  <si>
    <t>DIN 3961 - idem</t>
  </si>
  <si>
    <t xml:space="preserve"> </t>
  </si>
  <si>
    <t>microns</t>
  </si>
  <si>
    <t>microns ;</t>
  </si>
  <si>
    <t>microns</t>
  </si>
  <si>
    <t xml:space="preserve"> </t>
  </si>
  <si>
    <t>[microns]</t>
  </si>
  <si>
    <t xml:space="preserve">desvio de direção dos flancos </t>
  </si>
  <si>
    <t xml:space="preserve">     Tab 22.12 pg 193</t>
  </si>
  <si>
    <t>Ver também K. Schuetzer pg 76</t>
  </si>
  <si>
    <t>microns</t>
  </si>
  <si>
    <t>desvio de direção dos flancos após amaciamento</t>
  </si>
  <si>
    <t xml:space="preserve">  - ver  Tab 22.12  pg  193</t>
  </si>
  <si>
    <t xml:space="preserve">          coef apoio dos mancais  </t>
  </si>
  <si>
    <t xml:space="preserve"> </t>
  </si>
  <si>
    <t xml:space="preserve"> </t>
  </si>
  <si>
    <t>microns</t>
  </si>
  <si>
    <t>microns</t>
  </si>
  <si>
    <t>microns</t>
  </si>
  <si>
    <t xml:space="preserve"> da Tab 22.2</t>
  </si>
  <si>
    <t>microns</t>
  </si>
  <si>
    <t xml:space="preserve"> </t>
  </si>
  <si>
    <r>
      <t xml:space="preserve">     Para cálculo de </t>
    </r>
    <r>
      <rPr>
        <sz val="11.9"/>
        <color indexed="8"/>
        <rFont val="Symbol"/>
        <family val="1"/>
        <charset val="2"/>
      </rPr>
      <t xml:space="preserve">ew </t>
    </r>
    <r>
      <rPr>
        <sz val="11.9"/>
        <color indexed="8"/>
        <rFont val="Arial"/>
        <family val="2"/>
      </rPr>
      <t xml:space="preserve"> - eq. 15 e Tab. 22.22 pag 198 - Niemann</t>
    </r>
  </si>
  <si>
    <t xml:space="preserve">    </t>
  </si>
  <si>
    <t>c) Graus de recobrimento</t>
  </si>
  <si>
    <t>grau de recobrimento na secção transversal</t>
  </si>
  <si>
    <t xml:space="preserve"> </t>
  </si>
  <si>
    <t xml:space="preserve"> </t>
  </si>
  <si>
    <t xml:space="preserve"> </t>
  </si>
  <si>
    <t xml:space="preserve"> </t>
  </si>
  <si>
    <t>grau de recobrimento na secção normal</t>
  </si>
  <si>
    <t xml:space="preserve"> </t>
  </si>
  <si>
    <t xml:space="preserve">grau de recobrimento efetivo </t>
  </si>
  <si>
    <t>grau de recobrimento intermitente</t>
  </si>
  <si>
    <t xml:space="preserve">d) velocidade  e esforços </t>
  </si>
  <si>
    <t>velocidade tangencial no diam primitivo</t>
  </si>
  <si>
    <t>m/s</t>
  </si>
  <si>
    <t>momento torçor</t>
  </si>
  <si>
    <t>N.m</t>
  </si>
  <si>
    <t>kgf.mm</t>
  </si>
  <si>
    <t>força tangencial média</t>
  </si>
  <si>
    <t>kgf</t>
  </si>
  <si>
    <t>2 - Verificações</t>
  </si>
  <si>
    <r>
      <t>I)   Ruptura do dente por flexão S</t>
    </r>
    <r>
      <rPr>
        <b/>
        <sz val="11.9"/>
        <color indexed="8"/>
        <rFont val="Arial"/>
        <family val="2"/>
      </rPr>
      <t xml:space="preserve">B  </t>
    </r>
  </si>
  <si>
    <t xml:space="preserve"> - tensão limite à flexão do material</t>
  </si>
  <si>
    <r>
      <t xml:space="preserve"> [kgf/mm</t>
    </r>
    <r>
      <rPr>
        <sz val="11.9"/>
        <color indexed="8"/>
        <rFont val="Arial"/>
        <family val="2"/>
      </rPr>
      <t>2]</t>
    </r>
  </si>
  <si>
    <t>Tab 22.25 pg 199</t>
  </si>
  <si>
    <r>
      <t xml:space="preserve"> [kgf/mm</t>
    </r>
    <r>
      <rPr>
        <sz val="11.9"/>
        <color indexed="8"/>
        <rFont val="Arial"/>
        <family val="2"/>
      </rPr>
      <t>2]</t>
    </r>
  </si>
  <si>
    <t xml:space="preserve"> </t>
  </si>
  <si>
    <t xml:space="preserve"> - coef de concentração de tensão Fig 22.22 pg 167</t>
  </si>
  <si>
    <t xml:space="preserve">Tensão admissível de fadiga à flexão </t>
  </si>
  <si>
    <r>
      <t xml:space="preserve"> [kgf/mm</t>
    </r>
    <r>
      <rPr>
        <sz val="11.9"/>
        <color indexed="8"/>
        <rFont val="Arial"/>
        <family val="2"/>
      </rPr>
      <t>2]</t>
    </r>
  </si>
  <si>
    <r>
      <t xml:space="preserve"> [kgf/mm</t>
    </r>
    <r>
      <rPr>
        <sz val="11.9"/>
        <color indexed="8"/>
        <rFont val="Arial"/>
        <family val="2"/>
      </rPr>
      <t>2]</t>
    </r>
  </si>
  <si>
    <t>Cálculo da tensão de trabalho</t>
  </si>
  <si>
    <t xml:space="preserve"> - coef de forma . Fig 22.40 pg 198</t>
  </si>
  <si>
    <t xml:space="preserve"> - coef grau recobrimento</t>
  </si>
  <si>
    <t xml:space="preserve"> </t>
  </si>
  <si>
    <t xml:space="preserve"> - coef efetivo tensão no pé do dente</t>
  </si>
  <si>
    <t xml:space="preserve"> </t>
  </si>
  <si>
    <t>Tensão nominal média</t>
  </si>
  <si>
    <r>
      <t xml:space="preserve"> [ kgf/ mm</t>
    </r>
    <r>
      <rPr>
        <sz val="11.9"/>
        <color indexed="8"/>
        <rFont val="Arial"/>
        <family val="2"/>
      </rPr>
      <t>2]</t>
    </r>
  </si>
  <si>
    <t xml:space="preserve">Coeficiente de Impacto           </t>
  </si>
  <si>
    <t>Tab 22.18 pg 195</t>
  </si>
  <si>
    <t xml:space="preserve">Coeficiente dinâmico </t>
  </si>
  <si>
    <t>carga por unidade de largura</t>
  </si>
  <si>
    <t>[kgf/mm]</t>
  </si>
  <si>
    <t>carga dinâmica por largura   Fig 22.37 pg 195</t>
  </si>
  <si>
    <t>[kgf/mm]</t>
  </si>
  <si>
    <t xml:space="preserve">erro combinado </t>
  </si>
  <si>
    <t>[microns]</t>
  </si>
  <si>
    <t xml:space="preserve">Coeficiente de distribuição de carga pela largura  </t>
  </si>
  <si>
    <t>Coeficiente da influencia do material sobre distribuição p de carga  Tab 22.19</t>
  </si>
  <si>
    <t>. Da tab 22.19 pg 196</t>
  </si>
  <si>
    <t xml:space="preserve">Coeficiente de distribuição de carga para dentes helicoidais  </t>
  </si>
  <si>
    <t>Da Fig 22.38  pg 196</t>
  </si>
  <si>
    <t xml:space="preserve">Tensão efetiva de trabalho   </t>
  </si>
  <si>
    <t xml:space="preserve"> [ kgf/ mm2]</t>
  </si>
  <si>
    <t xml:space="preserve">Coeficiente de segurança quanto a ruptura à flexão  </t>
  </si>
  <si>
    <t xml:space="preserve">          Valores limites de referência  para           </t>
  </si>
  <si>
    <t xml:space="preserve">Transmissão para serviço contínuo        </t>
  </si>
  <si>
    <t xml:space="preserve">Transmissão para serviço intermitente        </t>
  </si>
  <si>
    <t>Vida quanto a ruptura por flexão</t>
  </si>
  <si>
    <t xml:space="preserve"> </t>
  </si>
  <si>
    <t>horas</t>
  </si>
  <si>
    <t xml:space="preserve"> </t>
  </si>
  <si>
    <t>horas</t>
  </si>
  <si>
    <r>
      <t>II) Tensão de fadiga de contato  S</t>
    </r>
    <r>
      <rPr>
        <b/>
        <sz val="11.9"/>
        <color indexed="8"/>
        <rFont val="Arial"/>
        <family val="2"/>
      </rPr>
      <t>G ( pressão específica no flanco, ou ainda "pitting")</t>
    </r>
  </si>
  <si>
    <t xml:space="preserve"> </t>
  </si>
  <si>
    <t xml:space="preserve"> </t>
  </si>
  <si>
    <t xml:space="preserve"> </t>
  </si>
  <si>
    <t>Tensão admissível  à fadiga de contato</t>
  </si>
  <si>
    <t>onde</t>
  </si>
  <si>
    <t xml:space="preserve"> - tensão limite à fadiga de contato.</t>
  </si>
  <si>
    <r>
      <t>[kgf/mm</t>
    </r>
    <r>
      <rPr>
        <sz val="11.9"/>
        <color indexed="8"/>
        <rFont val="Arial"/>
        <family val="2"/>
      </rPr>
      <t>2]</t>
    </r>
  </si>
  <si>
    <t xml:space="preserve"> Tabela 22.25 pg pg 199</t>
  </si>
  <si>
    <r>
      <t>[kgf/mm</t>
    </r>
    <r>
      <rPr>
        <sz val="11.9"/>
        <color indexed="8"/>
        <rFont val="Arial"/>
        <family val="2"/>
      </rPr>
      <t>2]</t>
    </r>
  </si>
  <si>
    <t xml:space="preserve"> - coeficiente de contato do material oposto.</t>
  </si>
  <si>
    <t xml:space="preserve"> Tabela 22.26 pg 200</t>
  </si>
  <si>
    <t xml:space="preserve"> - coeficiente de dureza do flanco do dente </t>
  </si>
  <si>
    <t xml:space="preserve">Dureza Brinell do nucleo da engrenagem 1 </t>
  </si>
  <si>
    <t>Tab 22.25 pg 199</t>
  </si>
  <si>
    <t>Dureza Brinell do flanco da engrenagem 1</t>
  </si>
  <si>
    <t>Dureza Brinell do nucleo da engrenagem 2</t>
  </si>
  <si>
    <t xml:space="preserve">Dureza Brinell do flanco da engrenagem 2 </t>
  </si>
  <si>
    <t xml:space="preserve"> </t>
  </si>
  <si>
    <t xml:space="preserve"> - coeficiente de viscosidade do lubrificante </t>
  </si>
  <si>
    <t xml:space="preserve"> lubrificante escolhido - </t>
  </si>
  <si>
    <t xml:space="preserve">usar Tabelas 22.28 pg 201, Tab 16.1 e 16.2 pag 48 </t>
  </si>
  <si>
    <t>Viscosidade do óleo na temperatura de serviço  V =</t>
  </si>
  <si>
    <t xml:space="preserve">  [ cStokes]</t>
  </si>
  <si>
    <t xml:space="preserve">   </t>
  </si>
  <si>
    <t xml:space="preserve">Tabela 22.26 pg 200  </t>
  </si>
  <si>
    <t xml:space="preserve"> - coeficiente de velocidade tangencial </t>
  </si>
  <si>
    <t xml:space="preserve">Logo : </t>
  </si>
  <si>
    <r>
      <t>[kgf/mm</t>
    </r>
    <r>
      <rPr>
        <sz val="11.9"/>
        <color indexed="8"/>
        <rFont val="Arial"/>
        <family val="2"/>
      </rPr>
      <t>2]</t>
    </r>
  </si>
  <si>
    <r>
      <t>[kgf/mm</t>
    </r>
    <r>
      <rPr>
        <sz val="11.9"/>
        <color indexed="8"/>
        <rFont val="Arial"/>
        <family val="2"/>
      </rPr>
      <t>2]</t>
    </r>
  </si>
  <si>
    <t xml:space="preserve"> </t>
  </si>
  <si>
    <t xml:space="preserve"> - coeficiente de correção do ponto de máxima pressão de contato</t>
  </si>
  <si>
    <t xml:space="preserve"> </t>
  </si>
  <si>
    <t xml:space="preserve"> </t>
  </si>
  <si>
    <t xml:space="preserve"> </t>
  </si>
  <si>
    <t xml:space="preserve">          Valores limites de referência  para           </t>
  </si>
  <si>
    <t xml:space="preserve">Transmissão para serviço contínuo        </t>
  </si>
  <si>
    <t xml:space="preserve">Transmissão para serviço intermitente        </t>
  </si>
  <si>
    <t>Vida quanto à fadiga por contato</t>
  </si>
  <si>
    <t xml:space="preserve"> </t>
  </si>
  <si>
    <t>horas</t>
  </si>
  <si>
    <t xml:space="preserve"> </t>
  </si>
  <si>
    <t>horas</t>
  </si>
  <si>
    <t>momento de engripamento. Tab22.43</t>
  </si>
  <si>
    <t>[kgf.m]</t>
  </si>
  <si>
    <t xml:space="preserve">        pg 201 </t>
  </si>
  <si>
    <t>tensão de engripamento     Fig 22.43</t>
  </si>
  <si>
    <r>
      <t>[kgf/mm</t>
    </r>
    <r>
      <rPr>
        <sz val="11.9"/>
        <color indexed="8"/>
        <rFont val="Arial"/>
        <family val="2"/>
      </rPr>
      <t>2]</t>
    </r>
  </si>
  <si>
    <t xml:space="preserve"> </t>
  </si>
  <si>
    <t xml:space="preserve">          Valores limites de referência  para           </t>
  </si>
  <si>
    <t xml:space="preserve">Transmissão para serviço contínuo        </t>
  </si>
  <si>
    <t xml:space="preserve">Transmissão para serviço intermitente        </t>
  </si>
  <si>
    <t>IV) Vida útil do par</t>
  </si>
  <si>
    <t>Vida útil da engrenagem 1</t>
  </si>
  <si>
    <t>horas</t>
  </si>
  <si>
    <t>Limitado</t>
  </si>
  <si>
    <t>Vida útil da engrenagem 2</t>
  </si>
  <si>
    <t>horas</t>
  </si>
  <si>
    <t>Limitado</t>
  </si>
  <si>
    <t>Obs.:</t>
  </si>
  <si>
    <t>Verificar na tabela 22.14 os valores aconselhados de vida das engrenagens</t>
  </si>
  <si>
    <t xml:space="preserve"> </t>
  </si>
  <si>
    <t xml:space="preserve"> </t>
  </si>
  <si>
    <t xml:space="preserve"> </t>
  </si>
  <si>
    <t xml:space="preserve"> </t>
  </si>
  <si>
    <t xml:space="preserve"> </t>
  </si>
  <si>
    <t xml:space="preserve"> </t>
  </si>
  <si>
    <t>Tabela da função evolvente</t>
  </si>
  <si>
    <t xml:space="preserve"> </t>
  </si>
  <si>
    <t xml:space="preserve"> </t>
  </si>
  <si>
    <t xml:space="preserve"> </t>
  </si>
  <si>
    <t xml:space="preserve"> </t>
  </si>
  <si>
    <t>Insira valor com base na tabela</t>
  </si>
  <si>
    <t>n</t>
  </si>
  <si>
    <r>
      <t>m</t>
    </r>
    <r>
      <rPr>
        <vertAlign val="subscript"/>
        <sz val="11.9"/>
        <color indexed="8"/>
        <rFont val="Arial"/>
        <family val="2"/>
      </rPr>
      <t>n</t>
    </r>
  </si>
  <si>
    <r>
      <t>a</t>
    </r>
    <r>
      <rPr>
        <vertAlign val="subscript"/>
        <sz val="11.9"/>
        <color indexed="8"/>
        <rFont val="Arial"/>
        <family val="2"/>
      </rPr>
      <t>n</t>
    </r>
  </si>
  <si>
    <r>
      <t>h</t>
    </r>
    <r>
      <rPr>
        <vertAlign val="subscript"/>
        <sz val="11.9"/>
        <color indexed="8"/>
        <rFont val="Arial"/>
        <family val="2"/>
      </rPr>
      <t>kz</t>
    </r>
  </si>
  <si>
    <r>
      <t>r</t>
    </r>
    <r>
      <rPr>
        <vertAlign val="subscript"/>
        <sz val="11.9"/>
        <color indexed="8"/>
        <rFont val="Arial"/>
        <family val="2"/>
      </rPr>
      <t>f</t>
    </r>
  </si>
  <si>
    <r>
      <t>x</t>
    </r>
    <r>
      <rPr>
        <vertAlign val="subscript"/>
        <sz val="11.9"/>
        <color indexed="8"/>
        <rFont val="Arial"/>
        <family val="2"/>
      </rPr>
      <t>1</t>
    </r>
  </si>
  <si>
    <r>
      <t>x</t>
    </r>
    <r>
      <rPr>
        <vertAlign val="subscript"/>
        <sz val="11.9"/>
        <color indexed="8"/>
        <rFont val="Arial"/>
        <family val="2"/>
      </rPr>
      <t>2</t>
    </r>
  </si>
  <si>
    <r>
      <t xml:space="preserve">         adotado  z</t>
    </r>
    <r>
      <rPr>
        <vertAlign val="subscript"/>
        <sz val="11.9"/>
        <color indexed="8"/>
        <rFont val="Arial"/>
        <family val="2"/>
      </rPr>
      <t>1</t>
    </r>
    <r>
      <rPr>
        <sz val="11.9"/>
        <color indexed="8"/>
        <rFont val="Arial"/>
        <family val="2"/>
      </rPr>
      <t xml:space="preserve">= </t>
    </r>
  </si>
  <si>
    <r>
      <t xml:space="preserve">         adotado  z</t>
    </r>
    <r>
      <rPr>
        <vertAlign val="subscript"/>
        <sz val="11.9"/>
        <color indexed="8"/>
        <rFont val="Arial"/>
        <family val="2"/>
      </rPr>
      <t>2</t>
    </r>
    <r>
      <rPr>
        <sz val="11.9"/>
        <color indexed="8"/>
        <rFont val="Arial"/>
        <family val="2"/>
      </rPr>
      <t xml:space="preserve">= </t>
    </r>
  </si>
  <si>
    <r>
      <t>z</t>
    </r>
    <r>
      <rPr>
        <vertAlign val="subscript"/>
        <sz val="13.9"/>
        <color indexed="8"/>
        <rFont val="Arial"/>
        <family val="2"/>
      </rPr>
      <t>1 n</t>
    </r>
    <r>
      <rPr>
        <sz val="13.9"/>
        <color indexed="8"/>
        <rFont val="Arial"/>
        <family val="2"/>
      </rPr>
      <t xml:space="preserve"> =</t>
    </r>
  </si>
  <si>
    <r>
      <t>z</t>
    </r>
    <r>
      <rPr>
        <vertAlign val="subscript"/>
        <sz val="13.9"/>
        <color indexed="8"/>
        <rFont val="Arial"/>
        <family val="2"/>
      </rPr>
      <t>2 n</t>
    </r>
    <r>
      <rPr>
        <sz val="13.9"/>
        <color indexed="8"/>
        <rFont val="Arial"/>
        <family val="2"/>
      </rPr>
      <t xml:space="preserve"> =</t>
    </r>
  </si>
  <si>
    <r>
      <t xml:space="preserve"> fator de correção g</t>
    </r>
    <r>
      <rPr>
        <vertAlign val="subscript"/>
        <sz val="11.9"/>
        <color indexed="8"/>
        <rFont val="Arial"/>
        <family val="2"/>
      </rPr>
      <t>e</t>
    </r>
    <r>
      <rPr>
        <sz val="11.9"/>
        <color indexed="8"/>
        <rFont val="Arial"/>
        <family val="2"/>
      </rPr>
      <t xml:space="preserve"> = </t>
    </r>
  </si>
  <si>
    <r>
      <t xml:space="preserve">                  fator de correção g</t>
    </r>
    <r>
      <rPr>
        <vertAlign val="subscript"/>
        <sz val="11.9"/>
        <color indexed="8"/>
        <rFont val="Arial"/>
        <family val="2"/>
      </rPr>
      <t>R</t>
    </r>
    <r>
      <rPr>
        <sz val="11.9"/>
        <color indexed="8"/>
        <rFont val="Arial"/>
        <family val="2"/>
      </rPr>
      <t xml:space="preserve">   =</t>
    </r>
  </si>
  <si>
    <r>
      <t>f</t>
    </r>
    <r>
      <rPr>
        <vertAlign val="subscript"/>
        <sz val="13.9"/>
        <color indexed="8"/>
        <rFont val="Arial"/>
        <family val="2"/>
      </rPr>
      <t>max</t>
    </r>
    <r>
      <rPr>
        <sz val="13.9"/>
        <color indexed="8"/>
        <rFont val="Arial"/>
        <family val="2"/>
      </rPr>
      <t>=</t>
    </r>
  </si>
  <si>
    <r>
      <t>f</t>
    </r>
    <r>
      <rPr>
        <vertAlign val="subscript"/>
        <sz val="13.9"/>
        <color indexed="8"/>
        <rFont val="Arial"/>
        <family val="2"/>
      </rPr>
      <t>max</t>
    </r>
    <r>
      <rPr>
        <sz val="13.9"/>
        <color indexed="8"/>
        <rFont val="Arial"/>
        <family val="2"/>
      </rPr>
      <t xml:space="preserve"> adotado=</t>
    </r>
  </si>
  <si>
    <r>
      <t xml:space="preserve"> r</t>
    </r>
    <r>
      <rPr>
        <vertAlign val="subscript"/>
        <sz val="13.9"/>
        <color indexed="8"/>
        <rFont val="Arial"/>
        <family val="2"/>
      </rPr>
      <t>f</t>
    </r>
    <r>
      <rPr>
        <sz val="13.9"/>
        <color indexed="8"/>
        <rFont val="Arial"/>
        <family val="2"/>
      </rPr>
      <t xml:space="preserve"> / m =</t>
    </r>
  </si>
  <si>
    <t>material escolhido p/ eng menor</t>
  </si>
  <si>
    <r>
      <t xml:space="preserve">       </t>
    </r>
    <r>
      <rPr>
        <sz val="12"/>
        <color indexed="8"/>
        <rFont val="Arial"/>
        <family val="2"/>
      </rPr>
      <t xml:space="preserve">   Tab  22.25  pag 199</t>
    </r>
  </si>
  <si>
    <t>material escolhido p/ eng maior</t>
  </si>
  <si>
    <r>
      <t>III) Cálculo quanto ao engripamento   S</t>
    </r>
    <r>
      <rPr>
        <b/>
        <vertAlign val="subscript"/>
        <sz val="11.9"/>
        <color indexed="8"/>
        <rFont val="Arial"/>
        <family val="2"/>
      </rPr>
      <t>F</t>
    </r>
    <r>
      <rPr>
        <b/>
        <sz val="11.9"/>
        <color indexed="8"/>
        <rFont val="Arial"/>
        <family val="2"/>
      </rPr>
      <t xml:space="preserve"> ( estriamento ou "scoring" )</t>
    </r>
  </si>
  <si>
    <t>teta</t>
  </si>
  <si>
    <t>ev (teta)</t>
  </si>
  <si>
    <t>teta(graus)</t>
  </si>
  <si>
    <t>teta(rad)</t>
  </si>
  <si>
    <t>motor combustão interna</t>
  </si>
  <si>
    <t>veículo</t>
  </si>
  <si>
    <r>
      <t>e</t>
    </r>
    <r>
      <rPr>
        <vertAlign val="subscript"/>
        <sz val="10"/>
        <color indexed="8"/>
        <rFont val="Arial"/>
        <family val="2"/>
      </rPr>
      <t xml:space="preserve">1 </t>
    </r>
    <r>
      <rPr>
        <sz val="10"/>
        <color indexed="8"/>
        <rFont val="Arial"/>
        <family val="2"/>
      </rPr>
      <t>=</t>
    </r>
  </si>
  <si>
    <r>
      <t>e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 xml:space="preserve"> =</t>
    </r>
  </si>
  <si>
    <t>Shell Macoma 68</t>
  </si>
  <si>
    <t>exemplo 4 pag 189  Niemann</t>
  </si>
  <si>
    <t>19   16 MnCr5  com Hb = 650</t>
  </si>
  <si>
    <t xml:space="preserve">USP/Scarlos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</si>
</sst>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"/>
    <numFmt numFmtId="166" formatCode="0.000000"/>
    <numFmt numFmtId="167" formatCode="#,##0.0"/>
    <numFmt numFmtId="168" formatCode="0.000"/>
  </numFmts>
  <fonts count="25" x14ac:knownFonts="1">
    <font>
      <sz val="10"/>
      <name val="Arial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  <font>
      <sz val="8"/>
      <color indexed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</font>
    <font>
      <sz val="12"/>
      <color indexed="12"/>
      <name val="Arial"/>
      <family val="2"/>
    </font>
    <font>
      <sz val="11.9"/>
      <color indexed="8"/>
      <name val="Arial"/>
      <family val="2"/>
    </font>
    <font>
      <sz val="12"/>
      <color indexed="8"/>
      <name val="Symbol"/>
      <family val="1"/>
      <charset val="2"/>
    </font>
    <font>
      <sz val="10"/>
      <color indexed="8"/>
      <name val="Arial"/>
      <family val="2"/>
    </font>
    <font>
      <sz val="11.9"/>
      <color indexed="8"/>
      <name val="Symbol"/>
      <family val="1"/>
      <charset val="2"/>
    </font>
    <font>
      <sz val="12"/>
      <color indexed="13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3.9"/>
      <color indexed="8"/>
      <name val="Arial"/>
      <family val="2"/>
    </font>
    <font>
      <sz val="12"/>
      <color indexed="10"/>
      <name val="Arial"/>
      <family val="2"/>
    </font>
    <font>
      <b/>
      <sz val="12"/>
      <color indexed="13"/>
      <name val="Arial"/>
      <family val="2"/>
    </font>
    <font>
      <b/>
      <sz val="11.9"/>
      <color indexed="8"/>
      <name val="Arial"/>
      <family val="2"/>
    </font>
    <font>
      <sz val="10"/>
      <color indexed="10"/>
      <name val="Arial"/>
      <family val="2"/>
    </font>
    <font>
      <vertAlign val="subscript"/>
      <sz val="11.9"/>
      <color indexed="8"/>
      <name val="Arial"/>
      <family val="2"/>
    </font>
    <font>
      <vertAlign val="subscript"/>
      <sz val="13.9"/>
      <color indexed="8"/>
      <name val="Arial"/>
      <family val="2"/>
    </font>
    <font>
      <b/>
      <vertAlign val="subscript"/>
      <sz val="11.9"/>
      <color indexed="8"/>
      <name val="Arial"/>
      <family val="2"/>
    </font>
    <font>
      <vertAlign val="subscript"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13"/>
      </left>
      <right style="thick">
        <color indexed="13"/>
      </right>
      <top style="thick">
        <color indexed="13"/>
      </top>
      <bottom style="thick">
        <color indexed="1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ck">
        <color indexed="11"/>
      </left>
      <right style="thick">
        <color indexed="11"/>
      </right>
      <top style="thick">
        <color indexed="11"/>
      </top>
      <bottom style="thick">
        <color indexed="11"/>
      </bottom>
      <diagonal/>
    </border>
    <border>
      <left style="thick">
        <color indexed="11"/>
      </left>
      <right/>
      <top style="thick">
        <color indexed="11"/>
      </top>
      <bottom style="thick">
        <color indexed="11"/>
      </bottom>
      <diagonal/>
    </border>
    <border>
      <left/>
      <right/>
      <top style="thick">
        <color indexed="11"/>
      </top>
      <bottom style="thick">
        <color indexed="11"/>
      </bottom>
      <diagonal/>
    </border>
    <border>
      <left/>
      <right style="thick">
        <color indexed="11"/>
      </right>
      <top style="thick">
        <color indexed="11"/>
      </top>
      <bottom style="thick">
        <color indexed="1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horizontal="center"/>
    </xf>
    <xf numFmtId="0" fontId="8" fillId="2" borderId="0" xfId="0" applyFont="1" applyFill="1"/>
    <xf numFmtId="0" fontId="1" fillId="2" borderId="0" xfId="0" applyFont="1" applyFill="1" applyAlignment="1">
      <alignment horizontal="right"/>
    </xf>
    <xf numFmtId="0" fontId="10" fillId="2" borderId="0" xfId="0" applyFont="1" applyFill="1"/>
    <xf numFmtId="0" fontId="7" fillId="2" borderId="0" xfId="0" applyFont="1" applyFill="1" applyAlignment="1">
      <alignment horizontal="right"/>
    </xf>
    <xf numFmtId="0" fontId="1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3" fillId="2" borderId="0" xfId="0" applyFont="1" applyFill="1"/>
    <xf numFmtId="0" fontId="14" fillId="2" borderId="0" xfId="0" applyFont="1" applyFill="1"/>
    <xf numFmtId="164" fontId="1" fillId="2" borderId="0" xfId="0" applyNumberFormat="1" applyFont="1" applyFill="1"/>
    <xf numFmtId="2" fontId="1" fillId="2" borderId="0" xfId="0" applyNumberFormat="1" applyFont="1" applyFill="1"/>
    <xf numFmtId="0" fontId="3" fillId="2" borderId="0" xfId="0" applyFont="1" applyFill="1" applyAlignment="1">
      <alignment horizontal="right"/>
    </xf>
    <xf numFmtId="165" fontId="1" fillId="2" borderId="0" xfId="0" applyNumberFormat="1" applyFont="1" applyFill="1"/>
    <xf numFmtId="0" fontId="15" fillId="2" borderId="0" xfId="0" applyFont="1" applyFill="1"/>
    <xf numFmtId="0" fontId="17" fillId="2" borderId="0" xfId="0" applyFont="1" applyFill="1"/>
    <xf numFmtId="166" fontId="1" fillId="2" borderId="0" xfId="0" applyNumberFormat="1" applyFont="1" applyFill="1"/>
    <xf numFmtId="2" fontId="1" fillId="2" borderId="0" xfId="0" applyNumberFormat="1" applyFont="1" applyFill="1" applyAlignment="1">
      <alignment horizontal="right"/>
    </xf>
    <xf numFmtId="0" fontId="18" fillId="2" borderId="0" xfId="0" applyFont="1" applyFill="1" applyAlignment="1">
      <alignment horizontal="center"/>
    </xf>
    <xf numFmtId="164" fontId="7" fillId="2" borderId="0" xfId="0" applyNumberFormat="1" applyFont="1" applyFill="1"/>
    <xf numFmtId="2" fontId="7" fillId="2" borderId="0" xfId="0" applyNumberFormat="1" applyFont="1" applyFill="1"/>
    <xf numFmtId="0" fontId="1" fillId="2" borderId="0" xfId="0" applyFont="1" applyFill="1" applyAlignment="1">
      <alignment horizontal="left"/>
    </xf>
    <xf numFmtId="2" fontId="1" fillId="2" borderId="4" xfId="0" applyNumberFormat="1" applyFont="1" applyFill="1" applyBorder="1" applyProtection="1">
      <protection locked="0"/>
    </xf>
    <xf numFmtId="11" fontId="1" fillId="2" borderId="0" xfId="0" applyNumberFormat="1" applyFont="1" applyFill="1"/>
    <xf numFmtId="0" fontId="2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2" fontId="1" fillId="2" borderId="0" xfId="0" applyNumberFormat="1" applyFont="1" applyFill="1" applyAlignment="1">
      <alignment horizontal="left"/>
    </xf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167" fontId="11" fillId="2" borderId="0" xfId="0" applyNumberFormat="1" applyFont="1" applyFill="1"/>
    <xf numFmtId="0" fontId="6" fillId="2" borderId="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20" fillId="2" borderId="0" xfId="0" applyFont="1" applyFill="1"/>
    <xf numFmtId="167" fontId="1" fillId="2" borderId="0" xfId="0" applyNumberFormat="1" applyFont="1" applyFill="1"/>
    <xf numFmtId="0" fontId="3" fillId="2" borderId="2" xfId="0" applyFont="1" applyFill="1" applyBorder="1"/>
    <xf numFmtId="0" fontId="3" fillId="2" borderId="3" xfId="0" applyFont="1" applyFill="1" applyBorder="1"/>
    <xf numFmtId="49" fontId="1" fillId="2" borderId="0" xfId="0" applyNumberFormat="1" applyFont="1" applyFill="1"/>
    <xf numFmtId="2" fontId="3" fillId="2" borderId="0" xfId="0" applyNumberFormat="1" applyFont="1" applyFill="1"/>
    <xf numFmtId="0" fontId="3" fillId="0" borderId="0" xfId="0" applyFont="1"/>
    <xf numFmtId="0" fontId="14" fillId="0" borderId="0" xfId="0" applyFont="1" applyAlignment="1">
      <alignment horizontal="center"/>
    </xf>
    <xf numFmtId="2" fontId="7" fillId="2" borderId="4" xfId="0" applyNumberFormat="1" applyFont="1" applyFill="1" applyBorder="1" applyProtection="1">
      <protection locked="0"/>
    </xf>
    <xf numFmtId="166" fontId="3" fillId="0" borderId="0" xfId="0" applyNumberFormat="1" applyFont="1"/>
    <xf numFmtId="165" fontId="3" fillId="0" borderId="0" xfId="0" applyNumberFormat="1" applyFont="1"/>
    <xf numFmtId="0" fontId="15" fillId="2" borderId="0" xfId="0" applyFont="1" applyFill="1" applyAlignment="1">
      <alignment horizontal="right"/>
    </xf>
    <xf numFmtId="0" fontId="6" fillId="2" borderId="1" xfId="0" applyFont="1" applyFill="1" applyBorder="1"/>
    <xf numFmtId="0" fontId="1" fillId="2" borderId="13" xfId="0" applyFont="1" applyFill="1" applyBorder="1" applyProtection="1">
      <protection locked="0"/>
    </xf>
    <xf numFmtId="2" fontId="1" fillId="2" borderId="13" xfId="0" applyNumberFormat="1" applyFont="1" applyFill="1" applyBorder="1" applyProtection="1">
      <protection locked="0"/>
    </xf>
    <xf numFmtId="0" fontId="1" fillId="2" borderId="4" xfId="0" applyFont="1" applyFill="1" applyBorder="1" applyProtection="1">
      <protection locked="0"/>
    </xf>
    <xf numFmtId="164" fontId="1" fillId="2" borderId="4" xfId="0" applyNumberFormat="1" applyFont="1" applyFill="1" applyBorder="1" applyProtection="1">
      <protection locked="0"/>
    </xf>
    <xf numFmtId="164" fontId="3" fillId="2" borderId="0" xfId="0" applyNumberFormat="1" applyFont="1" applyFill="1"/>
    <xf numFmtId="0" fontId="3" fillId="0" borderId="0" xfId="0" applyFont="1" applyAlignment="1">
      <alignment horizontal="center"/>
    </xf>
    <xf numFmtId="165" fontId="3" fillId="0" borderId="4" xfId="0" applyNumberFormat="1" applyFont="1" applyBorder="1" applyProtection="1">
      <protection locked="0"/>
    </xf>
    <xf numFmtId="168" fontId="1" fillId="2" borderId="0" xfId="0" applyNumberFormat="1" applyFont="1" applyFill="1"/>
    <xf numFmtId="168" fontId="3" fillId="2" borderId="4" xfId="0" applyNumberFormat="1" applyFont="1" applyFill="1" applyBorder="1" applyProtection="1">
      <protection locked="0"/>
    </xf>
    <xf numFmtId="168" fontId="7" fillId="2" borderId="4" xfId="0" applyNumberFormat="1" applyFont="1" applyFill="1" applyBorder="1" applyProtection="1">
      <protection locked="0"/>
    </xf>
    <xf numFmtId="168" fontId="1" fillId="2" borderId="0" xfId="0" applyNumberFormat="1" applyFont="1" applyFill="1" applyAlignment="1">
      <alignment horizontal="right"/>
    </xf>
    <xf numFmtId="0" fontId="3" fillId="2" borderId="14" xfId="0" applyFont="1" applyFill="1" applyBorder="1" applyAlignment="1" applyProtection="1">
      <alignment horizontal="center"/>
      <protection locked="0"/>
    </xf>
    <xf numFmtId="0" fontId="3" fillId="2" borderId="15" xfId="0" applyFont="1" applyFill="1" applyBorder="1" applyAlignment="1" applyProtection="1">
      <alignment horizontal="center"/>
      <protection locked="0"/>
    </xf>
    <xf numFmtId="0" fontId="3" fillId="2" borderId="16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1" fillId="2" borderId="16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339966"/>
      <rgbColor rgb="00FF0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63" Type="http://schemas.openxmlformats.org/officeDocument/2006/relationships/image" Target="../media/image63.png"/><Relationship Id="rId84" Type="http://schemas.openxmlformats.org/officeDocument/2006/relationships/image" Target="../media/image84.png"/><Relationship Id="rId138" Type="http://schemas.openxmlformats.org/officeDocument/2006/relationships/image" Target="../media/image138.png"/><Relationship Id="rId159" Type="http://schemas.openxmlformats.org/officeDocument/2006/relationships/image" Target="../media/image159.png"/><Relationship Id="rId170" Type="http://schemas.openxmlformats.org/officeDocument/2006/relationships/image" Target="../media/image170.png"/><Relationship Id="rId107" Type="http://schemas.openxmlformats.org/officeDocument/2006/relationships/image" Target="../media/image107.png"/><Relationship Id="rId11" Type="http://schemas.openxmlformats.org/officeDocument/2006/relationships/image" Target="../media/image11.png"/><Relationship Id="rId32" Type="http://schemas.openxmlformats.org/officeDocument/2006/relationships/image" Target="../media/image32.png"/><Relationship Id="rId53" Type="http://schemas.openxmlformats.org/officeDocument/2006/relationships/image" Target="../media/image53.png"/><Relationship Id="rId74" Type="http://schemas.openxmlformats.org/officeDocument/2006/relationships/image" Target="../media/image74.png"/><Relationship Id="rId128" Type="http://schemas.openxmlformats.org/officeDocument/2006/relationships/image" Target="../media/image128.png"/><Relationship Id="rId149" Type="http://schemas.openxmlformats.org/officeDocument/2006/relationships/image" Target="../media/image149.png"/><Relationship Id="rId5" Type="http://schemas.openxmlformats.org/officeDocument/2006/relationships/image" Target="../media/image5.png"/><Relationship Id="rId95" Type="http://schemas.openxmlformats.org/officeDocument/2006/relationships/image" Target="../media/image95.png"/><Relationship Id="rId160" Type="http://schemas.openxmlformats.org/officeDocument/2006/relationships/image" Target="../media/image160.png"/><Relationship Id="rId22" Type="http://schemas.openxmlformats.org/officeDocument/2006/relationships/image" Target="../media/image22.png"/><Relationship Id="rId43" Type="http://schemas.openxmlformats.org/officeDocument/2006/relationships/image" Target="../media/image43.png"/><Relationship Id="rId64" Type="http://schemas.openxmlformats.org/officeDocument/2006/relationships/image" Target="../media/image64.png"/><Relationship Id="rId118" Type="http://schemas.openxmlformats.org/officeDocument/2006/relationships/image" Target="../media/image118.png"/><Relationship Id="rId139" Type="http://schemas.openxmlformats.org/officeDocument/2006/relationships/image" Target="../media/image139.png"/><Relationship Id="rId85" Type="http://schemas.openxmlformats.org/officeDocument/2006/relationships/image" Target="../media/image85.png"/><Relationship Id="rId150" Type="http://schemas.openxmlformats.org/officeDocument/2006/relationships/image" Target="../media/image150.png"/><Relationship Id="rId171" Type="http://schemas.openxmlformats.org/officeDocument/2006/relationships/image" Target="../media/image171.png"/><Relationship Id="rId12" Type="http://schemas.openxmlformats.org/officeDocument/2006/relationships/image" Target="../media/image12.png"/><Relationship Id="rId33" Type="http://schemas.openxmlformats.org/officeDocument/2006/relationships/image" Target="../media/image33.png"/><Relationship Id="rId108" Type="http://schemas.openxmlformats.org/officeDocument/2006/relationships/image" Target="../media/image108.png"/><Relationship Id="rId129" Type="http://schemas.openxmlformats.org/officeDocument/2006/relationships/image" Target="../media/image129.png"/><Relationship Id="rId54" Type="http://schemas.openxmlformats.org/officeDocument/2006/relationships/image" Target="../media/image54.png"/><Relationship Id="rId75" Type="http://schemas.openxmlformats.org/officeDocument/2006/relationships/image" Target="../media/image75.png"/><Relationship Id="rId96" Type="http://schemas.openxmlformats.org/officeDocument/2006/relationships/image" Target="../media/image96.png"/><Relationship Id="rId140" Type="http://schemas.openxmlformats.org/officeDocument/2006/relationships/image" Target="../media/image140.png"/><Relationship Id="rId161" Type="http://schemas.openxmlformats.org/officeDocument/2006/relationships/image" Target="../media/image161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130" Type="http://schemas.openxmlformats.org/officeDocument/2006/relationships/image" Target="../media/image130.png"/><Relationship Id="rId135" Type="http://schemas.openxmlformats.org/officeDocument/2006/relationships/image" Target="../media/image135.png"/><Relationship Id="rId151" Type="http://schemas.openxmlformats.org/officeDocument/2006/relationships/image" Target="../media/image151.png"/><Relationship Id="rId156" Type="http://schemas.openxmlformats.org/officeDocument/2006/relationships/image" Target="../media/image156.png"/><Relationship Id="rId172" Type="http://schemas.openxmlformats.org/officeDocument/2006/relationships/image" Target="../media/image172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141" Type="http://schemas.openxmlformats.org/officeDocument/2006/relationships/image" Target="../media/image141.png"/><Relationship Id="rId146" Type="http://schemas.openxmlformats.org/officeDocument/2006/relationships/image" Target="../media/image146.png"/><Relationship Id="rId167" Type="http://schemas.openxmlformats.org/officeDocument/2006/relationships/image" Target="../media/image167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162" Type="http://schemas.openxmlformats.org/officeDocument/2006/relationships/image" Target="../media/image162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131" Type="http://schemas.openxmlformats.org/officeDocument/2006/relationships/image" Target="../media/image131.png"/><Relationship Id="rId136" Type="http://schemas.openxmlformats.org/officeDocument/2006/relationships/image" Target="../media/image136.png"/><Relationship Id="rId157" Type="http://schemas.openxmlformats.org/officeDocument/2006/relationships/image" Target="../media/image157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52" Type="http://schemas.openxmlformats.org/officeDocument/2006/relationships/image" Target="../media/image152.png"/><Relationship Id="rId173" Type="http://schemas.openxmlformats.org/officeDocument/2006/relationships/image" Target="../media/image173.png"/><Relationship Id="rId19" Type="http://schemas.openxmlformats.org/officeDocument/2006/relationships/image" Target="../media/image19.png"/><Relationship Id="rId14" Type="http://schemas.openxmlformats.org/officeDocument/2006/relationships/image" Target="../media/image14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147" Type="http://schemas.openxmlformats.org/officeDocument/2006/relationships/image" Target="../media/image147.png"/><Relationship Id="rId168" Type="http://schemas.openxmlformats.org/officeDocument/2006/relationships/image" Target="../media/image168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142" Type="http://schemas.openxmlformats.org/officeDocument/2006/relationships/image" Target="../media/image142.png"/><Relationship Id="rId163" Type="http://schemas.openxmlformats.org/officeDocument/2006/relationships/image" Target="../media/image163.png"/><Relationship Id="rId3" Type="http://schemas.openxmlformats.org/officeDocument/2006/relationships/image" Target="../media/image3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137" Type="http://schemas.openxmlformats.org/officeDocument/2006/relationships/image" Target="../media/image137.png"/><Relationship Id="rId158" Type="http://schemas.openxmlformats.org/officeDocument/2006/relationships/image" Target="../media/image158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53" Type="http://schemas.openxmlformats.org/officeDocument/2006/relationships/image" Target="../media/image153.png"/><Relationship Id="rId174" Type="http://schemas.openxmlformats.org/officeDocument/2006/relationships/image" Target="../media/image174.png"/><Relationship Id="rId15" Type="http://schemas.openxmlformats.org/officeDocument/2006/relationships/image" Target="../media/image15.pn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143" Type="http://schemas.openxmlformats.org/officeDocument/2006/relationships/image" Target="../media/image143.png"/><Relationship Id="rId148" Type="http://schemas.openxmlformats.org/officeDocument/2006/relationships/image" Target="../media/image148.png"/><Relationship Id="rId164" Type="http://schemas.openxmlformats.org/officeDocument/2006/relationships/image" Target="../media/image164.png"/><Relationship Id="rId169" Type="http://schemas.openxmlformats.org/officeDocument/2006/relationships/image" Target="../media/image16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26" Type="http://schemas.openxmlformats.org/officeDocument/2006/relationships/image" Target="../media/image26.png"/><Relationship Id="rId47" Type="http://schemas.openxmlformats.org/officeDocument/2006/relationships/image" Target="../media/image47.png"/><Relationship Id="rId68" Type="http://schemas.openxmlformats.org/officeDocument/2006/relationships/image" Target="../media/image68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png"/><Relationship Id="rId154" Type="http://schemas.openxmlformats.org/officeDocument/2006/relationships/image" Target="../media/image154.png"/><Relationship Id="rId16" Type="http://schemas.openxmlformats.org/officeDocument/2006/relationships/image" Target="../media/image16.png"/><Relationship Id="rId37" Type="http://schemas.openxmlformats.org/officeDocument/2006/relationships/image" Target="../media/image37.png"/><Relationship Id="rId58" Type="http://schemas.openxmlformats.org/officeDocument/2006/relationships/image" Target="../media/image58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44" Type="http://schemas.openxmlformats.org/officeDocument/2006/relationships/image" Target="../media/image144.png"/><Relationship Id="rId90" Type="http://schemas.openxmlformats.org/officeDocument/2006/relationships/image" Target="../media/image90.png"/><Relationship Id="rId165" Type="http://schemas.openxmlformats.org/officeDocument/2006/relationships/image" Target="../media/image165.png"/><Relationship Id="rId27" Type="http://schemas.openxmlformats.org/officeDocument/2006/relationships/image" Target="../media/image27.png"/><Relationship Id="rId48" Type="http://schemas.openxmlformats.org/officeDocument/2006/relationships/image" Target="../media/image48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34" Type="http://schemas.openxmlformats.org/officeDocument/2006/relationships/image" Target="../media/image134.png"/><Relationship Id="rId80" Type="http://schemas.openxmlformats.org/officeDocument/2006/relationships/image" Target="../media/image80.png"/><Relationship Id="rId155" Type="http://schemas.openxmlformats.org/officeDocument/2006/relationships/image" Target="../media/image155.png"/><Relationship Id="rId17" Type="http://schemas.openxmlformats.org/officeDocument/2006/relationships/image" Target="../media/image17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24" Type="http://schemas.openxmlformats.org/officeDocument/2006/relationships/image" Target="../media/image124.png"/><Relationship Id="rId70" Type="http://schemas.openxmlformats.org/officeDocument/2006/relationships/image" Target="../media/image70.png"/><Relationship Id="rId91" Type="http://schemas.openxmlformats.org/officeDocument/2006/relationships/image" Target="../media/image91.png"/><Relationship Id="rId145" Type="http://schemas.openxmlformats.org/officeDocument/2006/relationships/image" Target="../media/image145.png"/><Relationship Id="rId166" Type="http://schemas.openxmlformats.org/officeDocument/2006/relationships/image" Target="../media/image16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762000</xdr:colOff>
      <xdr:row>8</xdr:row>
      <xdr:rowOff>47625</xdr:rowOff>
    </xdr:from>
    <xdr:to>
      <xdr:col>6</xdr:col>
      <xdr:colOff>619125</xdr:colOff>
      <xdr:row>8</xdr:row>
      <xdr:rowOff>95250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 flipH="1" flipV="1">
          <a:off x="4067175" y="1838325"/>
          <a:ext cx="647700" cy="47625"/>
        </a:xfrm>
        <a:prstGeom prst="line">
          <a:avLst/>
        </a:prstGeom>
        <a:noFill/>
        <a:ln w="28440">
          <a:solidFill>
            <a:srgbClr val="339966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676275</xdr:colOff>
      <xdr:row>291</xdr:row>
      <xdr:rowOff>9525</xdr:rowOff>
    </xdr:from>
    <xdr:to>
      <xdr:col>7</xdr:col>
      <xdr:colOff>647700</xdr:colOff>
      <xdr:row>291</xdr:row>
      <xdr:rowOff>9525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3981450" y="57273825"/>
          <a:ext cx="14478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19050</xdr:colOff>
      <xdr:row>95</xdr:row>
      <xdr:rowOff>152400</xdr:rowOff>
    </xdr:from>
    <xdr:to>
      <xdr:col>4</xdr:col>
      <xdr:colOff>485775</xdr:colOff>
      <xdr:row>95</xdr:row>
      <xdr:rowOff>152400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Aspect="1" noChangeArrowheads="1"/>
        </xdr:cNvSpPr>
      </xdr:nvSpPr>
      <xdr:spPr bwMode="auto">
        <a:xfrm>
          <a:off x="2733675" y="19316700"/>
          <a:ext cx="4667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sp>
    <xdr:clientData/>
  </xdr:twoCellAnchor>
  <xdr:twoCellAnchor>
    <xdr:from>
      <xdr:col>6</xdr:col>
      <xdr:colOff>552450</xdr:colOff>
      <xdr:row>48</xdr:row>
      <xdr:rowOff>161925</xdr:rowOff>
    </xdr:from>
    <xdr:to>
      <xdr:col>7</xdr:col>
      <xdr:colOff>114300</xdr:colOff>
      <xdr:row>50</xdr:row>
      <xdr:rowOff>38100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ShapeType="1"/>
        </xdr:cNvSpPr>
      </xdr:nvSpPr>
      <xdr:spPr bwMode="auto">
        <a:xfrm>
          <a:off x="4648200" y="10125075"/>
          <a:ext cx="247650" cy="257175"/>
        </a:xfrm>
        <a:prstGeom prst="line">
          <a:avLst/>
        </a:prstGeom>
        <a:noFill/>
        <a:ln w="28440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228600</xdr:colOff>
      <xdr:row>206</xdr:row>
      <xdr:rowOff>76200</xdr:rowOff>
    </xdr:from>
    <xdr:to>
      <xdr:col>9</xdr:col>
      <xdr:colOff>628650</xdr:colOff>
      <xdr:row>208</xdr:row>
      <xdr:rowOff>95250</xdr:rowOff>
    </xdr:to>
    <xdr:sp macro="" textlink="">
      <xdr:nvSpPr>
        <xdr:cNvPr id="1030" name="AutoShape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Aspect="1" noChangeArrowheads="1"/>
        </xdr:cNvSpPr>
      </xdr:nvSpPr>
      <xdr:spPr bwMode="auto">
        <a:xfrm>
          <a:off x="6448425" y="40795575"/>
          <a:ext cx="40005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sp>
    <xdr:clientData/>
  </xdr:twoCellAnchor>
  <xdr:twoCellAnchor>
    <xdr:from>
      <xdr:col>9</xdr:col>
      <xdr:colOff>219075</xdr:colOff>
      <xdr:row>203</xdr:row>
      <xdr:rowOff>190500</xdr:rowOff>
    </xdr:from>
    <xdr:to>
      <xdr:col>9</xdr:col>
      <xdr:colOff>600075</xdr:colOff>
      <xdr:row>206</xdr:row>
      <xdr:rowOff>57150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6438900" y="40328850"/>
          <a:ext cx="38100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sp>
    <xdr:clientData/>
  </xdr:twoCellAnchor>
  <xdr:twoCellAnchor>
    <xdr:from>
      <xdr:col>5</xdr:col>
      <xdr:colOff>552450</xdr:colOff>
      <xdr:row>432</xdr:row>
      <xdr:rowOff>180975</xdr:rowOff>
    </xdr:from>
    <xdr:to>
      <xdr:col>5</xdr:col>
      <xdr:colOff>647700</xdr:colOff>
      <xdr:row>437</xdr:row>
      <xdr:rowOff>142875</xdr:rowOff>
    </xdr:to>
    <xdr:sp macro="" textlink="">
      <xdr:nvSpPr>
        <xdr:cNvPr id="1032" name="Freeform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Arrowheads="1"/>
        </xdr:cNvSpPr>
      </xdr:nvSpPr>
      <xdr:spPr bwMode="auto">
        <a:xfrm>
          <a:off x="3857625" y="84324825"/>
          <a:ext cx="95250" cy="914400"/>
        </a:xfrm>
        <a:custGeom>
          <a:avLst/>
          <a:gdLst>
            <a:gd name="T0" fmla="*/ 274 w 275"/>
            <a:gd name="T1" fmla="*/ 2598 h 2599"/>
            <a:gd name="T2" fmla="*/ 137 w 275"/>
            <a:gd name="T3" fmla="*/ 2338 h 2599"/>
            <a:gd name="T4" fmla="*/ 137 w 275"/>
            <a:gd name="T5" fmla="*/ 1560 h 2599"/>
            <a:gd name="T6" fmla="*/ 0 w 275"/>
            <a:gd name="T7" fmla="*/ 1299 h 2599"/>
            <a:gd name="T8" fmla="*/ 137 w 275"/>
            <a:gd name="T9" fmla="*/ 1040 h 2599"/>
            <a:gd name="T10" fmla="*/ 137 w 275"/>
            <a:gd name="T11" fmla="*/ 259 h 2599"/>
            <a:gd name="T12" fmla="*/ 274 w 275"/>
            <a:gd name="T13" fmla="*/ 0 h 259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275" h="2599">
              <a:moveTo>
                <a:pt x="274" y="2598"/>
              </a:moveTo>
              <a:cubicBezTo>
                <a:pt x="205" y="2598"/>
                <a:pt x="137" y="2470"/>
                <a:pt x="137" y="2338"/>
              </a:cubicBezTo>
              <a:cubicBezTo>
                <a:pt x="137" y="2338"/>
                <a:pt x="137" y="1560"/>
                <a:pt x="137" y="1560"/>
              </a:cubicBezTo>
              <a:cubicBezTo>
                <a:pt x="137" y="1430"/>
                <a:pt x="68" y="1299"/>
                <a:pt x="0" y="1299"/>
              </a:cubicBezTo>
              <a:cubicBezTo>
                <a:pt x="68" y="1299"/>
                <a:pt x="137" y="1170"/>
                <a:pt x="137" y="1040"/>
              </a:cubicBezTo>
              <a:cubicBezTo>
                <a:pt x="137" y="1040"/>
                <a:pt x="137" y="259"/>
                <a:pt x="137" y="259"/>
              </a:cubicBezTo>
              <a:cubicBezTo>
                <a:pt x="137" y="131"/>
                <a:pt x="205" y="0"/>
                <a:pt x="274" y="0"/>
              </a:cubicBezTo>
            </a:path>
          </a:pathLst>
        </a:custGeom>
        <a:noFill/>
        <a:ln w="2844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438150</xdr:colOff>
      <xdr:row>440</xdr:row>
      <xdr:rowOff>152400</xdr:rowOff>
    </xdr:from>
    <xdr:to>
      <xdr:col>4</xdr:col>
      <xdr:colOff>523875</xdr:colOff>
      <xdr:row>445</xdr:row>
      <xdr:rowOff>142875</xdr:rowOff>
    </xdr:to>
    <xdr:sp macro="" textlink="">
      <xdr:nvSpPr>
        <xdr:cNvPr id="1033" name="Freeform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Arrowheads="1"/>
        </xdr:cNvSpPr>
      </xdr:nvSpPr>
      <xdr:spPr bwMode="auto">
        <a:xfrm>
          <a:off x="3152775" y="85820250"/>
          <a:ext cx="85725" cy="942975"/>
        </a:xfrm>
        <a:custGeom>
          <a:avLst/>
          <a:gdLst>
            <a:gd name="T0" fmla="*/ 273 w 274"/>
            <a:gd name="T1" fmla="*/ 2670 h 2671"/>
            <a:gd name="T2" fmla="*/ 136 w 274"/>
            <a:gd name="T3" fmla="*/ 2403 h 2671"/>
            <a:gd name="T4" fmla="*/ 136 w 274"/>
            <a:gd name="T5" fmla="*/ 1603 h 2671"/>
            <a:gd name="T6" fmla="*/ 0 w 274"/>
            <a:gd name="T7" fmla="*/ 1335 h 2671"/>
            <a:gd name="T8" fmla="*/ 136 w 274"/>
            <a:gd name="T9" fmla="*/ 1069 h 2671"/>
            <a:gd name="T10" fmla="*/ 136 w 274"/>
            <a:gd name="T11" fmla="*/ 267 h 2671"/>
            <a:gd name="T12" fmla="*/ 273 w 274"/>
            <a:gd name="T13" fmla="*/ 0 h 267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274" h="2671">
              <a:moveTo>
                <a:pt x="273" y="2670"/>
              </a:moveTo>
              <a:cubicBezTo>
                <a:pt x="204" y="2670"/>
                <a:pt x="136" y="2539"/>
                <a:pt x="136" y="2403"/>
              </a:cubicBezTo>
              <a:cubicBezTo>
                <a:pt x="136" y="2403"/>
                <a:pt x="136" y="1603"/>
                <a:pt x="136" y="1603"/>
              </a:cubicBezTo>
              <a:cubicBezTo>
                <a:pt x="136" y="1470"/>
                <a:pt x="68" y="1335"/>
                <a:pt x="0" y="1335"/>
              </a:cubicBezTo>
              <a:cubicBezTo>
                <a:pt x="68" y="1335"/>
                <a:pt x="136" y="1202"/>
                <a:pt x="136" y="1069"/>
              </a:cubicBezTo>
              <a:cubicBezTo>
                <a:pt x="136" y="1069"/>
                <a:pt x="136" y="267"/>
                <a:pt x="136" y="267"/>
              </a:cubicBezTo>
              <a:cubicBezTo>
                <a:pt x="136" y="135"/>
                <a:pt x="204" y="0"/>
                <a:pt x="273" y="0"/>
              </a:cubicBezTo>
            </a:path>
          </a:pathLst>
        </a:custGeom>
        <a:noFill/>
        <a:ln w="2844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409575</xdr:colOff>
      <xdr:row>447</xdr:row>
      <xdr:rowOff>76200</xdr:rowOff>
    </xdr:from>
    <xdr:to>
      <xdr:col>4</xdr:col>
      <xdr:colOff>523875</xdr:colOff>
      <xdr:row>451</xdr:row>
      <xdr:rowOff>19050</xdr:rowOff>
    </xdr:to>
    <xdr:sp macro="" textlink="">
      <xdr:nvSpPr>
        <xdr:cNvPr id="1034" name="Freeform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Arrowheads="1"/>
        </xdr:cNvSpPr>
      </xdr:nvSpPr>
      <xdr:spPr bwMode="auto">
        <a:xfrm>
          <a:off x="3124200" y="87077550"/>
          <a:ext cx="114300" cy="704850"/>
        </a:xfrm>
        <a:custGeom>
          <a:avLst/>
          <a:gdLst>
            <a:gd name="T0" fmla="*/ 357 w 358"/>
            <a:gd name="T1" fmla="*/ 1982 h 1983"/>
            <a:gd name="T2" fmla="*/ 179 w 358"/>
            <a:gd name="T3" fmla="*/ 1784 h 1983"/>
            <a:gd name="T4" fmla="*/ 179 w 358"/>
            <a:gd name="T5" fmla="*/ 1189 h 1983"/>
            <a:gd name="T6" fmla="*/ 0 w 358"/>
            <a:gd name="T7" fmla="*/ 992 h 1983"/>
            <a:gd name="T8" fmla="*/ 179 w 358"/>
            <a:gd name="T9" fmla="*/ 793 h 1983"/>
            <a:gd name="T10" fmla="*/ 179 w 358"/>
            <a:gd name="T11" fmla="*/ 198 h 1983"/>
            <a:gd name="T12" fmla="*/ 357 w 358"/>
            <a:gd name="T13" fmla="*/ 0 h 19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358" h="1983">
              <a:moveTo>
                <a:pt x="357" y="1982"/>
              </a:moveTo>
              <a:cubicBezTo>
                <a:pt x="268" y="1982"/>
                <a:pt x="179" y="1883"/>
                <a:pt x="179" y="1784"/>
              </a:cubicBezTo>
              <a:cubicBezTo>
                <a:pt x="179" y="1784"/>
                <a:pt x="179" y="1189"/>
                <a:pt x="179" y="1189"/>
              </a:cubicBezTo>
              <a:cubicBezTo>
                <a:pt x="179" y="1090"/>
                <a:pt x="89" y="992"/>
                <a:pt x="0" y="992"/>
              </a:cubicBezTo>
              <a:cubicBezTo>
                <a:pt x="89" y="992"/>
                <a:pt x="179" y="893"/>
                <a:pt x="179" y="793"/>
              </a:cubicBezTo>
              <a:cubicBezTo>
                <a:pt x="179" y="793"/>
                <a:pt x="179" y="198"/>
                <a:pt x="179" y="198"/>
              </a:cubicBezTo>
              <a:cubicBezTo>
                <a:pt x="179" y="100"/>
                <a:pt x="268" y="0"/>
                <a:pt x="357" y="0"/>
              </a:cubicBezTo>
            </a:path>
          </a:pathLst>
        </a:custGeom>
        <a:noFill/>
        <a:ln w="2844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457200</xdr:colOff>
      <xdr:row>7</xdr:row>
      <xdr:rowOff>133350</xdr:rowOff>
    </xdr:from>
    <xdr:to>
      <xdr:col>4</xdr:col>
      <xdr:colOff>390525</xdr:colOff>
      <xdr:row>9</xdr:row>
      <xdr:rowOff>104775</xdr:rowOff>
    </xdr:to>
    <xdr:pic>
      <xdr:nvPicPr>
        <xdr:cNvPr id="1035" name="Picture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1714500"/>
          <a:ext cx="657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247650</xdr:colOff>
      <xdr:row>50</xdr:row>
      <xdr:rowOff>133350</xdr:rowOff>
    </xdr:from>
    <xdr:to>
      <xdr:col>3</xdr:col>
      <xdr:colOff>514350</xdr:colOff>
      <xdr:row>52</xdr:row>
      <xdr:rowOff>161925</xdr:rowOff>
    </xdr:to>
    <xdr:pic>
      <xdr:nvPicPr>
        <xdr:cNvPr id="1036" name="Picture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10477500"/>
          <a:ext cx="10763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733425</xdr:colOff>
      <xdr:row>54</xdr:row>
      <xdr:rowOff>9525</xdr:rowOff>
    </xdr:from>
    <xdr:to>
      <xdr:col>3</xdr:col>
      <xdr:colOff>523875</xdr:colOff>
      <xdr:row>55</xdr:row>
      <xdr:rowOff>0</xdr:rowOff>
    </xdr:to>
    <xdr:pic>
      <xdr:nvPicPr>
        <xdr:cNvPr id="1037" name="Picture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11172825"/>
          <a:ext cx="6000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19050</xdr:colOff>
      <xdr:row>56</xdr:row>
      <xdr:rowOff>104775</xdr:rowOff>
    </xdr:from>
    <xdr:to>
      <xdr:col>6</xdr:col>
      <xdr:colOff>666750</xdr:colOff>
      <xdr:row>58</xdr:row>
      <xdr:rowOff>171450</xdr:rowOff>
    </xdr:to>
    <xdr:pic>
      <xdr:nvPicPr>
        <xdr:cNvPr id="1038" name="Picture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11706225"/>
          <a:ext cx="64770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295275</xdr:colOff>
      <xdr:row>61</xdr:row>
      <xdr:rowOff>114300</xdr:rowOff>
    </xdr:from>
    <xdr:to>
      <xdr:col>3</xdr:col>
      <xdr:colOff>609600</xdr:colOff>
      <xdr:row>63</xdr:row>
      <xdr:rowOff>85725</xdr:rowOff>
    </xdr:to>
    <xdr:pic>
      <xdr:nvPicPr>
        <xdr:cNvPr id="1039" name="Picture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12668250"/>
          <a:ext cx="11239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238125</xdr:colOff>
      <xdr:row>63</xdr:row>
      <xdr:rowOff>142875</xdr:rowOff>
    </xdr:from>
    <xdr:to>
      <xdr:col>2</xdr:col>
      <xdr:colOff>714375</xdr:colOff>
      <xdr:row>65</xdr:row>
      <xdr:rowOff>38100</xdr:rowOff>
    </xdr:to>
    <xdr:pic>
      <xdr:nvPicPr>
        <xdr:cNvPr id="1040" name="Picture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13020675"/>
          <a:ext cx="4762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257175</xdr:colOff>
      <xdr:row>64</xdr:row>
      <xdr:rowOff>0</xdr:rowOff>
    </xdr:from>
    <xdr:to>
      <xdr:col>6</xdr:col>
      <xdr:colOff>590550</xdr:colOff>
      <xdr:row>65</xdr:row>
      <xdr:rowOff>0</xdr:rowOff>
    </xdr:to>
    <xdr:pic>
      <xdr:nvPicPr>
        <xdr:cNvPr id="1041" name="Picture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13068300"/>
          <a:ext cx="3333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133350</xdr:colOff>
      <xdr:row>66</xdr:row>
      <xdr:rowOff>104775</xdr:rowOff>
    </xdr:from>
    <xdr:to>
      <xdr:col>6</xdr:col>
      <xdr:colOff>409575</xdr:colOff>
      <xdr:row>68</xdr:row>
      <xdr:rowOff>142875</xdr:rowOff>
    </xdr:to>
    <xdr:pic>
      <xdr:nvPicPr>
        <xdr:cNvPr id="1042" name="Picture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13554075"/>
          <a:ext cx="10668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161925</xdr:colOff>
      <xdr:row>69</xdr:row>
      <xdr:rowOff>114300</xdr:rowOff>
    </xdr:from>
    <xdr:to>
      <xdr:col>5</xdr:col>
      <xdr:colOff>142875</xdr:colOff>
      <xdr:row>71</xdr:row>
      <xdr:rowOff>104775</xdr:rowOff>
    </xdr:to>
    <xdr:pic>
      <xdr:nvPicPr>
        <xdr:cNvPr id="1043" name="Picture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14135100"/>
          <a:ext cx="129540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304800</xdr:colOff>
      <xdr:row>70</xdr:row>
      <xdr:rowOff>0</xdr:rowOff>
    </xdr:from>
    <xdr:to>
      <xdr:col>7</xdr:col>
      <xdr:colOff>85725</xdr:colOff>
      <xdr:row>71</xdr:row>
      <xdr:rowOff>28575</xdr:rowOff>
    </xdr:to>
    <xdr:pic>
      <xdr:nvPicPr>
        <xdr:cNvPr id="1044" name="Picture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14211300"/>
          <a:ext cx="46672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466725</xdr:colOff>
      <xdr:row>77</xdr:row>
      <xdr:rowOff>114300</xdr:rowOff>
    </xdr:from>
    <xdr:to>
      <xdr:col>5</xdr:col>
      <xdr:colOff>38100</xdr:colOff>
      <xdr:row>79</xdr:row>
      <xdr:rowOff>190500</xdr:rowOff>
    </xdr:to>
    <xdr:pic>
      <xdr:nvPicPr>
        <xdr:cNvPr id="1045" name="Picture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15659100"/>
          <a:ext cx="169545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742950</xdr:colOff>
      <xdr:row>83</xdr:row>
      <xdr:rowOff>142875</xdr:rowOff>
    </xdr:from>
    <xdr:to>
      <xdr:col>6</xdr:col>
      <xdr:colOff>628650</xdr:colOff>
      <xdr:row>85</xdr:row>
      <xdr:rowOff>95250</xdr:rowOff>
    </xdr:to>
    <xdr:pic>
      <xdr:nvPicPr>
        <xdr:cNvPr id="1046" name="Picture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17021175"/>
          <a:ext cx="6762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752475</xdr:colOff>
      <xdr:row>85</xdr:row>
      <xdr:rowOff>142875</xdr:rowOff>
    </xdr:from>
    <xdr:to>
      <xdr:col>6</xdr:col>
      <xdr:colOff>638175</xdr:colOff>
      <xdr:row>87</xdr:row>
      <xdr:rowOff>114300</xdr:rowOff>
    </xdr:to>
    <xdr:pic>
      <xdr:nvPicPr>
        <xdr:cNvPr id="1047" name="Picture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17402175"/>
          <a:ext cx="6762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609600</xdr:colOff>
      <xdr:row>81</xdr:row>
      <xdr:rowOff>95250</xdr:rowOff>
    </xdr:from>
    <xdr:to>
      <xdr:col>4</xdr:col>
      <xdr:colOff>47625</xdr:colOff>
      <xdr:row>83</xdr:row>
      <xdr:rowOff>171450</xdr:rowOff>
    </xdr:to>
    <xdr:pic>
      <xdr:nvPicPr>
        <xdr:cNvPr id="1048" name="Picture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6592550"/>
          <a:ext cx="97155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257175</xdr:colOff>
      <xdr:row>88</xdr:row>
      <xdr:rowOff>104775</xdr:rowOff>
    </xdr:from>
    <xdr:to>
      <xdr:col>3</xdr:col>
      <xdr:colOff>400050</xdr:colOff>
      <xdr:row>90</xdr:row>
      <xdr:rowOff>38100</xdr:rowOff>
    </xdr:to>
    <xdr:pic>
      <xdr:nvPicPr>
        <xdr:cNvPr id="1049" name="Picture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17935575"/>
          <a:ext cx="9525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88</xdr:row>
      <xdr:rowOff>180975</xdr:rowOff>
    </xdr:from>
    <xdr:to>
      <xdr:col>6</xdr:col>
      <xdr:colOff>590550</xdr:colOff>
      <xdr:row>90</xdr:row>
      <xdr:rowOff>66675</xdr:rowOff>
    </xdr:to>
    <xdr:pic>
      <xdr:nvPicPr>
        <xdr:cNvPr id="1050" name="Picture 26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18011775"/>
          <a:ext cx="5905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90</xdr:row>
      <xdr:rowOff>152400</xdr:rowOff>
    </xdr:from>
    <xdr:to>
      <xdr:col>6</xdr:col>
      <xdr:colOff>600075</xdr:colOff>
      <xdr:row>92</xdr:row>
      <xdr:rowOff>57150</xdr:rowOff>
    </xdr:to>
    <xdr:pic>
      <xdr:nvPicPr>
        <xdr:cNvPr id="1051" name="Picture 27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18364200"/>
          <a:ext cx="62865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247650</xdr:colOff>
      <xdr:row>93</xdr:row>
      <xdr:rowOff>19050</xdr:rowOff>
    </xdr:from>
    <xdr:to>
      <xdr:col>4</xdr:col>
      <xdr:colOff>485775</xdr:colOff>
      <xdr:row>94</xdr:row>
      <xdr:rowOff>85725</xdr:rowOff>
    </xdr:to>
    <xdr:pic>
      <xdr:nvPicPr>
        <xdr:cNvPr id="1052" name="Picture 28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18802350"/>
          <a:ext cx="9620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742950</xdr:colOff>
      <xdr:row>93</xdr:row>
      <xdr:rowOff>152400</xdr:rowOff>
    </xdr:from>
    <xdr:to>
      <xdr:col>6</xdr:col>
      <xdr:colOff>590550</xdr:colOff>
      <xdr:row>95</xdr:row>
      <xdr:rowOff>85725</xdr:rowOff>
    </xdr:to>
    <xdr:pic>
      <xdr:nvPicPr>
        <xdr:cNvPr id="1053" name="Picture 29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18935700"/>
          <a:ext cx="63817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733425</xdr:colOff>
      <xdr:row>95</xdr:row>
      <xdr:rowOff>161925</xdr:rowOff>
    </xdr:from>
    <xdr:to>
      <xdr:col>6</xdr:col>
      <xdr:colOff>590550</xdr:colOff>
      <xdr:row>97</xdr:row>
      <xdr:rowOff>57150</xdr:rowOff>
    </xdr:to>
    <xdr:pic>
      <xdr:nvPicPr>
        <xdr:cNvPr id="1054" name="Pictur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0" y="19326225"/>
          <a:ext cx="6477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19050</xdr:colOff>
      <xdr:row>103</xdr:row>
      <xdr:rowOff>38100</xdr:rowOff>
    </xdr:from>
    <xdr:to>
      <xdr:col>2</xdr:col>
      <xdr:colOff>742950</xdr:colOff>
      <xdr:row>106</xdr:row>
      <xdr:rowOff>9525</xdr:rowOff>
    </xdr:to>
    <xdr:pic>
      <xdr:nvPicPr>
        <xdr:cNvPr id="1055" name="Picture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735925"/>
          <a:ext cx="1905000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104775</xdr:colOff>
      <xdr:row>104</xdr:row>
      <xdr:rowOff>0</xdr:rowOff>
    </xdr:from>
    <xdr:to>
      <xdr:col>6</xdr:col>
      <xdr:colOff>514350</xdr:colOff>
      <xdr:row>105</xdr:row>
      <xdr:rowOff>9525</xdr:rowOff>
    </xdr:to>
    <xdr:pic>
      <xdr:nvPicPr>
        <xdr:cNvPr id="1056" name="Pictur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20888325"/>
          <a:ext cx="4095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133350</xdr:colOff>
      <xdr:row>105</xdr:row>
      <xdr:rowOff>180975</xdr:rowOff>
    </xdr:from>
    <xdr:to>
      <xdr:col>6</xdr:col>
      <xdr:colOff>581025</xdr:colOff>
      <xdr:row>109</xdr:row>
      <xdr:rowOff>104775</xdr:rowOff>
    </xdr:to>
    <xdr:pic>
      <xdr:nvPicPr>
        <xdr:cNvPr id="1057" name="Picture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21259800"/>
          <a:ext cx="18288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161925</xdr:colOff>
      <xdr:row>111</xdr:row>
      <xdr:rowOff>19050</xdr:rowOff>
    </xdr:from>
    <xdr:to>
      <xdr:col>4</xdr:col>
      <xdr:colOff>76200</xdr:colOff>
      <xdr:row>112</xdr:row>
      <xdr:rowOff>161925</xdr:rowOff>
    </xdr:to>
    <xdr:pic>
      <xdr:nvPicPr>
        <xdr:cNvPr id="1058" name="Picture 34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" y="22240875"/>
          <a:ext cx="1447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771525</xdr:colOff>
      <xdr:row>110</xdr:row>
      <xdr:rowOff>76200</xdr:rowOff>
    </xdr:from>
    <xdr:to>
      <xdr:col>6</xdr:col>
      <xdr:colOff>495300</xdr:colOff>
      <xdr:row>112</xdr:row>
      <xdr:rowOff>104775</xdr:rowOff>
    </xdr:to>
    <xdr:pic>
      <xdr:nvPicPr>
        <xdr:cNvPr id="1059" name="Picture 3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22107525"/>
          <a:ext cx="51435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781050</xdr:colOff>
      <xdr:row>113</xdr:row>
      <xdr:rowOff>171450</xdr:rowOff>
    </xdr:from>
    <xdr:to>
      <xdr:col>6</xdr:col>
      <xdr:colOff>466725</xdr:colOff>
      <xdr:row>115</xdr:row>
      <xdr:rowOff>28575</xdr:rowOff>
    </xdr:to>
    <xdr:pic>
      <xdr:nvPicPr>
        <xdr:cNvPr id="1060" name="Picture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22774275"/>
          <a:ext cx="47625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409575</xdr:colOff>
      <xdr:row>116</xdr:row>
      <xdr:rowOff>57150</xdr:rowOff>
    </xdr:from>
    <xdr:to>
      <xdr:col>6</xdr:col>
      <xdr:colOff>676275</xdr:colOff>
      <xdr:row>118</xdr:row>
      <xdr:rowOff>95250</xdr:rowOff>
    </xdr:to>
    <xdr:pic>
      <xdr:nvPicPr>
        <xdr:cNvPr id="1061" name="Picture 37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231475"/>
          <a:ext cx="16478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647700</xdr:colOff>
      <xdr:row>119</xdr:row>
      <xdr:rowOff>28575</xdr:rowOff>
    </xdr:from>
    <xdr:to>
      <xdr:col>4</xdr:col>
      <xdr:colOff>361950</xdr:colOff>
      <xdr:row>122</xdr:row>
      <xdr:rowOff>19050</xdr:rowOff>
    </xdr:to>
    <xdr:pic>
      <xdr:nvPicPr>
        <xdr:cNvPr id="1062" name="Picture 38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774400"/>
          <a:ext cx="1247775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120</xdr:row>
      <xdr:rowOff>123825</xdr:rowOff>
    </xdr:from>
    <xdr:to>
      <xdr:col>7</xdr:col>
      <xdr:colOff>19050</xdr:colOff>
      <xdr:row>122</xdr:row>
      <xdr:rowOff>38100</xdr:rowOff>
    </xdr:to>
    <xdr:pic>
      <xdr:nvPicPr>
        <xdr:cNvPr id="1063" name="Picture 39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24060150"/>
          <a:ext cx="7048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771525</xdr:colOff>
      <xdr:row>122</xdr:row>
      <xdr:rowOff>123825</xdr:rowOff>
    </xdr:from>
    <xdr:to>
      <xdr:col>7</xdr:col>
      <xdr:colOff>9525</xdr:colOff>
      <xdr:row>124</xdr:row>
      <xdr:rowOff>47625</xdr:rowOff>
    </xdr:to>
    <xdr:pic>
      <xdr:nvPicPr>
        <xdr:cNvPr id="1064" name="Picture 4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24441150"/>
          <a:ext cx="71437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1</xdr:col>
      <xdr:colOff>523875</xdr:colOff>
      <xdr:row>127</xdr:row>
      <xdr:rowOff>38100</xdr:rowOff>
    </xdr:from>
    <xdr:to>
      <xdr:col>4</xdr:col>
      <xdr:colOff>371475</xdr:colOff>
      <xdr:row>130</xdr:row>
      <xdr:rowOff>76200</xdr:rowOff>
    </xdr:to>
    <xdr:pic>
      <xdr:nvPicPr>
        <xdr:cNvPr id="1065" name="Picture 4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25307925"/>
          <a:ext cx="1971675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126</xdr:row>
      <xdr:rowOff>133350</xdr:rowOff>
    </xdr:from>
    <xdr:to>
      <xdr:col>6</xdr:col>
      <xdr:colOff>676275</xdr:colOff>
      <xdr:row>128</xdr:row>
      <xdr:rowOff>47625</xdr:rowOff>
    </xdr:to>
    <xdr:pic>
      <xdr:nvPicPr>
        <xdr:cNvPr id="1066" name="Picture 4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25212675"/>
          <a:ext cx="7048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742950</xdr:colOff>
      <xdr:row>128</xdr:row>
      <xdr:rowOff>123825</xdr:rowOff>
    </xdr:from>
    <xdr:to>
      <xdr:col>6</xdr:col>
      <xdr:colOff>666750</xdr:colOff>
      <xdr:row>130</xdr:row>
      <xdr:rowOff>47625</xdr:rowOff>
    </xdr:to>
    <xdr:pic>
      <xdr:nvPicPr>
        <xdr:cNvPr id="1067" name="Picture 4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25584150"/>
          <a:ext cx="71437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381000</xdr:colOff>
      <xdr:row>133</xdr:row>
      <xdr:rowOff>142875</xdr:rowOff>
    </xdr:from>
    <xdr:to>
      <xdr:col>4</xdr:col>
      <xdr:colOff>504825</xdr:colOff>
      <xdr:row>135</xdr:row>
      <xdr:rowOff>161925</xdr:rowOff>
    </xdr:to>
    <xdr:pic>
      <xdr:nvPicPr>
        <xdr:cNvPr id="1068" name="Picture 44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" y="26565225"/>
          <a:ext cx="165735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771525</xdr:colOff>
      <xdr:row>134</xdr:row>
      <xdr:rowOff>133350</xdr:rowOff>
    </xdr:from>
    <xdr:to>
      <xdr:col>7</xdr:col>
      <xdr:colOff>0</xdr:colOff>
      <xdr:row>136</xdr:row>
      <xdr:rowOff>38100</xdr:rowOff>
    </xdr:to>
    <xdr:pic>
      <xdr:nvPicPr>
        <xdr:cNvPr id="1069" name="Picture 45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26755725"/>
          <a:ext cx="70485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752475</xdr:colOff>
      <xdr:row>136</xdr:row>
      <xdr:rowOff>152400</xdr:rowOff>
    </xdr:from>
    <xdr:to>
      <xdr:col>6</xdr:col>
      <xdr:colOff>676275</xdr:colOff>
      <xdr:row>138</xdr:row>
      <xdr:rowOff>47625</xdr:rowOff>
    </xdr:to>
    <xdr:pic>
      <xdr:nvPicPr>
        <xdr:cNvPr id="1070" name="Picture 46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27174825"/>
          <a:ext cx="714375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314325</xdr:colOff>
      <xdr:row>139</xdr:row>
      <xdr:rowOff>76200</xdr:rowOff>
    </xdr:from>
    <xdr:to>
      <xdr:col>4</xdr:col>
      <xdr:colOff>447675</xdr:colOff>
      <xdr:row>142</xdr:row>
      <xdr:rowOff>104775</xdr:rowOff>
    </xdr:to>
    <xdr:pic>
      <xdr:nvPicPr>
        <xdr:cNvPr id="1071" name="Picture 47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5425" y="27698700"/>
          <a:ext cx="166687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139</xdr:row>
      <xdr:rowOff>142875</xdr:rowOff>
    </xdr:from>
    <xdr:to>
      <xdr:col>6</xdr:col>
      <xdr:colOff>666750</xdr:colOff>
      <xdr:row>141</xdr:row>
      <xdr:rowOff>47625</xdr:rowOff>
    </xdr:to>
    <xdr:pic>
      <xdr:nvPicPr>
        <xdr:cNvPr id="1072" name="Picture 48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27765375"/>
          <a:ext cx="69532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752475</xdr:colOff>
      <xdr:row>141</xdr:row>
      <xdr:rowOff>142875</xdr:rowOff>
    </xdr:from>
    <xdr:to>
      <xdr:col>6</xdr:col>
      <xdr:colOff>657225</xdr:colOff>
      <xdr:row>143</xdr:row>
      <xdr:rowOff>47625</xdr:rowOff>
    </xdr:to>
    <xdr:pic>
      <xdr:nvPicPr>
        <xdr:cNvPr id="1073" name="Picture 49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28165425"/>
          <a:ext cx="69532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276225</xdr:colOff>
      <xdr:row>74</xdr:row>
      <xdr:rowOff>180975</xdr:rowOff>
    </xdr:from>
    <xdr:to>
      <xdr:col>3</xdr:col>
      <xdr:colOff>676275</xdr:colOff>
      <xdr:row>76</xdr:row>
      <xdr:rowOff>19050</xdr:rowOff>
    </xdr:to>
    <xdr:pic>
      <xdr:nvPicPr>
        <xdr:cNvPr id="1074" name="Picture 5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25" y="15154275"/>
          <a:ext cx="12096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180975</xdr:colOff>
      <xdr:row>74</xdr:row>
      <xdr:rowOff>152400</xdr:rowOff>
    </xdr:from>
    <xdr:to>
      <xdr:col>7</xdr:col>
      <xdr:colOff>47625</xdr:colOff>
      <xdr:row>76</xdr:row>
      <xdr:rowOff>28575</xdr:rowOff>
    </xdr:to>
    <xdr:pic>
      <xdr:nvPicPr>
        <xdr:cNvPr id="1075" name="Picture 5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15125700"/>
          <a:ext cx="5524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47625</xdr:colOff>
      <xdr:row>150</xdr:row>
      <xdr:rowOff>85725</xdr:rowOff>
    </xdr:from>
    <xdr:to>
      <xdr:col>6</xdr:col>
      <xdr:colOff>561975</xdr:colOff>
      <xdr:row>152</xdr:row>
      <xdr:rowOff>152400</xdr:rowOff>
    </xdr:to>
    <xdr:pic>
      <xdr:nvPicPr>
        <xdr:cNvPr id="1076" name="Picture 52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8350" y="29918025"/>
          <a:ext cx="261937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123825</xdr:colOff>
      <xdr:row>153</xdr:row>
      <xdr:rowOff>104775</xdr:rowOff>
    </xdr:from>
    <xdr:to>
      <xdr:col>3</xdr:col>
      <xdr:colOff>438150</xdr:colOff>
      <xdr:row>155</xdr:row>
      <xdr:rowOff>114300</xdr:rowOff>
    </xdr:to>
    <xdr:pic>
      <xdr:nvPicPr>
        <xdr:cNvPr id="1077" name="Picture 53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30508575"/>
          <a:ext cx="31432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1</xdr:col>
      <xdr:colOff>76200</xdr:colOff>
      <xdr:row>157</xdr:row>
      <xdr:rowOff>76200</xdr:rowOff>
    </xdr:from>
    <xdr:to>
      <xdr:col>4</xdr:col>
      <xdr:colOff>95250</xdr:colOff>
      <xdr:row>159</xdr:row>
      <xdr:rowOff>104775</xdr:rowOff>
    </xdr:to>
    <xdr:pic>
      <xdr:nvPicPr>
        <xdr:cNvPr id="1078" name="Picture 5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31242000"/>
          <a:ext cx="21431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342900</xdr:colOff>
      <xdr:row>157</xdr:row>
      <xdr:rowOff>114300</xdr:rowOff>
    </xdr:from>
    <xdr:to>
      <xdr:col>9</xdr:col>
      <xdr:colOff>19050</xdr:colOff>
      <xdr:row>159</xdr:row>
      <xdr:rowOff>114300</xdr:rowOff>
    </xdr:to>
    <xdr:pic>
      <xdr:nvPicPr>
        <xdr:cNvPr id="1079" name="Picture 5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1280100"/>
          <a:ext cx="18002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190500</xdr:colOff>
      <xdr:row>162</xdr:row>
      <xdr:rowOff>47625</xdr:rowOff>
    </xdr:from>
    <xdr:to>
      <xdr:col>4</xdr:col>
      <xdr:colOff>504825</xdr:colOff>
      <xdr:row>164</xdr:row>
      <xdr:rowOff>66675</xdr:rowOff>
    </xdr:to>
    <xdr:pic>
      <xdr:nvPicPr>
        <xdr:cNvPr id="1080" name="Picture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5125" y="32165925"/>
          <a:ext cx="3143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476250</xdr:colOff>
      <xdr:row>164</xdr:row>
      <xdr:rowOff>85725</xdr:rowOff>
    </xdr:from>
    <xdr:to>
      <xdr:col>6</xdr:col>
      <xdr:colOff>571500</xdr:colOff>
      <xdr:row>166</xdr:row>
      <xdr:rowOff>104775</xdr:rowOff>
    </xdr:to>
    <xdr:pic>
      <xdr:nvPicPr>
        <xdr:cNvPr id="1081" name="Picture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32585025"/>
          <a:ext cx="220027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304800</xdr:colOff>
      <xdr:row>167</xdr:row>
      <xdr:rowOff>85725</xdr:rowOff>
    </xdr:from>
    <xdr:to>
      <xdr:col>6</xdr:col>
      <xdr:colOff>581025</xdr:colOff>
      <xdr:row>169</xdr:row>
      <xdr:rowOff>114300</xdr:rowOff>
    </xdr:to>
    <xdr:pic>
      <xdr:nvPicPr>
        <xdr:cNvPr id="1082" name="Picture 5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33156525"/>
          <a:ext cx="165735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161925</xdr:colOff>
      <xdr:row>170</xdr:row>
      <xdr:rowOff>66675</xdr:rowOff>
    </xdr:from>
    <xdr:to>
      <xdr:col>6</xdr:col>
      <xdr:colOff>542925</xdr:colOff>
      <xdr:row>172</xdr:row>
      <xdr:rowOff>104775</xdr:rowOff>
    </xdr:to>
    <xdr:pic>
      <xdr:nvPicPr>
        <xdr:cNvPr id="1083" name="Picture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6550" y="33708975"/>
          <a:ext cx="17621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523875</xdr:colOff>
      <xdr:row>173</xdr:row>
      <xdr:rowOff>104775</xdr:rowOff>
    </xdr:from>
    <xdr:to>
      <xdr:col>6</xdr:col>
      <xdr:colOff>542925</xdr:colOff>
      <xdr:row>175</xdr:row>
      <xdr:rowOff>76200</xdr:rowOff>
    </xdr:to>
    <xdr:pic>
      <xdr:nvPicPr>
        <xdr:cNvPr id="1084" name="Picture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34318575"/>
          <a:ext cx="21240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85725</xdr:colOff>
      <xdr:row>184</xdr:row>
      <xdr:rowOff>114300</xdr:rowOff>
    </xdr:from>
    <xdr:to>
      <xdr:col>6</xdr:col>
      <xdr:colOff>533400</xdr:colOff>
      <xdr:row>186</xdr:row>
      <xdr:rowOff>85725</xdr:rowOff>
    </xdr:to>
    <xdr:pic>
      <xdr:nvPicPr>
        <xdr:cNvPr id="1085" name="Picture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36480750"/>
          <a:ext cx="4476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66675</xdr:colOff>
      <xdr:row>186</xdr:row>
      <xdr:rowOff>85725</xdr:rowOff>
    </xdr:from>
    <xdr:to>
      <xdr:col>6</xdr:col>
      <xdr:colOff>523875</xdr:colOff>
      <xdr:row>188</xdr:row>
      <xdr:rowOff>57150</xdr:rowOff>
    </xdr:to>
    <xdr:pic>
      <xdr:nvPicPr>
        <xdr:cNvPr id="1086" name="Picture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36833175"/>
          <a:ext cx="45720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9525</xdr:colOff>
      <xdr:row>180</xdr:row>
      <xdr:rowOff>95250</xdr:rowOff>
    </xdr:from>
    <xdr:to>
      <xdr:col>6</xdr:col>
      <xdr:colOff>657225</xdr:colOff>
      <xdr:row>182</xdr:row>
      <xdr:rowOff>66675</xdr:rowOff>
    </xdr:to>
    <xdr:pic>
      <xdr:nvPicPr>
        <xdr:cNvPr id="1087" name="Picture 6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35699700"/>
          <a:ext cx="14382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142875</xdr:colOff>
      <xdr:row>176</xdr:row>
      <xdr:rowOff>38100</xdr:rowOff>
    </xdr:from>
    <xdr:to>
      <xdr:col>3</xdr:col>
      <xdr:colOff>457200</xdr:colOff>
      <xdr:row>178</xdr:row>
      <xdr:rowOff>57150</xdr:rowOff>
    </xdr:to>
    <xdr:pic>
      <xdr:nvPicPr>
        <xdr:cNvPr id="1088" name="Picture 64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4823400"/>
          <a:ext cx="3143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1</xdr:col>
      <xdr:colOff>95250</xdr:colOff>
      <xdr:row>190</xdr:row>
      <xdr:rowOff>38100</xdr:rowOff>
    </xdr:from>
    <xdr:to>
      <xdr:col>4</xdr:col>
      <xdr:colOff>152400</xdr:colOff>
      <xdr:row>192</xdr:row>
      <xdr:rowOff>85725</xdr:rowOff>
    </xdr:to>
    <xdr:pic>
      <xdr:nvPicPr>
        <xdr:cNvPr id="1089" name="Picture 65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37547550"/>
          <a:ext cx="2181225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188</xdr:row>
      <xdr:rowOff>76200</xdr:rowOff>
    </xdr:from>
    <xdr:to>
      <xdr:col>6</xdr:col>
      <xdr:colOff>647700</xdr:colOff>
      <xdr:row>190</xdr:row>
      <xdr:rowOff>142875</xdr:rowOff>
    </xdr:to>
    <xdr:pic>
      <xdr:nvPicPr>
        <xdr:cNvPr id="1090" name="Picture 66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37204650"/>
          <a:ext cx="67627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781050</xdr:colOff>
      <xdr:row>191</xdr:row>
      <xdr:rowOff>85725</xdr:rowOff>
    </xdr:from>
    <xdr:to>
      <xdr:col>6</xdr:col>
      <xdr:colOff>666750</xdr:colOff>
      <xdr:row>193</xdr:row>
      <xdr:rowOff>114300</xdr:rowOff>
    </xdr:to>
    <xdr:pic>
      <xdr:nvPicPr>
        <xdr:cNvPr id="1091" name="Picture 67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37785675"/>
          <a:ext cx="6762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485775</xdr:colOff>
      <xdr:row>194</xdr:row>
      <xdr:rowOff>171450</xdr:rowOff>
    </xdr:from>
    <xdr:to>
      <xdr:col>4</xdr:col>
      <xdr:colOff>161925</xdr:colOff>
      <xdr:row>197</xdr:row>
      <xdr:rowOff>47625</xdr:rowOff>
    </xdr:to>
    <xdr:pic>
      <xdr:nvPicPr>
        <xdr:cNvPr id="1092" name="Picture 68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38442900"/>
          <a:ext cx="120967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133350</xdr:colOff>
      <xdr:row>194</xdr:row>
      <xdr:rowOff>142875</xdr:rowOff>
    </xdr:from>
    <xdr:to>
      <xdr:col>6</xdr:col>
      <xdr:colOff>628650</xdr:colOff>
      <xdr:row>196</xdr:row>
      <xdr:rowOff>85725</xdr:rowOff>
    </xdr:to>
    <xdr:pic>
      <xdr:nvPicPr>
        <xdr:cNvPr id="1093" name="Picture 69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38414325"/>
          <a:ext cx="49530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95250</xdr:colOff>
      <xdr:row>196</xdr:row>
      <xdr:rowOff>95250</xdr:rowOff>
    </xdr:from>
    <xdr:to>
      <xdr:col>6</xdr:col>
      <xdr:colOff>609600</xdr:colOff>
      <xdr:row>198</xdr:row>
      <xdr:rowOff>47625</xdr:rowOff>
    </xdr:to>
    <xdr:pic>
      <xdr:nvPicPr>
        <xdr:cNvPr id="1094" name="Picture 7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38747700"/>
          <a:ext cx="51435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333375</xdr:colOff>
      <xdr:row>207</xdr:row>
      <xdr:rowOff>9525</xdr:rowOff>
    </xdr:from>
    <xdr:to>
      <xdr:col>4</xdr:col>
      <xdr:colOff>28575</xdr:colOff>
      <xdr:row>210</xdr:row>
      <xdr:rowOff>142875</xdr:rowOff>
    </xdr:to>
    <xdr:pic>
      <xdr:nvPicPr>
        <xdr:cNvPr id="1095" name="Picture 7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40919400"/>
          <a:ext cx="240982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152400</xdr:colOff>
      <xdr:row>206</xdr:row>
      <xdr:rowOff>76200</xdr:rowOff>
    </xdr:from>
    <xdr:to>
      <xdr:col>6</xdr:col>
      <xdr:colOff>542925</xdr:colOff>
      <xdr:row>208</xdr:row>
      <xdr:rowOff>104775</xdr:rowOff>
    </xdr:to>
    <xdr:pic>
      <xdr:nvPicPr>
        <xdr:cNvPr id="1096" name="Picture 72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40795575"/>
          <a:ext cx="390525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190500</xdr:colOff>
      <xdr:row>208</xdr:row>
      <xdr:rowOff>47625</xdr:rowOff>
    </xdr:from>
    <xdr:to>
      <xdr:col>6</xdr:col>
      <xdr:colOff>581025</xdr:colOff>
      <xdr:row>210</xdr:row>
      <xdr:rowOff>76200</xdr:rowOff>
    </xdr:to>
    <xdr:pic>
      <xdr:nvPicPr>
        <xdr:cNvPr id="1097" name="Picture 73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41167050"/>
          <a:ext cx="390525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504825</xdr:colOff>
      <xdr:row>210</xdr:row>
      <xdr:rowOff>66675</xdr:rowOff>
    </xdr:from>
    <xdr:to>
      <xdr:col>6</xdr:col>
      <xdr:colOff>523875</xdr:colOff>
      <xdr:row>212</xdr:row>
      <xdr:rowOff>114300</xdr:rowOff>
    </xdr:to>
    <xdr:pic>
      <xdr:nvPicPr>
        <xdr:cNvPr id="1098" name="Picture 74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41586150"/>
          <a:ext cx="809625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409575</xdr:colOff>
      <xdr:row>215</xdr:row>
      <xdr:rowOff>57150</xdr:rowOff>
    </xdr:from>
    <xdr:to>
      <xdr:col>2</xdr:col>
      <xdr:colOff>619125</xdr:colOff>
      <xdr:row>218</xdr:row>
      <xdr:rowOff>104775</xdr:rowOff>
    </xdr:to>
    <xdr:pic>
      <xdr:nvPicPr>
        <xdr:cNvPr id="1099" name="Picture 75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42529125"/>
          <a:ext cx="1390650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28575</xdr:colOff>
      <xdr:row>213</xdr:row>
      <xdr:rowOff>76200</xdr:rowOff>
    </xdr:from>
    <xdr:to>
      <xdr:col>6</xdr:col>
      <xdr:colOff>571500</xdr:colOff>
      <xdr:row>215</xdr:row>
      <xdr:rowOff>66675</xdr:rowOff>
    </xdr:to>
    <xdr:pic>
      <xdr:nvPicPr>
        <xdr:cNvPr id="1100" name="Picture 76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42167175"/>
          <a:ext cx="5429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28575</xdr:colOff>
      <xdr:row>215</xdr:row>
      <xdr:rowOff>66675</xdr:rowOff>
    </xdr:from>
    <xdr:to>
      <xdr:col>6</xdr:col>
      <xdr:colOff>581025</xdr:colOff>
      <xdr:row>217</xdr:row>
      <xdr:rowOff>114300</xdr:rowOff>
    </xdr:to>
    <xdr:pic>
      <xdr:nvPicPr>
        <xdr:cNvPr id="1101" name="Picture 77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42538650"/>
          <a:ext cx="552450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238125</xdr:colOff>
      <xdr:row>218</xdr:row>
      <xdr:rowOff>161925</xdr:rowOff>
    </xdr:from>
    <xdr:to>
      <xdr:col>6</xdr:col>
      <xdr:colOff>638175</xdr:colOff>
      <xdr:row>222</xdr:row>
      <xdr:rowOff>47625</xdr:rowOff>
    </xdr:to>
    <xdr:pic>
      <xdr:nvPicPr>
        <xdr:cNvPr id="1102" name="Picture 78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43205400"/>
          <a:ext cx="119062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85725</xdr:colOff>
      <xdr:row>223</xdr:row>
      <xdr:rowOff>123825</xdr:rowOff>
    </xdr:from>
    <xdr:to>
      <xdr:col>3</xdr:col>
      <xdr:colOff>476250</xdr:colOff>
      <xdr:row>229</xdr:row>
      <xdr:rowOff>57150</xdr:rowOff>
    </xdr:to>
    <xdr:pic>
      <xdr:nvPicPr>
        <xdr:cNvPr id="1103" name="Picture 79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4119800"/>
          <a:ext cx="238125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47625</xdr:colOff>
      <xdr:row>223</xdr:row>
      <xdr:rowOff>142875</xdr:rowOff>
    </xdr:from>
    <xdr:to>
      <xdr:col>6</xdr:col>
      <xdr:colOff>647700</xdr:colOff>
      <xdr:row>225</xdr:row>
      <xdr:rowOff>161925</xdr:rowOff>
    </xdr:to>
    <xdr:pic>
      <xdr:nvPicPr>
        <xdr:cNvPr id="1104" name="Picture 8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44138850"/>
          <a:ext cx="60007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47625</xdr:colOff>
      <xdr:row>227</xdr:row>
      <xdr:rowOff>85725</xdr:rowOff>
    </xdr:from>
    <xdr:to>
      <xdr:col>6</xdr:col>
      <xdr:colOff>666750</xdr:colOff>
      <xdr:row>229</xdr:row>
      <xdr:rowOff>114300</xdr:rowOff>
    </xdr:to>
    <xdr:pic>
      <xdr:nvPicPr>
        <xdr:cNvPr id="1105" name="Picture 81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44843700"/>
          <a:ext cx="6191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161925</xdr:colOff>
      <xdr:row>230</xdr:row>
      <xdr:rowOff>152400</xdr:rowOff>
    </xdr:from>
    <xdr:to>
      <xdr:col>6</xdr:col>
      <xdr:colOff>609600</xdr:colOff>
      <xdr:row>234</xdr:row>
      <xdr:rowOff>38100</xdr:rowOff>
    </xdr:to>
    <xdr:pic>
      <xdr:nvPicPr>
        <xdr:cNvPr id="1106" name="Picture 82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45481875"/>
          <a:ext cx="123825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95250</xdr:colOff>
      <xdr:row>236</xdr:row>
      <xdr:rowOff>161925</xdr:rowOff>
    </xdr:from>
    <xdr:to>
      <xdr:col>6</xdr:col>
      <xdr:colOff>561975</xdr:colOff>
      <xdr:row>240</xdr:row>
      <xdr:rowOff>47625</xdr:rowOff>
    </xdr:to>
    <xdr:pic>
      <xdr:nvPicPr>
        <xdr:cNvPr id="1107" name="Picture 83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46634400"/>
          <a:ext cx="1847850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85725</xdr:colOff>
      <xdr:row>241</xdr:row>
      <xdr:rowOff>38100</xdr:rowOff>
    </xdr:from>
    <xdr:to>
      <xdr:col>6</xdr:col>
      <xdr:colOff>476250</xdr:colOff>
      <xdr:row>243</xdr:row>
      <xdr:rowOff>142875</xdr:rowOff>
    </xdr:to>
    <xdr:pic>
      <xdr:nvPicPr>
        <xdr:cNvPr id="1108" name="Picture 84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47472600"/>
          <a:ext cx="118110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123825</xdr:colOff>
      <xdr:row>244</xdr:row>
      <xdr:rowOff>9525</xdr:rowOff>
    </xdr:from>
    <xdr:to>
      <xdr:col>6</xdr:col>
      <xdr:colOff>466725</xdr:colOff>
      <xdr:row>247</xdr:row>
      <xdr:rowOff>9525</xdr:rowOff>
    </xdr:to>
    <xdr:pic>
      <xdr:nvPicPr>
        <xdr:cNvPr id="1109" name="Picture 85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" y="48015525"/>
          <a:ext cx="1133475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180975</xdr:colOff>
      <xdr:row>262</xdr:row>
      <xdr:rowOff>19050</xdr:rowOff>
    </xdr:from>
    <xdr:to>
      <xdr:col>0</xdr:col>
      <xdr:colOff>533400</xdr:colOff>
      <xdr:row>264</xdr:row>
      <xdr:rowOff>180975</xdr:rowOff>
    </xdr:to>
    <xdr:pic>
      <xdr:nvPicPr>
        <xdr:cNvPr id="1110" name="Picture 86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1682650"/>
          <a:ext cx="35242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19050</xdr:colOff>
      <xdr:row>262</xdr:row>
      <xdr:rowOff>104775</xdr:rowOff>
    </xdr:from>
    <xdr:to>
      <xdr:col>6</xdr:col>
      <xdr:colOff>495300</xdr:colOff>
      <xdr:row>264</xdr:row>
      <xdr:rowOff>114300</xdr:rowOff>
    </xdr:to>
    <xdr:pic>
      <xdr:nvPicPr>
        <xdr:cNvPr id="1111" name="Picture 87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51768375"/>
          <a:ext cx="4762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704850</xdr:colOff>
      <xdr:row>264</xdr:row>
      <xdr:rowOff>123825</xdr:rowOff>
    </xdr:from>
    <xdr:to>
      <xdr:col>6</xdr:col>
      <xdr:colOff>466725</xdr:colOff>
      <xdr:row>266</xdr:row>
      <xdr:rowOff>76200</xdr:rowOff>
    </xdr:to>
    <xdr:pic>
      <xdr:nvPicPr>
        <xdr:cNvPr id="1112" name="Picture 88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52168425"/>
          <a:ext cx="55245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561975</xdr:colOff>
      <xdr:row>272</xdr:row>
      <xdr:rowOff>38100</xdr:rowOff>
    </xdr:from>
    <xdr:to>
      <xdr:col>2</xdr:col>
      <xdr:colOff>476250</xdr:colOff>
      <xdr:row>274</xdr:row>
      <xdr:rowOff>66675</xdr:rowOff>
    </xdr:to>
    <xdr:pic>
      <xdr:nvPicPr>
        <xdr:cNvPr id="1113" name="Picture 89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53682900"/>
          <a:ext cx="10953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247650</xdr:colOff>
      <xdr:row>270</xdr:row>
      <xdr:rowOff>114300</xdr:rowOff>
    </xdr:from>
    <xdr:to>
      <xdr:col>7</xdr:col>
      <xdr:colOff>0</xdr:colOff>
      <xdr:row>272</xdr:row>
      <xdr:rowOff>123825</xdr:rowOff>
    </xdr:to>
    <xdr:pic>
      <xdr:nvPicPr>
        <xdr:cNvPr id="1114" name="Picture 9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53378100"/>
          <a:ext cx="4381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266700</xdr:colOff>
      <xdr:row>272</xdr:row>
      <xdr:rowOff>123825</xdr:rowOff>
    </xdr:from>
    <xdr:to>
      <xdr:col>7</xdr:col>
      <xdr:colOff>28575</xdr:colOff>
      <xdr:row>274</xdr:row>
      <xdr:rowOff>104775</xdr:rowOff>
    </xdr:to>
    <xdr:pic>
      <xdr:nvPicPr>
        <xdr:cNvPr id="1115" name="Picture 91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53768625"/>
          <a:ext cx="4476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76200</xdr:colOff>
      <xdr:row>275</xdr:row>
      <xdr:rowOff>123825</xdr:rowOff>
    </xdr:from>
    <xdr:to>
      <xdr:col>5</xdr:col>
      <xdr:colOff>9525</xdr:colOff>
      <xdr:row>277</xdr:row>
      <xdr:rowOff>66675</xdr:rowOff>
    </xdr:to>
    <xdr:pic>
      <xdr:nvPicPr>
        <xdr:cNvPr id="1116" name="Picture 92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4340125"/>
          <a:ext cx="124777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47625</xdr:colOff>
      <xdr:row>298</xdr:row>
      <xdr:rowOff>161925</xdr:rowOff>
    </xdr:from>
    <xdr:to>
      <xdr:col>6</xdr:col>
      <xdr:colOff>542925</xdr:colOff>
      <xdr:row>300</xdr:row>
      <xdr:rowOff>38100</xdr:rowOff>
    </xdr:to>
    <xdr:pic>
      <xdr:nvPicPr>
        <xdr:cNvPr id="1117" name="Picture 93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58759725"/>
          <a:ext cx="49530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285750</xdr:colOff>
      <xdr:row>294</xdr:row>
      <xdr:rowOff>66675</xdr:rowOff>
    </xdr:from>
    <xdr:to>
      <xdr:col>6</xdr:col>
      <xdr:colOff>514350</xdr:colOff>
      <xdr:row>296</xdr:row>
      <xdr:rowOff>152400</xdr:rowOff>
    </xdr:to>
    <xdr:pic>
      <xdr:nvPicPr>
        <xdr:cNvPr id="1118" name="Picture 94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57902475"/>
          <a:ext cx="101917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142875</xdr:colOff>
      <xdr:row>278</xdr:row>
      <xdr:rowOff>171450</xdr:rowOff>
    </xdr:from>
    <xdr:to>
      <xdr:col>0</xdr:col>
      <xdr:colOff>447675</xdr:colOff>
      <xdr:row>280</xdr:row>
      <xdr:rowOff>76200</xdr:rowOff>
    </xdr:to>
    <xdr:pic>
      <xdr:nvPicPr>
        <xdr:cNvPr id="1119" name="Picture 95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4959250"/>
          <a:ext cx="30480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171450</xdr:colOff>
      <xdr:row>287</xdr:row>
      <xdr:rowOff>133350</xdr:rowOff>
    </xdr:from>
    <xdr:to>
      <xdr:col>0</xdr:col>
      <xdr:colOff>476250</xdr:colOff>
      <xdr:row>289</xdr:row>
      <xdr:rowOff>85725</xdr:rowOff>
    </xdr:to>
    <xdr:pic>
      <xdr:nvPicPr>
        <xdr:cNvPr id="1120" name="Picture 96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5663565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104775</xdr:colOff>
      <xdr:row>289</xdr:row>
      <xdr:rowOff>76200</xdr:rowOff>
    </xdr:from>
    <xdr:to>
      <xdr:col>3</xdr:col>
      <xdr:colOff>104775</xdr:colOff>
      <xdr:row>291</xdr:row>
      <xdr:rowOff>28575</xdr:rowOff>
    </xdr:to>
    <xdr:pic>
      <xdr:nvPicPr>
        <xdr:cNvPr id="1121" name="Picture 97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56959500"/>
          <a:ext cx="8096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238125</xdr:colOff>
      <xdr:row>278</xdr:row>
      <xdr:rowOff>123825</xdr:rowOff>
    </xdr:from>
    <xdr:to>
      <xdr:col>6</xdr:col>
      <xdr:colOff>581025</xdr:colOff>
      <xdr:row>280</xdr:row>
      <xdr:rowOff>76200</xdr:rowOff>
    </xdr:to>
    <xdr:pic>
      <xdr:nvPicPr>
        <xdr:cNvPr id="1122" name="Picture 98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54911625"/>
          <a:ext cx="3429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200025</xdr:colOff>
      <xdr:row>280</xdr:row>
      <xdr:rowOff>123825</xdr:rowOff>
    </xdr:from>
    <xdr:to>
      <xdr:col>6</xdr:col>
      <xdr:colOff>552450</xdr:colOff>
      <xdr:row>282</xdr:row>
      <xdr:rowOff>76200</xdr:rowOff>
    </xdr:to>
    <xdr:pic>
      <xdr:nvPicPr>
        <xdr:cNvPr id="1123" name="Picture 99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5" y="55292625"/>
          <a:ext cx="3524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209550</xdr:colOff>
      <xdr:row>283</xdr:row>
      <xdr:rowOff>123825</xdr:rowOff>
    </xdr:from>
    <xdr:to>
      <xdr:col>6</xdr:col>
      <xdr:colOff>514350</xdr:colOff>
      <xdr:row>285</xdr:row>
      <xdr:rowOff>85725</xdr:rowOff>
    </xdr:to>
    <xdr:pic>
      <xdr:nvPicPr>
        <xdr:cNvPr id="1124" name="Picture 1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55864125"/>
          <a:ext cx="3048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180975</xdr:colOff>
      <xdr:row>285</xdr:row>
      <xdr:rowOff>142875</xdr:rowOff>
    </xdr:from>
    <xdr:to>
      <xdr:col>6</xdr:col>
      <xdr:colOff>485775</xdr:colOff>
      <xdr:row>287</xdr:row>
      <xdr:rowOff>66675</xdr:rowOff>
    </xdr:to>
    <xdr:pic>
      <xdr:nvPicPr>
        <xdr:cNvPr id="1125" name="Picture 101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56264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114300</xdr:colOff>
      <xdr:row>288</xdr:row>
      <xdr:rowOff>133350</xdr:rowOff>
    </xdr:from>
    <xdr:to>
      <xdr:col>6</xdr:col>
      <xdr:colOff>495300</xdr:colOff>
      <xdr:row>290</xdr:row>
      <xdr:rowOff>66675</xdr:rowOff>
    </xdr:to>
    <xdr:pic>
      <xdr:nvPicPr>
        <xdr:cNvPr id="1126" name="Picture 102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56826150"/>
          <a:ext cx="381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19050</xdr:colOff>
      <xdr:row>290</xdr:row>
      <xdr:rowOff>142875</xdr:rowOff>
    </xdr:from>
    <xdr:to>
      <xdr:col>6</xdr:col>
      <xdr:colOff>533400</xdr:colOff>
      <xdr:row>292</xdr:row>
      <xdr:rowOff>47625</xdr:rowOff>
    </xdr:to>
    <xdr:pic>
      <xdr:nvPicPr>
        <xdr:cNvPr id="1127" name="Picture 103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57216675"/>
          <a:ext cx="51435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704850</xdr:colOff>
      <xdr:row>303</xdr:row>
      <xdr:rowOff>76200</xdr:rowOff>
    </xdr:from>
    <xdr:to>
      <xdr:col>6</xdr:col>
      <xdr:colOff>581025</xdr:colOff>
      <xdr:row>305</xdr:row>
      <xdr:rowOff>142875</xdr:rowOff>
    </xdr:to>
    <xdr:pic>
      <xdr:nvPicPr>
        <xdr:cNvPr id="1128" name="Picture 104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59626500"/>
          <a:ext cx="66675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542925</xdr:colOff>
      <xdr:row>305</xdr:row>
      <xdr:rowOff>152400</xdr:rowOff>
    </xdr:from>
    <xdr:to>
      <xdr:col>2</xdr:col>
      <xdr:colOff>752475</xdr:colOff>
      <xdr:row>307</xdr:row>
      <xdr:rowOff>28575</xdr:rowOff>
    </xdr:to>
    <xdr:pic>
      <xdr:nvPicPr>
        <xdr:cNvPr id="1129" name="Picture 105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0083700"/>
          <a:ext cx="1390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95250</xdr:colOff>
      <xdr:row>307</xdr:row>
      <xdr:rowOff>85725</xdr:rowOff>
    </xdr:from>
    <xdr:to>
      <xdr:col>6</xdr:col>
      <xdr:colOff>628650</xdr:colOff>
      <xdr:row>309</xdr:row>
      <xdr:rowOff>57150</xdr:rowOff>
    </xdr:to>
    <xdr:pic>
      <xdr:nvPicPr>
        <xdr:cNvPr id="1130" name="Picture 106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60398025"/>
          <a:ext cx="53340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628650</xdr:colOff>
      <xdr:row>309</xdr:row>
      <xdr:rowOff>142875</xdr:rowOff>
    </xdr:from>
    <xdr:to>
      <xdr:col>4</xdr:col>
      <xdr:colOff>476250</xdr:colOff>
      <xdr:row>311</xdr:row>
      <xdr:rowOff>47625</xdr:rowOff>
    </xdr:to>
    <xdr:pic>
      <xdr:nvPicPr>
        <xdr:cNvPr id="1131" name="Picture 107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60836175"/>
          <a:ext cx="1381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133350</xdr:colOff>
      <xdr:row>309</xdr:row>
      <xdr:rowOff>161925</xdr:rowOff>
    </xdr:from>
    <xdr:to>
      <xdr:col>6</xdr:col>
      <xdr:colOff>504825</xdr:colOff>
      <xdr:row>311</xdr:row>
      <xdr:rowOff>66675</xdr:rowOff>
    </xdr:to>
    <xdr:pic>
      <xdr:nvPicPr>
        <xdr:cNvPr id="1132" name="Picture 108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60855225"/>
          <a:ext cx="371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523875</xdr:colOff>
      <xdr:row>312</xdr:row>
      <xdr:rowOff>38100</xdr:rowOff>
    </xdr:from>
    <xdr:to>
      <xdr:col>4</xdr:col>
      <xdr:colOff>438150</xdr:colOff>
      <xdr:row>315</xdr:row>
      <xdr:rowOff>9525</xdr:rowOff>
    </xdr:to>
    <xdr:pic>
      <xdr:nvPicPr>
        <xdr:cNvPr id="1133" name="Picture 109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61302900"/>
          <a:ext cx="1447800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104775</xdr:colOff>
      <xdr:row>312</xdr:row>
      <xdr:rowOff>47625</xdr:rowOff>
    </xdr:from>
    <xdr:to>
      <xdr:col>8</xdr:col>
      <xdr:colOff>133350</xdr:colOff>
      <xdr:row>315</xdr:row>
      <xdr:rowOff>19050</xdr:rowOff>
    </xdr:to>
    <xdr:pic>
      <xdr:nvPicPr>
        <xdr:cNvPr id="1134" name="Picture 11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61312425"/>
          <a:ext cx="143827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142875</xdr:colOff>
      <xdr:row>315</xdr:row>
      <xdr:rowOff>123825</xdr:rowOff>
    </xdr:from>
    <xdr:to>
      <xdr:col>7</xdr:col>
      <xdr:colOff>504825</xdr:colOff>
      <xdr:row>317</xdr:row>
      <xdr:rowOff>47625</xdr:rowOff>
    </xdr:to>
    <xdr:pic>
      <xdr:nvPicPr>
        <xdr:cNvPr id="1135" name="Picture 111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61960125"/>
          <a:ext cx="36195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9</xdr:col>
      <xdr:colOff>304800</xdr:colOff>
      <xdr:row>321</xdr:row>
      <xdr:rowOff>85725</xdr:rowOff>
    </xdr:from>
    <xdr:to>
      <xdr:col>9</xdr:col>
      <xdr:colOff>657225</xdr:colOff>
      <xdr:row>323</xdr:row>
      <xdr:rowOff>114300</xdr:rowOff>
    </xdr:to>
    <xdr:pic>
      <xdr:nvPicPr>
        <xdr:cNvPr id="1136" name="Picture 112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63065025"/>
          <a:ext cx="3524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0</xdr:colOff>
      <xdr:row>324</xdr:row>
      <xdr:rowOff>28575</xdr:rowOff>
    </xdr:from>
    <xdr:to>
      <xdr:col>1</xdr:col>
      <xdr:colOff>581025</xdr:colOff>
      <xdr:row>327</xdr:row>
      <xdr:rowOff>9525</xdr:rowOff>
    </xdr:to>
    <xdr:pic>
      <xdr:nvPicPr>
        <xdr:cNvPr id="1137" name="Picture 113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579375"/>
          <a:ext cx="11715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209550</xdr:colOff>
      <xdr:row>324</xdr:row>
      <xdr:rowOff>142875</xdr:rowOff>
    </xdr:from>
    <xdr:to>
      <xdr:col>6</xdr:col>
      <xdr:colOff>581025</xdr:colOff>
      <xdr:row>326</xdr:row>
      <xdr:rowOff>47625</xdr:rowOff>
    </xdr:to>
    <xdr:pic>
      <xdr:nvPicPr>
        <xdr:cNvPr id="1138" name="Picture 114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63693675"/>
          <a:ext cx="371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104775</xdr:colOff>
      <xdr:row>330</xdr:row>
      <xdr:rowOff>123825</xdr:rowOff>
    </xdr:from>
    <xdr:to>
      <xdr:col>6</xdr:col>
      <xdr:colOff>552450</xdr:colOff>
      <xdr:row>332</xdr:row>
      <xdr:rowOff>76200</xdr:rowOff>
    </xdr:to>
    <xdr:pic>
      <xdr:nvPicPr>
        <xdr:cNvPr id="1139" name="Picture 115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64817625"/>
          <a:ext cx="4476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38100</xdr:colOff>
      <xdr:row>333</xdr:row>
      <xdr:rowOff>104775</xdr:rowOff>
    </xdr:from>
    <xdr:to>
      <xdr:col>6</xdr:col>
      <xdr:colOff>514350</xdr:colOff>
      <xdr:row>335</xdr:row>
      <xdr:rowOff>114300</xdr:rowOff>
    </xdr:to>
    <xdr:pic>
      <xdr:nvPicPr>
        <xdr:cNvPr id="1140" name="Picture 116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65370075"/>
          <a:ext cx="185737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28575</xdr:colOff>
      <xdr:row>342</xdr:row>
      <xdr:rowOff>85725</xdr:rowOff>
    </xdr:from>
    <xdr:to>
      <xdr:col>4</xdr:col>
      <xdr:colOff>495300</xdr:colOff>
      <xdr:row>344</xdr:row>
      <xdr:rowOff>104775</xdr:rowOff>
    </xdr:to>
    <xdr:pic>
      <xdr:nvPicPr>
        <xdr:cNvPr id="1142" name="Picture 118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67065525"/>
          <a:ext cx="4667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123825</xdr:colOff>
      <xdr:row>342</xdr:row>
      <xdr:rowOff>95250</xdr:rowOff>
    </xdr:from>
    <xdr:to>
      <xdr:col>7</xdr:col>
      <xdr:colOff>609600</xdr:colOff>
      <xdr:row>344</xdr:row>
      <xdr:rowOff>104775</xdr:rowOff>
    </xdr:to>
    <xdr:pic>
      <xdr:nvPicPr>
        <xdr:cNvPr id="1143" name="Picture 119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5" y="67075050"/>
          <a:ext cx="48577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657225</xdr:colOff>
      <xdr:row>346</xdr:row>
      <xdr:rowOff>152400</xdr:rowOff>
    </xdr:from>
    <xdr:to>
      <xdr:col>7</xdr:col>
      <xdr:colOff>266700</xdr:colOff>
      <xdr:row>348</xdr:row>
      <xdr:rowOff>28575</xdr:rowOff>
    </xdr:to>
    <xdr:pic>
      <xdr:nvPicPr>
        <xdr:cNvPr id="1144" name="Picture 12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5" y="67894200"/>
          <a:ext cx="29527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333375</xdr:colOff>
      <xdr:row>348</xdr:row>
      <xdr:rowOff>161925</xdr:rowOff>
    </xdr:from>
    <xdr:to>
      <xdr:col>8</xdr:col>
      <xdr:colOff>609600</xdr:colOff>
      <xdr:row>350</xdr:row>
      <xdr:rowOff>66675</xdr:rowOff>
    </xdr:to>
    <xdr:pic>
      <xdr:nvPicPr>
        <xdr:cNvPr id="1145" name="Picture 121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68284725"/>
          <a:ext cx="1000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581025</xdr:colOff>
      <xdr:row>351</xdr:row>
      <xdr:rowOff>180975</xdr:rowOff>
    </xdr:from>
    <xdr:to>
      <xdr:col>9</xdr:col>
      <xdr:colOff>142875</xdr:colOff>
      <xdr:row>353</xdr:row>
      <xdr:rowOff>47625</xdr:rowOff>
    </xdr:to>
    <xdr:pic>
      <xdr:nvPicPr>
        <xdr:cNvPr id="1146" name="Picture 122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68875275"/>
          <a:ext cx="100012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190500</xdr:colOff>
      <xdr:row>357</xdr:row>
      <xdr:rowOff>0</xdr:rowOff>
    </xdr:from>
    <xdr:to>
      <xdr:col>5</xdr:col>
      <xdr:colOff>0</xdr:colOff>
      <xdr:row>359</xdr:row>
      <xdr:rowOff>171450</xdr:rowOff>
    </xdr:to>
    <xdr:pic>
      <xdr:nvPicPr>
        <xdr:cNvPr id="1147" name="Picture 123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1225" y="69837300"/>
          <a:ext cx="112395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114300</xdr:colOff>
      <xdr:row>356</xdr:row>
      <xdr:rowOff>180975</xdr:rowOff>
    </xdr:from>
    <xdr:to>
      <xdr:col>6</xdr:col>
      <xdr:colOff>628650</xdr:colOff>
      <xdr:row>358</xdr:row>
      <xdr:rowOff>76200</xdr:rowOff>
    </xdr:to>
    <xdr:pic>
      <xdr:nvPicPr>
        <xdr:cNvPr id="1148" name="Picture 124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69827775"/>
          <a:ext cx="5143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95250</xdr:colOff>
      <xdr:row>359</xdr:row>
      <xdr:rowOff>171450</xdr:rowOff>
    </xdr:from>
    <xdr:to>
      <xdr:col>6</xdr:col>
      <xdr:colOff>609600</xdr:colOff>
      <xdr:row>361</xdr:row>
      <xdr:rowOff>66675</xdr:rowOff>
    </xdr:to>
    <xdr:pic>
      <xdr:nvPicPr>
        <xdr:cNvPr id="1149" name="Picture 125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70389750"/>
          <a:ext cx="5143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38100</xdr:colOff>
      <xdr:row>364</xdr:row>
      <xdr:rowOff>76200</xdr:rowOff>
    </xdr:from>
    <xdr:to>
      <xdr:col>3</xdr:col>
      <xdr:colOff>581025</xdr:colOff>
      <xdr:row>367</xdr:row>
      <xdr:rowOff>180975</xdr:rowOff>
    </xdr:to>
    <xdr:pic>
      <xdr:nvPicPr>
        <xdr:cNvPr id="1150" name="Picture 126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1227950"/>
          <a:ext cx="135255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66675</xdr:colOff>
      <xdr:row>368</xdr:row>
      <xdr:rowOff>114300</xdr:rowOff>
    </xdr:from>
    <xdr:to>
      <xdr:col>6</xdr:col>
      <xdr:colOff>561975</xdr:colOff>
      <xdr:row>370</xdr:row>
      <xdr:rowOff>76200</xdr:rowOff>
    </xdr:to>
    <xdr:pic>
      <xdr:nvPicPr>
        <xdr:cNvPr id="1151" name="Picture 127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72028050"/>
          <a:ext cx="18764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57150</xdr:colOff>
      <xdr:row>372</xdr:row>
      <xdr:rowOff>180975</xdr:rowOff>
    </xdr:from>
    <xdr:to>
      <xdr:col>0</xdr:col>
      <xdr:colOff>409575</xdr:colOff>
      <xdr:row>374</xdr:row>
      <xdr:rowOff>38100</xdr:rowOff>
    </xdr:to>
    <xdr:pic>
      <xdr:nvPicPr>
        <xdr:cNvPr id="1152" name="Picture 128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2856725"/>
          <a:ext cx="3524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38100</xdr:colOff>
      <xdr:row>372</xdr:row>
      <xdr:rowOff>95250</xdr:rowOff>
    </xdr:from>
    <xdr:to>
      <xdr:col>6</xdr:col>
      <xdr:colOff>495300</xdr:colOff>
      <xdr:row>374</xdr:row>
      <xdr:rowOff>0</xdr:rowOff>
    </xdr:to>
    <xdr:pic>
      <xdr:nvPicPr>
        <xdr:cNvPr id="1153" name="Picture 129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72771000"/>
          <a:ext cx="45720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374</xdr:row>
      <xdr:rowOff>104775</xdr:rowOff>
    </xdr:from>
    <xdr:to>
      <xdr:col>6</xdr:col>
      <xdr:colOff>476250</xdr:colOff>
      <xdr:row>376</xdr:row>
      <xdr:rowOff>47625</xdr:rowOff>
    </xdr:to>
    <xdr:pic>
      <xdr:nvPicPr>
        <xdr:cNvPr id="1154" name="Picture 13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3161525"/>
          <a:ext cx="4762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47625</xdr:colOff>
      <xdr:row>377</xdr:row>
      <xdr:rowOff>152400</xdr:rowOff>
    </xdr:from>
    <xdr:to>
      <xdr:col>0</xdr:col>
      <xdr:colOff>400050</xdr:colOff>
      <xdr:row>379</xdr:row>
      <xdr:rowOff>19050</xdr:rowOff>
    </xdr:to>
    <xdr:pic>
      <xdr:nvPicPr>
        <xdr:cNvPr id="1155" name="Picture 131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3780650"/>
          <a:ext cx="35242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377</xdr:row>
      <xdr:rowOff>85725</xdr:rowOff>
    </xdr:from>
    <xdr:to>
      <xdr:col>6</xdr:col>
      <xdr:colOff>438150</xdr:colOff>
      <xdr:row>379</xdr:row>
      <xdr:rowOff>47625</xdr:rowOff>
    </xdr:to>
    <xdr:pic>
      <xdr:nvPicPr>
        <xdr:cNvPr id="1156" name="Picture 132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3713975"/>
          <a:ext cx="43815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379</xdr:row>
      <xdr:rowOff>95250</xdr:rowOff>
    </xdr:from>
    <xdr:to>
      <xdr:col>6</xdr:col>
      <xdr:colOff>428625</xdr:colOff>
      <xdr:row>381</xdr:row>
      <xdr:rowOff>28575</xdr:rowOff>
    </xdr:to>
    <xdr:pic>
      <xdr:nvPicPr>
        <xdr:cNvPr id="1157" name="Picture 133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4104500"/>
          <a:ext cx="42862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66675</xdr:colOff>
      <xdr:row>382</xdr:row>
      <xdr:rowOff>161925</xdr:rowOff>
    </xdr:from>
    <xdr:to>
      <xdr:col>0</xdr:col>
      <xdr:colOff>419100</xdr:colOff>
      <xdr:row>384</xdr:row>
      <xdr:rowOff>76200</xdr:rowOff>
    </xdr:to>
    <xdr:pic>
      <xdr:nvPicPr>
        <xdr:cNvPr id="1158" name="Picture 134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4742675"/>
          <a:ext cx="352425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384</xdr:row>
      <xdr:rowOff>76200</xdr:rowOff>
    </xdr:from>
    <xdr:to>
      <xdr:col>6</xdr:col>
      <xdr:colOff>428625</xdr:colOff>
      <xdr:row>386</xdr:row>
      <xdr:rowOff>38100</xdr:rowOff>
    </xdr:to>
    <xdr:pic>
      <xdr:nvPicPr>
        <xdr:cNvPr id="1159" name="Picture 135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5037950"/>
          <a:ext cx="4286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386</xdr:row>
      <xdr:rowOff>76200</xdr:rowOff>
    </xdr:from>
    <xdr:to>
      <xdr:col>6</xdr:col>
      <xdr:colOff>419100</xdr:colOff>
      <xdr:row>388</xdr:row>
      <xdr:rowOff>9525</xdr:rowOff>
    </xdr:to>
    <xdr:pic>
      <xdr:nvPicPr>
        <xdr:cNvPr id="1160" name="Picture 136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5418950"/>
          <a:ext cx="4191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388</xdr:row>
      <xdr:rowOff>76200</xdr:rowOff>
    </xdr:from>
    <xdr:to>
      <xdr:col>6</xdr:col>
      <xdr:colOff>428625</xdr:colOff>
      <xdr:row>390</xdr:row>
      <xdr:rowOff>28575</xdr:rowOff>
    </xdr:to>
    <xdr:pic>
      <xdr:nvPicPr>
        <xdr:cNvPr id="1161" name="Picture 137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5799950"/>
          <a:ext cx="4286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390</xdr:row>
      <xdr:rowOff>76200</xdr:rowOff>
    </xdr:from>
    <xdr:to>
      <xdr:col>6</xdr:col>
      <xdr:colOff>428625</xdr:colOff>
      <xdr:row>392</xdr:row>
      <xdr:rowOff>28575</xdr:rowOff>
    </xdr:to>
    <xdr:pic>
      <xdr:nvPicPr>
        <xdr:cNvPr id="1162" name="Picture 138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6180950"/>
          <a:ext cx="4286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342900</xdr:colOff>
      <xdr:row>392</xdr:row>
      <xdr:rowOff>123825</xdr:rowOff>
    </xdr:from>
    <xdr:to>
      <xdr:col>3</xdr:col>
      <xdr:colOff>400050</xdr:colOff>
      <xdr:row>396</xdr:row>
      <xdr:rowOff>57150</xdr:rowOff>
    </xdr:to>
    <xdr:pic>
      <xdr:nvPicPr>
        <xdr:cNvPr id="1163" name="Picture 139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6609575"/>
          <a:ext cx="8667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392</xdr:row>
      <xdr:rowOff>95250</xdr:rowOff>
    </xdr:from>
    <xdr:to>
      <xdr:col>6</xdr:col>
      <xdr:colOff>428625</xdr:colOff>
      <xdr:row>394</xdr:row>
      <xdr:rowOff>57150</xdr:rowOff>
    </xdr:to>
    <xdr:pic>
      <xdr:nvPicPr>
        <xdr:cNvPr id="1164" name="Picture 14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6581000"/>
          <a:ext cx="4286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394</xdr:row>
      <xdr:rowOff>95250</xdr:rowOff>
    </xdr:from>
    <xdr:to>
      <xdr:col>6</xdr:col>
      <xdr:colOff>428625</xdr:colOff>
      <xdr:row>396</xdr:row>
      <xdr:rowOff>57150</xdr:rowOff>
    </xdr:to>
    <xdr:pic>
      <xdr:nvPicPr>
        <xdr:cNvPr id="1165" name="Picture 141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6962000"/>
          <a:ext cx="4286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114300</xdr:colOff>
      <xdr:row>397</xdr:row>
      <xdr:rowOff>133350</xdr:rowOff>
    </xdr:from>
    <xdr:to>
      <xdr:col>0</xdr:col>
      <xdr:colOff>457200</xdr:colOff>
      <xdr:row>399</xdr:row>
      <xdr:rowOff>19050</xdr:rowOff>
    </xdr:to>
    <xdr:pic>
      <xdr:nvPicPr>
        <xdr:cNvPr id="1166" name="Picture 142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7571600"/>
          <a:ext cx="34290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419100</xdr:colOff>
      <xdr:row>404</xdr:row>
      <xdr:rowOff>123825</xdr:rowOff>
    </xdr:from>
    <xdr:to>
      <xdr:col>6</xdr:col>
      <xdr:colOff>600075</xdr:colOff>
      <xdr:row>406</xdr:row>
      <xdr:rowOff>76200</xdr:rowOff>
    </xdr:to>
    <xdr:pic>
      <xdr:nvPicPr>
        <xdr:cNvPr id="1167" name="Picture 143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78933675"/>
          <a:ext cx="97155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0</xdr:colOff>
      <xdr:row>403</xdr:row>
      <xdr:rowOff>171450</xdr:rowOff>
    </xdr:from>
    <xdr:to>
      <xdr:col>0</xdr:col>
      <xdr:colOff>352425</xdr:colOff>
      <xdr:row>405</xdr:row>
      <xdr:rowOff>57150</xdr:rowOff>
    </xdr:to>
    <xdr:pic>
      <xdr:nvPicPr>
        <xdr:cNvPr id="1168" name="Picture 144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790800"/>
          <a:ext cx="352425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352425</xdr:colOff>
      <xdr:row>408</xdr:row>
      <xdr:rowOff>171450</xdr:rowOff>
    </xdr:from>
    <xdr:to>
      <xdr:col>6</xdr:col>
      <xdr:colOff>628650</xdr:colOff>
      <xdr:row>413</xdr:row>
      <xdr:rowOff>180975</xdr:rowOff>
    </xdr:to>
    <xdr:pic>
      <xdr:nvPicPr>
        <xdr:cNvPr id="1169" name="Picture 145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743300"/>
          <a:ext cx="165735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1</xdr:col>
      <xdr:colOff>104775</xdr:colOff>
      <xdr:row>414</xdr:row>
      <xdr:rowOff>133350</xdr:rowOff>
    </xdr:from>
    <xdr:to>
      <xdr:col>3</xdr:col>
      <xdr:colOff>581025</xdr:colOff>
      <xdr:row>416</xdr:row>
      <xdr:rowOff>66675</xdr:rowOff>
    </xdr:to>
    <xdr:pic>
      <xdr:nvPicPr>
        <xdr:cNvPr id="1170" name="Picture 146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80848200"/>
          <a:ext cx="187642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180975</xdr:colOff>
      <xdr:row>415</xdr:row>
      <xdr:rowOff>171450</xdr:rowOff>
    </xdr:from>
    <xdr:to>
      <xdr:col>6</xdr:col>
      <xdr:colOff>609600</xdr:colOff>
      <xdr:row>417</xdr:row>
      <xdr:rowOff>114300</xdr:rowOff>
    </xdr:to>
    <xdr:pic>
      <xdr:nvPicPr>
        <xdr:cNvPr id="1171" name="Picture 147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81076800"/>
          <a:ext cx="42862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190500</xdr:colOff>
      <xdr:row>417</xdr:row>
      <xdr:rowOff>104775</xdr:rowOff>
    </xdr:from>
    <xdr:to>
      <xdr:col>6</xdr:col>
      <xdr:colOff>619125</xdr:colOff>
      <xdr:row>419</xdr:row>
      <xdr:rowOff>47625</xdr:rowOff>
    </xdr:to>
    <xdr:pic>
      <xdr:nvPicPr>
        <xdr:cNvPr id="1172" name="Picture 148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81391125"/>
          <a:ext cx="42862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152400</xdr:colOff>
      <xdr:row>421</xdr:row>
      <xdr:rowOff>57150</xdr:rowOff>
    </xdr:from>
    <xdr:to>
      <xdr:col>0</xdr:col>
      <xdr:colOff>495300</xdr:colOff>
      <xdr:row>423</xdr:row>
      <xdr:rowOff>114300</xdr:rowOff>
    </xdr:to>
    <xdr:pic>
      <xdr:nvPicPr>
        <xdr:cNvPr id="1173" name="Picture 149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2105500"/>
          <a:ext cx="3429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361950</xdr:colOff>
      <xdr:row>424</xdr:row>
      <xdr:rowOff>9525</xdr:rowOff>
    </xdr:from>
    <xdr:to>
      <xdr:col>6</xdr:col>
      <xdr:colOff>676275</xdr:colOff>
      <xdr:row>427</xdr:row>
      <xdr:rowOff>9525</xdr:rowOff>
    </xdr:to>
    <xdr:pic>
      <xdr:nvPicPr>
        <xdr:cNvPr id="1174" name="Picture 15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6575" y="82629375"/>
          <a:ext cx="169545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142875</xdr:colOff>
      <xdr:row>428</xdr:row>
      <xdr:rowOff>180975</xdr:rowOff>
    </xdr:from>
    <xdr:to>
      <xdr:col>0</xdr:col>
      <xdr:colOff>495300</xdr:colOff>
      <xdr:row>431</xdr:row>
      <xdr:rowOff>19050</xdr:rowOff>
    </xdr:to>
    <xdr:pic>
      <xdr:nvPicPr>
        <xdr:cNvPr id="1175" name="Picture 151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3562825"/>
          <a:ext cx="3524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95250</xdr:colOff>
      <xdr:row>428</xdr:row>
      <xdr:rowOff>28575</xdr:rowOff>
    </xdr:from>
    <xdr:to>
      <xdr:col>6</xdr:col>
      <xdr:colOff>619125</xdr:colOff>
      <xdr:row>431</xdr:row>
      <xdr:rowOff>47625</xdr:rowOff>
    </xdr:to>
    <xdr:pic>
      <xdr:nvPicPr>
        <xdr:cNvPr id="1176" name="Picture 152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83410425"/>
          <a:ext cx="131445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0</xdr:colOff>
      <xdr:row>433</xdr:row>
      <xdr:rowOff>47625</xdr:rowOff>
    </xdr:from>
    <xdr:to>
      <xdr:col>0</xdr:col>
      <xdr:colOff>352425</xdr:colOff>
      <xdr:row>435</xdr:row>
      <xdr:rowOff>114300</xdr:rowOff>
    </xdr:to>
    <xdr:pic>
      <xdr:nvPicPr>
        <xdr:cNvPr id="1177" name="Picture 153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381975"/>
          <a:ext cx="35242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1</xdr:col>
      <xdr:colOff>276225</xdr:colOff>
      <xdr:row>433</xdr:row>
      <xdr:rowOff>19050</xdr:rowOff>
    </xdr:from>
    <xdr:to>
      <xdr:col>4</xdr:col>
      <xdr:colOff>390525</xdr:colOff>
      <xdr:row>436</xdr:row>
      <xdr:rowOff>152400</xdr:rowOff>
    </xdr:to>
    <xdr:pic>
      <xdr:nvPicPr>
        <xdr:cNvPr id="1178" name="Picture 154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84353400"/>
          <a:ext cx="22383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432</xdr:row>
      <xdr:rowOff>123825</xdr:rowOff>
    </xdr:from>
    <xdr:to>
      <xdr:col>6</xdr:col>
      <xdr:colOff>542925</xdr:colOff>
      <xdr:row>434</xdr:row>
      <xdr:rowOff>95250</xdr:rowOff>
    </xdr:to>
    <xdr:pic>
      <xdr:nvPicPr>
        <xdr:cNvPr id="1179" name="Picture 155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84267675"/>
          <a:ext cx="54292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436</xdr:row>
      <xdr:rowOff>28575</xdr:rowOff>
    </xdr:from>
    <xdr:to>
      <xdr:col>6</xdr:col>
      <xdr:colOff>552450</xdr:colOff>
      <xdr:row>438</xdr:row>
      <xdr:rowOff>19050</xdr:rowOff>
    </xdr:to>
    <xdr:pic>
      <xdr:nvPicPr>
        <xdr:cNvPr id="1180" name="Picture 156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84934425"/>
          <a:ext cx="5810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0</xdr:colOff>
      <xdr:row>440</xdr:row>
      <xdr:rowOff>142875</xdr:rowOff>
    </xdr:from>
    <xdr:to>
      <xdr:col>0</xdr:col>
      <xdr:colOff>352425</xdr:colOff>
      <xdr:row>443</xdr:row>
      <xdr:rowOff>19050</xdr:rowOff>
    </xdr:to>
    <xdr:pic>
      <xdr:nvPicPr>
        <xdr:cNvPr id="1181" name="Picture 157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810725"/>
          <a:ext cx="35242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581025</xdr:colOff>
      <xdr:row>439</xdr:row>
      <xdr:rowOff>180975</xdr:rowOff>
    </xdr:from>
    <xdr:to>
      <xdr:col>6</xdr:col>
      <xdr:colOff>514350</xdr:colOff>
      <xdr:row>443</xdr:row>
      <xdr:rowOff>9525</xdr:rowOff>
    </xdr:to>
    <xdr:pic>
      <xdr:nvPicPr>
        <xdr:cNvPr id="1182" name="Picture 158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85658325"/>
          <a:ext cx="131445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152400</xdr:colOff>
      <xdr:row>444</xdr:row>
      <xdr:rowOff>95250</xdr:rowOff>
    </xdr:from>
    <xdr:to>
      <xdr:col>6</xdr:col>
      <xdr:colOff>457200</xdr:colOff>
      <xdr:row>446</xdr:row>
      <xdr:rowOff>95250</xdr:rowOff>
    </xdr:to>
    <xdr:pic>
      <xdr:nvPicPr>
        <xdr:cNvPr id="1183" name="Picture 159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86525100"/>
          <a:ext cx="109537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47625</xdr:colOff>
      <xdr:row>447</xdr:row>
      <xdr:rowOff>76200</xdr:rowOff>
    </xdr:from>
    <xdr:to>
      <xdr:col>3</xdr:col>
      <xdr:colOff>600075</xdr:colOff>
      <xdr:row>450</xdr:row>
      <xdr:rowOff>152400</xdr:rowOff>
    </xdr:to>
    <xdr:pic>
      <xdr:nvPicPr>
        <xdr:cNvPr id="1184" name="Picture 16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87077550"/>
          <a:ext cx="13620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714375</xdr:colOff>
      <xdr:row>447</xdr:row>
      <xdr:rowOff>85725</xdr:rowOff>
    </xdr:from>
    <xdr:to>
      <xdr:col>6</xdr:col>
      <xdr:colOff>352425</xdr:colOff>
      <xdr:row>449</xdr:row>
      <xdr:rowOff>76200</xdr:rowOff>
    </xdr:to>
    <xdr:pic>
      <xdr:nvPicPr>
        <xdr:cNvPr id="1185" name="Picture 161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87087075"/>
          <a:ext cx="4286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685800</xdr:colOff>
      <xdr:row>449</xdr:row>
      <xdr:rowOff>104775</xdr:rowOff>
    </xdr:from>
    <xdr:to>
      <xdr:col>6</xdr:col>
      <xdr:colOff>333375</xdr:colOff>
      <xdr:row>451</xdr:row>
      <xdr:rowOff>85725</xdr:rowOff>
    </xdr:to>
    <xdr:pic>
      <xdr:nvPicPr>
        <xdr:cNvPr id="1186" name="Picture 162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87487125"/>
          <a:ext cx="43815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19050</xdr:colOff>
      <xdr:row>453</xdr:row>
      <xdr:rowOff>161925</xdr:rowOff>
    </xdr:from>
    <xdr:to>
      <xdr:col>7</xdr:col>
      <xdr:colOff>409575</xdr:colOff>
      <xdr:row>455</xdr:row>
      <xdr:rowOff>66675</xdr:rowOff>
    </xdr:to>
    <xdr:pic>
      <xdr:nvPicPr>
        <xdr:cNvPr id="1187" name="Picture 163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88306275"/>
          <a:ext cx="3905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590550</xdr:colOff>
      <xdr:row>455</xdr:row>
      <xdr:rowOff>171450</xdr:rowOff>
    </xdr:from>
    <xdr:to>
      <xdr:col>9</xdr:col>
      <xdr:colOff>171450</xdr:colOff>
      <xdr:row>457</xdr:row>
      <xdr:rowOff>47625</xdr:rowOff>
    </xdr:to>
    <xdr:pic>
      <xdr:nvPicPr>
        <xdr:cNvPr id="1188" name="Picture 164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88696800"/>
          <a:ext cx="101917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666750</xdr:colOff>
      <xdr:row>459</xdr:row>
      <xdr:rowOff>9525</xdr:rowOff>
    </xdr:from>
    <xdr:to>
      <xdr:col>9</xdr:col>
      <xdr:colOff>238125</xdr:colOff>
      <xdr:row>460</xdr:row>
      <xdr:rowOff>66675</xdr:rowOff>
    </xdr:to>
    <xdr:pic>
      <xdr:nvPicPr>
        <xdr:cNvPr id="1189" name="Picture 165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89296875"/>
          <a:ext cx="10096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666750</xdr:colOff>
      <xdr:row>464</xdr:row>
      <xdr:rowOff>171450</xdr:rowOff>
    </xdr:from>
    <xdr:to>
      <xdr:col>4</xdr:col>
      <xdr:colOff>542925</xdr:colOff>
      <xdr:row>467</xdr:row>
      <xdr:rowOff>152400</xdr:rowOff>
    </xdr:to>
    <xdr:pic>
      <xdr:nvPicPr>
        <xdr:cNvPr id="1190" name="Picture 166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90411300"/>
          <a:ext cx="140970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47625</xdr:colOff>
      <xdr:row>464</xdr:row>
      <xdr:rowOff>133350</xdr:rowOff>
    </xdr:from>
    <xdr:to>
      <xdr:col>6</xdr:col>
      <xdr:colOff>600075</xdr:colOff>
      <xdr:row>466</xdr:row>
      <xdr:rowOff>28575</xdr:rowOff>
    </xdr:to>
    <xdr:pic>
      <xdr:nvPicPr>
        <xdr:cNvPr id="1191" name="Picture 167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90373200"/>
          <a:ext cx="5524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781050</xdr:colOff>
      <xdr:row>467</xdr:row>
      <xdr:rowOff>123825</xdr:rowOff>
    </xdr:from>
    <xdr:to>
      <xdr:col>6</xdr:col>
      <xdr:colOff>571500</xdr:colOff>
      <xdr:row>469</xdr:row>
      <xdr:rowOff>19050</xdr:rowOff>
    </xdr:to>
    <xdr:pic>
      <xdr:nvPicPr>
        <xdr:cNvPr id="1192" name="Picture 168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90935175"/>
          <a:ext cx="58102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447675</xdr:colOff>
      <xdr:row>474</xdr:row>
      <xdr:rowOff>152400</xdr:rowOff>
    </xdr:from>
    <xdr:to>
      <xdr:col>5</xdr:col>
      <xdr:colOff>76200</xdr:colOff>
      <xdr:row>477</xdr:row>
      <xdr:rowOff>180975</xdr:rowOff>
    </xdr:to>
    <xdr:pic>
      <xdr:nvPicPr>
        <xdr:cNvPr id="1193" name="Picture 169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92287725"/>
          <a:ext cx="17526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561975</xdr:colOff>
      <xdr:row>478</xdr:row>
      <xdr:rowOff>47625</xdr:rowOff>
    </xdr:from>
    <xdr:to>
      <xdr:col>1</xdr:col>
      <xdr:colOff>381000</xdr:colOff>
      <xdr:row>480</xdr:row>
      <xdr:rowOff>85725</xdr:rowOff>
    </xdr:to>
    <xdr:pic>
      <xdr:nvPicPr>
        <xdr:cNvPr id="1194" name="Picture 17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92916375"/>
          <a:ext cx="4095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495300</xdr:colOff>
      <xdr:row>480</xdr:row>
      <xdr:rowOff>95250</xdr:rowOff>
    </xdr:from>
    <xdr:to>
      <xdr:col>1</xdr:col>
      <xdr:colOff>257175</xdr:colOff>
      <xdr:row>482</xdr:row>
      <xdr:rowOff>104775</xdr:rowOff>
    </xdr:to>
    <xdr:pic>
      <xdr:nvPicPr>
        <xdr:cNvPr id="1195" name="Picture 171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93345000"/>
          <a:ext cx="35242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47625</xdr:colOff>
      <xdr:row>478</xdr:row>
      <xdr:rowOff>76200</xdr:rowOff>
    </xdr:from>
    <xdr:to>
      <xdr:col>6</xdr:col>
      <xdr:colOff>523875</xdr:colOff>
      <xdr:row>480</xdr:row>
      <xdr:rowOff>104775</xdr:rowOff>
    </xdr:to>
    <xdr:pic>
      <xdr:nvPicPr>
        <xdr:cNvPr id="1196" name="Picture 172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92944950"/>
          <a:ext cx="47625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9525</xdr:colOff>
      <xdr:row>480</xdr:row>
      <xdr:rowOff>114300</xdr:rowOff>
    </xdr:from>
    <xdr:to>
      <xdr:col>6</xdr:col>
      <xdr:colOff>514350</xdr:colOff>
      <xdr:row>482</xdr:row>
      <xdr:rowOff>76200</xdr:rowOff>
    </xdr:to>
    <xdr:pic>
      <xdr:nvPicPr>
        <xdr:cNvPr id="1197" name="Picture 173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5" y="93364050"/>
          <a:ext cx="5048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409575</xdr:colOff>
      <xdr:row>483</xdr:row>
      <xdr:rowOff>123825</xdr:rowOff>
    </xdr:from>
    <xdr:to>
      <xdr:col>6</xdr:col>
      <xdr:colOff>447675</xdr:colOff>
      <xdr:row>485</xdr:row>
      <xdr:rowOff>85725</xdr:rowOff>
    </xdr:to>
    <xdr:pic>
      <xdr:nvPicPr>
        <xdr:cNvPr id="1198" name="Picture 174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3945075"/>
          <a:ext cx="14192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1</xdr:col>
      <xdr:colOff>0</xdr:colOff>
      <xdr:row>487</xdr:row>
      <xdr:rowOff>57150</xdr:rowOff>
    </xdr:from>
    <xdr:to>
      <xdr:col>5</xdr:col>
      <xdr:colOff>104775</xdr:colOff>
      <xdr:row>491</xdr:row>
      <xdr:rowOff>9525</xdr:rowOff>
    </xdr:to>
    <xdr:pic>
      <xdr:nvPicPr>
        <xdr:cNvPr id="1199" name="Picture 175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4640400"/>
          <a:ext cx="28194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486</xdr:row>
      <xdr:rowOff>104775</xdr:rowOff>
    </xdr:from>
    <xdr:to>
      <xdr:col>6</xdr:col>
      <xdr:colOff>419100</xdr:colOff>
      <xdr:row>488</xdr:row>
      <xdr:rowOff>114300</xdr:rowOff>
    </xdr:to>
    <xdr:pic>
      <xdr:nvPicPr>
        <xdr:cNvPr id="1200" name="Picture 176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94497525"/>
          <a:ext cx="44767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489</xdr:row>
      <xdr:rowOff>104775</xdr:rowOff>
    </xdr:from>
    <xdr:to>
      <xdr:col>6</xdr:col>
      <xdr:colOff>419100</xdr:colOff>
      <xdr:row>491</xdr:row>
      <xdr:rowOff>114300</xdr:rowOff>
    </xdr:to>
    <xdr:pic>
      <xdr:nvPicPr>
        <xdr:cNvPr id="1201" name="Picture 177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95069025"/>
          <a:ext cx="44767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493</xdr:row>
      <xdr:rowOff>133350</xdr:rowOff>
    </xdr:from>
    <xdr:to>
      <xdr:col>6</xdr:col>
      <xdr:colOff>381000</xdr:colOff>
      <xdr:row>495</xdr:row>
      <xdr:rowOff>104775</xdr:rowOff>
    </xdr:to>
    <xdr:pic>
      <xdr:nvPicPr>
        <xdr:cNvPr id="1202" name="Picture 178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95859600"/>
          <a:ext cx="4095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495</xdr:row>
      <xdr:rowOff>133350</xdr:rowOff>
    </xdr:from>
    <xdr:to>
      <xdr:col>6</xdr:col>
      <xdr:colOff>390525</xdr:colOff>
      <xdr:row>497</xdr:row>
      <xdr:rowOff>104775</xdr:rowOff>
    </xdr:to>
    <xdr:pic>
      <xdr:nvPicPr>
        <xdr:cNvPr id="1203" name="Picture 179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96240600"/>
          <a:ext cx="41910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647700</xdr:colOff>
      <xdr:row>500</xdr:row>
      <xdr:rowOff>95250</xdr:rowOff>
    </xdr:from>
    <xdr:to>
      <xdr:col>7</xdr:col>
      <xdr:colOff>323850</xdr:colOff>
      <xdr:row>502</xdr:row>
      <xdr:rowOff>38100</xdr:rowOff>
    </xdr:to>
    <xdr:pic>
      <xdr:nvPicPr>
        <xdr:cNvPr id="1204" name="Picture 18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97155000"/>
          <a:ext cx="3619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466725</xdr:colOff>
      <xdr:row>502</xdr:row>
      <xdr:rowOff>123825</xdr:rowOff>
    </xdr:from>
    <xdr:to>
      <xdr:col>9</xdr:col>
      <xdr:colOff>47625</xdr:colOff>
      <xdr:row>504</xdr:row>
      <xdr:rowOff>47625</xdr:rowOff>
    </xdr:to>
    <xdr:pic>
      <xdr:nvPicPr>
        <xdr:cNvPr id="1205" name="Picture 181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97536000"/>
          <a:ext cx="101917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666750</xdr:colOff>
      <xdr:row>505</xdr:row>
      <xdr:rowOff>95250</xdr:rowOff>
    </xdr:from>
    <xdr:to>
      <xdr:col>9</xdr:col>
      <xdr:colOff>238125</xdr:colOff>
      <xdr:row>506</xdr:row>
      <xdr:rowOff>180975</xdr:rowOff>
    </xdr:to>
    <xdr:pic>
      <xdr:nvPicPr>
        <xdr:cNvPr id="1206" name="Picture 182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98078925"/>
          <a:ext cx="10096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352425</xdr:colOff>
      <xdr:row>33</xdr:row>
      <xdr:rowOff>76200</xdr:rowOff>
    </xdr:from>
    <xdr:to>
      <xdr:col>6</xdr:col>
      <xdr:colOff>609600</xdr:colOff>
      <xdr:row>34</xdr:row>
      <xdr:rowOff>123825</xdr:rowOff>
    </xdr:to>
    <xdr:pic>
      <xdr:nvPicPr>
        <xdr:cNvPr id="1207" name="Picture 183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6981825"/>
          <a:ext cx="2571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142875</xdr:colOff>
      <xdr:row>282</xdr:row>
      <xdr:rowOff>142875</xdr:rowOff>
    </xdr:from>
    <xdr:to>
      <xdr:col>0</xdr:col>
      <xdr:colOff>409575</xdr:colOff>
      <xdr:row>284</xdr:row>
      <xdr:rowOff>95250</xdr:rowOff>
    </xdr:to>
    <xdr:pic>
      <xdr:nvPicPr>
        <xdr:cNvPr id="1208" name="Picture 184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5692675"/>
          <a:ext cx="2667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161925</xdr:colOff>
      <xdr:row>267</xdr:row>
      <xdr:rowOff>95250</xdr:rowOff>
    </xdr:from>
    <xdr:to>
      <xdr:col>0</xdr:col>
      <xdr:colOff>476250</xdr:colOff>
      <xdr:row>269</xdr:row>
      <xdr:rowOff>123825</xdr:rowOff>
    </xdr:to>
    <xdr:pic>
      <xdr:nvPicPr>
        <xdr:cNvPr id="1212" name="Picture 188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631" r="24542"/>
        <a:stretch>
          <a:fillRect/>
        </a:stretch>
      </xdr:blipFill>
      <xdr:spPr bwMode="auto">
        <a:xfrm>
          <a:off x="161925" y="52711350"/>
          <a:ext cx="3143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46631" r="24542"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257175</xdr:colOff>
      <xdr:row>268</xdr:row>
      <xdr:rowOff>114300</xdr:rowOff>
    </xdr:from>
    <xdr:to>
      <xdr:col>6</xdr:col>
      <xdr:colOff>571500</xdr:colOff>
      <xdr:row>270</xdr:row>
      <xdr:rowOff>66675</xdr:rowOff>
    </xdr:to>
    <xdr:pic>
      <xdr:nvPicPr>
        <xdr:cNvPr id="1213" name="Picture 189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631" r="24542"/>
        <a:stretch>
          <a:fillRect/>
        </a:stretch>
      </xdr:blipFill>
      <xdr:spPr bwMode="auto">
        <a:xfrm>
          <a:off x="4352925" y="52920900"/>
          <a:ext cx="3143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46631" r="24542"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247650</xdr:colOff>
      <xdr:row>341</xdr:row>
      <xdr:rowOff>152400</xdr:rowOff>
    </xdr:from>
    <xdr:to>
      <xdr:col>2</xdr:col>
      <xdr:colOff>209550</xdr:colOff>
      <xdr:row>344</xdr:row>
      <xdr:rowOff>171450</xdr:rowOff>
    </xdr:to>
    <xdr:grpSp>
      <xdr:nvGrpSpPr>
        <xdr:cNvPr id="1215" name="Group 191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GrpSpPr>
          <a:grpSpLocks/>
        </xdr:cNvGrpSpPr>
      </xdr:nvGrpSpPr>
      <xdr:grpSpPr bwMode="auto">
        <a:xfrm>
          <a:off x="247650" y="66636900"/>
          <a:ext cx="1181100" cy="590550"/>
          <a:chOff x="26" y="7010"/>
          <a:chExt cx="120" cy="62"/>
        </a:xfrm>
      </xdr:grpSpPr>
      <xdr:pic>
        <xdr:nvPicPr>
          <xdr:cNvPr id="1141" name="Picture 117">
            <a:extLst>
              <a:ext uri="{FF2B5EF4-FFF2-40B4-BE49-F238E27FC236}">
                <a16:creationId xmlns:a16="http://schemas.microsoft.com/office/drawing/2014/main" id="{00000000-0008-0000-0000-000075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7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6" y="7010"/>
            <a:ext cx="120" cy="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blipFill dpi="0" rotWithShape="0">
                  <a:blip xmlns:r="http://schemas.openxmlformats.org/officeDocument/2006/relationships"/>
                  <a:srcRect/>
                  <a:stretch>
                    <a:fillRect/>
                  </a:stretch>
                </a:blipFill>
              </a14:hiddenFill>
            </a:ext>
          </a:extLst>
        </xdr:spPr>
      </xdr:pic>
      <xdr:sp macro="" textlink="">
        <xdr:nvSpPr>
          <xdr:cNvPr id="1214" name="Text Box 190">
            <a:extLst>
              <a:ext uri="{FF2B5EF4-FFF2-40B4-BE49-F238E27FC236}">
                <a16:creationId xmlns:a16="http://schemas.microsoft.com/office/drawing/2014/main" id="{00000000-0008-0000-0000-0000BE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" y="7053"/>
            <a:ext cx="14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pt-B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3"/>
  <sheetViews>
    <sheetView showGridLines="0" tabSelected="1" view="pageBreakPreview" topLeftCell="A220" zoomScaleNormal="100" workbookViewId="0">
      <selection activeCell="F9" sqref="F9"/>
    </sheetView>
  </sheetViews>
  <sheetFormatPr defaultColWidth="11.44140625" defaultRowHeight="13.2" x14ac:dyDescent="0.25"/>
  <cols>
    <col min="1" max="2" width="8.88671875" customWidth="1"/>
    <col min="3" max="3" width="12.109375" customWidth="1"/>
    <col min="4" max="4" width="10.88671875" customWidth="1"/>
    <col min="5" max="5" width="8.88671875" customWidth="1"/>
    <col min="6" max="6" width="11.88671875" customWidth="1"/>
    <col min="7" max="7" width="10.33203125" customWidth="1"/>
    <col min="8" max="8" width="10.88671875" customWidth="1"/>
    <col min="9" max="9" width="10.6640625" customWidth="1"/>
    <col min="10" max="10" width="12.44140625" customWidth="1"/>
    <col min="11" max="11" width="11.109375" customWidth="1"/>
  </cols>
  <sheetData>
    <row r="1" spans="1:11" ht="30.75" customHeight="1" x14ac:dyDescent="0.4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3"/>
    </row>
    <row r="2" spans="1:11" ht="15" x14ac:dyDescent="0.25">
      <c r="A2" s="1"/>
      <c r="B2" s="3"/>
      <c r="C2" s="3"/>
      <c r="D2" s="4" t="s">
        <v>1</v>
      </c>
      <c r="E2" s="4"/>
      <c r="F2" s="4"/>
      <c r="G2" s="4"/>
      <c r="H2" s="4"/>
      <c r="I2" s="1"/>
      <c r="J2" s="3"/>
      <c r="K2" s="3"/>
    </row>
    <row r="3" spans="1:11" ht="15" x14ac:dyDescent="0.25">
      <c r="A3" s="1"/>
      <c r="B3" s="3"/>
      <c r="C3" s="5" t="s">
        <v>2</v>
      </c>
      <c r="D3" s="6"/>
      <c r="E3" s="3"/>
      <c r="F3" s="3"/>
      <c r="G3" s="5" t="s">
        <v>299</v>
      </c>
      <c r="H3" s="3"/>
      <c r="I3" s="1"/>
      <c r="J3" s="3"/>
      <c r="K3" s="3"/>
    </row>
    <row r="4" spans="1:11" ht="15" x14ac:dyDescent="0.25">
      <c r="A4" s="1"/>
      <c r="B4" s="3"/>
      <c r="C4" s="3"/>
      <c r="D4" s="3"/>
      <c r="E4" s="3"/>
      <c r="F4" s="3"/>
      <c r="G4" s="3"/>
      <c r="H4" s="3"/>
      <c r="I4" s="1"/>
      <c r="J4" s="3"/>
      <c r="K4" s="3"/>
    </row>
    <row r="5" spans="1:11" ht="15.6" x14ac:dyDescent="0.3">
      <c r="A5" s="7" t="s">
        <v>3</v>
      </c>
      <c r="B5" s="1"/>
      <c r="C5" s="1"/>
      <c r="D5" s="3"/>
      <c r="E5" s="1"/>
      <c r="F5" s="1"/>
      <c r="G5" s="1"/>
      <c r="H5" s="1"/>
      <c r="I5" s="1"/>
      <c r="J5" s="3"/>
      <c r="K5" s="3"/>
    </row>
    <row r="6" spans="1:11" ht="16.2" thickBot="1" x14ac:dyDescent="0.35">
      <c r="A6" s="7"/>
      <c r="B6" s="1"/>
      <c r="C6" s="1"/>
      <c r="D6" s="8"/>
      <c r="E6" s="1"/>
      <c r="F6" s="1"/>
      <c r="G6" s="1"/>
      <c r="H6" s="1"/>
      <c r="I6" s="1"/>
      <c r="J6" s="8"/>
      <c r="K6" s="8"/>
    </row>
    <row r="7" spans="1:11" ht="16.2" thickTop="1" thickBot="1" x14ac:dyDescent="0.3">
      <c r="A7" s="1" t="s">
        <v>4</v>
      </c>
      <c r="B7" s="1"/>
      <c r="C7" s="1"/>
      <c r="D7" s="8"/>
      <c r="E7" s="1" t="s">
        <v>13</v>
      </c>
      <c r="F7" s="77" t="s">
        <v>297</v>
      </c>
      <c r="G7" s="78"/>
      <c r="H7" s="78"/>
      <c r="I7" s="78"/>
      <c r="J7" s="79"/>
      <c r="K7" s="8"/>
    </row>
    <row r="8" spans="1:11" ht="16.2" thickTop="1" thickBot="1" x14ac:dyDescent="0.3">
      <c r="A8" s="1"/>
      <c r="B8" s="1"/>
      <c r="C8" s="1"/>
      <c r="D8" s="8"/>
      <c r="E8" s="1"/>
      <c r="F8" s="1"/>
      <c r="G8" s="1"/>
      <c r="H8" s="1"/>
      <c r="I8" s="1"/>
      <c r="J8" s="8"/>
      <c r="K8" s="8"/>
    </row>
    <row r="9" spans="1:11" ht="15" x14ac:dyDescent="0.25">
      <c r="A9" s="1" t="s">
        <v>5</v>
      </c>
      <c r="B9" s="1"/>
      <c r="C9" s="8"/>
      <c r="D9" s="8"/>
      <c r="E9" s="1"/>
      <c r="F9" s="63">
        <v>1.1000000000000001</v>
      </c>
      <c r="G9" s="9" t="s">
        <v>6</v>
      </c>
      <c r="H9" s="10" t="s">
        <v>7</v>
      </c>
      <c r="I9" s="1"/>
      <c r="J9" s="8"/>
      <c r="K9" s="8"/>
    </row>
    <row r="10" spans="1:11" ht="15" x14ac:dyDescent="0.25">
      <c r="A10" s="1"/>
      <c r="B10" s="1"/>
      <c r="C10" s="1"/>
      <c r="D10" s="8"/>
      <c r="E10" s="1"/>
      <c r="F10" s="1"/>
      <c r="G10" s="1"/>
      <c r="H10" s="1"/>
      <c r="I10" s="1"/>
      <c r="J10" s="8"/>
      <c r="K10" s="8"/>
    </row>
    <row r="11" spans="1:11" ht="15" x14ac:dyDescent="0.25">
      <c r="A11" s="1" t="s">
        <v>8</v>
      </c>
      <c r="B11" s="1"/>
      <c r="C11" s="1"/>
      <c r="D11" s="8"/>
      <c r="E11" s="1" t="s">
        <v>268</v>
      </c>
      <c r="F11" s="63">
        <v>858</v>
      </c>
      <c r="G11" s="11" t="s">
        <v>9</v>
      </c>
      <c r="H11" s="1"/>
      <c r="I11" s="1"/>
      <c r="J11" s="8"/>
      <c r="K11" s="8"/>
    </row>
    <row r="12" spans="1:11" ht="15" x14ac:dyDescent="0.25">
      <c r="A12" s="1"/>
      <c r="B12" s="1"/>
      <c r="C12" s="1"/>
      <c r="D12" s="8"/>
      <c r="E12" s="1"/>
      <c r="F12" s="1"/>
      <c r="G12" s="1"/>
      <c r="H12" s="1"/>
      <c r="I12" s="1"/>
      <c r="J12" s="8"/>
      <c r="K12" s="8"/>
    </row>
    <row r="13" spans="1:11" ht="15" x14ac:dyDescent="0.25">
      <c r="A13" s="1" t="s">
        <v>10</v>
      </c>
      <c r="B13" s="1"/>
      <c r="C13" s="1"/>
      <c r="D13" s="8"/>
      <c r="E13" s="1" t="s">
        <v>11</v>
      </c>
      <c r="F13" s="63">
        <v>29</v>
      </c>
      <c r="G13" s="11" t="s">
        <v>12</v>
      </c>
      <c r="H13" s="1"/>
      <c r="I13" s="1"/>
      <c r="J13" s="8"/>
      <c r="K13" s="8"/>
    </row>
    <row r="14" spans="1:11" ht="15" x14ac:dyDescent="0.25">
      <c r="A14" s="1"/>
      <c r="B14" s="1"/>
      <c r="C14" s="1"/>
      <c r="D14" s="8"/>
      <c r="E14" s="1"/>
      <c r="F14" s="1" t="s">
        <v>13</v>
      </c>
      <c r="G14" s="1"/>
      <c r="H14" s="1"/>
      <c r="I14" s="1"/>
      <c r="J14" s="8"/>
      <c r="K14" s="8"/>
    </row>
    <row r="15" spans="1:11" ht="18.600000000000001" x14ac:dyDescent="0.4">
      <c r="A15" s="1" t="s">
        <v>14</v>
      </c>
      <c r="B15" s="1"/>
      <c r="C15" s="1"/>
      <c r="D15" s="8"/>
      <c r="E15" s="1" t="s">
        <v>269</v>
      </c>
      <c r="F15" s="63">
        <v>2.75</v>
      </c>
      <c r="G15" s="11" t="s">
        <v>15</v>
      </c>
      <c r="H15" s="1"/>
      <c r="I15" s="8"/>
      <c r="J15" s="8"/>
      <c r="K15" s="8"/>
    </row>
    <row r="16" spans="1:11" ht="15" x14ac:dyDescent="0.25">
      <c r="A16" s="1"/>
      <c r="B16" s="1"/>
      <c r="C16" s="1"/>
      <c r="D16" s="8"/>
      <c r="E16" s="1"/>
      <c r="F16" s="1"/>
      <c r="G16" s="1"/>
      <c r="H16" s="1"/>
      <c r="I16" s="1"/>
      <c r="J16" s="1"/>
      <c r="K16" s="1"/>
    </row>
    <row r="17" spans="1:11" ht="18.600000000000001" x14ac:dyDescent="0.4">
      <c r="A17" s="1" t="s">
        <v>16</v>
      </c>
      <c r="B17" s="1"/>
      <c r="C17" s="1"/>
      <c r="D17" s="8"/>
      <c r="E17" s="12" t="s">
        <v>270</v>
      </c>
      <c r="F17" s="63">
        <v>20</v>
      </c>
      <c r="G17" s="11" t="s">
        <v>17</v>
      </c>
      <c r="H17" s="1"/>
      <c r="I17" s="1"/>
      <c r="J17" s="1"/>
      <c r="K17" s="1"/>
    </row>
    <row r="18" spans="1:11" ht="15" x14ac:dyDescent="0.25">
      <c r="A18" s="1"/>
      <c r="B18" s="1"/>
      <c r="C18" s="1"/>
      <c r="D18" s="1"/>
      <c r="E18" s="1"/>
      <c r="F18" s="1"/>
      <c r="G18" s="11"/>
      <c r="H18" s="1"/>
      <c r="I18" s="1"/>
      <c r="J18" s="1"/>
      <c r="K18" s="1"/>
    </row>
    <row r="19" spans="1:11" ht="15" x14ac:dyDescent="0.25">
      <c r="A19" s="1" t="s">
        <v>18</v>
      </c>
      <c r="B19" s="1"/>
      <c r="C19" s="1"/>
      <c r="D19" s="1"/>
      <c r="E19" s="12" t="s">
        <v>19</v>
      </c>
      <c r="F19" s="63">
        <v>23</v>
      </c>
      <c r="G19" s="11" t="s">
        <v>20</v>
      </c>
      <c r="H19" s="1"/>
      <c r="I19" s="1"/>
      <c r="J19" s="1"/>
      <c r="K19" s="1"/>
    </row>
    <row r="20" spans="1:11" ht="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8.600000000000001" x14ac:dyDescent="0.4">
      <c r="A21" s="1" t="s">
        <v>21</v>
      </c>
      <c r="B21" s="1"/>
      <c r="C21" s="1"/>
      <c r="D21" s="1"/>
      <c r="E21" s="1" t="s">
        <v>271</v>
      </c>
      <c r="F21" s="64">
        <f>7*F15/6</f>
        <v>3.2083333333333335</v>
      </c>
      <c r="G21" s="8" t="s">
        <v>22</v>
      </c>
      <c r="H21" s="8"/>
      <c r="I21" s="1"/>
      <c r="J21" s="1"/>
      <c r="K21" s="1"/>
    </row>
    <row r="22" spans="1:11" ht="15" x14ac:dyDescent="0.25">
      <c r="A22" s="8"/>
      <c r="B22" s="8"/>
      <c r="C22" s="8"/>
      <c r="D22" s="8"/>
      <c r="E22" s="8"/>
      <c r="F22" s="8"/>
      <c r="G22" s="8"/>
      <c r="H22" s="8"/>
      <c r="I22" s="1"/>
      <c r="J22" s="1"/>
      <c r="K22" s="1"/>
    </row>
    <row r="23" spans="1:11" ht="18.600000000000001" x14ac:dyDescent="0.4">
      <c r="A23" s="1" t="s">
        <v>23</v>
      </c>
      <c r="B23" s="1"/>
      <c r="C23" s="1"/>
      <c r="D23" s="8"/>
      <c r="E23" s="1" t="s">
        <v>272</v>
      </c>
      <c r="F23" s="63">
        <f>0.2*F15</f>
        <v>0.55000000000000004</v>
      </c>
      <c r="G23" s="13" t="s">
        <v>24</v>
      </c>
      <c r="H23" s="8"/>
      <c r="I23" s="1"/>
      <c r="J23" s="1"/>
      <c r="K23" s="1"/>
    </row>
    <row r="24" spans="1:11" ht="15" x14ac:dyDescent="0.25">
      <c r="A24" s="1"/>
      <c r="B24" s="1"/>
      <c r="C24" s="1"/>
      <c r="D24" s="8"/>
      <c r="E24" s="1"/>
      <c r="F24" s="1"/>
      <c r="G24" s="13"/>
      <c r="H24" s="8"/>
      <c r="I24" s="1"/>
      <c r="J24" s="1"/>
      <c r="K24" s="1"/>
    </row>
    <row r="25" spans="1:11" ht="18.600000000000001" x14ac:dyDescent="0.4">
      <c r="A25" s="1" t="s">
        <v>25</v>
      </c>
      <c r="B25" s="1"/>
      <c r="C25" s="1"/>
      <c r="D25" s="8"/>
      <c r="E25" s="1" t="s">
        <v>273</v>
      </c>
      <c r="F25" s="63">
        <v>0.21</v>
      </c>
      <c r="G25" s="14" t="s">
        <v>26</v>
      </c>
      <c r="H25" s="3"/>
      <c r="I25" s="1"/>
      <c r="J25" s="1"/>
      <c r="K25" s="1"/>
    </row>
    <row r="26" spans="1:11" ht="15" x14ac:dyDescent="0.25">
      <c r="A26" s="1"/>
      <c r="B26" s="1"/>
      <c r="C26" s="1"/>
      <c r="D26" s="8"/>
      <c r="E26" s="1"/>
      <c r="F26" s="1"/>
      <c r="G26" s="13"/>
      <c r="H26" s="8"/>
      <c r="I26" s="1"/>
      <c r="J26" s="1"/>
      <c r="K26" s="1"/>
    </row>
    <row r="27" spans="1:11" ht="18.600000000000001" x14ac:dyDescent="0.4">
      <c r="A27" s="1" t="s">
        <v>27</v>
      </c>
      <c r="B27" s="1"/>
      <c r="C27" s="1"/>
      <c r="D27" s="8"/>
      <c r="E27" s="1" t="s">
        <v>274</v>
      </c>
      <c r="F27" s="63">
        <v>0.125</v>
      </c>
      <c r="G27" s="13" t="s">
        <v>28</v>
      </c>
      <c r="H27" s="8"/>
      <c r="I27" s="1"/>
      <c r="J27" s="1"/>
      <c r="K27" s="1"/>
    </row>
    <row r="28" spans="1:11" ht="15" x14ac:dyDescent="0.25">
      <c r="A28" s="1"/>
      <c r="B28" s="1"/>
      <c r="C28" s="1"/>
      <c r="D28" s="8"/>
      <c r="E28" s="1"/>
      <c r="F28" s="1"/>
      <c r="G28" s="13"/>
      <c r="H28" s="8"/>
      <c r="I28" s="1"/>
      <c r="J28" s="1"/>
      <c r="K28" s="1"/>
    </row>
    <row r="29" spans="1:11" ht="15" x14ac:dyDescent="0.25">
      <c r="A29" s="1" t="s">
        <v>29</v>
      </c>
      <c r="B29" s="1"/>
      <c r="C29" s="1"/>
      <c r="D29" s="8"/>
      <c r="E29" s="1" t="s">
        <v>30</v>
      </c>
      <c r="F29" s="63">
        <v>1</v>
      </c>
      <c r="G29" s="13" t="s">
        <v>31</v>
      </c>
      <c r="H29" s="8"/>
      <c r="I29" s="1"/>
      <c r="J29" s="1"/>
      <c r="K29" s="1"/>
    </row>
    <row r="30" spans="1:11" ht="15" x14ac:dyDescent="0.25">
      <c r="A30" s="8"/>
      <c r="B30" s="8"/>
      <c r="C30" s="8"/>
      <c r="D30" s="8"/>
      <c r="E30" s="8"/>
      <c r="F30" s="8"/>
      <c r="G30" s="8"/>
      <c r="H30" s="8"/>
      <c r="I30" s="1"/>
      <c r="J30" s="1"/>
      <c r="K30" s="1"/>
    </row>
    <row r="31" spans="1:11" ht="15" x14ac:dyDescent="0.25">
      <c r="A31" s="1" t="s">
        <v>32</v>
      </c>
      <c r="B31" s="8"/>
      <c r="C31" s="8"/>
      <c r="D31" s="8"/>
      <c r="E31" s="8"/>
      <c r="F31" s="63">
        <v>6</v>
      </c>
      <c r="G31" s="13" t="s">
        <v>33</v>
      </c>
      <c r="H31" s="8"/>
      <c r="I31" s="1"/>
      <c r="J31" s="1"/>
      <c r="K31" s="1"/>
    </row>
    <row r="32" spans="1:11" ht="15" x14ac:dyDescent="0.25">
      <c r="A32" s="1"/>
      <c r="B32" s="8"/>
      <c r="C32" s="8"/>
      <c r="D32" s="8"/>
      <c r="E32" s="8"/>
      <c r="F32" s="1"/>
      <c r="G32" s="13"/>
      <c r="H32" s="8"/>
      <c r="I32" s="1"/>
      <c r="J32" s="1"/>
      <c r="K32" s="1"/>
    </row>
    <row r="33" spans="1:11" ht="15" x14ac:dyDescent="0.25">
      <c r="A33" s="1" t="s">
        <v>34</v>
      </c>
      <c r="B33" s="8"/>
      <c r="C33" s="8"/>
      <c r="D33" s="8"/>
      <c r="E33" s="8"/>
      <c r="F33" s="63">
        <v>2</v>
      </c>
      <c r="G33" s="13" t="s">
        <v>35</v>
      </c>
      <c r="H33" s="8"/>
      <c r="I33" s="1"/>
      <c r="J33" s="1"/>
      <c r="K33" s="1"/>
    </row>
    <row r="34" spans="1:11" ht="15" x14ac:dyDescent="0.25">
      <c r="A34" s="1"/>
      <c r="B34" s="8"/>
      <c r="C34" s="8"/>
      <c r="D34" s="8"/>
      <c r="E34" s="8"/>
      <c r="F34" s="1"/>
      <c r="G34" s="13"/>
      <c r="H34" s="8"/>
      <c r="I34" s="1"/>
      <c r="J34" s="1"/>
      <c r="K34" s="1"/>
    </row>
    <row r="35" spans="1:11" ht="15" x14ac:dyDescent="0.25">
      <c r="A35" s="1" t="s">
        <v>36</v>
      </c>
      <c r="B35" s="8"/>
      <c r="C35" s="8"/>
      <c r="D35" s="8"/>
      <c r="E35" s="8"/>
      <c r="F35" s="63">
        <v>80</v>
      </c>
      <c r="G35" s="13" t="s">
        <v>37</v>
      </c>
      <c r="H35" s="8"/>
      <c r="I35" s="1"/>
      <c r="J35" s="1"/>
      <c r="K35" s="1"/>
    </row>
    <row r="36" spans="1:11" ht="16.2" thickTop="1" thickBot="1" x14ac:dyDescent="0.3">
      <c r="A36" s="1"/>
      <c r="B36" s="8"/>
      <c r="C36" s="8"/>
      <c r="D36" s="8"/>
      <c r="E36" s="8"/>
      <c r="F36" s="1"/>
      <c r="G36" s="13"/>
      <c r="H36" s="8"/>
      <c r="I36" s="1"/>
      <c r="J36" s="1"/>
      <c r="K36" s="1"/>
    </row>
    <row r="37" spans="1:11" ht="16.2" thickTop="1" thickBot="1" x14ac:dyDescent="0.3">
      <c r="A37" s="1" t="s">
        <v>38</v>
      </c>
      <c r="B37" s="8"/>
      <c r="C37" s="8"/>
      <c r="D37" s="8"/>
      <c r="E37" s="8"/>
      <c r="F37" s="77" t="s">
        <v>292</v>
      </c>
      <c r="G37" s="78"/>
      <c r="H37" s="78"/>
      <c r="I37" s="79"/>
      <c r="J37" s="1"/>
      <c r="K37" s="1"/>
    </row>
    <row r="38" spans="1:11" ht="16.2" thickTop="1" thickBot="1" x14ac:dyDescent="0.3">
      <c r="A38" s="1"/>
      <c r="B38" s="8"/>
      <c r="C38" s="8"/>
      <c r="D38" s="8"/>
      <c r="E38" s="8"/>
      <c r="F38" s="1"/>
      <c r="G38" s="13"/>
      <c r="H38" s="8"/>
      <c r="I38" s="1"/>
      <c r="J38" s="1"/>
      <c r="K38" s="1"/>
    </row>
    <row r="39" spans="1:11" ht="16.2" thickTop="1" thickBot="1" x14ac:dyDescent="0.3">
      <c r="A39" s="1" t="s">
        <v>39</v>
      </c>
      <c r="B39" s="8"/>
      <c r="C39" s="8"/>
      <c r="D39" s="8"/>
      <c r="E39" s="8"/>
      <c r="F39" s="77" t="s">
        <v>293</v>
      </c>
      <c r="G39" s="78"/>
      <c r="H39" s="78"/>
      <c r="I39" s="79"/>
      <c r="J39" s="1"/>
      <c r="K39" s="1"/>
    </row>
    <row r="40" spans="1:11" ht="15.6" thickTop="1" x14ac:dyDescent="0.25">
      <c r="A40" s="1"/>
      <c r="B40" s="8"/>
      <c r="C40" s="8"/>
      <c r="D40" s="8"/>
      <c r="E40" s="8"/>
      <c r="F40" s="9"/>
      <c r="G40" s="9"/>
      <c r="H40" s="9"/>
      <c r="I40" s="9"/>
      <c r="J40" s="1"/>
      <c r="K40" s="1"/>
    </row>
    <row r="41" spans="1:11" ht="15" x14ac:dyDescent="0.25">
      <c r="A41" s="1"/>
      <c r="B41" s="8"/>
      <c r="C41" s="8"/>
      <c r="D41" s="8"/>
      <c r="E41" s="8"/>
      <c r="F41" s="9"/>
      <c r="G41" s="9"/>
      <c r="H41" s="9"/>
      <c r="I41" s="9"/>
      <c r="J41" s="1"/>
      <c r="K41" s="1"/>
    </row>
    <row r="42" spans="1:11" ht="15" x14ac:dyDescent="0.25">
      <c r="A42" s="1"/>
      <c r="B42" s="8"/>
      <c r="C42" s="8"/>
      <c r="D42" s="8"/>
      <c r="E42" s="8"/>
      <c r="F42" s="9"/>
      <c r="G42" s="9"/>
      <c r="H42" s="9"/>
      <c r="I42" s="9"/>
      <c r="J42" s="1"/>
      <c r="K42" s="1"/>
    </row>
    <row r="43" spans="1:11" ht="15" x14ac:dyDescent="0.25">
      <c r="A43" s="1"/>
      <c r="B43" s="8"/>
      <c r="C43" s="8"/>
      <c r="D43" s="8"/>
      <c r="E43" s="8"/>
      <c r="F43" s="1"/>
      <c r="G43" s="13"/>
      <c r="H43" s="8"/>
      <c r="I43" s="1"/>
      <c r="J43" s="1"/>
      <c r="K43" s="1"/>
    </row>
    <row r="44" spans="1:11" ht="15" x14ac:dyDescent="0.25">
      <c r="A44" s="8"/>
      <c r="B44" s="8"/>
      <c r="C44" s="8"/>
      <c r="D44" s="8"/>
      <c r="E44" s="8"/>
      <c r="F44" s="8"/>
      <c r="G44" s="8"/>
      <c r="H44" s="8"/>
      <c r="I44" s="1"/>
      <c r="J44" s="1"/>
      <c r="K44" s="1"/>
    </row>
    <row r="45" spans="1:11" ht="15" x14ac:dyDescent="0.25">
      <c r="A45" s="3"/>
      <c r="B45" s="3"/>
      <c r="C45" s="3"/>
      <c r="D45" s="3"/>
      <c r="E45" s="3"/>
      <c r="F45" s="3"/>
      <c r="G45" s="3"/>
      <c r="H45" s="3"/>
      <c r="I45" s="1"/>
      <c r="J45" s="1"/>
      <c r="K45" s="1"/>
    </row>
    <row r="46" spans="1:11" ht="21" x14ac:dyDescent="0.4">
      <c r="A46" s="15" t="s">
        <v>40</v>
      </c>
      <c r="B46" s="16"/>
      <c r="C46" s="16"/>
      <c r="D46" s="17"/>
      <c r="E46" s="1"/>
      <c r="F46" s="1"/>
      <c r="G46" s="18"/>
      <c r="H46" s="1"/>
      <c r="I46" s="1"/>
      <c r="J46" s="1"/>
      <c r="K46" s="1"/>
    </row>
    <row r="47" spans="1:11" ht="17.399999999999999" x14ac:dyDescent="0.3">
      <c r="A47" s="1"/>
      <c r="B47" s="1"/>
      <c r="C47" s="1"/>
      <c r="D47" s="19"/>
      <c r="E47" s="1"/>
      <c r="F47" s="1"/>
      <c r="G47" s="18"/>
      <c r="H47" s="1"/>
      <c r="I47" s="1"/>
      <c r="J47" s="1"/>
      <c r="K47" s="1"/>
    </row>
    <row r="48" spans="1:11" ht="15.6" x14ac:dyDescent="0.3">
      <c r="A48" s="7" t="s">
        <v>41</v>
      </c>
      <c r="B48" s="1"/>
      <c r="C48" s="1"/>
      <c r="D48" s="1"/>
      <c r="E48" s="1"/>
      <c r="F48" s="1"/>
      <c r="G48" s="18" t="s">
        <v>42</v>
      </c>
      <c r="H48" s="1"/>
      <c r="I48" s="1"/>
      <c r="J48" s="1"/>
      <c r="K48" s="1"/>
    </row>
    <row r="49" spans="1:11" ht="15" x14ac:dyDescent="0.25">
      <c r="A49" s="1"/>
      <c r="B49" s="1"/>
      <c r="C49" s="1"/>
      <c r="D49" s="1"/>
      <c r="E49" s="1"/>
      <c r="F49" s="1"/>
      <c r="G49" s="18"/>
      <c r="H49" s="1"/>
      <c r="I49" s="1"/>
      <c r="J49" s="1"/>
      <c r="K49" s="1"/>
    </row>
    <row r="50" spans="1:11" ht="15" x14ac:dyDescent="0.25">
      <c r="A50" s="1" t="s">
        <v>43</v>
      </c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8.600000000000001" x14ac:dyDescent="0.4">
      <c r="A52" s="1"/>
      <c r="B52" s="1"/>
      <c r="C52" s="1"/>
      <c r="D52" s="1"/>
      <c r="E52" s="20">
        <f>(2*F21)/(F15*(SIN(F17*3.1416/180))^2)</f>
        <v>19.946718929433839</v>
      </c>
      <c r="F52" s="1" t="s">
        <v>275</v>
      </c>
      <c r="G52" s="1"/>
      <c r="H52" s="65">
        <v>30</v>
      </c>
      <c r="I52" s="1"/>
      <c r="J52" s="1"/>
      <c r="K52" s="1"/>
    </row>
    <row r="53" spans="1:11" ht="1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8.600000000000001" x14ac:dyDescent="0.4">
      <c r="A55" s="1"/>
      <c r="B55" s="1"/>
      <c r="C55" s="1"/>
      <c r="D55" s="1"/>
      <c r="E55" s="20">
        <f>H52*F9</f>
        <v>33</v>
      </c>
      <c r="F55" s="1" t="s">
        <v>276</v>
      </c>
      <c r="G55" s="1"/>
      <c r="H55" s="65">
        <v>33</v>
      </c>
      <c r="I55" s="1"/>
      <c r="J55" s="1"/>
      <c r="K55" s="1"/>
    </row>
    <row r="56" spans="1:11" ht="1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 x14ac:dyDescent="0.25">
      <c r="A57" s="1"/>
      <c r="B57" s="1"/>
      <c r="C57" s="1"/>
      <c r="D57" s="1"/>
      <c r="E57" s="1"/>
      <c r="F57" s="1"/>
      <c r="G57" s="1"/>
      <c r="H57" s="1"/>
      <c r="I57" s="3"/>
      <c r="J57" s="3"/>
      <c r="K57" s="3"/>
    </row>
    <row r="58" spans="1:11" ht="15" x14ac:dyDescent="0.25">
      <c r="A58" s="1" t="s">
        <v>44</v>
      </c>
      <c r="B58" s="1"/>
      <c r="C58" s="1"/>
      <c r="D58" s="1"/>
      <c r="E58" s="1"/>
      <c r="F58" s="1"/>
      <c r="G58" s="1"/>
      <c r="H58" s="70">
        <f>H55/H52</f>
        <v>1.1000000000000001</v>
      </c>
      <c r="I58" s="3"/>
      <c r="J58" s="3"/>
      <c r="K58" s="3"/>
    </row>
    <row r="59" spans="1:11" ht="15" x14ac:dyDescent="0.25">
      <c r="A59" s="1"/>
      <c r="B59" s="1"/>
      <c r="C59" s="1"/>
      <c r="D59" s="1"/>
      <c r="E59" s="1"/>
      <c r="F59" s="1"/>
      <c r="G59" s="1"/>
      <c r="H59" s="1"/>
      <c r="I59" s="3"/>
      <c r="J59" s="3"/>
      <c r="K59" s="3"/>
    </row>
    <row r="60" spans="1:11" ht="15" x14ac:dyDescent="0.25">
      <c r="A60" s="1" t="s">
        <v>45</v>
      </c>
      <c r="B60" s="1"/>
      <c r="C60" s="1"/>
      <c r="D60" s="1"/>
      <c r="E60" s="21">
        <f>100*(H58-F9)/H58</f>
        <v>0</v>
      </c>
      <c r="F60" s="1" t="s">
        <v>46</v>
      </c>
      <c r="G60" s="1"/>
      <c r="H60" s="1"/>
      <c r="I60" s="3"/>
      <c r="J60" s="3"/>
      <c r="K60" s="3"/>
    </row>
    <row r="61" spans="1:11" ht="15" x14ac:dyDescent="0.25">
      <c r="A61" s="1"/>
      <c r="B61" s="1"/>
      <c r="C61" s="1"/>
      <c r="D61" s="1"/>
      <c r="E61" s="1"/>
      <c r="F61" s="1"/>
      <c r="G61" s="1"/>
      <c r="H61" s="1"/>
      <c r="I61" s="3"/>
      <c r="J61" s="3"/>
      <c r="K61" s="3"/>
    </row>
    <row r="62" spans="1:11" ht="10.5" customHeight="1" x14ac:dyDescent="0.25">
      <c r="A62" s="1"/>
      <c r="B62" s="1"/>
      <c r="C62" s="1"/>
      <c r="D62" s="1"/>
      <c r="E62" s="1"/>
      <c r="F62" s="1"/>
      <c r="G62" s="1"/>
      <c r="H62" s="1"/>
      <c r="I62" s="3"/>
      <c r="J62" s="3"/>
      <c r="K62" s="3"/>
    </row>
    <row r="63" spans="1:11" ht="15" x14ac:dyDescent="0.25">
      <c r="A63" s="1" t="s">
        <v>47</v>
      </c>
      <c r="B63" s="1"/>
      <c r="C63" s="1"/>
      <c r="D63" s="1"/>
      <c r="E63" s="1"/>
      <c r="F63" s="1"/>
      <c r="G63" s="1"/>
      <c r="H63" s="1"/>
      <c r="I63" s="3"/>
      <c r="J63" s="3"/>
      <c r="K63" s="3"/>
    </row>
    <row r="64" spans="1:11" ht="15" x14ac:dyDescent="0.25">
      <c r="A64" s="1"/>
      <c r="B64" s="1"/>
      <c r="C64" s="1"/>
      <c r="D64" s="1"/>
      <c r="E64" s="1"/>
      <c r="F64" s="1"/>
      <c r="G64" s="1"/>
      <c r="H64" s="1"/>
      <c r="I64" s="3"/>
      <c r="J64" s="3"/>
      <c r="K64" s="3"/>
    </row>
    <row r="65" spans="1:11" ht="15" x14ac:dyDescent="0.25">
      <c r="A65" s="1"/>
      <c r="B65" s="70">
        <f>4*3.1416*H68</f>
        <v>37.542022337152936</v>
      </c>
      <c r="C65" s="1"/>
      <c r="D65" s="70">
        <f>H85</f>
        <v>89.62476684767222</v>
      </c>
      <c r="E65" s="3"/>
      <c r="F65" s="1"/>
      <c r="G65" s="3"/>
      <c r="H65" s="71">
        <v>17.5</v>
      </c>
      <c r="I65" s="22" t="s">
        <v>48</v>
      </c>
      <c r="J65" s="3"/>
      <c r="K65" s="3"/>
    </row>
    <row r="66" spans="1:11" ht="15" x14ac:dyDescent="0.25">
      <c r="A66" s="1"/>
      <c r="B66" s="1"/>
      <c r="C66" s="1"/>
      <c r="D66" s="1"/>
      <c r="E66" s="1"/>
      <c r="F66" s="1"/>
      <c r="G66" s="1"/>
      <c r="H66" s="1"/>
      <c r="I66" s="3"/>
      <c r="J66" s="3"/>
      <c r="K66" s="3"/>
    </row>
    <row r="67" spans="1:11" ht="15" x14ac:dyDescent="0.25">
      <c r="A67" s="1"/>
      <c r="B67" s="1"/>
      <c r="C67" s="1"/>
      <c r="D67" s="1"/>
      <c r="E67" s="1"/>
      <c r="F67" s="1"/>
      <c r="G67" s="1"/>
      <c r="H67" s="1"/>
      <c r="I67" s="3"/>
      <c r="J67" s="3"/>
      <c r="K67" s="3"/>
    </row>
    <row r="68" spans="1:11" ht="15" x14ac:dyDescent="0.25">
      <c r="A68" s="1" t="s">
        <v>49</v>
      </c>
      <c r="B68" s="1"/>
      <c r="C68" s="1"/>
      <c r="D68" s="1"/>
      <c r="E68" s="3"/>
      <c r="F68" s="3"/>
      <c r="G68" s="1" t="s">
        <v>50</v>
      </c>
      <c r="H68" s="70">
        <f>F15/(COS(F19*3.1416/180))</f>
        <v>2.9874922282557406</v>
      </c>
      <c r="I68" s="3"/>
      <c r="J68" s="3"/>
      <c r="K68" s="3"/>
    </row>
    <row r="69" spans="1:11" ht="15" x14ac:dyDescent="0.25">
      <c r="A69" s="1"/>
      <c r="B69" s="1"/>
      <c r="C69" s="1"/>
      <c r="D69" s="1"/>
      <c r="E69" s="1"/>
      <c r="F69" s="1"/>
      <c r="G69" s="1"/>
      <c r="H69" s="1"/>
      <c r="I69" s="3"/>
      <c r="J69" s="3"/>
      <c r="K69" s="3"/>
    </row>
    <row r="70" spans="1:11" ht="15" x14ac:dyDescent="0.25">
      <c r="A70" s="1"/>
      <c r="B70" s="1"/>
      <c r="C70" s="1"/>
      <c r="D70" s="1"/>
      <c r="E70" s="1"/>
      <c r="F70" s="1"/>
      <c r="G70" s="1"/>
      <c r="H70" s="1"/>
      <c r="I70" s="3"/>
      <c r="J70" s="3"/>
      <c r="K70" s="3"/>
    </row>
    <row r="71" spans="1:11" ht="15" x14ac:dyDescent="0.25">
      <c r="A71" s="1" t="s">
        <v>51</v>
      </c>
      <c r="B71" s="1"/>
      <c r="C71" s="1"/>
      <c r="D71" s="1"/>
      <c r="E71" s="3"/>
      <c r="F71" s="23">
        <f>(TAN(F17*3.1416/180))/(COS(F19*3.1416/180))</f>
        <v>0.3954040028481105</v>
      </c>
      <c r="G71" s="3"/>
      <c r="H71" s="70">
        <f>ATAN(F71)*180/3.1416</f>
        <v>21.573990199234352</v>
      </c>
      <c r="I71" s="1" t="s">
        <v>52</v>
      </c>
      <c r="J71" s="3"/>
      <c r="K71" s="3"/>
    </row>
    <row r="72" spans="1:11" ht="15" x14ac:dyDescent="0.25">
      <c r="A72" s="1"/>
      <c r="B72" s="1"/>
      <c r="C72" s="1"/>
      <c r="D72" s="1"/>
      <c r="E72" s="3"/>
      <c r="F72" s="1"/>
      <c r="G72" s="3"/>
      <c r="H72" s="21"/>
      <c r="I72" s="1"/>
      <c r="J72" s="3"/>
      <c r="K72" s="3"/>
    </row>
    <row r="73" spans="1:11" ht="15" x14ac:dyDescent="0.25">
      <c r="A73" s="1" t="s">
        <v>53</v>
      </c>
      <c r="B73" s="1"/>
      <c r="C73" s="1"/>
      <c r="D73" s="1"/>
      <c r="E73" s="3"/>
      <c r="F73" s="1"/>
      <c r="G73" s="3"/>
      <c r="H73" s="21"/>
      <c r="I73" s="1"/>
      <c r="J73" s="3"/>
      <c r="K73" s="3"/>
    </row>
    <row r="74" spans="1:11" ht="15" x14ac:dyDescent="0.25">
      <c r="A74" s="1" t="s">
        <v>54</v>
      </c>
      <c r="B74" s="1"/>
      <c r="C74" s="1"/>
      <c r="D74" s="1"/>
      <c r="E74" s="3"/>
      <c r="F74" s="1"/>
      <c r="G74" s="3"/>
      <c r="H74" s="21"/>
      <c r="I74" s="1"/>
      <c r="J74" s="3"/>
      <c r="K74" s="3"/>
    </row>
    <row r="75" spans="1:11" ht="15" x14ac:dyDescent="0.25">
      <c r="A75" s="1"/>
      <c r="B75" s="1"/>
      <c r="C75" s="1"/>
      <c r="D75" s="1"/>
      <c r="E75" s="3"/>
      <c r="F75" s="1"/>
      <c r="G75" s="3"/>
      <c r="H75" s="21"/>
      <c r="I75" s="1"/>
      <c r="J75" s="3"/>
      <c r="K75" s="3"/>
    </row>
    <row r="76" spans="1:11" ht="15" x14ac:dyDescent="0.25">
      <c r="A76" s="1"/>
      <c r="B76" s="1"/>
      <c r="C76" s="1"/>
      <c r="D76" s="1"/>
      <c r="E76" s="70">
        <f>TAN(F19*3.1416/180)*COS(H71*3.1416/180)</f>
        <v>0.39473849018389806</v>
      </c>
      <c r="F76" s="3"/>
      <c r="G76" s="21"/>
      <c r="H76" s="70">
        <f>ATAN(E76)*180/3.1446</f>
        <v>21.52045676986684</v>
      </c>
      <c r="I76" s="1" t="s">
        <v>55</v>
      </c>
      <c r="J76" s="3"/>
      <c r="K76" s="3"/>
    </row>
    <row r="77" spans="1:11" ht="15" x14ac:dyDescent="0.25">
      <c r="A77" s="1"/>
      <c r="B77" s="1"/>
      <c r="C77" s="1"/>
      <c r="D77" s="1"/>
      <c r="E77" s="1"/>
      <c r="F77" s="3"/>
      <c r="G77" s="21"/>
      <c r="H77" s="1"/>
      <c r="I77" s="3"/>
      <c r="J77" s="3"/>
      <c r="K77" s="3"/>
    </row>
    <row r="78" spans="1:11" ht="15" x14ac:dyDescent="0.25">
      <c r="A78" s="1"/>
      <c r="B78" s="1"/>
      <c r="C78" s="1"/>
      <c r="D78" s="1"/>
      <c r="E78" s="1"/>
      <c r="F78" s="3" t="s">
        <v>13</v>
      </c>
      <c r="G78" s="21"/>
      <c r="H78" s="1"/>
      <c r="I78" s="3"/>
      <c r="J78" s="3"/>
      <c r="K78" s="3"/>
    </row>
    <row r="79" spans="1:11" ht="19.8" x14ac:dyDescent="0.4">
      <c r="A79" s="1" t="s">
        <v>56</v>
      </c>
      <c r="B79" s="1"/>
      <c r="C79" s="1"/>
      <c r="D79" s="1"/>
      <c r="E79" s="1"/>
      <c r="F79" s="3"/>
      <c r="G79" s="61" t="s">
        <v>277</v>
      </c>
      <c r="H79" s="70">
        <f>H52/(((COS(H76*PI()/180))^2)*COS(F19*PI()/180))</f>
        <v>37.658376322427287</v>
      </c>
      <c r="I79" s="22" t="s">
        <v>57</v>
      </c>
      <c r="J79" s="3"/>
      <c r="K79" s="3"/>
    </row>
    <row r="80" spans="1:11" ht="17.399999999999999" x14ac:dyDescent="0.3">
      <c r="A80" s="1"/>
      <c r="B80" s="1"/>
      <c r="C80" s="1"/>
      <c r="D80" s="1"/>
      <c r="E80" s="1"/>
      <c r="F80" s="3"/>
      <c r="G80" s="24"/>
      <c r="H80" s="20"/>
      <c r="I80" s="22"/>
      <c r="J80" s="3"/>
      <c r="K80" s="3"/>
    </row>
    <row r="81" spans="1:11" ht="19.8" x14ac:dyDescent="0.4">
      <c r="A81" s="3"/>
      <c r="B81" s="3"/>
      <c r="C81" s="1"/>
      <c r="D81" s="1"/>
      <c r="E81" s="1"/>
      <c r="F81" s="3"/>
      <c r="G81" s="61" t="s">
        <v>278</v>
      </c>
      <c r="H81" s="70">
        <f>H55/(((COS(H76*3.1416/180))^2)*COS(F19*3.1416/180))</f>
        <v>41.424259154519206</v>
      </c>
      <c r="I81" s="22" t="s">
        <v>58</v>
      </c>
      <c r="J81" s="3"/>
      <c r="K81" s="3"/>
    </row>
    <row r="82" spans="1:11" ht="15" x14ac:dyDescent="0.25">
      <c r="A82" s="1"/>
      <c r="B82" s="1"/>
      <c r="C82" s="1"/>
      <c r="D82" s="1"/>
      <c r="E82" s="1"/>
      <c r="F82" s="1"/>
      <c r="G82" s="3"/>
      <c r="H82" s="3"/>
      <c r="I82" s="3"/>
      <c r="J82" s="3"/>
      <c r="K82" s="3"/>
    </row>
    <row r="83" spans="1:11" ht="15" x14ac:dyDescent="0.25">
      <c r="A83" s="1" t="s">
        <v>59</v>
      </c>
      <c r="B83" s="1"/>
      <c r="C83" s="1"/>
      <c r="D83" s="1"/>
      <c r="E83" s="1"/>
      <c r="F83" s="1"/>
      <c r="G83" s="1"/>
      <c r="H83" s="1"/>
      <c r="I83" s="3"/>
      <c r="J83" s="3"/>
      <c r="K83" s="3"/>
    </row>
    <row r="84" spans="1:11" ht="15" x14ac:dyDescent="0.25">
      <c r="A84" s="1"/>
      <c r="B84" s="1"/>
      <c r="C84" s="1"/>
      <c r="D84" s="1"/>
      <c r="E84" s="1"/>
      <c r="F84" s="1"/>
      <c r="G84" s="1"/>
      <c r="H84" s="1"/>
      <c r="I84" s="3"/>
      <c r="J84" s="3"/>
      <c r="K84" s="3"/>
    </row>
    <row r="85" spans="1:11" ht="15" x14ac:dyDescent="0.25">
      <c r="A85" s="1"/>
      <c r="B85" s="1"/>
      <c r="C85" s="3"/>
      <c r="D85" s="1"/>
      <c r="E85" s="1" t="s">
        <v>60</v>
      </c>
      <c r="F85" s="3"/>
      <c r="G85" s="3"/>
      <c r="H85" s="70">
        <f>(H68*H52)</f>
        <v>89.62476684767222</v>
      </c>
      <c r="I85" s="11" t="s">
        <v>61</v>
      </c>
      <c r="J85" s="3"/>
      <c r="K85" s="3"/>
    </row>
    <row r="86" spans="1:11" ht="15" x14ac:dyDescent="0.25">
      <c r="A86" s="1"/>
      <c r="B86" s="1"/>
      <c r="C86" s="3"/>
      <c r="D86" s="1"/>
      <c r="E86" s="1"/>
      <c r="F86" s="1"/>
      <c r="G86" s="1"/>
      <c r="H86" s="1"/>
      <c r="I86" s="3"/>
      <c r="J86" s="3"/>
      <c r="K86" s="3"/>
    </row>
    <row r="87" spans="1:11" ht="15" x14ac:dyDescent="0.25">
      <c r="A87" s="1"/>
      <c r="B87" s="1"/>
      <c r="C87" s="3"/>
      <c r="D87" s="1"/>
      <c r="E87" s="1" t="s">
        <v>62</v>
      </c>
      <c r="F87" s="3"/>
      <c r="G87" s="3"/>
      <c r="H87" s="70">
        <f>H68*H55</f>
        <v>98.587243532439444</v>
      </c>
      <c r="I87" s="11" t="s">
        <v>63</v>
      </c>
      <c r="J87" s="3"/>
      <c r="K87" s="3"/>
    </row>
    <row r="88" spans="1:11" ht="15" x14ac:dyDescent="0.25">
      <c r="A88" s="1"/>
      <c r="B88" s="1"/>
      <c r="C88" s="1"/>
      <c r="D88" s="1"/>
      <c r="E88" s="1"/>
      <c r="F88" s="1"/>
      <c r="G88" s="1"/>
      <c r="H88" s="1"/>
      <c r="I88" s="3"/>
      <c r="J88" s="3"/>
      <c r="K88" s="3"/>
    </row>
    <row r="89" spans="1:11" ht="15" x14ac:dyDescent="0.25">
      <c r="A89" s="1"/>
      <c r="B89" s="1"/>
      <c r="C89" s="1"/>
      <c r="D89" s="1"/>
      <c r="E89" s="1"/>
      <c r="F89" s="1"/>
      <c r="G89" s="1"/>
      <c r="H89" s="1"/>
      <c r="I89" s="3"/>
      <c r="J89" s="3"/>
      <c r="K89" s="3"/>
    </row>
    <row r="90" spans="1:11" ht="15" x14ac:dyDescent="0.25">
      <c r="A90" s="1" t="s">
        <v>64</v>
      </c>
      <c r="B90" s="1"/>
      <c r="C90" s="1"/>
      <c r="D90" s="1"/>
      <c r="E90" s="1"/>
      <c r="F90" s="1"/>
      <c r="G90" s="1"/>
      <c r="H90" s="70">
        <f>H85*COS(H71*PI()/180)</f>
        <v>83.345969608550618</v>
      </c>
      <c r="I90" s="11" t="s">
        <v>65</v>
      </c>
      <c r="J90" s="3"/>
      <c r="K90" s="3"/>
    </row>
    <row r="91" spans="1:11" ht="15" x14ac:dyDescent="0.25">
      <c r="A91" s="1"/>
      <c r="B91" s="1"/>
      <c r="C91" s="1"/>
      <c r="D91" s="1"/>
      <c r="E91" s="3"/>
      <c r="F91" s="3"/>
      <c r="G91" s="3"/>
      <c r="H91" s="1"/>
      <c r="I91" s="1"/>
      <c r="J91" s="3"/>
      <c r="K91" s="3"/>
    </row>
    <row r="92" spans="1:11" ht="15" x14ac:dyDescent="0.25">
      <c r="A92" s="1"/>
      <c r="B92" s="1"/>
      <c r="C92" s="1"/>
      <c r="D92" s="1"/>
      <c r="E92" s="3"/>
      <c r="F92" s="3"/>
      <c r="G92" s="3"/>
      <c r="H92" s="70">
        <f>H87*COS(H71*3.1416/180)</f>
        <v>91.680534650289175</v>
      </c>
      <c r="I92" s="11" t="s">
        <v>66</v>
      </c>
      <c r="J92" s="3"/>
      <c r="K92" s="3"/>
    </row>
    <row r="93" spans="1:11" ht="15" x14ac:dyDescent="0.25">
      <c r="A93" s="1"/>
      <c r="B93" s="1"/>
      <c r="C93" s="1"/>
      <c r="D93" s="1"/>
      <c r="E93" s="3"/>
      <c r="F93" s="3"/>
      <c r="G93" s="3"/>
      <c r="H93" s="3"/>
      <c r="I93" s="3"/>
      <c r="J93" s="3"/>
      <c r="K93" s="3"/>
    </row>
    <row r="94" spans="1:11" ht="15" x14ac:dyDescent="0.25">
      <c r="A94" s="1" t="s">
        <v>67</v>
      </c>
      <c r="B94" s="1"/>
      <c r="C94" s="1"/>
      <c r="D94" s="1"/>
      <c r="E94" s="1"/>
      <c r="F94" s="1"/>
      <c r="G94" s="1"/>
      <c r="H94" s="3"/>
      <c r="I94" s="3"/>
      <c r="J94" s="3"/>
      <c r="K94" s="3"/>
    </row>
    <row r="95" spans="1:11" ht="15" x14ac:dyDescent="0.25">
      <c r="A95" s="1"/>
      <c r="B95" s="1"/>
      <c r="C95" s="1"/>
      <c r="D95" s="1"/>
      <c r="E95" s="1"/>
      <c r="F95" s="1"/>
      <c r="G95" s="1"/>
      <c r="H95" s="70">
        <f>H85+(2*F15)</f>
        <v>95.12476684767222</v>
      </c>
      <c r="I95" s="11" t="s">
        <v>68</v>
      </c>
      <c r="J95" s="3"/>
      <c r="K95" s="3"/>
    </row>
    <row r="96" spans="1:11" ht="15" x14ac:dyDescent="0.25">
      <c r="A96" s="1"/>
      <c r="B96" s="1"/>
      <c r="C96" s="1"/>
      <c r="D96" s="1"/>
      <c r="E96" s="3"/>
      <c r="F96" s="3"/>
      <c r="G96" s="3"/>
      <c r="H96" s="1"/>
      <c r="I96" s="1"/>
      <c r="J96" s="3"/>
      <c r="K96" s="3"/>
    </row>
    <row r="97" spans="1:11" ht="15" x14ac:dyDescent="0.25">
      <c r="A97" s="1"/>
      <c r="B97" s="1"/>
      <c r="C97" s="1"/>
      <c r="D97" s="1"/>
      <c r="E97" s="3"/>
      <c r="F97" s="3"/>
      <c r="G97" s="3"/>
      <c r="H97" s="70">
        <f>H87+(2*F15)</f>
        <v>104.08724353243944</v>
      </c>
      <c r="I97" s="11" t="s">
        <v>69</v>
      </c>
      <c r="J97" s="3"/>
      <c r="K97" s="3"/>
    </row>
    <row r="98" spans="1:11" ht="15" x14ac:dyDescent="0.25">
      <c r="A98" s="1"/>
      <c r="B98" s="1"/>
      <c r="C98" s="1"/>
      <c r="D98" s="1"/>
      <c r="E98" s="3"/>
      <c r="F98" s="3"/>
      <c r="G98" s="3"/>
      <c r="H98" s="3"/>
      <c r="I98" s="3"/>
      <c r="J98" s="3"/>
      <c r="K98" s="3"/>
    </row>
    <row r="99" spans="1:11" ht="15" x14ac:dyDescent="0.25">
      <c r="A99" s="1"/>
      <c r="B99" s="1"/>
      <c r="C99" s="1"/>
      <c r="D99" s="1"/>
      <c r="E99" s="3"/>
      <c r="F99" s="21"/>
      <c r="G99" s="11"/>
      <c r="H99" s="25"/>
      <c r="I99" s="3"/>
      <c r="J99" s="3"/>
      <c r="K99" s="3"/>
    </row>
    <row r="100" spans="1:11" ht="15" x14ac:dyDescent="0.25">
      <c r="A100" s="1"/>
      <c r="B100" s="1"/>
      <c r="C100" s="1"/>
      <c r="D100" s="1"/>
      <c r="E100" s="8"/>
      <c r="F100" s="21"/>
      <c r="G100" s="11"/>
      <c r="H100" s="25"/>
      <c r="I100" s="8"/>
      <c r="J100" s="8"/>
      <c r="K100" s="8"/>
    </row>
    <row r="101" spans="1:11" ht="15.6" x14ac:dyDescent="0.3">
      <c r="A101" s="7" t="s">
        <v>70</v>
      </c>
      <c r="B101" s="1"/>
      <c r="C101" s="1"/>
      <c r="D101" s="1"/>
      <c r="E101" s="8"/>
      <c r="F101" s="21"/>
      <c r="G101" s="11"/>
      <c r="H101" s="25"/>
      <c r="I101" s="8"/>
      <c r="J101" s="8"/>
      <c r="K101" s="8"/>
    </row>
    <row r="102" spans="1:11" ht="15" x14ac:dyDescent="0.25">
      <c r="A102" s="1"/>
      <c r="B102" s="1"/>
      <c r="C102" s="1"/>
      <c r="D102" s="1"/>
      <c r="E102" s="8"/>
      <c r="F102" s="21"/>
      <c r="G102" s="11"/>
      <c r="H102" s="25"/>
      <c r="I102" s="8"/>
      <c r="J102" s="8"/>
      <c r="K102" s="8"/>
    </row>
    <row r="103" spans="1:11" ht="15" x14ac:dyDescent="0.25">
      <c r="A103" s="1" t="s">
        <v>71</v>
      </c>
      <c r="B103" s="1"/>
      <c r="C103" s="1"/>
      <c r="D103" s="1"/>
      <c r="E103" s="8"/>
      <c r="F103" s="21"/>
      <c r="G103" s="11"/>
      <c r="H103" s="25"/>
      <c r="I103" s="8"/>
      <c r="J103" s="8"/>
      <c r="K103" s="8"/>
    </row>
    <row r="104" spans="1:11" ht="15" x14ac:dyDescent="0.25">
      <c r="A104" s="1"/>
      <c r="B104" s="1"/>
      <c r="C104" s="1"/>
      <c r="D104" s="1"/>
      <c r="E104" s="8"/>
      <c r="F104" s="21"/>
      <c r="G104" s="11"/>
      <c r="H104" s="25"/>
      <c r="I104" s="8"/>
      <c r="J104" s="8"/>
      <c r="K104" s="8"/>
    </row>
    <row r="105" spans="1:11" ht="15" x14ac:dyDescent="0.25">
      <c r="A105" s="1"/>
      <c r="B105" s="1"/>
      <c r="C105" s="1"/>
      <c r="D105" s="26">
        <f>(TAN(H71*3.1416/180)-(H71*3.1416/180))+((2*(F25+F27)*TAN(F17*3.1416/180)/(H52+H55)))</f>
        <v>2.273676495664986E-2</v>
      </c>
      <c r="E105" s="8"/>
      <c r="F105" s="21" t="s">
        <v>72</v>
      </c>
      <c r="G105" s="11"/>
      <c r="H105" s="72">
        <v>22.9</v>
      </c>
      <c r="I105" s="8" t="s">
        <v>73</v>
      </c>
      <c r="J105" s="8"/>
      <c r="K105" s="8"/>
    </row>
    <row r="106" spans="1:11" ht="15" x14ac:dyDescent="0.25">
      <c r="A106" s="1"/>
      <c r="B106" s="1"/>
      <c r="C106" s="1"/>
      <c r="D106" s="1"/>
      <c r="E106" s="8"/>
      <c r="F106" s="21"/>
      <c r="G106" s="11"/>
      <c r="H106" s="25"/>
      <c r="I106" s="8" t="s">
        <v>74</v>
      </c>
      <c r="J106" s="8"/>
      <c r="K106" s="8"/>
    </row>
    <row r="107" spans="1:11" ht="15" x14ac:dyDescent="0.25">
      <c r="A107" s="1" t="s">
        <v>75</v>
      </c>
      <c r="B107" s="1"/>
      <c r="C107" s="1"/>
      <c r="D107" s="1"/>
      <c r="E107" s="8"/>
      <c r="F107" s="21"/>
      <c r="G107" s="11"/>
      <c r="H107" s="25"/>
      <c r="I107" s="8"/>
      <c r="J107" s="8"/>
      <c r="K107" s="8"/>
    </row>
    <row r="108" spans="1:11" ht="15" x14ac:dyDescent="0.25">
      <c r="A108" s="1"/>
      <c r="B108" s="1"/>
      <c r="C108" s="1"/>
      <c r="D108" s="1"/>
      <c r="E108" s="8"/>
      <c r="F108" s="21"/>
      <c r="G108" s="11"/>
      <c r="H108" s="70">
        <f>180*ATAN(TAN(F19*3.1416/180)*(H122/H85))/3.1416</f>
        <v>23.195640939380606</v>
      </c>
      <c r="I108" s="13" t="s">
        <v>76</v>
      </c>
      <c r="J108" s="8"/>
      <c r="K108" s="8"/>
    </row>
    <row r="109" spans="1:11" ht="15" x14ac:dyDescent="0.25">
      <c r="A109" s="1"/>
      <c r="B109" s="1"/>
      <c r="C109" s="1"/>
      <c r="D109" s="1"/>
      <c r="E109" s="8"/>
      <c r="F109" s="21"/>
      <c r="G109" s="11"/>
      <c r="H109" s="3"/>
      <c r="I109" s="8"/>
      <c r="J109" s="8"/>
      <c r="K109" s="8"/>
    </row>
    <row r="110" spans="1:11" ht="15" x14ac:dyDescent="0.25">
      <c r="A110" s="1"/>
      <c r="B110" s="1"/>
      <c r="C110" s="1"/>
      <c r="D110" s="1"/>
      <c r="E110" s="8"/>
      <c r="F110" s="21"/>
      <c r="G110" s="11"/>
      <c r="H110" s="25"/>
      <c r="I110" s="8"/>
      <c r="J110" s="8"/>
      <c r="K110" s="8"/>
    </row>
    <row r="111" spans="1:11" ht="15" x14ac:dyDescent="0.25">
      <c r="A111" s="1" t="s">
        <v>77</v>
      </c>
      <c r="B111" s="1"/>
      <c r="C111" s="1"/>
      <c r="D111" s="1"/>
      <c r="E111" s="8"/>
      <c r="F111" s="21"/>
      <c r="G111" s="11"/>
      <c r="H111" s="25"/>
      <c r="I111" s="8"/>
      <c r="J111" s="8"/>
      <c r="K111" s="8"/>
    </row>
    <row r="112" spans="1:11" ht="15" x14ac:dyDescent="0.25">
      <c r="A112" s="1"/>
      <c r="B112" s="1"/>
      <c r="C112" s="1"/>
      <c r="D112" s="1"/>
      <c r="E112" s="8"/>
      <c r="F112" s="21"/>
      <c r="G112" s="11"/>
      <c r="H112" s="70">
        <f>180*ATAN(TAN(H105*3.1416/180)*COS(H108*3.1416/180))/3.1416</f>
        <v>21.219721775117112</v>
      </c>
      <c r="I112" s="13" t="s">
        <v>78</v>
      </c>
      <c r="J112" s="8"/>
      <c r="K112" s="8"/>
    </row>
    <row r="113" spans="1:11" ht="15" x14ac:dyDescent="0.25">
      <c r="A113" s="1"/>
      <c r="B113" s="1"/>
      <c r="C113" s="1"/>
      <c r="D113" s="1"/>
      <c r="E113" s="8"/>
      <c r="F113" s="21"/>
      <c r="G113" s="11"/>
      <c r="H113" s="25"/>
      <c r="I113" s="8"/>
      <c r="J113" s="8"/>
      <c r="K113" s="8"/>
    </row>
    <row r="114" spans="1:11" ht="15" x14ac:dyDescent="0.25">
      <c r="A114" s="1"/>
      <c r="B114" s="1"/>
      <c r="C114" s="1"/>
      <c r="D114" s="1"/>
      <c r="E114" s="8"/>
      <c r="F114" s="21"/>
      <c r="G114" s="11"/>
      <c r="H114" s="25"/>
      <c r="I114" s="8"/>
      <c r="J114" s="8"/>
      <c r="K114" s="8"/>
    </row>
    <row r="115" spans="1:11" ht="15" x14ac:dyDescent="0.25">
      <c r="A115" s="1" t="s">
        <v>79</v>
      </c>
      <c r="B115" s="1"/>
      <c r="C115" s="1"/>
      <c r="D115" s="1"/>
      <c r="E115" s="8"/>
      <c r="F115" s="21"/>
      <c r="G115" s="8" t="s">
        <v>80</v>
      </c>
      <c r="H115" s="73">
        <f>(H85+H87)/2</f>
        <v>94.106005190055839</v>
      </c>
      <c r="I115" s="1" t="s">
        <v>81</v>
      </c>
      <c r="J115" s="8"/>
      <c r="K115" s="8"/>
    </row>
    <row r="116" spans="1:11" ht="15" x14ac:dyDescent="0.25">
      <c r="A116" s="1"/>
      <c r="B116" s="1"/>
      <c r="C116" s="1"/>
      <c r="D116" s="1"/>
      <c r="E116" s="8"/>
      <c r="F116" s="21"/>
      <c r="G116" s="8"/>
      <c r="H116" s="27"/>
      <c r="I116" s="1"/>
      <c r="J116" s="8"/>
      <c r="K116" s="8"/>
    </row>
    <row r="117" spans="1:11" ht="15" x14ac:dyDescent="0.25">
      <c r="A117" s="1"/>
      <c r="B117" s="1"/>
      <c r="C117" s="1"/>
      <c r="D117" s="1"/>
      <c r="E117" s="8"/>
      <c r="F117" s="21"/>
      <c r="G117" s="11"/>
      <c r="H117" s="25"/>
      <c r="I117" s="8"/>
      <c r="J117" s="8"/>
      <c r="K117" s="8"/>
    </row>
    <row r="118" spans="1:11" ht="15" x14ac:dyDescent="0.25">
      <c r="A118" s="1" t="s">
        <v>82</v>
      </c>
      <c r="B118" s="1"/>
      <c r="C118" s="1"/>
      <c r="D118" s="1"/>
      <c r="E118" s="8"/>
      <c r="F118" s="21"/>
      <c r="G118" s="8"/>
      <c r="H118" s="73">
        <f>H115*COS(H71*3.1416/180)/COS(H105*3.1416/180)</f>
        <v>95.000714994412647</v>
      </c>
      <c r="I118" s="1" t="s">
        <v>83</v>
      </c>
      <c r="J118" s="8"/>
      <c r="K118" s="8"/>
    </row>
    <row r="119" spans="1:11" ht="15" x14ac:dyDescent="0.25">
      <c r="A119" s="1"/>
      <c r="B119" s="1"/>
      <c r="C119" s="1"/>
      <c r="D119" s="1"/>
      <c r="E119" s="8"/>
      <c r="F119" s="21"/>
      <c r="G119" s="11"/>
      <c r="H119" s="25"/>
      <c r="I119" s="8"/>
      <c r="J119" s="8"/>
      <c r="K119" s="8"/>
    </row>
    <row r="120" spans="1:11" ht="15" x14ac:dyDescent="0.25">
      <c r="A120" s="1"/>
      <c r="B120" s="1"/>
      <c r="C120" s="1"/>
      <c r="D120" s="1"/>
      <c r="E120" s="8"/>
      <c r="F120" s="21"/>
      <c r="G120" s="11"/>
      <c r="H120" s="25"/>
      <c r="I120" s="8"/>
      <c r="J120" s="8"/>
      <c r="K120" s="8"/>
    </row>
    <row r="121" spans="1:11" ht="15" x14ac:dyDescent="0.25">
      <c r="A121" s="1" t="s">
        <v>84</v>
      </c>
      <c r="B121" s="1"/>
      <c r="C121" s="1"/>
      <c r="D121" s="1"/>
      <c r="E121" s="8"/>
      <c r="F121" s="21"/>
      <c r="G121" s="11"/>
      <c r="H121" s="25"/>
      <c r="I121" s="8"/>
      <c r="J121" s="8"/>
      <c r="K121" s="8"/>
    </row>
    <row r="122" spans="1:11" ht="15" x14ac:dyDescent="0.25">
      <c r="A122" s="1"/>
      <c r="B122" s="1"/>
      <c r="C122" s="1"/>
      <c r="D122" s="1"/>
      <c r="E122" s="8"/>
      <c r="F122" s="21"/>
      <c r="G122" s="11"/>
      <c r="H122" s="70">
        <f>H85*COS(H71*3.1416/180)/COS(H105*3.1416/180)</f>
        <v>90.476871423250131</v>
      </c>
      <c r="I122" s="1" t="s">
        <v>85</v>
      </c>
      <c r="J122" s="8"/>
      <c r="K122" s="8"/>
    </row>
    <row r="123" spans="1:11" ht="15" x14ac:dyDescent="0.25">
      <c r="A123" s="1"/>
      <c r="B123" s="1"/>
      <c r="C123" s="1"/>
      <c r="D123" s="1"/>
      <c r="E123" s="8"/>
      <c r="F123" s="21"/>
      <c r="G123" s="11"/>
      <c r="H123" s="1"/>
      <c r="I123" s="1"/>
      <c r="J123" s="8"/>
      <c r="K123" s="8"/>
    </row>
    <row r="124" spans="1:11" ht="15" x14ac:dyDescent="0.25">
      <c r="A124" s="1"/>
      <c r="B124" s="1"/>
      <c r="C124" s="1"/>
      <c r="D124" s="1"/>
      <c r="E124" s="8"/>
      <c r="F124" s="21"/>
      <c r="G124" s="11"/>
      <c r="H124" s="70">
        <f>H87*COS(H71*3.1416/180)/COS(H105*3.1416/180)</f>
        <v>99.524558565575134</v>
      </c>
      <c r="I124" s="1" t="s">
        <v>86</v>
      </c>
      <c r="J124" s="8"/>
      <c r="K124" s="8"/>
    </row>
    <row r="125" spans="1:11" ht="15" x14ac:dyDescent="0.25">
      <c r="A125" s="1"/>
      <c r="B125" s="1"/>
      <c r="C125" s="1"/>
      <c r="D125" s="1"/>
      <c r="E125" s="8"/>
      <c r="F125" s="21"/>
      <c r="G125" s="11"/>
      <c r="H125" s="21"/>
      <c r="I125" s="1"/>
      <c r="J125" s="8"/>
      <c r="K125" s="8"/>
    </row>
    <row r="126" spans="1:11" ht="15" x14ac:dyDescent="0.25">
      <c r="A126" s="1"/>
      <c r="B126" s="1"/>
      <c r="C126" s="1"/>
      <c r="D126" s="1"/>
      <c r="E126" s="8"/>
      <c r="F126" s="21"/>
      <c r="G126" s="11"/>
      <c r="H126" s="21"/>
      <c r="I126" s="1"/>
      <c r="J126" s="8"/>
      <c r="K126" s="8"/>
    </row>
    <row r="127" spans="1:11" ht="15" x14ac:dyDescent="0.25">
      <c r="A127" s="1" t="s">
        <v>87</v>
      </c>
      <c r="B127" s="1"/>
      <c r="C127" s="1"/>
      <c r="D127" s="1"/>
      <c r="E127" s="8"/>
      <c r="F127" s="21"/>
      <c r="G127" s="11"/>
      <c r="H127" s="21"/>
      <c r="I127" s="1"/>
      <c r="J127" s="8"/>
      <c r="K127" s="8"/>
    </row>
    <row r="128" spans="1:11" ht="15" x14ac:dyDescent="0.25">
      <c r="A128" s="1"/>
      <c r="B128" s="1"/>
      <c r="C128" s="1"/>
      <c r="D128" s="1"/>
      <c r="E128" s="8"/>
      <c r="F128" s="21"/>
      <c r="G128" s="11"/>
      <c r="H128" s="70">
        <f>H68*(H52-(7/3)+2*F25)</f>
        <v>83.908698384276235</v>
      </c>
      <c r="I128" s="1" t="s">
        <v>88</v>
      </c>
      <c r="J128" s="8"/>
      <c r="K128" s="8"/>
    </row>
    <row r="129" spans="1:11" ht="15" x14ac:dyDescent="0.25">
      <c r="A129" s="1"/>
      <c r="B129" s="1"/>
      <c r="C129" s="1"/>
      <c r="D129" s="1"/>
      <c r="E129" s="8"/>
      <c r="F129" s="21"/>
      <c r="G129" s="11"/>
      <c r="H129" s="21"/>
      <c r="I129" s="1"/>
      <c r="J129" s="8"/>
      <c r="K129" s="8"/>
    </row>
    <row r="130" spans="1:11" ht="15" x14ac:dyDescent="0.25">
      <c r="A130" s="1"/>
      <c r="B130" s="1"/>
      <c r="C130" s="1"/>
      <c r="D130" s="1"/>
      <c r="E130" s="8"/>
      <c r="F130" s="21"/>
      <c r="G130" s="11"/>
      <c r="H130" s="70">
        <f>H68*(H55-(7/3)+2*F27)</f>
        <v>92.363301390239982</v>
      </c>
      <c r="I130" s="1" t="s">
        <v>89</v>
      </c>
      <c r="J130" s="8"/>
      <c r="K130" s="8"/>
    </row>
    <row r="131" spans="1:11" ht="15" x14ac:dyDescent="0.25">
      <c r="A131" s="1"/>
      <c r="B131" s="1"/>
      <c r="C131" s="1"/>
      <c r="D131" s="1"/>
      <c r="E131" s="8"/>
      <c r="F131" s="21"/>
      <c r="G131" s="11"/>
      <c r="H131" s="21"/>
      <c r="I131" s="1"/>
      <c r="J131" s="8"/>
      <c r="K131" s="8"/>
    </row>
    <row r="132" spans="1:11" ht="15" x14ac:dyDescent="0.25">
      <c r="A132" s="3"/>
      <c r="B132" s="1"/>
      <c r="C132" s="1"/>
      <c r="D132" s="1"/>
      <c r="E132" s="8"/>
      <c r="F132" s="21"/>
      <c r="G132" s="11"/>
      <c r="H132" s="21"/>
      <c r="I132" s="1"/>
      <c r="J132" s="8"/>
      <c r="K132" s="8"/>
    </row>
    <row r="133" spans="1:11" ht="15.6" x14ac:dyDescent="0.3">
      <c r="A133" s="1" t="s">
        <v>90</v>
      </c>
      <c r="B133" s="1"/>
      <c r="C133" s="1"/>
      <c r="D133" s="1"/>
      <c r="E133" s="8"/>
      <c r="F133" s="21"/>
      <c r="G133" s="11"/>
      <c r="H133" s="21"/>
      <c r="I133" s="1"/>
      <c r="J133" s="8"/>
      <c r="K133" s="28"/>
    </row>
    <row r="134" spans="1:11" ht="15.6" x14ac:dyDescent="0.3">
      <c r="A134" s="1"/>
      <c r="B134" s="1"/>
      <c r="C134" s="1"/>
      <c r="D134" s="1"/>
      <c r="E134" s="8"/>
      <c r="F134" s="21"/>
      <c r="G134" s="11"/>
      <c r="H134" s="21"/>
      <c r="I134" s="1"/>
      <c r="J134" s="8"/>
      <c r="K134" s="28"/>
    </row>
    <row r="135" spans="1:11" ht="15.6" x14ac:dyDescent="0.3">
      <c r="A135" s="1"/>
      <c r="B135" s="1"/>
      <c r="C135" s="1"/>
      <c r="D135" s="1"/>
      <c r="E135" s="8"/>
      <c r="F135" s="21"/>
      <c r="G135" s="11"/>
      <c r="H135" s="21"/>
      <c r="I135" s="1"/>
      <c r="J135" s="8"/>
      <c r="K135" s="28"/>
    </row>
    <row r="136" spans="1:11" ht="15.6" x14ac:dyDescent="0.3">
      <c r="A136" s="1"/>
      <c r="B136" s="1"/>
      <c r="C136" s="1"/>
      <c r="D136" s="1"/>
      <c r="E136" s="8"/>
      <c r="F136" s="21"/>
      <c r="G136" s="11"/>
      <c r="H136" s="70">
        <f>H95+2*F25*F15</f>
        <v>96.279766847672221</v>
      </c>
      <c r="I136" s="1" t="s">
        <v>91</v>
      </c>
      <c r="J136" s="8" t="s">
        <v>92</v>
      </c>
      <c r="K136" s="28"/>
    </row>
    <row r="137" spans="1:11" ht="15.6" x14ac:dyDescent="0.3">
      <c r="A137" s="1"/>
      <c r="B137" s="1"/>
      <c r="C137" s="1"/>
      <c r="D137" s="1"/>
      <c r="E137" s="8"/>
      <c r="F137" s="21"/>
      <c r="G137" s="11"/>
      <c r="H137" s="21"/>
      <c r="I137" s="1"/>
      <c r="J137" s="8"/>
      <c r="K137" s="28"/>
    </row>
    <row r="138" spans="1:11" ht="15.6" x14ac:dyDescent="0.3">
      <c r="A138" s="1"/>
      <c r="B138" s="1"/>
      <c r="C138" s="1"/>
      <c r="D138" s="1"/>
      <c r="E138" s="8"/>
      <c r="F138" s="21"/>
      <c r="G138" s="11"/>
      <c r="H138" s="70">
        <f>H97+2*F27*F15</f>
        <v>104.77474353243944</v>
      </c>
      <c r="I138" s="1" t="s">
        <v>93</v>
      </c>
      <c r="J138" s="8" t="s">
        <v>94</v>
      </c>
      <c r="K138" s="28"/>
    </row>
    <row r="139" spans="1:11" ht="15.6" x14ac:dyDescent="0.3">
      <c r="A139" s="1"/>
      <c r="B139" s="1"/>
      <c r="C139" s="1"/>
      <c r="D139" s="1"/>
      <c r="E139" s="8"/>
      <c r="F139" s="21"/>
      <c r="G139" s="11"/>
      <c r="H139" s="21"/>
      <c r="I139" s="1"/>
      <c r="J139" s="8"/>
      <c r="K139" s="28"/>
    </row>
    <row r="140" spans="1:11" ht="15.6" x14ac:dyDescent="0.3">
      <c r="A140" s="1" t="s">
        <v>95</v>
      </c>
      <c r="B140" s="1"/>
      <c r="C140" s="1"/>
      <c r="D140" s="1"/>
      <c r="E140" s="8"/>
      <c r="F140" s="21"/>
      <c r="G140" s="11"/>
      <c r="H140" s="21"/>
      <c r="I140" s="1"/>
      <c r="J140" s="8"/>
      <c r="K140" s="28"/>
    </row>
    <row r="141" spans="1:11" ht="15.6" x14ac:dyDescent="0.3">
      <c r="A141" s="1"/>
      <c r="B141" s="1"/>
      <c r="C141" s="1"/>
      <c r="D141" s="1"/>
      <c r="E141" s="8"/>
      <c r="F141" s="21"/>
      <c r="G141" s="11"/>
      <c r="H141" s="70">
        <f>(H136-H122)/2</f>
        <v>2.9014477122110449</v>
      </c>
      <c r="I141" s="1"/>
      <c r="J141" s="8"/>
      <c r="K141" s="28"/>
    </row>
    <row r="142" spans="1:11" ht="15.6" x14ac:dyDescent="0.3">
      <c r="A142" s="1"/>
      <c r="B142" s="1"/>
      <c r="C142" s="1"/>
      <c r="D142" s="1"/>
      <c r="E142" s="8"/>
      <c r="F142" s="21"/>
      <c r="G142" s="11"/>
      <c r="H142" s="21"/>
      <c r="I142" s="1"/>
      <c r="J142" s="8"/>
      <c r="K142" s="28"/>
    </row>
    <row r="143" spans="1:11" ht="15.6" x14ac:dyDescent="0.3">
      <c r="A143" s="1"/>
      <c r="B143" s="1"/>
      <c r="C143" s="1"/>
      <c r="D143" s="1"/>
      <c r="E143" s="8"/>
      <c r="F143" s="21"/>
      <c r="G143" s="11"/>
      <c r="H143" s="70">
        <f>(H138-H124)/2</f>
        <v>2.6250924834321552</v>
      </c>
      <c r="I143" s="1"/>
      <c r="J143" s="8"/>
      <c r="K143" s="28"/>
    </row>
    <row r="144" spans="1:11" ht="15.6" x14ac:dyDescent="0.3">
      <c r="A144" s="1"/>
      <c r="B144" s="1"/>
      <c r="C144" s="1"/>
      <c r="D144" s="1"/>
      <c r="E144" s="8"/>
      <c r="F144" s="21"/>
      <c r="G144" s="11"/>
      <c r="H144" s="21"/>
      <c r="I144" s="1"/>
      <c r="J144" s="8"/>
      <c r="K144" s="28"/>
    </row>
    <row r="145" spans="1:11" ht="15" x14ac:dyDescent="0.25">
      <c r="A145" s="1"/>
      <c r="B145" s="1"/>
      <c r="C145" s="1"/>
      <c r="D145" s="1"/>
      <c r="E145" s="8"/>
      <c r="F145" s="21"/>
      <c r="G145" s="11"/>
      <c r="H145" s="21"/>
      <c r="I145" s="1"/>
      <c r="J145" s="8"/>
      <c r="K145" s="8"/>
    </row>
    <row r="146" spans="1:11" ht="15.6" x14ac:dyDescent="0.3">
      <c r="A146" s="7" t="s">
        <v>96</v>
      </c>
      <c r="B146" s="1"/>
      <c r="C146" s="1"/>
      <c r="D146" s="1"/>
      <c r="E146" s="8"/>
      <c r="F146" s="21"/>
      <c r="G146" s="11"/>
      <c r="H146" s="25"/>
      <c r="I146" s="8"/>
      <c r="J146" s="8"/>
      <c r="K146" s="8"/>
    </row>
    <row r="147" spans="1:11" ht="15" x14ac:dyDescent="0.25">
      <c r="A147" s="1"/>
      <c r="B147" s="1"/>
      <c r="C147" s="1"/>
      <c r="D147" s="1"/>
      <c r="E147" s="8"/>
      <c r="F147" s="21"/>
      <c r="G147" s="11"/>
      <c r="H147" s="25"/>
      <c r="I147" s="8"/>
      <c r="J147" s="8"/>
      <c r="K147" s="8"/>
    </row>
    <row r="148" spans="1:11" ht="15" x14ac:dyDescent="0.25">
      <c r="A148" s="1" t="s">
        <v>97</v>
      </c>
      <c r="B148" s="1"/>
      <c r="C148" s="1"/>
      <c r="D148" s="1"/>
      <c r="E148" s="8"/>
      <c r="F148" s="21"/>
      <c r="G148" s="11"/>
      <c r="H148" s="25"/>
      <c r="I148" s="8"/>
      <c r="J148" s="8" t="s">
        <v>98</v>
      </c>
      <c r="K148" s="8"/>
    </row>
    <row r="149" spans="1:11" ht="15" x14ac:dyDescent="0.25">
      <c r="A149" s="1"/>
      <c r="B149" s="1"/>
      <c r="C149" s="1"/>
      <c r="D149" s="1"/>
      <c r="E149" s="8"/>
      <c r="F149" s="21"/>
      <c r="G149" s="11"/>
      <c r="H149" s="25"/>
      <c r="I149" s="8"/>
      <c r="J149" s="8"/>
      <c r="K149" s="8"/>
    </row>
    <row r="150" spans="1:11" ht="18.600000000000001" x14ac:dyDescent="0.4">
      <c r="A150" s="3"/>
      <c r="B150" s="3"/>
      <c r="C150" s="3"/>
      <c r="D150" s="3"/>
      <c r="E150" s="3"/>
      <c r="F150" s="1" t="s">
        <v>279</v>
      </c>
      <c r="G150" s="3"/>
      <c r="H150" s="58">
        <v>1.4</v>
      </c>
      <c r="I150" s="21" t="s">
        <v>99</v>
      </c>
      <c r="J150" s="11"/>
      <c r="K150" s="3"/>
    </row>
    <row r="151" spans="1:11" ht="15" x14ac:dyDescent="0.25">
      <c r="A151" s="1"/>
      <c r="B151" s="1"/>
      <c r="C151" s="1"/>
      <c r="D151" s="1"/>
      <c r="E151" s="8"/>
      <c r="F151" s="8"/>
      <c r="G151" s="11"/>
      <c r="H151" s="25"/>
      <c r="I151" s="8"/>
      <c r="J151" s="8"/>
      <c r="K151" s="8"/>
    </row>
    <row r="152" spans="1:11" ht="15" x14ac:dyDescent="0.25">
      <c r="A152" s="8"/>
      <c r="B152" s="8"/>
      <c r="C152" s="8"/>
      <c r="D152" s="8"/>
      <c r="E152" s="8"/>
      <c r="F152" s="21"/>
      <c r="G152" s="11"/>
      <c r="H152" s="20">
        <f>IF(H124-H122&gt;0,H150*(3+0.3*H68+0.2*SQRT(H124)),H150*(3+0.3*H68+0.2*SQRT(H122)))</f>
        <v>8.2480826253624588</v>
      </c>
      <c r="I152" s="21" t="s">
        <v>100</v>
      </c>
      <c r="J152" s="8"/>
      <c r="K152" s="8"/>
    </row>
    <row r="153" spans="1:11" ht="15" x14ac:dyDescent="0.25">
      <c r="A153" s="1"/>
      <c r="B153" s="1"/>
      <c r="C153" s="1"/>
      <c r="D153" s="1"/>
      <c r="E153" s="8"/>
      <c r="F153" s="21"/>
      <c r="G153" s="11"/>
      <c r="H153" s="8"/>
      <c r="I153" s="25" t="s">
        <v>101</v>
      </c>
      <c r="J153" s="8"/>
      <c r="K153" s="8"/>
    </row>
    <row r="154" spans="1:11" ht="15" x14ac:dyDescent="0.25">
      <c r="A154" s="1"/>
      <c r="B154" s="1"/>
      <c r="C154" s="1"/>
      <c r="D154" s="1"/>
      <c r="E154" s="3"/>
      <c r="F154" s="21"/>
      <c r="G154" s="11"/>
      <c r="H154" s="25"/>
      <c r="I154" s="8"/>
      <c r="J154" s="8"/>
      <c r="K154" s="8"/>
    </row>
    <row r="155" spans="1:11" ht="15" x14ac:dyDescent="0.25">
      <c r="A155" s="1" t="s">
        <v>102</v>
      </c>
      <c r="B155" s="1"/>
      <c r="C155" s="1"/>
      <c r="D155" s="1"/>
      <c r="E155" s="1" t="s">
        <v>103</v>
      </c>
      <c r="F155" s="3"/>
      <c r="G155" s="21"/>
      <c r="H155" s="25"/>
      <c r="I155" s="8"/>
      <c r="J155" s="8"/>
      <c r="K155" s="8"/>
    </row>
    <row r="156" spans="1:11" ht="15" x14ac:dyDescent="0.25">
      <c r="A156" s="1"/>
      <c r="B156" s="1"/>
      <c r="C156" s="1"/>
      <c r="D156" s="1"/>
      <c r="E156" s="8"/>
      <c r="F156" s="21"/>
      <c r="G156" s="11"/>
      <c r="H156" s="25"/>
      <c r="I156" s="8"/>
      <c r="J156" s="8"/>
      <c r="K156" s="8"/>
    </row>
    <row r="157" spans="1:11" ht="15" x14ac:dyDescent="0.25">
      <c r="A157" s="1"/>
      <c r="B157" s="1"/>
      <c r="C157" s="1" t="s">
        <v>104</v>
      </c>
      <c r="D157" s="32">
        <v>1</v>
      </c>
      <c r="E157" s="21" t="s">
        <v>105</v>
      </c>
      <c r="F157" s="11"/>
      <c r="G157" s="25"/>
      <c r="H157" s="8"/>
      <c r="I157" s="8"/>
      <c r="J157" s="8"/>
      <c r="K157" s="3"/>
    </row>
    <row r="158" spans="1:11" ht="15" x14ac:dyDescent="0.25">
      <c r="A158" s="1"/>
      <c r="B158" s="1"/>
      <c r="C158" s="1"/>
      <c r="D158" s="1"/>
      <c r="E158" s="8"/>
      <c r="F158" s="21"/>
      <c r="G158" s="11"/>
      <c r="H158" s="25"/>
      <c r="I158" s="8"/>
      <c r="J158" s="8"/>
      <c r="K158" s="8"/>
    </row>
    <row r="159" spans="1:11" ht="15" x14ac:dyDescent="0.25">
      <c r="A159" s="1"/>
      <c r="B159" s="1"/>
      <c r="C159" s="1"/>
      <c r="D159" s="1"/>
      <c r="E159" s="29">
        <f>1.5+0.25*(F15+9*(SQRT(F15)))</f>
        <v>5.9187028891498246</v>
      </c>
      <c r="F159" s="21" t="s">
        <v>106</v>
      </c>
      <c r="G159" s="11"/>
      <c r="H159" s="3"/>
      <c r="I159" s="3"/>
      <c r="J159" s="20">
        <f>E159*D157</f>
        <v>5.9187028891498246</v>
      </c>
      <c r="K159" s="21" t="s">
        <v>107</v>
      </c>
    </row>
    <row r="160" spans="1:11" ht="15" x14ac:dyDescent="0.25">
      <c r="A160" s="1"/>
      <c r="B160" s="1"/>
      <c r="C160" s="1"/>
      <c r="D160" s="1"/>
      <c r="E160" s="8"/>
      <c r="F160" s="21"/>
      <c r="G160" s="11"/>
      <c r="H160" s="25"/>
      <c r="I160" s="8"/>
      <c r="J160" s="8"/>
      <c r="K160" s="8"/>
    </row>
    <row r="161" spans="1:11" ht="15" x14ac:dyDescent="0.25">
      <c r="A161" s="1"/>
      <c r="B161" s="1"/>
      <c r="C161" s="1"/>
      <c r="D161" s="1"/>
      <c r="E161" s="8"/>
      <c r="F161" s="21"/>
      <c r="G161" s="11"/>
      <c r="H161" s="25"/>
      <c r="I161" s="8"/>
      <c r="J161" s="8"/>
      <c r="K161" s="8"/>
    </row>
    <row r="162" spans="1:11" ht="15" x14ac:dyDescent="0.25">
      <c r="A162" s="1"/>
      <c r="B162" s="1"/>
      <c r="C162" s="1"/>
      <c r="D162" s="1"/>
      <c r="E162" s="8"/>
      <c r="F162" s="21"/>
      <c r="G162" s="11"/>
      <c r="H162" s="25"/>
      <c r="I162" s="8"/>
      <c r="J162" s="8"/>
      <c r="K162" s="8"/>
    </row>
    <row r="163" spans="1:11" ht="15" x14ac:dyDescent="0.25">
      <c r="A163" s="1"/>
      <c r="B163" s="1"/>
      <c r="C163" s="1"/>
      <c r="D163" s="1"/>
      <c r="E163" s="8"/>
      <c r="F163" s="21"/>
      <c r="G163" s="11"/>
      <c r="H163" s="25"/>
      <c r="I163" s="8"/>
      <c r="J163" s="8"/>
      <c r="K163" s="8"/>
    </row>
    <row r="164" spans="1:11" ht="15" x14ac:dyDescent="0.25">
      <c r="A164" s="1" t="s">
        <v>108</v>
      </c>
      <c r="B164" s="1"/>
      <c r="C164" s="1"/>
      <c r="D164" s="1"/>
      <c r="E164" s="8"/>
      <c r="F164" s="21"/>
      <c r="G164" s="1" t="s">
        <v>109</v>
      </c>
      <c r="H164" s="3"/>
      <c r="I164" s="8"/>
      <c r="J164" s="8"/>
      <c r="K164" s="8"/>
    </row>
    <row r="165" spans="1:11" ht="15" x14ac:dyDescent="0.25">
      <c r="A165" s="1"/>
      <c r="B165" s="1"/>
      <c r="C165" s="1"/>
      <c r="D165" s="1"/>
      <c r="E165" s="8"/>
      <c r="F165" s="21"/>
      <c r="G165" s="11"/>
      <c r="H165" s="25"/>
      <c r="I165" s="8"/>
      <c r="J165" s="8"/>
      <c r="K165" s="8"/>
    </row>
    <row r="166" spans="1:11" ht="15" x14ac:dyDescent="0.25">
      <c r="A166" s="3"/>
      <c r="B166" s="3"/>
      <c r="C166" s="3"/>
      <c r="D166" s="1" t="s">
        <v>110</v>
      </c>
      <c r="E166" s="8"/>
      <c r="F166" s="1"/>
      <c r="G166" s="1"/>
      <c r="H166" s="29">
        <f>2.5+0.25*(F15+3*(SQRT(F15)))</f>
        <v>4.4312342963832752</v>
      </c>
      <c r="I166" s="21" t="s">
        <v>111</v>
      </c>
      <c r="J166" s="8"/>
      <c r="K166" s="8"/>
    </row>
    <row r="167" spans="1:11" ht="15" x14ac:dyDescent="0.25">
      <c r="A167" s="3"/>
      <c r="B167" s="3"/>
      <c r="C167" s="3"/>
      <c r="D167" s="1"/>
      <c r="E167" s="8"/>
      <c r="F167" s="1"/>
      <c r="G167" s="1"/>
      <c r="H167" s="8"/>
      <c r="I167" s="21"/>
      <c r="J167" s="8"/>
      <c r="K167" s="8"/>
    </row>
    <row r="168" spans="1:11" ht="15" x14ac:dyDescent="0.25">
      <c r="A168" s="3"/>
      <c r="B168" s="3"/>
      <c r="C168" s="3"/>
      <c r="D168" s="1"/>
      <c r="E168" s="8"/>
      <c r="F168" s="1"/>
      <c r="G168" s="1"/>
      <c r="H168" s="8"/>
      <c r="I168" s="21"/>
      <c r="J168" s="8"/>
      <c r="K168" s="8"/>
    </row>
    <row r="169" spans="1:11" ht="15" x14ac:dyDescent="0.25">
      <c r="A169" s="3"/>
      <c r="B169" s="3"/>
      <c r="C169" s="3"/>
      <c r="D169" s="1"/>
      <c r="E169" s="8"/>
      <c r="F169" s="1"/>
      <c r="G169" s="1"/>
      <c r="H169" s="67">
        <f>SQRT(H166^2+J159^2)</f>
        <v>7.3937055174975601</v>
      </c>
      <c r="I169" s="21" t="s">
        <v>112</v>
      </c>
      <c r="K169" s="3"/>
    </row>
    <row r="170" spans="1:11" ht="15" x14ac:dyDescent="0.25">
      <c r="A170" s="1"/>
      <c r="B170" s="8"/>
      <c r="C170" s="1"/>
      <c r="D170" s="1"/>
      <c r="E170" s="8"/>
      <c r="F170" s="21"/>
      <c r="G170" s="11"/>
      <c r="H170" s="25"/>
      <c r="I170" s="8"/>
      <c r="J170" s="8"/>
      <c r="K170" s="8"/>
    </row>
    <row r="171" spans="1:11" ht="15" x14ac:dyDescent="0.25">
      <c r="A171" s="1"/>
      <c r="B171" s="8"/>
      <c r="C171" s="1"/>
      <c r="D171" s="1"/>
      <c r="E171" s="8"/>
      <c r="F171" s="21"/>
      <c r="G171" s="11"/>
      <c r="H171" s="25"/>
      <c r="I171" s="8"/>
      <c r="J171" s="8"/>
      <c r="K171" s="8"/>
    </row>
    <row r="172" spans="1:11" ht="15" x14ac:dyDescent="0.25">
      <c r="A172" s="1"/>
      <c r="B172" s="8"/>
      <c r="C172" s="1"/>
      <c r="D172" s="1"/>
      <c r="E172" s="8"/>
      <c r="F172" s="25"/>
      <c r="G172" s="3"/>
      <c r="H172" s="67">
        <f>0.7*(H152+H169)</f>
        <v>10.949251700002012</v>
      </c>
      <c r="I172" s="8" t="s">
        <v>113</v>
      </c>
      <c r="K172" s="3"/>
    </row>
    <row r="173" spans="1:11" ht="15" x14ac:dyDescent="0.25">
      <c r="A173" s="1"/>
      <c r="B173" s="8"/>
      <c r="C173" s="1"/>
      <c r="D173" s="1"/>
      <c r="E173" s="8"/>
      <c r="F173" s="21"/>
      <c r="G173" s="11"/>
      <c r="H173" s="25"/>
      <c r="I173" s="8"/>
      <c r="J173" s="8"/>
      <c r="K173" s="8"/>
    </row>
    <row r="174" spans="1:11" ht="15" x14ac:dyDescent="0.25">
      <c r="A174" s="1"/>
      <c r="B174" s="8"/>
      <c r="C174" s="1"/>
      <c r="D174" s="1"/>
      <c r="E174" s="8"/>
      <c r="F174" s="21"/>
      <c r="G174" s="11"/>
      <c r="H174" s="25"/>
      <c r="I174" s="8"/>
      <c r="J174" s="8"/>
      <c r="K174" s="8"/>
    </row>
    <row r="175" spans="1:11" ht="15" x14ac:dyDescent="0.25">
      <c r="A175" s="1" t="s">
        <v>114</v>
      </c>
      <c r="B175" s="8"/>
      <c r="C175" s="1"/>
      <c r="D175" s="1"/>
      <c r="E175" s="8"/>
      <c r="F175" s="21"/>
      <c r="G175" s="3"/>
      <c r="H175" s="20">
        <f>H172*D157</f>
        <v>10.949251700002012</v>
      </c>
      <c r="I175" s="21" t="s">
        <v>115</v>
      </c>
      <c r="J175" s="8"/>
      <c r="K175" s="8"/>
    </row>
    <row r="176" spans="1:11" ht="15" x14ac:dyDescent="0.25">
      <c r="A176" s="1"/>
      <c r="B176" s="1"/>
      <c r="C176" s="1"/>
      <c r="D176" s="1"/>
      <c r="E176" s="8"/>
      <c r="F176" s="21"/>
      <c r="G176" s="11"/>
      <c r="H176" s="25"/>
      <c r="I176" s="8"/>
      <c r="J176" s="8"/>
      <c r="K176" s="8"/>
    </row>
    <row r="177" spans="1:11" ht="15" x14ac:dyDescent="0.25">
      <c r="A177" s="1"/>
      <c r="B177" s="1"/>
      <c r="C177" s="1"/>
      <c r="D177" s="1"/>
      <c r="E177" s="8"/>
      <c r="F177" s="21"/>
      <c r="G177" s="11"/>
      <c r="H177" s="3"/>
      <c r="I177" s="3"/>
      <c r="J177" s="8"/>
      <c r="K177" s="8"/>
    </row>
    <row r="178" spans="1:11" ht="15" x14ac:dyDescent="0.25">
      <c r="A178" s="1" t="s">
        <v>116</v>
      </c>
      <c r="B178" s="1"/>
      <c r="C178" s="1"/>
      <c r="D178" s="1"/>
      <c r="E178" s="8"/>
      <c r="F178" s="21"/>
      <c r="G178" s="11"/>
      <c r="H178" s="25"/>
      <c r="I178" s="8"/>
      <c r="J178" s="8"/>
      <c r="K178" s="8"/>
    </row>
    <row r="179" spans="1:11" ht="15" x14ac:dyDescent="0.25">
      <c r="A179" s="1"/>
      <c r="B179" s="1"/>
      <c r="C179" s="1"/>
      <c r="D179" s="1"/>
      <c r="E179" s="8"/>
      <c r="F179" s="21"/>
      <c r="G179" s="11"/>
      <c r="H179" s="25"/>
      <c r="I179" s="8"/>
      <c r="J179" s="8"/>
      <c r="K179" s="8"/>
    </row>
    <row r="180" spans="1:11" ht="18.600000000000001" x14ac:dyDescent="0.4">
      <c r="A180" s="1" t="s">
        <v>280</v>
      </c>
      <c r="B180" s="1"/>
      <c r="C180" s="1"/>
      <c r="D180" s="1"/>
      <c r="E180" s="58">
        <v>1</v>
      </c>
      <c r="F180" s="21" t="s">
        <v>117</v>
      </c>
      <c r="G180" s="11"/>
      <c r="H180" s="1" t="s">
        <v>118</v>
      </c>
      <c r="I180" s="1"/>
      <c r="J180" s="1"/>
      <c r="K180" s="8"/>
    </row>
    <row r="181" spans="1:11" ht="15" x14ac:dyDescent="0.25">
      <c r="A181" s="1"/>
      <c r="B181" s="1"/>
      <c r="C181" s="1"/>
      <c r="D181" s="1"/>
      <c r="E181" s="8"/>
      <c r="F181" s="21"/>
      <c r="G181" s="11"/>
      <c r="H181" s="25"/>
      <c r="I181" s="8"/>
      <c r="J181" s="8"/>
      <c r="K181" s="8"/>
    </row>
    <row r="182" spans="1:11" ht="15" x14ac:dyDescent="0.25">
      <c r="A182" s="8"/>
      <c r="B182" s="8"/>
      <c r="C182" s="8"/>
      <c r="D182" s="8"/>
      <c r="E182" s="8"/>
      <c r="F182" s="21"/>
      <c r="G182" s="11"/>
      <c r="H182" s="20">
        <f>E180*SQRT(H65)</f>
        <v>4.1833001326703778</v>
      </c>
      <c r="I182" s="8" t="s">
        <v>119</v>
      </c>
      <c r="J182" s="8"/>
      <c r="K182" s="8"/>
    </row>
    <row r="183" spans="1:11" ht="15" x14ac:dyDescent="0.25">
      <c r="A183" s="1"/>
      <c r="B183" s="1"/>
      <c r="C183" s="1"/>
      <c r="D183" s="1"/>
      <c r="E183" s="8"/>
      <c r="F183" s="21"/>
      <c r="G183" s="11"/>
      <c r="H183" s="25"/>
      <c r="I183" s="8"/>
      <c r="J183" s="8"/>
      <c r="K183" s="8"/>
    </row>
    <row r="184" spans="1:11" ht="15" x14ac:dyDescent="0.25">
      <c r="A184" s="1" t="s">
        <v>120</v>
      </c>
      <c r="B184" s="1"/>
      <c r="C184" s="1"/>
      <c r="D184" s="1"/>
      <c r="E184" s="8"/>
      <c r="F184" s="1" t="s">
        <v>121</v>
      </c>
      <c r="G184" s="11"/>
      <c r="H184" s="3"/>
      <c r="I184" s="8"/>
      <c r="J184" s="8"/>
      <c r="K184" s="8"/>
    </row>
    <row r="185" spans="1:11" ht="15" x14ac:dyDescent="0.25">
      <c r="A185" s="1"/>
      <c r="B185" s="1"/>
      <c r="C185" s="1"/>
      <c r="D185" s="1"/>
      <c r="E185" s="8"/>
      <c r="F185" s="21"/>
      <c r="G185" s="11"/>
      <c r="H185" s="25"/>
      <c r="I185" s="8"/>
      <c r="J185" s="8"/>
      <c r="K185" s="8"/>
    </row>
    <row r="186" spans="1:11" ht="15" x14ac:dyDescent="0.25">
      <c r="A186" s="1" t="s">
        <v>122</v>
      </c>
      <c r="B186" s="1"/>
      <c r="C186" s="1"/>
      <c r="D186" s="3"/>
      <c r="E186" s="3"/>
      <c r="F186" s="1"/>
      <c r="G186" s="8"/>
      <c r="H186" s="58">
        <v>0</v>
      </c>
      <c r="I186" s="18" t="s">
        <v>123</v>
      </c>
      <c r="J186" s="8"/>
      <c r="K186" s="8" t="s">
        <v>124</v>
      </c>
    </row>
    <row r="187" spans="1:11" ht="15" x14ac:dyDescent="0.25">
      <c r="A187" s="1"/>
      <c r="B187" s="1"/>
      <c r="C187" s="1"/>
      <c r="D187" s="3"/>
      <c r="E187" s="3"/>
      <c r="F187" s="1"/>
      <c r="G187" s="8"/>
      <c r="H187" s="21"/>
      <c r="I187" s="8"/>
      <c r="J187" s="8"/>
      <c r="K187" s="8"/>
    </row>
    <row r="188" spans="1:11" ht="15" x14ac:dyDescent="0.25">
      <c r="A188" s="1"/>
      <c r="B188" s="1"/>
      <c r="C188" s="1"/>
      <c r="D188" s="3"/>
      <c r="E188" s="3"/>
      <c r="F188" s="1"/>
      <c r="G188" s="8"/>
      <c r="H188" s="58">
        <v>0</v>
      </c>
      <c r="I188" s="8"/>
      <c r="J188" s="8"/>
      <c r="K188" s="8"/>
    </row>
    <row r="189" spans="1:11" ht="15" x14ac:dyDescent="0.25">
      <c r="A189" s="1"/>
      <c r="B189" s="1"/>
      <c r="C189" s="1"/>
      <c r="D189" s="1"/>
      <c r="E189" s="8"/>
      <c r="F189" s="21"/>
      <c r="G189" s="11"/>
      <c r="H189" s="25"/>
      <c r="I189" s="8"/>
      <c r="J189" s="8"/>
      <c r="K189" s="8"/>
    </row>
    <row r="190" spans="1:11" ht="15" x14ac:dyDescent="0.25">
      <c r="A190" s="1"/>
      <c r="B190" s="1"/>
      <c r="C190" s="1"/>
      <c r="D190" s="1"/>
      <c r="E190" s="8"/>
      <c r="F190" s="21"/>
      <c r="G190" s="11"/>
      <c r="H190" s="29">
        <f>0.75*H182+(H305*H186*H300)</f>
        <v>3.1374750995027831</v>
      </c>
      <c r="I190" s="8" t="s">
        <v>125</v>
      </c>
      <c r="J190" s="8"/>
      <c r="K190" s="8"/>
    </row>
    <row r="191" spans="1:11" ht="15" x14ac:dyDescent="0.25">
      <c r="A191" s="1"/>
      <c r="B191" s="1"/>
      <c r="C191" s="1"/>
      <c r="D191" s="1"/>
      <c r="E191" s="8"/>
      <c r="F191" s="21"/>
      <c r="G191" s="11"/>
      <c r="H191" s="25"/>
      <c r="I191" s="8"/>
      <c r="J191" s="8"/>
      <c r="K191" s="8"/>
    </row>
    <row r="192" spans="1:11" ht="15" x14ac:dyDescent="0.25">
      <c r="A192" s="1"/>
      <c r="B192" s="1"/>
      <c r="C192" s="1"/>
      <c r="D192" s="1"/>
      <c r="E192" s="8"/>
      <c r="F192" s="21"/>
      <c r="G192" s="11"/>
      <c r="H192" s="25"/>
      <c r="I192" s="8"/>
      <c r="J192" s="8"/>
      <c r="K192" s="8"/>
    </row>
    <row r="193" spans="1:11" ht="15" x14ac:dyDescent="0.25">
      <c r="A193" s="8"/>
      <c r="B193" s="8"/>
      <c r="C193" s="8"/>
      <c r="D193" s="8"/>
      <c r="E193" s="8"/>
      <c r="F193" s="8"/>
      <c r="G193" s="8"/>
      <c r="H193" s="29">
        <f>0.75*H182+(H305*H188*H300)</f>
        <v>3.1374750995027831</v>
      </c>
      <c r="I193" s="8" t="s">
        <v>126</v>
      </c>
      <c r="J193" s="8"/>
      <c r="K193" s="8"/>
    </row>
    <row r="194" spans="1:11" ht="15" x14ac:dyDescent="0.25">
      <c r="A194" s="8"/>
      <c r="B194" s="8"/>
      <c r="C194" s="8"/>
      <c r="D194" s="8"/>
      <c r="E194" s="8"/>
      <c r="F194" s="8"/>
      <c r="G194" s="8"/>
      <c r="H194" s="29"/>
      <c r="I194" s="8"/>
      <c r="J194" s="8"/>
      <c r="K194" s="8"/>
    </row>
    <row r="195" spans="1:11" ht="15" x14ac:dyDescent="0.25">
      <c r="A195" s="8"/>
      <c r="B195" s="8"/>
      <c r="C195" s="8"/>
      <c r="D195" s="8"/>
      <c r="E195" s="8"/>
      <c r="F195" s="8"/>
      <c r="G195" s="8"/>
      <c r="H195" s="29"/>
      <c r="I195" s="8"/>
      <c r="J195" s="8"/>
      <c r="K195" s="8"/>
    </row>
    <row r="196" spans="1:11" ht="15" x14ac:dyDescent="0.25">
      <c r="A196" s="1"/>
      <c r="B196" s="1"/>
      <c r="C196" s="1"/>
      <c r="D196" s="8"/>
      <c r="E196" s="8"/>
      <c r="F196" s="8"/>
      <c r="G196" s="11"/>
      <c r="H196" s="20">
        <f>POWER(H190,1/0.9)</f>
        <v>3.5625082213793955</v>
      </c>
      <c r="I196" s="8" t="s">
        <v>127</v>
      </c>
      <c r="J196" s="8"/>
      <c r="K196" s="8"/>
    </row>
    <row r="197" spans="1:11" ht="15" x14ac:dyDescent="0.25">
      <c r="A197" s="1"/>
      <c r="B197" s="1" t="s">
        <v>128</v>
      </c>
      <c r="C197" s="1"/>
      <c r="D197" s="3"/>
      <c r="E197" s="8"/>
      <c r="F197" s="21"/>
      <c r="G197" s="11"/>
      <c r="H197" s="25"/>
      <c r="I197" s="8"/>
      <c r="J197" s="8"/>
      <c r="K197" s="8"/>
    </row>
    <row r="198" spans="1:11" ht="15" x14ac:dyDescent="0.25">
      <c r="A198" s="1"/>
      <c r="B198" s="1"/>
      <c r="C198" s="1"/>
      <c r="D198" s="1"/>
      <c r="E198" s="3"/>
      <c r="F198" s="21"/>
      <c r="G198" s="11"/>
      <c r="H198" s="20">
        <f>POWER(H193,1/0.9)</f>
        <v>3.5625082213793955</v>
      </c>
      <c r="I198" s="8" t="s">
        <v>129</v>
      </c>
      <c r="J198" s="8"/>
      <c r="K198" s="8"/>
    </row>
    <row r="199" spans="1:11" ht="19.8" x14ac:dyDescent="0.4">
      <c r="A199" s="1"/>
      <c r="B199" s="1"/>
      <c r="C199" s="1"/>
      <c r="D199" s="61" t="s">
        <v>281</v>
      </c>
      <c r="E199" s="30">
        <f>MAX(H152,J159,H175)</f>
        <v>10.949251700002012</v>
      </c>
      <c r="F199" s="21"/>
      <c r="G199" s="11"/>
      <c r="H199" s="21"/>
      <c r="I199" s="8"/>
      <c r="J199" s="8"/>
      <c r="K199" s="8"/>
    </row>
    <row r="200" spans="1:11" ht="15" x14ac:dyDescent="0.25">
      <c r="A200" s="1"/>
      <c r="B200" s="1"/>
      <c r="C200" s="1"/>
      <c r="D200" s="1"/>
      <c r="E200" s="30"/>
      <c r="F200" s="21"/>
      <c r="G200" s="11"/>
      <c r="H200" s="21"/>
      <c r="I200" s="8"/>
      <c r="J200" s="8"/>
      <c r="K200" s="8"/>
    </row>
    <row r="201" spans="1:11" ht="19.8" x14ac:dyDescent="0.4">
      <c r="A201" s="1"/>
      <c r="B201" s="1" t="s">
        <v>130</v>
      </c>
      <c r="C201" s="3"/>
      <c r="D201" s="61" t="s">
        <v>282</v>
      </c>
      <c r="E201" s="58">
        <v>8.25</v>
      </c>
      <c r="F201" s="21" t="s">
        <v>131</v>
      </c>
      <c r="G201" s="3"/>
      <c r="H201" s="25"/>
      <c r="I201" s="8"/>
      <c r="J201" s="8"/>
      <c r="K201" s="8"/>
    </row>
    <row r="202" spans="1:11" ht="15" x14ac:dyDescent="0.25">
      <c r="A202" s="1"/>
      <c r="B202" s="1"/>
      <c r="C202" s="1"/>
      <c r="D202" s="1"/>
      <c r="E202" s="3" t="s">
        <v>132</v>
      </c>
      <c r="F202" s="21"/>
      <c r="G202" s="11"/>
      <c r="H202" s="25"/>
      <c r="I202" s="3"/>
      <c r="J202" s="3"/>
      <c r="K202" s="3"/>
    </row>
    <row r="203" spans="1:11" ht="15" x14ac:dyDescent="0.25">
      <c r="A203" s="1"/>
      <c r="B203" s="1"/>
      <c r="C203" s="1"/>
      <c r="D203" s="1"/>
      <c r="E203" s="3"/>
      <c r="F203" s="21"/>
      <c r="G203" s="11"/>
      <c r="H203" s="25"/>
      <c r="I203" s="3"/>
      <c r="J203" s="3"/>
      <c r="K203" s="3"/>
    </row>
    <row r="204" spans="1:11" ht="15.6" x14ac:dyDescent="0.3">
      <c r="A204" s="7" t="s">
        <v>133</v>
      </c>
      <c r="B204" s="1"/>
      <c r="C204" s="1"/>
      <c r="D204" s="1"/>
      <c r="E204" s="1"/>
      <c r="F204" s="1"/>
      <c r="G204" s="1"/>
      <c r="H204" s="1"/>
      <c r="I204" s="3"/>
      <c r="J204" s="25"/>
      <c r="K204" s="3"/>
    </row>
    <row r="205" spans="1:11" ht="15" x14ac:dyDescent="0.25">
      <c r="A205" s="1"/>
      <c r="B205" s="1"/>
      <c r="C205" s="1"/>
      <c r="D205" s="1"/>
      <c r="E205" s="1"/>
      <c r="F205" s="1"/>
      <c r="G205" s="1"/>
      <c r="H205" s="1"/>
      <c r="I205" s="3"/>
      <c r="J205" s="25"/>
      <c r="K205" s="3"/>
    </row>
    <row r="206" spans="1:11" ht="15" x14ac:dyDescent="0.25">
      <c r="A206" s="1" t="s">
        <v>134</v>
      </c>
      <c r="B206" s="1"/>
      <c r="C206" s="1"/>
      <c r="D206" s="1"/>
      <c r="E206" s="1"/>
      <c r="F206" s="1"/>
      <c r="G206" s="1"/>
      <c r="H206" s="1"/>
      <c r="I206" s="1"/>
      <c r="J206" s="25"/>
      <c r="K206" s="1"/>
    </row>
    <row r="207" spans="1:11" ht="15" x14ac:dyDescent="0.25">
      <c r="A207" s="1"/>
      <c r="B207" s="1"/>
      <c r="C207" s="1"/>
      <c r="D207" s="1"/>
      <c r="E207" s="1"/>
      <c r="F207" s="3"/>
      <c r="G207" s="1" t="s">
        <v>135</v>
      </c>
      <c r="H207" s="25" t="s">
        <v>136</v>
      </c>
      <c r="I207" s="3"/>
      <c r="J207" s="1" t="s">
        <v>137</v>
      </c>
      <c r="K207" s="1"/>
    </row>
    <row r="208" spans="1:11" ht="16.2" x14ac:dyDescent="0.35">
      <c r="A208" s="1"/>
      <c r="B208" s="1"/>
      <c r="C208" s="1"/>
      <c r="D208" s="1"/>
      <c r="E208" s="1"/>
      <c r="F208" s="3"/>
      <c r="G208" s="1" t="s">
        <v>138</v>
      </c>
      <c r="H208" s="70">
        <f>K208/(H68*3.1416*COS(H71*3.1416/180))</f>
        <v>0.74434242396714245</v>
      </c>
      <c r="I208" s="3"/>
      <c r="J208" s="3" t="s">
        <v>294</v>
      </c>
      <c r="K208" s="21">
        <f>0.5*(SQRT((H136)^2-(H90)^2)-H90*TAN(H105*3.1416/180))</f>
        <v>6.4966109245374248</v>
      </c>
    </row>
    <row r="209" spans="1:11" ht="15" x14ac:dyDescent="0.25">
      <c r="A209" s="1"/>
      <c r="B209" s="1"/>
      <c r="C209" s="1"/>
      <c r="D209" s="1"/>
      <c r="E209" s="1"/>
      <c r="F209" s="3"/>
      <c r="G209" s="1"/>
      <c r="H209" s="1"/>
      <c r="I209" s="3"/>
      <c r="J209" s="3"/>
      <c r="K209" s="1"/>
    </row>
    <row r="210" spans="1:11" ht="16.2" x14ac:dyDescent="0.35">
      <c r="A210" s="1"/>
      <c r="B210" s="1"/>
      <c r="C210" s="1"/>
      <c r="D210" s="1"/>
      <c r="E210" s="1"/>
      <c r="F210" s="1"/>
      <c r="G210" s="1"/>
      <c r="H210" s="70">
        <f>K210/(H68*3.1416*COS(H71*3.1416/180))</f>
        <v>0.6869635929389809</v>
      </c>
      <c r="I210" s="1"/>
      <c r="J210" s="3" t="s">
        <v>295</v>
      </c>
      <c r="K210" s="21">
        <f>0.5*(SQRT((H138)^2-(H92)^2)-H92*TAN(H105*3.1416/180))</f>
        <v>5.9958092390604776</v>
      </c>
    </row>
    <row r="211" spans="1:11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25"/>
      <c r="K211" s="1"/>
    </row>
    <row r="212" spans="1:11" ht="15" x14ac:dyDescent="0.25">
      <c r="A212" s="1"/>
      <c r="B212" s="1"/>
      <c r="C212" s="1"/>
      <c r="D212" s="1"/>
      <c r="E212" s="1"/>
      <c r="F212" s="1"/>
      <c r="G212" s="1"/>
      <c r="H212" s="70">
        <f>H208+H210</f>
        <v>1.4313060169061234</v>
      </c>
      <c r="I212" s="1"/>
      <c r="J212" s="25"/>
      <c r="K212" s="1"/>
    </row>
    <row r="213" spans="1:11" ht="15" x14ac:dyDescent="0.25">
      <c r="A213" s="1"/>
      <c r="B213" s="1"/>
      <c r="C213" s="3"/>
      <c r="D213" s="1"/>
      <c r="E213" s="1"/>
      <c r="F213" s="1"/>
      <c r="G213" s="1"/>
      <c r="H213" s="1"/>
      <c r="I213" s="1"/>
      <c r="J213" s="25"/>
      <c r="K213" s="1"/>
    </row>
    <row r="214" spans="1:11" ht="15" x14ac:dyDescent="0.25">
      <c r="A214" s="1" t="s">
        <v>139</v>
      </c>
      <c r="B214" s="1"/>
      <c r="C214" s="1"/>
      <c r="D214" s="1"/>
      <c r="E214" s="1"/>
      <c r="F214" s="1"/>
      <c r="G214" s="1"/>
      <c r="H214" s="1"/>
      <c r="I214" s="1"/>
      <c r="J214" s="25"/>
      <c r="K214" s="1"/>
    </row>
    <row r="215" spans="1:11" ht="15" x14ac:dyDescent="0.25">
      <c r="A215" s="1"/>
      <c r="B215" s="1"/>
      <c r="C215" s="1"/>
      <c r="D215" s="1"/>
      <c r="E215" s="1"/>
      <c r="F215" s="1"/>
      <c r="G215" s="1"/>
      <c r="H215" s="70">
        <f>H208/(COS(H76*3.1416/180)^2)</f>
        <v>0.86008127425657976</v>
      </c>
      <c r="I215" s="3"/>
      <c r="J215" s="25"/>
      <c r="K215" s="1"/>
    </row>
    <row r="216" spans="1:11" ht="15" x14ac:dyDescent="0.25">
      <c r="A216" s="1"/>
      <c r="B216" s="1"/>
      <c r="C216" s="1"/>
      <c r="D216" s="3"/>
      <c r="E216" s="3"/>
      <c r="F216" s="1"/>
      <c r="G216" s="1"/>
      <c r="H216" s="1"/>
      <c r="I216" s="3"/>
      <c r="J216" s="25"/>
      <c r="K216" s="1"/>
    </row>
    <row r="217" spans="1:11" ht="15" x14ac:dyDescent="0.25">
      <c r="A217" s="1"/>
      <c r="B217" s="1"/>
      <c r="C217" s="1"/>
      <c r="D217" s="3"/>
      <c r="E217" s="3"/>
      <c r="F217" s="1"/>
      <c r="G217" s="1"/>
      <c r="H217" s="70">
        <f>H210/(COS(H76*3.1416/180)^2)</f>
        <v>0.79378052809860911</v>
      </c>
      <c r="I217" s="3"/>
      <c r="J217" s="25"/>
      <c r="K217" s="1"/>
    </row>
    <row r="218" spans="1:11" ht="15" x14ac:dyDescent="0.25">
      <c r="A218" s="1"/>
      <c r="B218" s="1"/>
      <c r="C218" s="1"/>
      <c r="D218" s="3"/>
      <c r="E218" s="3"/>
      <c r="F218" s="1"/>
      <c r="G218" s="1"/>
      <c r="H218" s="1"/>
      <c r="I218" s="3"/>
      <c r="J218" s="25"/>
      <c r="K218" s="1"/>
    </row>
    <row r="219" spans="1:11" ht="15" x14ac:dyDescent="0.25">
      <c r="A219" s="1"/>
      <c r="B219" s="1"/>
      <c r="C219" s="1"/>
      <c r="D219" s="1"/>
      <c r="E219" s="1"/>
      <c r="F219" s="1" t="s">
        <v>140</v>
      </c>
      <c r="G219" s="1"/>
      <c r="H219" s="1"/>
      <c r="I219" s="1"/>
      <c r="J219" s="1"/>
      <c r="K219" s="1"/>
    </row>
    <row r="220" spans="1:11" ht="15" x14ac:dyDescent="0.25">
      <c r="A220" s="3"/>
      <c r="B220" s="3"/>
      <c r="C220" s="3"/>
      <c r="D220" s="1"/>
      <c r="E220" s="1"/>
      <c r="F220" s="1"/>
      <c r="G220" s="1"/>
      <c r="H220" s="1"/>
      <c r="I220" s="1"/>
      <c r="J220" s="1"/>
      <c r="K220" s="1"/>
    </row>
    <row r="221" spans="1:11" ht="15" x14ac:dyDescent="0.25">
      <c r="A221" s="3"/>
      <c r="B221" s="3"/>
      <c r="C221" s="3"/>
      <c r="D221" s="1"/>
      <c r="E221" s="1"/>
      <c r="F221" s="1"/>
      <c r="G221" s="1"/>
      <c r="H221" s="70">
        <f>H212/((COS(H76*3.1416/180)^2))</f>
        <v>1.6538618023551888</v>
      </c>
      <c r="I221" s="1"/>
      <c r="J221" s="1"/>
      <c r="K221" s="1"/>
    </row>
    <row r="222" spans="1:11" ht="15" x14ac:dyDescent="0.25">
      <c r="A222" s="3"/>
      <c r="B222" s="3"/>
      <c r="C222" s="3"/>
      <c r="D222" s="1"/>
      <c r="E222" s="1"/>
      <c r="F222" s="1"/>
      <c r="G222" s="1"/>
      <c r="H222" s="1"/>
      <c r="I222" s="1"/>
      <c r="J222" s="1"/>
      <c r="K222" s="1"/>
    </row>
    <row r="223" spans="1:11" ht="15" x14ac:dyDescent="0.25">
      <c r="A223" s="1" t="s">
        <v>141</v>
      </c>
      <c r="B223" s="1"/>
      <c r="C223" s="1"/>
      <c r="D223" s="1"/>
      <c r="E223" s="1"/>
      <c r="F223" s="1"/>
      <c r="G223" s="1"/>
      <c r="H223" s="1"/>
      <c r="I223" s="21"/>
      <c r="J223" s="1"/>
      <c r="K223" s="1"/>
    </row>
    <row r="224" spans="1:11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ht="15" x14ac:dyDescent="0.25">
      <c r="A225" s="1"/>
      <c r="B225" s="1"/>
      <c r="C225" s="1"/>
      <c r="D225" s="1"/>
      <c r="E225" s="1"/>
      <c r="F225" s="1"/>
      <c r="G225" s="1"/>
      <c r="H225" s="70">
        <f>IF(F29=1,H215*E227/H221,H215)</f>
        <v>0.82971250114193207</v>
      </c>
      <c r="I225" s="1"/>
      <c r="J225" s="1"/>
      <c r="K225" s="1"/>
    </row>
    <row r="226" spans="1:11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ht="15" x14ac:dyDescent="0.25">
      <c r="A227" s="1"/>
      <c r="B227" s="1"/>
      <c r="C227" s="1"/>
      <c r="D227" s="1"/>
      <c r="E227" s="70">
        <f>1+(H221-1)*((F15+(H239/4))/(F15+(E201/6)))</f>
        <v>1.5954652817680848</v>
      </c>
      <c r="F227" s="1"/>
      <c r="G227" s="1"/>
      <c r="H227" s="1"/>
      <c r="I227" s="1"/>
      <c r="J227" s="1"/>
      <c r="K227" s="1"/>
    </row>
    <row r="228" spans="1:11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ht="15" x14ac:dyDescent="0.25">
      <c r="A229" s="1"/>
      <c r="B229" s="1"/>
      <c r="C229" s="1"/>
      <c r="D229" s="1"/>
      <c r="E229" s="1"/>
      <c r="F229" s="1"/>
      <c r="G229" s="1"/>
      <c r="H229" s="70">
        <f>IF(F29=1,H217*E227/H221,H217)</f>
        <v>0.76575278062615282</v>
      </c>
      <c r="I229" s="1"/>
      <c r="J229" s="1"/>
      <c r="K229" s="1"/>
    </row>
    <row r="230" spans="1:11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ht="15" x14ac:dyDescent="0.25">
      <c r="A231" s="1" t="s">
        <v>142</v>
      </c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ht="15" x14ac:dyDescent="0.25">
      <c r="A233" s="1"/>
      <c r="B233" s="1"/>
      <c r="C233" s="1"/>
      <c r="D233" s="1"/>
      <c r="E233" s="1"/>
      <c r="F233" s="1"/>
      <c r="G233" s="1"/>
      <c r="H233" s="70">
        <f>(H65*TAN(F19*3.1416/180))/(H68*3.1416)</f>
        <v>0.79146814246950414</v>
      </c>
      <c r="I233" s="1"/>
      <c r="J233" s="1"/>
      <c r="K233" s="1"/>
    </row>
    <row r="234" spans="1:11" ht="15" x14ac:dyDescent="0.25">
      <c r="A234" s="1"/>
      <c r="B234" s="1"/>
      <c r="C234" s="3"/>
      <c r="D234" s="1"/>
      <c r="E234" s="1"/>
      <c r="F234" s="1"/>
      <c r="G234" s="1"/>
      <c r="H234" s="1"/>
      <c r="I234" s="1"/>
      <c r="J234" s="1"/>
      <c r="K234" s="1"/>
    </row>
    <row r="235" spans="1:11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ht="15.6" x14ac:dyDescent="0.3">
      <c r="A237" s="7" t="s">
        <v>143</v>
      </c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ht="15" x14ac:dyDescent="0.25">
      <c r="A239" s="31" t="s">
        <v>144</v>
      </c>
      <c r="B239" s="31"/>
      <c r="C239" s="31"/>
      <c r="D239" s="31"/>
      <c r="E239" s="31"/>
      <c r="F239" s="3"/>
      <c r="G239" s="3"/>
      <c r="H239" s="70">
        <f>(F11*2*3.1416*H85)/120000</f>
        <v>4.0263818956596529</v>
      </c>
      <c r="I239" s="11" t="s">
        <v>145</v>
      </c>
      <c r="J239" s="1"/>
      <c r="K239" s="1"/>
    </row>
    <row r="240" spans="1:11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ht="15" x14ac:dyDescent="0.25">
      <c r="A243" s="1" t="s">
        <v>146</v>
      </c>
      <c r="B243" s="1"/>
      <c r="C243" s="1"/>
      <c r="D243" s="1"/>
      <c r="E243" s="1"/>
      <c r="F243" s="3"/>
      <c r="G243" s="3"/>
      <c r="H243" s="70">
        <f>7162*F13/F11</f>
        <v>242.07226107226109</v>
      </c>
      <c r="I243" s="11" t="s">
        <v>147</v>
      </c>
      <c r="J243" s="33">
        <f>H243*100</f>
        <v>24207.22610722611</v>
      </c>
      <c r="K243" s="1" t="s">
        <v>148</v>
      </c>
    </row>
    <row r="244" spans="1:11" ht="15" x14ac:dyDescent="0.25">
      <c r="A244" s="1"/>
      <c r="B244" s="1"/>
      <c r="C244" s="1"/>
      <c r="D244" s="1"/>
      <c r="E244" s="1"/>
      <c r="F244" s="21"/>
      <c r="G244" s="11"/>
      <c r="H244" s="1"/>
      <c r="I244" s="21"/>
      <c r="J244" s="1"/>
      <c r="K244" s="1"/>
    </row>
    <row r="245" spans="1:11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ht="15" x14ac:dyDescent="0.25">
      <c r="A246" s="1" t="s">
        <v>149</v>
      </c>
      <c r="B246" s="1"/>
      <c r="C246" s="1"/>
      <c r="D246" s="1"/>
      <c r="E246" s="1"/>
      <c r="F246" s="3"/>
      <c r="G246" s="3"/>
      <c r="H246" s="70">
        <f>(2*J243)/H122</f>
        <v>535.10307609963399</v>
      </c>
      <c r="I246" s="11" t="s">
        <v>150</v>
      </c>
      <c r="J246" s="1"/>
      <c r="K246" s="1"/>
    </row>
    <row r="247" spans="1:11" ht="15" x14ac:dyDescent="0.25">
      <c r="A247" s="1"/>
      <c r="B247" s="1"/>
      <c r="C247" s="1"/>
      <c r="D247" s="1"/>
      <c r="E247" s="1"/>
      <c r="F247" s="1"/>
      <c r="G247" s="11"/>
      <c r="H247" s="1"/>
      <c r="I247" s="1"/>
      <c r="J247" s="1"/>
      <c r="K247" s="1"/>
    </row>
    <row r="248" spans="1:11" ht="15" x14ac:dyDescent="0.25">
      <c r="A248" s="1"/>
      <c r="B248" s="1"/>
      <c r="C248" s="1"/>
      <c r="D248" s="1"/>
      <c r="E248" s="1"/>
      <c r="F248" s="1"/>
      <c r="G248" s="11"/>
      <c r="H248" s="1"/>
      <c r="I248" s="1"/>
      <c r="J248" s="1"/>
      <c r="K248" s="1"/>
    </row>
    <row r="249" spans="1:11" ht="15" x14ac:dyDescent="0.25">
      <c r="A249" s="1"/>
      <c r="B249" s="1"/>
      <c r="C249" s="1"/>
      <c r="D249" s="1"/>
      <c r="E249" s="1"/>
      <c r="F249" s="1"/>
      <c r="G249" s="11"/>
      <c r="H249" s="1"/>
      <c r="I249" s="1"/>
      <c r="J249" s="1"/>
      <c r="K249" s="1"/>
    </row>
    <row r="250" spans="1:11" ht="15" x14ac:dyDescent="0.25">
      <c r="A250" s="1"/>
      <c r="B250" s="1"/>
      <c r="C250" s="1"/>
      <c r="D250" s="1"/>
      <c r="E250" s="1"/>
      <c r="F250" s="1"/>
      <c r="G250" s="11"/>
      <c r="H250" s="1"/>
      <c r="I250" s="1"/>
      <c r="J250" s="1"/>
      <c r="K250" s="1"/>
    </row>
    <row r="251" spans="1:11" ht="15" x14ac:dyDescent="0.25">
      <c r="A251" s="1"/>
      <c r="B251" s="1"/>
      <c r="C251" s="1"/>
      <c r="D251" s="1"/>
      <c r="E251" s="1"/>
      <c r="F251" s="1"/>
      <c r="G251" s="11"/>
      <c r="H251" s="1"/>
      <c r="I251" s="1"/>
      <c r="J251" s="1"/>
      <c r="K251" s="1"/>
    </row>
    <row r="252" spans="1:11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ht="21" x14ac:dyDescent="0.4">
      <c r="A253" s="34" t="s">
        <v>151</v>
      </c>
      <c r="B253" s="35"/>
      <c r="C253" s="36"/>
      <c r="D253" s="1"/>
      <c r="E253" s="1"/>
      <c r="F253" s="1"/>
      <c r="G253" s="1"/>
      <c r="H253" s="1"/>
      <c r="I253" s="3"/>
      <c r="J253" s="3"/>
      <c r="K253" s="3"/>
    </row>
    <row r="254" spans="1:11" ht="17.399999999999999" x14ac:dyDescent="0.3">
      <c r="A254" s="19"/>
      <c r="B254" s="1"/>
      <c r="C254" s="1"/>
      <c r="D254" s="1"/>
      <c r="E254" s="1"/>
      <c r="F254" s="1"/>
      <c r="G254" s="1"/>
      <c r="H254" s="1"/>
      <c r="I254" s="3"/>
      <c r="J254" s="3"/>
      <c r="K254" s="3"/>
    </row>
    <row r="255" spans="1:11" ht="15.6" x14ac:dyDescent="0.3">
      <c r="A255" s="62" t="s">
        <v>152</v>
      </c>
      <c r="B255" s="35"/>
      <c r="C255" s="35"/>
      <c r="D255" s="36"/>
      <c r="E255" s="41"/>
      <c r="F255" s="1"/>
      <c r="G255" s="1"/>
      <c r="H255" s="1"/>
      <c r="I255" s="1"/>
      <c r="J255" s="1"/>
      <c r="K255" s="1"/>
    </row>
    <row r="256" spans="1:11" ht="16.2" thickBot="1" x14ac:dyDescent="0.35">
      <c r="A256" s="7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ht="16.2" thickTop="1" thickBot="1" x14ac:dyDescent="0.3">
      <c r="A257" s="1" t="s">
        <v>284</v>
      </c>
      <c r="B257" s="1"/>
      <c r="C257" s="1"/>
      <c r="D257" s="1"/>
      <c r="E257" s="77" t="s">
        <v>298</v>
      </c>
      <c r="F257" s="78"/>
      <c r="G257" s="78"/>
      <c r="H257" s="78"/>
      <c r="I257" s="78"/>
      <c r="J257" s="79"/>
      <c r="K257" s="1"/>
    </row>
    <row r="258" spans="1:11" ht="16.2" thickTop="1" x14ac:dyDescent="0.3">
      <c r="A258" s="7" t="s">
        <v>285</v>
      </c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ht="16.2" thickBot="1" x14ac:dyDescent="0.35">
      <c r="A259" s="7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ht="16.2" thickTop="1" thickBot="1" x14ac:dyDescent="0.3">
      <c r="A260" s="1" t="s">
        <v>286</v>
      </c>
      <c r="B260" s="1"/>
      <c r="C260" s="1"/>
      <c r="D260" s="1"/>
      <c r="E260" s="77" t="s">
        <v>298</v>
      </c>
      <c r="F260" s="78"/>
      <c r="G260" s="78"/>
      <c r="H260" s="78"/>
      <c r="I260" s="78"/>
      <c r="J260" s="79"/>
      <c r="K260" s="1"/>
    </row>
    <row r="261" spans="1:11" ht="16.2" thickTop="1" x14ac:dyDescent="0.3">
      <c r="A261" s="7" t="s">
        <v>13</v>
      </c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ht="15" x14ac:dyDescent="0.25">
      <c r="A264" s="1"/>
      <c r="B264" s="1" t="s">
        <v>153</v>
      </c>
      <c r="C264" s="1"/>
      <c r="D264" s="1"/>
      <c r="E264" s="1"/>
      <c r="F264" s="1"/>
      <c r="G264" s="1"/>
      <c r="H264" s="66">
        <v>42</v>
      </c>
      <c r="I264" s="1" t="s">
        <v>154</v>
      </c>
      <c r="J264" s="1"/>
      <c r="K264" s="1"/>
    </row>
    <row r="265" spans="1:11" ht="15" x14ac:dyDescent="0.25">
      <c r="A265" s="1"/>
      <c r="B265" s="1"/>
      <c r="C265" s="1" t="s">
        <v>155</v>
      </c>
      <c r="D265" s="1"/>
      <c r="E265" s="1"/>
      <c r="F265" s="1"/>
      <c r="G265" s="1"/>
      <c r="H265" s="1"/>
      <c r="I265" s="1"/>
      <c r="J265" s="1"/>
      <c r="K265" s="1"/>
    </row>
    <row r="266" spans="1:11" ht="15" x14ac:dyDescent="0.25">
      <c r="A266" s="1"/>
      <c r="B266" s="1"/>
      <c r="C266" s="1"/>
      <c r="D266" s="1"/>
      <c r="E266" s="1"/>
      <c r="F266" s="1"/>
      <c r="G266" s="1"/>
      <c r="H266" s="66">
        <v>42</v>
      </c>
      <c r="I266" s="1" t="s">
        <v>156</v>
      </c>
      <c r="J266" s="1"/>
      <c r="K266" s="1"/>
    </row>
    <row r="267" spans="1:11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ht="15" x14ac:dyDescent="0.25">
      <c r="A268" s="1"/>
      <c r="B268" s="1"/>
      <c r="C268" s="1"/>
      <c r="D268" s="1"/>
      <c r="E268" s="1"/>
      <c r="F268" s="1"/>
      <c r="G268" s="18" t="s">
        <v>157</v>
      </c>
      <c r="H268" s="1"/>
      <c r="I268" s="1"/>
      <c r="J268" s="1"/>
      <c r="K268" s="1"/>
    </row>
    <row r="269" spans="1:11" ht="15" x14ac:dyDescent="0.25">
      <c r="A269" s="1"/>
      <c r="B269" s="1" t="s">
        <v>158</v>
      </c>
      <c r="C269" s="1"/>
      <c r="D269" s="1"/>
      <c r="E269" s="1"/>
      <c r="F269" s="1"/>
      <c r="G269" s="1"/>
      <c r="H269" s="1"/>
      <c r="I269" s="1"/>
      <c r="J269" s="1"/>
      <c r="K269" s="1"/>
    </row>
    <row r="270" spans="1:11" ht="19.8" x14ac:dyDescent="0.4">
      <c r="A270" s="1"/>
      <c r="B270" s="61" t="s">
        <v>283</v>
      </c>
      <c r="C270" s="37">
        <f>F23/F15</f>
        <v>0.2</v>
      </c>
      <c r="D270" s="1"/>
      <c r="E270" s="1"/>
      <c r="F270" s="1"/>
      <c r="G270" s="1"/>
      <c r="H270" s="32">
        <v>1</v>
      </c>
      <c r="I270" s="1"/>
      <c r="J270" s="1"/>
      <c r="K270" s="1"/>
    </row>
    <row r="271" spans="1:11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ht="15" x14ac:dyDescent="0.25">
      <c r="A272" s="1" t="s">
        <v>159</v>
      </c>
      <c r="B272" s="1"/>
      <c r="C272" s="1"/>
      <c r="D272" s="1"/>
      <c r="E272" s="1"/>
      <c r="F272" s="1"/>
      <c r="G272" s="1"/>
      <c r="H272" s="70">
        <f>H264*H270</f>
        <v>42</v>
      </c>
      <c r="I272" s="1" t="s">
        <v>160</v>
      </c>
      <c r="J272" s="1"/>
      <c r="K272" s="1"/>
    </row>
    <row r="273" spans="1:11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ht="15" x14ac:dyDescent="0.25">
      <c r="A274" s="1"/>
      <c r="B274" s="1"/>
      <c r="C274" s="1"/>
      <c r="D274" s="1"/>
      <c r="E274" s="1"/>
      <c r="F274" s="1"/>
      <c r="G274" s="1"/>
      <c r="H274" s="70">
        <f>H266*H270</f>
        <v>42</v>
      </c>
      <c r="I274" s="1" t="s">
        <v>161</v>
      </c>
      <c r="J274" s="1"/>
      <c r="K274" s="1"/>
    </row>
    <row r="275" spans="1:11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ht="15" x14ac:dyDescent="0.25">
      <c r="A277" s="1" t="s">
        <v>162</v>
      </c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ht="15" x14ac:dyDescent="0.25">
      <c r="A280" s="1"/>
      <c r="B280" s="1" t="s">
        <v>163</v>
      </c>
      <c r="C280" s="1"/>
      <c r="D280" s="1"/>
      <c r="E280" s="1"/>
      <c r="F280" s="1"/>
      <c r="G280" s="1"/>
      <c r="H280" s="32">
        <v>2.2999999999999998</v>
      </c>
      <c r="I280" s="1"/>
      <c r="J280" s="1"/>
      <c r="K280" s="21"/>
    </row>
    <row r="281" spans="1:11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ht="15" x14ac:dyDescent="0.25">
      <c r="A282" s="1"/>
      <c r="B282" s="1"/>
      <c r="C282" s="1"/>
      <c r="D282" s="1"/>
      <c r="E282" s="1"/>
      <c r="F282" s="1"/>
      <c r="G282" s="1"/>
      <c r="H282" s="32">
        <v>2.35</v>
      </c>
      <c r="I282" s="1"/>
      <c r="J282" s="1"/>
      <c r="K282" s="21"/>
    </row>
    <row r="283" spans="1:11" ht="15" x14ac:dyDescent="0.25">
      <c r="A283" s="1"/>
      <c r="B283" s="1"/>
      <c r="C283" s="1"/>
      <c r="D283" s="1"/>
      <c r="E283" s="1"/>
      <c r="F283" s="1"/>
      <c r="G283" s="11"/>
      <c r="H283" s="1"/>
      <c r="I283" s="1"/>
      <c r="J283" s="1"/>
      <c r="K283" s="1"/>
    </row>
    <row r="284" spans="1:11" ht="15" x14ac:dyDescent="0.25">
      <c r="A284" s="1"/>
      <c r="B284" s="1" t="s">
        <v>164</v>
      </c>
      <c r="C284" s="1"/>
      <c r="D284" s="1"/>
      <c r="E284" s="1"/>
      <c r="F284" s="1"/>
      <c r="G284" s="1"/>
      <c r="H284" s="1"/>
      <c r="I284" s="1"/>
      <c r="J284" s="1"/>
      <c r="K284" s="1"/>
    </row>
    <row r="285" spans="1:11" ht="15" x14ac:dyDescent="0.25">
      <c r="A285" s="1"/>
      <c r="B285" s="1"/>
      <c r="C285" s="1"/>
      <c r="D285" s="1"/>
      <c r="E285" s="1"/>
      <c r="F285" s="1"/>
      <c r="G285" s="1"/>
      <c r="H285" s="70">
        <f>IF(F29=1,1.4/(H221+0.4),"1,4/(E196+0,4")</f>
        <v>0.68164274655412671</v>
      </c>
      <c r="I285" s="1"/>
      <c r="J285" s="1"/>
      <c r="K285" s="1"/>
    </row>
    <row r="286" spans="1:11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ht="15" x14ac:dyDescent="0.25">
      <c r="A287" s="1"/>
      <c r="B287" s="1"/>
      <c r="C287" s="1"/>
      <c r="D287" s="1"/>
      <c r="E287" s="1"/>
      <c r="F287" s="1"/>
      <c r="G287" s="1" t="s">
        <v>165</v>
      </c>
      <c r="H287" s="70">
        <f>IF(F29=1,1.4/(E227+0.4),1.4/(H221+0.4))</f>
        <v>0.70159075820127925</v>
      </c>
      <c r="I287" s="1"/>
      <c r="J287" s="1"/>
      <c r="K287" s="1"/>
    </row>
    <row r="288" spans="1:11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ht="15" x14ac:dyDescent="0.25">
      <c r="A289" s="1"/>
      <c r="B289" s="1" t="s">
        <v>166</v>
      </c>
      <c r="C289" s="1"/>
      <c r="D289" s="1"/>
      <c r="E289" s="1"/>
      <c r="F289" s="1"/>
      <c r="G289" s="1"/>
      <c r="H289" s="1"/>
      <c r="I289" s="1"/>
      <c r="J289" s="1"/>
      <c r="K289" s="1"/>
    </row>
    <row r="290" spans="1:11" ht="15" x14ac:dyDescent="0.25">
      <c r="A290" s="1"/>
      <c r="B290" s="1"/>
      <c r="C290" s="1"/>
      <c r="D290" s="1"/>
      <c r="E290" s="3"/>
      <c r="F290" s="1"/>
      <c r="G290" s="1"/>
      <c r="H290" s="70">
        <f>H280*H285</f>
        <v>1.5677783170744912</v>
      </c>
      <c r="I290" s="1"/>
      <c r="J290" s="3"/>
      <c r="K290" s="3"/>
    </row>
    <row r="291" spans="1:11" ht="15" x14ac:dyDescent="0.25">
      <c r="A291" s="1"/>
      <c r="B291" s="1"/>
      <c r="C291" s="1"/>
      <c r="D291" s="1" t="s">
        <v>167</v>
      </c>
      <c r="E291" s="1"/>
      <c r="F291" s="1"/>
      <c r="G291" s="1"/>
      <c r="H291" s="1"/>
      <c r="I291" s="1"/>
      <c r="J291" s="1"/>
      <c r="K291" s="1"/>
    </row>
    <row r="292" spans="1:11" ht="15" x14ac:dyDescent="0.25">
      <c r="A292" s="1"/>
      <c r="B292" s="1"/>
      <c r="C292" s="1"/>
      <c r="D292" s="1"/>
      <c r="E292" s="1"/>
      <c r="F292" s="1"/>
      <c r="G292" s="1"/>
      <c r="H292" s="70">
        <f>H282*H287</f>
        <v>1.6487382817730063</v>
      </c>
      <c r="I292" s="3"/>
      <c r="J292" s="1"/>
      <c r="K292" s="1"/>
    </row>
    <row r="293" spans="1:11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ht="15" x14ac:dyDescent="0.25">
      <c r="A294" s="1" t="s">
        <v>168</v>
      </c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ht="15" x14ac:dyDescent="0.25">
      <c r="A296" s="3"/>
      <c r="B296" s="3"/>
      <c r="C296" s="3"/>
      <c r="D296" s="3"/>
      <c r="E296" s="1"/>
      <c r="F296" s="1"/>
      <c r="G296" s="1"/>
      <c r="H296" s="70">
        <f>H246/(H122*H65)</f>
        <v>0.33795729398316982</v>
      </c>
      <c r="I296" s="11" t="s">
        <v>169</v>
      </c>
      <c r="J296" s="1"/>
      <c r="K296" s="1"/>
    </row>
    <row r="297" spans="1:11" ht="15" x14ac:dyDescent="0.25">
      <c r="A297" s="3"/>
      <c r="B297" s="3"/>
      <c r="C297" s="3"/>
      <c r="D297" s="3"/>
      <c r="E297" s="1"/>
      <c r="F297" s="1"/>
      <c r="G297" s="1"/>
      <c r="H297" s="1"/>
      <c r="I297" s="3"/>
      <c r="J297" s="3"/>
      <c r="K297" s="3"/>
    </row>
    <row r="298" spans="1:11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ht="15" x14ac:dyDescent="0.25">
      <c r="A299" s="1" t="s">
        <v>170</v>
      </c>
      <c r="B299" s="1"/>
      <c r="C299" s="1"/>
      <c r="D299" s="1"/>
      <c r="E299" s="3"/>
      <c r="F299" s="1"/>
      <c r="G299" s="1"/>
      <c r="H299" s="1"/>
      <c r="I299" s="1"/>
      <c r="J299" s="1"/>
      <c r="K299" s="1"/>
    </row>
    <row r="300" spans="1:11" ht="15" x14ac:dyDescent="0.25">
      <c r="A300" s="1"/>
      <c r="B300" s="1"/>
      <c r="C300" s="1"/>
      <c r="D300" s="1" t="s">
        <v>171</v>
      </c>
      <c r="E300" s="3"/>
      <c r="F300" s="1"/>
      <c r="G300" s="1"/>
      <c r="H300" s="32">
        <v>1.25</v>
      </c>
      <c r="I300" s="1"/>
      <c r="J300" s="1"/>
      <c r="K300" s="1"/>
    </row>
    <row r="301" spans="1:11" ht="15" x14ac:dyDescent="0.25">
      <c r="A301" s="3"/>
      <c r="B301" s="3"/>
      <c r="C301" s="1"/>
      <c r="D301" s="1"/>
      <c r="E301" s="3"/>
      <c r="F301" s="1"/>
      <c r="G301" s="1"/>
      <c r="H301" s="1"/>
      <c r="I301" s="1"/>
      <c r="J301" s="1"/>
      <c r="K301" s="1"/>
    </row>
    <row r="302" spans="1:11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ht="15" x14ac:dyDescent="0.25">
      <c r="A303" s="1" t="s">
        <v>172</v>
      </c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ht="15" x14ac:dyDescent="0.25">
      <c r="A305" s="1"/>
      <c r="B305" s="1" t="s">
        <v>173</v>
      </c>
      <c r="C305" s="1"/>
      <c r="D305" s="1"/>
      <c r="E305" s="1"/>
      <c r="F305" s="3"/>
      <c r="G305" s="3"/>
      <c r="H305" s="70">
        <f>H246/H65</f>
        <v>30.577318634264799</v>
      </c>
      <c r="I305" s="1" t="s">
        <v>174</v>
      </c>
      <c r="J305" s="1"/>
      <c r="K305" s="1"/>
    </row>
    <row r="306" spans="1:11" ht="15" x14ac:dyDescent="0.25">
      <c r="A306" s="1"/>
      <c r="B306" s="1"/>
      <c r="C306" s="1"/>
      <c r="D306" s="1"/>
      <c r="E306" s="1"/>
      <c r="F306" s="1"/>
      <c r="G306" s="1"/>
      <c r="H306" s="1" t="s">
        <v>13</v>
      </c>
      <c r="I306" s="1"/>
      <c r="J306" s="1"/>
      <c r="K306" s="1"/>
    </row>
    <row r="307" spans="1:11" ht="15" x14ac:dyDescent="0.25">
      <c r="A307" s="1"/>
      <c r="B307" s="1"/>
      <c r="C307" s="1"/>
      <c r="D307" s="21">
        <f>H305*H300+0.26*H311</f>
        <v>41.068453734831522</v>
      </c>
      <c r="E307" s="1"/>
      <c r="F307" s="3"/>
      <c r="G307" s="1"/>
      <c r="H307" s="1"/>
      <c r="I307" s="1"/>
      <c r="J307" s="1"/>
      <c r="K307" s="1"/>
    </row>
    <row r="308" spans="1:11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ht="15" x14ac:dyDescent="0.25">
      <c r="A309" s="1"/>
      <c r="B309" s="1" t="s">
        <v>175</v>
      </c>
      <c r="C309" s="1"/>
      <c r="D309" s="1"/>
      <c r="E309" s="1"/>
      <c r="F309" s="1"/>
      <c r="G309" s="1"/>
      <c r="H309" s="32">
        <v>3.9</v>
      </c>
      <c r="I309" s="1" t="s">
        <v>176</v>
      </c>
      <c r="J309" s="1"/>
      <c r="K309" s="1"/>
    </row>
    <row r="310" spans="1:11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ht="15" x14ac:dyDescent="0.25">
      <c r="A311" s="1"/>
      <c r="B311" s="1" t="s">
        <v>177</v>
      </c>
      <c r="C311" s="1"/>
      <c r="D311" s="1"/>
      <c r="E311" s="1"/>
      <c r="F311" s="1"/>
      <c r="G311" s="1"/>
      <c r="H311" s="70">
        <f>MAX(H152,J159,H175)</f>
        <v>10.949251700002012</v>
      </c>
      <c r="I311" s="1" t="s">
        <v>178</v>
      </c>
      <c r="J311" s="1"/>
      <c r="K311" s="1"/>
    </row>
    <row r="312" spans="1:11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ht="15" x14ac:dyDescent="0.25">
      <c r="A314" s="1"/>
      <c r="B314" s="1"/>
      <c r="C314" s="1"/>
      <c r="D314" s="1"/>
      <c r="E314" s="3"/>
      <c r="F314" s="70">
        <f>1+(H309/((H305*H300*(1+H233))))</f>
        <v>1.0569568687488484</v>
      </c>
      <c r="G314" s="1"/>
      <c r="H314" s="1"/>
      <c r="I314" s="70">
        <f>1+((0.3*H305*H300+H311)/(H305*H300*(1+H233)))</f>
        <v>1.3273668496228068</v>
      </c>
      <c r="J314" s="1"/>
      <c r="K314" s="1"/>
    </row>
    <row r="315" spans="1:11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ht="15" x14ac:dyDescent="0.25">
      <c r="A317" s="1"/>
      <c r="B317" s="3"/>
      <c r="C317" s="3"/>
      <c r="D317" s="1"/>
      <c r="E317" s="1"/>
      <c r="F317" s="1"/>
      <c r="G317" s="1"/>
      <c r="H317" s="1"/>
      <c r="I317" s="70">
        <f>MIN(F314,I314)</f>
        <v>1.0569568687488484</v>
      </c>
      <c r="J317" s="1"/>
      <c r="K317" s="1"/>
    </row>
    <row r="318" spans="1:11" ht="15" x14ac:dyDescent="0.25">
      <c r="A318" s="1"/>
      <c r="B318" s="3"/>
      <c r="C318" s="3"/>
      <c r="D318" s="1"/>
      <c r="E318" s="1"/>
      <c r="F318" s="1"/>
      <c r="G318" s="1"/>
      <c r="H318" s="1"/>
      <c r="I318" s="1"/>
      <c r="J318" s="1"/>
      <c r="K318" s="1"/>
    </row>
    <row r="319" spans="1:11" ht="15" x14ac:dyDescent="0.25">
      <c r="A319" s="1"/>
      <c r="B319" s="3"/>
      <c r="C319" s="3"/>
      <c r="D319" s="1"/>
      <c r="E319" s="1"/>
      <c r="F319" s="1"/>
      <c r="G319" s="1"/>
      <c r="H319" s="1"/>
      <c r="I319" s="1"/>
      <c r="J319" s="1"/>
      <c r="K319" s="1"/>
    </row>
    <row r="320" spans="1:11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ht="15" x14ac:dyDescent="0.25">
      <c r="A321" s="1" t="s">
        <v>179</v>
      </c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ht="15" x14ac:dyDescent="0.25">
      <c r="A323" s="1"/>
      <c r="B323" s="1" t="s">
        <v>180</v>
      </c>
      <c r="C323" s="1"/>
      <c r="D323" s="1"/>
      <c r="E323" s="1"/>
      <c r="F323" s="1"/>
      <c r="G323" s="1"/>
      <c r="H323" s="1"/>
      <c r="I323" s="3"/>
      <c r="J323" s="1"/>
      <c r="K323" s="32">
        <v>1</v>
      </c>
    </row>
    <row r="324" spans="1:11" ht="15" x14ac:dyDescent="0.25">
      <c r="A324" s="1"/>
      <c r="B324" s="1"/>
      <c r="C324" s="1"/>
      <c r="D324" s="1"/>
      <c r="E324" s="1"/>
      <c r="F324" s="1"/>
      <c r="G324" s="1"/>
      <c r="H324" s="3"/>
      <c r="I324" s="21"/>
      <c r="J324" s="1"/>
      <c r="K324" s="1"/>
    </row>
    <row r="325" spans="1:11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ht="15" x14ac:dyDescent="0.25">
      <c r="A326" s="1"/>
      <c r="B326" s="1"/>
      <c r="C326" s="70">
        <f>(K323*H190*H65)/(H246*H300*I317)</f>
        <v>7.7662901249487049E-2</v>
      </c>
      <c r="D326" s="1" t="s">
        <v>181</v>
      </c>
      <c r="E326" s="3"/>
      <c r="F326" s="3"/>
      <c r="G326" s="1"/>
      <c r="H326" s="32">
        <v>1.02</v>
      </c>
      <c r="I326" s="1"/>
      <c r="J326" s="1"/>
      <c r="K326" s="1"/>
    </row>
    <row r="327" spans="1:11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ht="15" x14ac:dyDescent="0.25">
      <c r="A330" s="1" t="s">
        <v>182</v>
      </c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ht="15" x14ac:dyDescent="0.25">
      <c r="A332" s="3"/>
      <c r="B332" s="3"/>
      <c r="C332" s="3"/>
      <c r="D332" s="1" t="s">
        <v>183</v>
      </c>
      <c r="E332" s="1"/>
      <c r="F332" s="1"/>
      <c r="G332" s="1"/>
      <c r="H332" s="32">
        <v>1.01</v>
      </c>
      <c r="I332" s="1"/>
      <c r="J332" s="1"/>
      <c r="K332" s="1"/>
    </row>
    <row r="333" spans="1:11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ht="15" x14ac:dyDescent="0.25">
      <c r="A335" s="1" t="s">
        <v>184</v>
      </c>
      <c r="B335" s="1"/>
      <c r="C335" s="1"/>
      <c r="D335" s="1"/>
      <c r="E335" s="1"/>
      <c r="F335" s="1"/>
      <c r="G335" s="3"/>
      <c r="H335" s="70">
        <f>H296*H300*I317*H326*H332</f>
        <v>0.45999239121563451</v>
      </c>
      <c r="I335" s="1" t="s">
        <v>185</v>
      </c>
      <c r="J335" s="1"/>
      <c r="K335" s="1"/>
    </row>
    <row r="336" spans="1:11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ht="15" x14ac:dyDescent="0.25">
      <c r="A338" s="1"/>
      <c r="B338" s="1"/>
      <c r="C338" s="1"/>
      <c r="D338" s="3"/>
      <c r="E338" s="3"/>
      <c r="F338" s="3"/>
      <c r="G338" s="1"/>
      <c r="H338" s="1"/>
      <c r="I338" s="1"/>
      <c r="J338" s="1"/>
      <c r="K338" s="1"/>
    </row>
    <row r="339" spans="1:11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ht="15" x14ac:dyDescent="0.25">
      <c r="A341" s="1" t="s">
        <v>186</v>
      </c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ht="15" x14ac:dyDescent="0.25">
      <c r="A344" s="1"/>
      <c r="B344" s="1"/>
      <c r="C344" s="1"/>
      <c r="D344" s="1"/>
      <c r="E344" s="1"/>
      <c r="F344" s="21">
        <f>H272/(H335*H52*H290)</f>
        <v>1.9413003549220271</v>
      </c>
      <c r="G344" s="1"/>
      <c r="H344" s="1"/>
      <c r="I344" s="21">
        <f>H274/(H335*H52*H292)</f>
        <v>1.8459743653812928</v>
      </c>
      <c r="J344" s="1"/>
      <c r="K344" s="1"/>
    </row>
    <row r="345" spans="1:11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ht="15" x14ac:dyDescent="0.25">
      <c r="A347" s="3"/>
      <c r="B347" s="3"/>
      <c r="C347" s="3"/>
      <c r="D347" s="38"/>
      <c r="E347" s="39"/>
      <c r="F347" s="39"/>
      <c r="G347" s="39"/>
      <c r="H347" s="39"/>
      <c r="I347" s="39"/>
      <c r="J347" s="40"/>
      <c r="K347" s="1"/>
    </row>
    <row r="348" spans="1:11" ht="15" x14ac:dyDescent="0.25">
      <c r="A348" s="3"/>
      <c r="B348" s="3"/>
      <c r="C348" s="3"/>
      <c r="D348" s="41" t="s">
        <v>187</v>
      </c>
      <c r="E348" s="1"/>
      <c r="F348" s="1"/>
      <c r="G348" s="1"/>
      <c r="H348" s="1"/>
      <c r="I348" s="1"/>
      <c r="J348" s="42"/>
      <c r="K348" s="1"/>
    </row>
    <row r="349" spans="1:11" ht="15" x14ac:dyDescent="0.25">
      <c r="A349" s="3"/>
      <c r="B349" s="3"/>
      <c r="C349" s="3"/>
      <c r="D349" s="41"/>
      <c r="E349" s="1"/>
      <c r="F349" s="1"/>
      <c r="G349" s="1"/>
      <c r="H349" s="1"/>
      <c r="I349" s="1"/>
      <c r="J349" s="42"/>
      <c r="K349" s="1"/>
    </row>
    <row r="350" spans="1:11" ht="15" x14ac:dyDescent="0.25">
      <c r="A350" s="3"/>
      <c r="B350" s="3"/>
      <c r="C350" s="3"/>
      <c r="D350" s="41"/>
      <c r="E350" s="1" t="s">
        <v>188</v>
      </c>
      <c r="F350" s="1"/>
      <c r="G350" s="1"/>
      <c r="H350" s="1"/>
      <c r="I350" s="1"/>
      <c r="J350" s="42"/>
      <c r="K350" s="25">
        <f>IF(F33=1,4,2)</f>
        <v>2</v>
      </c>
    </row>
    <row r="351" spans="1:11" ht="15" x14ac:dyDescent="0.25">
      <c r="A351" s="3"/>
      <c r="B351" s="3"/>
      <c r="C351" s="3"/>
      <c r="D351" s="41"/>
      <c r="E351" s="1"/>
      <c r="F351" s="1"/>
      <c r="G351" s="1"/>
      <c r="H351" s="1"/>
      <c r="I351" s="1"/>
      <c r="J351" s="42"/>
      <c r="K351" s="1"/>
    </row>
    <row r="352" spans="1:11" ht="15" x14ac:dyDescent="0.25">
      <c r="A352" s="3"/>
      <c r="B352" s="3"/>
      <c r="C352" s="3"/>
      <c r="D352" s="41"/>
      <c r="E352" s="1"/>
      <c r="F352" s="1"/>
      <c r="G352" s="1"/>
      <c r="H352" s="1"/>
      <c r="I352" s="1"/>
      <c r="J352" s="42"/>
      <c r="K352" s="1"/>
    </row>
    <row r="353" spans="1:11" ht="15" x14ac:dyDescent="0.25">
      <c r="A353" s="3"/>
      <c r="B353" s="3"/>
      <c r="C353" s="3"/>
      <c r="D353" s="41"/>
      <c r="E353" s="1" t="s">
        <v>189</v>
      </c>
      <c r="F353" s="1"/>
      <c r="G353" s="1"/>
      <c r="H353" s="1"/>
      <c r="I353" s="1"/>
      <c r="J353" s="42"/>
      <c r="K353" s="1"/>
    </row>
    <row r="354" spans="1:11" ht="15" x14ac:dyDescent="0.25">
      <c r="A354" s="3"/>
      <c r="B354" s="3"/>
      <c r="C354" s="3"/>
      <c r="D354" s="43"/>
      <c r="E354" s="44"/>
      <c r="F354" s="44"/>
      <c r="G354" s="44"/>
      <c r="H354" s="44"/>
      <c r="I354" s="44"/>
      <c r="J354" s="45"/>
      <c r="K354" s="1"/>
    </row>
    <row r="355" spans="1:11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ht="15" x14ac:dyDescent="0.25">
      <c r="A356" s="1" t="s">
        <v>190</v>
      </c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ht="15" x14ac:dyDescent="0.25">
      <c r="A358" s="1"/>
      <c r="B358" s="1"/>
      <c r="C358" s="1"/>
      <c r="D358" s="1"/>
      <c r="E358" s="1"/>
      <c r="F358" s="1" t="s">
        <v>191</v>
      </c>
      <c r="G358" s="1"/>
      <c r="H358" s="46">
        <f>IF(F344&gt;K350,"infinita",(1/F11)*33000*POWER(F344,5))</f>
        <v>1060.4503059611939</v>
      </c>
      <c r="I358" s="1" t="s">
        <v>192</v>
      </c>
      <c r="J358" s="1"/>
      <c r="K358" s="1"/>
    </row>
    <row r="359" spans="1:11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ht="15" x14ac:dyDescent="0.25">
      <c r="A361" s="1"/>
      <c r="B361" s="1"/>
      <c r="C361" s="1"/>
      <c r="D361" s="1"/>
      <c r="E361" s="1"/>
      <c r="F361" s="1" t="s">
        <v>193</v>
      </c>
      <c r="G361" s="1"/>
      <c r="H361" s="46">
        <f>IF(I344&gt;K350,"infinita",(1/F13)*33000*POWER(I344,5))</f>
        <v>24391.823618106235</v>
      </c>
      <c r="I361" s="1" t="s">
        <v>194</v>
      </c>
      <c r="J361" s="1"/>
      <c r="K361" s="1"/>
    </row>
    <row r="362" spans="1:11" ht="15" x14ac:dyDescent="0.25">
      <c r="A362" s="1"/>
      <c r="B362" s="1"/>
      <c r="C362" s="1"/>
      <c r="D362" s="1"/>
      <c r="E362" s="1"/>
      <c r="F362" s="1"/>
      <c r="G362" s="1"/>
      <c r="H362" s="21"/>
      <c r="I362" s="1"/>
      <c r="J362" s="1"/>
      <c r="K362" s="1"/>
    </row>
    <row r="363" spans="1:1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</row>
    <row r="364" spans="1:11" ht="15.6" x14ac:dyDescent="0.3">
      <c r="A364" s="47" t="s">
        <v>195</v>
      </c>
      <c r="B364" s="48"/>
      <c r="C364" s="48"/>
      <c r="D364" s="48"/>
      <c r="E364" s="48"/>
      <c r="F364" s="48"/>
      <c r="G364" s="48"/>
      <c r="H364" s="48"/>
      <c r="I364" s="48"/>
      <c r="J364" s="48"/>
      <c r="K364" s="49"/>
    </row>
    <row r="365" spans="1:11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ht="15" x14ac:dyDescent="0.25">
      <c r="A366" s="1"/>
      <c r="B366" s="1" t="s">
        <v>196</v>
      </c>
      <c r="C366" s="1"/>
      <c r="D366" s="1"/>
      <c r="E366" s="1"/>
      <c r="F366" s="1"/>
      <c r="G366" s="1"/>
      <c r="H366" s="1"/>
      <c r="I366" s="1"/>
      <c r="J366" s="1"/>
      <c r="K366" s="1"/>
    </row>
    <row r="367" spans="1:11" ht="15" x14ac:dyDescent="0.25">
      <c r="A367" s="1"/>
      <c r="B367" s="1" t="s">
        <v>197</v>
      </c>
      <c r="C367" s="1"/>
      <c r="D367" s="1"/>
      <c r="E367" s="1"/>
      <c r="F367" s="1"/>
      <c r="G367" s="1"/>
      <c r="H367" s="1"/>
      <c r="I367" s="1"/>
      <c r="J367" s="1"/>
      <c r="K367" s="1"/>
    </row>
    <row r="368" spans="1:11" ht="15" x14ac:dyDescent="0.25">
      <c r="A368" s="1"/>
      <c r="B368" s="1" t="s">
        <v>198</v>
      </c>
      <c r="C368" s="1"/>
      <c r="D368" s="1"/>
      <c r="E368" s="1"/>
      <c r="F368" s="1"/>
      <c r="G368" s="1"/>
      <c r="H368" s="1"/>
      <c r="I368" s="1"/>
      <c r="J368" s="1"/>
      <c r="K368" s="1"/>
    </row>
    <row r="369" spans="1:11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ht="15" x14ac:dyDescent="0.25">
      <c r="A370" s="1" t="s">
        <v>199</v>
      </c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ht="15" x14ac:dyDescent="0.25">
      <c r="A372" s="1"/>
      <c r="B372" s="1" t="s">
        <v>200</v>
      </c>
      <c r="C372" s="1"/>
      <c r="D372" s="1"/>
      <c r="E372" s="1"/>
      <c r="F372" s="1"/>
      <c r="G372" s="1"/>
      <c r="H372" s="1"/>
      <c r="I372" s="1"/>
      <c r="J372" s="1"/>
      <c r="K372" s="1"/>
    </row>
    <row r="373" spans="1:11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ht="15" x14ac:dyDescent="0.25">
      <c r="A374" s="1"/>
      <c r="B374" s="1" t="s">
        <v>201</v>
      </c>
      <c r="C374" s="1"/>
      <c r="D374" s="1"/>
      <c r="E374" s="1"/>
      <c r="F374" s="1"/>
      <c r="G374" s="1"/>
      <c r="H374" s="32">
        <v>5</v>
      </c>
      <c r="I374" s="1" t="s">
        <v>202</v>
      </c>
      <c r="J374" s="1"/>
      <c r="K374" s="1"/>
    </row>
    <row r="375" spans="1:11" ht="15" x14ac:dyDescent="0.25">
      <c r="A375" s="1"/>
      <c r="B375" s="1"/>
      <c r="C375" s="1" t="s">
        <v>203</v>
      </c>
      <c r="D375" s="1"/>
      <c r="E375" s="1"/>
      <c r="F375" s="1"/>
      <c r="G375" s="1"/>
      <c r="H375" s="1"/>
      <c r="I375" s="1"/>
      <c r="J375" s="1"/>
      <c r="K375" s="1"/>
    </row>
    <row r="376" spans="1:11" ht="15" x14ac:dyDescent="0.25">
      <c r="A376" s="1"/>
      <c r="B376" s="1"/>
      <c r="C376" s="1"/>
      <c r="D376" s="1"/>
      <c r="E376" s="1"/>
      <c r="F376" s="1"/>
      <c r="G376" s="1"/>
      <c r="H376" s="32">
        <v>5</v>
      </c>
      <c r="I376" s="1" t="s">
        <v>204</v>
      </c>
      <c r="J376" s="1"/>
      <c r="K376" s="1"/>
    </row>
    <row r="377" spans="1:11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ht="15" x14ac:dyDescent="0.25">
      <c r="A379" s="1"/>
      <c r="B379" s="1" t="s">
        <v>205</v>
      </c>
      <c r="C379" s="1"/>
      <c r="D379" s="1"/>
      <c r="E379" s="1"/>
      <c r="F379" s="1"/>
      <c r="G379" s="1"/>
      <c r="H379" s="32">
        <v>1</v>
      </c>
      <c r="I379" s="1"/>
      <c r="J379" s="1"/>
      <c r="K379" s="1"/>
    </row>
    <row r="380" spans="1:11" ht="15" x14ac:dyDescent="0.25">
      <c r="A380" s="1"/>
      <c r="B380" s="1"/>
      <c r="C380" s="1" t="s">
        <v>206</v>
      </c>
      <c r="D380" s="1"/>
      <c r="E380" s="1"/>
      <c r="F380" s="1"/>
      <c r="G380" s="1"/>
      <c r="H380" s="1"/>
      <c r="I380" s="1"/>
      <c r="J380" s="1"/>
      <c r="K380" s="1"/>
    </row>
    <row r="381" spans="1:11" ht="15" x14ac:dyDescent="0.25">
      <c r="A381" s="1"/>
      <c r="B381" s="1"/>
      <c r="C381" s="1"/>
      <c r="D381" s="1"/>
      <c r="E381" s="1"/>
      <c r="F381" s="1"/>
      <c r="G381" s="1"/>
      <c r="H381" s="32">
        <v>1</v>
      </c>
      <c r="I381" s="1"/>
      <c r="J381" s="1"/>
      <c r="K381" s="1"/>
    </row>
    <row r="382" spans="1:11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ht="15" x14ac:dyDescent="0.25">
      <c r="A384" s="1"/>
      <c r="B384" s="1" t="s">
        <v>207</v>
      </c>
      <c r="C384" s="1"/>
      <c r="D384" s="1"/>
      <c r="E384" s="1"/>
      <c r="F384" s="1"/>
      <c r="G384" s="1"/>
      <c r="H384" s="1"/>
      <c r="I384" s="1"/>
      <c r="J384" s="1"/>
      <c r="K384" s="1"/>
    </row>
    <row r="385" spans="1:11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ht="15" x14ac:dyDescent="0.25">
      <c r="A386" s="1"/>
      <c r="B386" s="1" t="s">
        <v>208</v>
      </c>
      <c r="C386" s="1"/>
      <c r="D386" s="1"/>
      <c r="E386" s="1"/>
      <c r="F386" s="1"/>
      <c r="G386" s="1"/>
      <c r="H386" s="32">
        <v>650</v>
      </c>
      <c r="I386" s="1"/>
      <c r="J386" s="1"/>
      <c r="K386" s="1"/>
    </row>
    <row r="387" spans="1:11" ht="15" x14ac:dyDescent="0.25">
      <c r="A387" s="1"/>
      <c r="B387" s="1"/>
      <c r="C387" s="1" t="s">
        <v>209</v>
      </c>
      <c r="D387" s="1"/>
      <c r="E387" s="1"/>
      <c r="F387" s="1"/>
      <c r="G387" s="1"/>
      <c r="H387" s="1"/>
      <c r="I387" s="1"/>
      <c r="J387" s="1"/>
      <c r="K387" s="1"/>
    </row>
    <row r="388" spans="1:11" ht="15" x14ac:dyDescent="0.25">
      <c r="A388" s="1"/>
      <c r="B388" s="1" t="s">
        <v>210</v>
      </c>
      <c r="C388" s="1"/>
      <c r="D388" s="1"/>
      <c r="E388" s="1"/>
      <c r="F388" s="1"/>
      <c r="G388" s="1"/>
      <c r="H388" s="32">
        <v>650</v>
      </c>
      <c r="I388" s="1"/>
      <c r="J388" s="1"/>
      <c r="K388" s="1"/>
    </row>
    <row r="389" spans="1:11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ht="15" x14ac:dyDescent="0.25">
      <c r="A390" s="1"/>
      <c r="B390" s="1" t="s">
        <v>211</v>
      </c>
      <c r="C390" s="1"/>
      <c r="D390" s="1"/>
      <c r="E390" s="1"/>
      <c r="F390" s="1"/>
      <c r="G390" s="1"/>
      <c r="H390" s="32">
        <v>650</v>
      </c>
      <c r="I390" s="1"/>
      <c r="J390" s="1"/>
      <c r="K390" s="1"/>
    </row>
    <row r="391" spans="1:11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ht="15" x14ac:dyDescent="0.25">
      <c r="A392" s="1"/>
      <c r="B392" s="1" t="s">
        <v>212</v>
      </c>
      <c r="C392" s="1"/>
      <c r="D392" s="1"/>
      <c r="E392" s="1"/>
      <c r="F392" s="1"/>
      <c r="G392" s="1"/>
      <c r="H392" s="32">
        <v>650</v>
      </c>
      <c r="I392" s="1"/>
      <c r="J392" s="1"/>
      <c r="K392" s="1"/>
    </row>
    <row r="393" spans="1:11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ht="15" x14ac:dyDescent="0.25">
      <c r="A394" s="1"/>
      <c r="B394" s="1"/>
      <c r="C394" s="1"/>
      <c r="D394" s="1"/>
      <c r="E394" s="21"/>
      <c r="F394" s="1"/>
      <c r="G394" s="1"/>
      <c r="H394" s="70">
        <f>IF(H386&lt;650,(H388/H386)^2,1)</f>
        <v>1</v>
      </c>
      <c r="I394" s="1"/>
      <c r="J394" s="1"/>
      <c r="K394" s="1"/>
    </row>
    <row r="395" spans="1:11" ht="15" x14ac:dyDescent="0.25">
      <c r="A395" s="1"/>
      <c r="B395" s="1"/>
      <c r="C395" s="1"/>
      <c r="D395" s="1"/>
      <c r="E395" s="1"/>
      <c r="F395" s="23" t="s">
        <v>213</v>
      </c>
      <c r="G395" s="1"/>
      <c r="H395" s="1"/>
      <c r="I395" s="1"/>
      <c r="J395" s="1"/>
      <c r="K395" s="1"/>
    </row>
    <row r="396" spans="1:11" ht="15" x14ac:dyDescent="0.25">
      <c r="A396" s="1"/>
      <c r="B396" s="1"/>
      <c r="C396" s="1"/>
      <c r="D396" s="1"/>
      <c r="E396" s="21"/>
      <c r="F396" s="1"/>
      <c r="G396" s="1"/>
      <c r="H396" s="70">
        <f>IF(H390&lt;650,(H392/H390)^2,1)</f>
        <v>1</v>
      </c>
      <c r="I396" s="1"/>
      <c r="J396" s="1"/>
      <c r="K396" s="1"/>
    </row>
    <row r="397" spans="1:11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ht="15" x14ac:dyDescent="0.25">
      <c r="A399" s="1"/>
      <c r="B399" s="1" t="s">
        <v>214</v>
      </c>
      <c r="C399" s="1"/>
      <c r="D399" s="1"/>
      <c r="E399" s="1"/>
      <c r="F399" s="1"/>
      <c r="G399" s="1"/>
      <c r="H399" s="1"/>
      <c r="I399" s="1"/>
      <c r="J399" s="1"/>
      <c r="K399" s="1"/>
    </row>
    <row r="400" spans="1:11" ht="15.6" thickBo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ht="16.2" thickTop="1" thickBot="1" x14ac:dyDescent="0.3">
      <c r="A401" s="1"/>
      <c r="B401" s="31" t="s">
        <v>215</v>
      </c>
      <c r="C401" s="1"/>
      <c r="D401" s="1"/>
      <c r="E401" s="74" t="s">
        <v>296</v>
      </c>
      <c r="F401" s="75"/>
      <c r="G401" s="75"/>
      <c r="H401" s="75"/>
      <c r="I401" s="75"/>
      <c r="J401" s="75"/>
      <c r="K401" s="76"/>
    </row>
    <row r="402" spans="1:11" ht="15.6" thickTop="1" x14ac:dyDescent="0.25">
      <c r="A402" s="1"/>
      <c r="B402" s="1" t="s">
        <v>216</v>
      </c>
      <c r="C402" s="1"/>
      <c r="D402" s="1"/>
      <c r="E402" s="1"/>
      <c r="F402" s="1"/>
      <c r="G402" s="1"/>
      <c r="H402" s="1"/>
      <c r="I402" s="1"/>
      <c r="J402" s="1"/>
      <c r="K402" s="1"/>
    </row>
    <row r="403" spans="1:11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ht="15" x14ac:dyDescent="0.25">
      <c r="A404" s="1"/>
      <c r="B404" s="3"/>
      <c r="C404" s="1" t="s">
        <v>217</v>
      </c>
      <c r="D404" s="1"/>
      <c r="E404" s="1"/>
      <c r="F404" s="1"/>
      <c r="G404" s="1"/>
      <c r="H404" s="32">
        <v>21</v>
      </c>
      <c r="I404" s="1" t="s">
        <v>218</v>
      </c>
      <c r="J404" s="1"/>
      <c r="K404" s="1"/>
    </row>
    <row r="405" spans="1:11" ht="15" x14ac:dyDescent="0.25">
      <c r="A405" s="1"/>
      <c r="B405" s="3"/>
      <c r="C405" s="3"/>
      <c r="D405" s="3"/>
      <c r="E405" s="3"/>
      <c r="F405" s="3"/>
      <c r="G405" s="1" t="s">
        <v>219</v>
      </c>
      <c r="H405" s="1"/>
      <c r="I405" s="1"/>
      <c r="J405" s="1"/>
      <c r="K405" s="1"/>
    </row>
    <row r="406" spans="1:11" ht="15" x14ac:dyDescent="0.25">
      <c r="A406" s="1"/>
      <c r="B406" s="1"/>
      <c r="C406" s="1" t="s">
        <v>220</v>
      </c>
      <c r="D406" s="3"/>
      <c r="E406" s="3"/>
      <c r="F406" s="1"/>
      <c r="G406" s="1"/>
      <c r="H406" s="32">
        <v>0.75</v>
      </c>
      <c r="I406" s="1"/>
      <c r="J406" s="1"/>
      <c r="K406" s="1"/>
    </row>
    <row r="407" spans="1:11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ht="15" x14ac:dyDescent="0.25">
      <c r="A409" s="1"/>
      <c r="B409" s="1" t="s">
        <v>221</v>
      </c>
      <c r="C409" s="1"/>
      <c r="D409" s="1"/>
      <c r="E409" s="1"/>
      <c r="F409" s="1"/>
      <c r="G409" s="1"/>
      <c r="H409" s="1"/>
      <c r="I409" s="1"/>
      <c r="J409" s="1"/>
      <c r="K409" s="1"/>
    </row>
    <row r="410" spans="1:11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ht="15" x14ac:dyDescent="0.25">
      <c r="A411" s="1"/>
      <c r="B411" s="1"/>
      <c r="C411" s="1"/>
      <c r="D411" s="1"/>
      <c r="E411" s="1"/>
      <c r="F411" s="1"/>
      <c r="G411" s="1"/>
      <c r="H411" s="70">
        <f>0.7+(0.6/(1+((8/H239)^2)))</f>
        <v>0.82126715300403996</v>
      </c>
      <c r="I411" s="1"/>
      <c r="J411" s="1"/>
      <c r="K411" s="1"/>
    </row>
    <row r="412" spans="1:11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ht="15" x14ac:dyDescent="0.25">
      <c r="A416" s="1" t="s">
        <v>222</v>
      </c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ht="15" x14ac:dyDescent="0.25">
      <c r="A417" s="1"/>
      <c r="B417" s="1"/>
      <c r="C417" s="1"/>
      <c r="D417" s="1"/>
      <c r="E417" s="1"/>
      <c r="F417" s="1"/>
      <c r="G417" s="1"/>
      <c r="H417" s="70">
        <f>H374*H379*H394*H406*H411</f>
        <v>3.0797518237651498</v>
      </c>
      <c r="I417" s="1" t="s">
        <v>223</v>
      </c>
      <c r="J417" s="1"/>
      <c r="K417" s="1"/>
    </row>
    <row r="418" spans="1:11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ht="15" x14ac:dyDescent="0.25">
      <c r="A419" s="1"/>
      <c r="B419" s="1"/>
      <c r="C419" s="1"/>
      <c r="D419" s="1"/>
      <c r="E419" s="1"/>
      <c r="F419" s="1"/>
      <c r="G419" s="1"/>
      <c r="H419" s="70">
        <f>H376*H381*H396*H406*H411</f>
        <v>3.0797518237651498</v>
      </c>
      <c r="I419" s="1" t="s">
        <v>224</v>
      </c>
      <c r="J419" s="1"/>
      <c r="K419" s="1"/>
    </row>
    <row r="420" spans="1:11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ht="15" x14ac:dyDescent="0.25">
      <c r="A421" s="1"/>
      <c r="B421" s="1" t="s">
        <v>225</v>
      </c>
      <c r="C421" s="1"/>
      <c r="D421" s="1"/>
      <c r="E421" s="1"/>
      <c r="F421" s="1"/>
      <c r="G421" s="1"/>
      <c r="H421" s="1"/>
      <c r="I421" s="1"/>
      <c r="J421" s="1"/>
      <c r="K421" s="1"/>
    </row>
    <row r="422" spans="1:11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ht="15" x14ac:dyDescent="0.25">
      <c r="A423" s="1"/>
      <c r="B423" s="1" t="s">
        <v>226</v>
      </c>
      <c r="C423" s="1"/>
      <c r="D423" s="1"/>
      <c r="E423" s="1"/>
      <c r="F423" s="1"/>
      <c r="G423" s="1"/>
      <c r="H423" s="1"/>
      <c r="I423" s="1"/>
      <c r="J423" s="1"/>
      <c r="K423" s="1"/>
    </row>
    <row r="424" spans="1:11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ht="15" x14ac:dyDescent="0.25">
      <c r="A426" s="1"/>
      <c r="B426" s="1"/>
      <c r="C426" s="1"/>
      <c r="D426" s="1"/>
      <c r="E426" s="1"/>
      <c r="F426" s="1"/>
      <c r="G426" s="1"/>
      <c r="H426" s="70">
        <f>1/(SIN(H112*3.1416/180)*COS(H112*3.1416/180))</f>
        <v>2.9637889892882359</v>
      </c>
      <c r="I426" s="1"/>
      <c r="J426" s="1"/>
      <c r="K426" s="1"/>
    </row>
    <row r="427" spans="1:11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ht="15" x14ac:dyDescent="0.25">
      <c r="A429" s="1"/>
      <c r="B429" s="1" t="s">
        <v>227</v>
      </c>
      <c r="C429" s="1"/>
      <c r="D429" s="1"/>
      <c r="E429" s="1"/>
      <c r="F429" s="1"/>
      <c r="G429" s="1"/>
      <c r="H429" s="1"/>
      <c r="I429" s="1"/>
      <c r="J429" s="1"/>
      <c r="K429" s="1"/>
    </row>
    <row r="430" spans="1:11" ht="15" x14ac:dyDescent="0.25">
      <c r="A430" s="1"/>
      <c r="B430" s="1"/>
      <c r="C430" s="1"/>
      <c r="D430" s="1"/>
      <c r="E430" s="1"/>
      <c r="F430" s="1"/>
      <c r="G430" s="1"/>
      <c r="H430" s="70">
        <f>((COS(H76*3.1416/180))^4)/COS(F19*3.1416/180)</f>
        <v>0.81365566140130896</v>
      </c>
      <c r="I430" s="1"/>
      <c r="J430" s="1"/>
      <c r="K430" s="1"/>
    </row>
    <row r="431" spans="1:11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ht="15" x14ac:dyDescent="0.25">
      <c r="A434" s="1"/>
      <c r="B434" s="1"/>
      <c r="C434" s="1"/>
      <c r="D434" s="1"/>
      <c r="E434" s="1"/>
      <c r="F434" s="1"/>
      <c r="G434" s="1"/>
      <c r="H434" s="70">
        <f>1-(2*3.1416/(H79*TAN(H112*3.1416/180)))*(1-H225)</f>
        <v>0.92682435386197048</v>
      </c>
      <c r="I434" s="1"/>
      <c r="J434" s="1"/>
      <c r="K434" s="1"/>
    </row>
    <row r="435" spans="1:11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ht="15" x14ac:dyDescent="0.25">
      <c r="A436" s="1"/>
      <c r="B436" s="1" t="s">
        <v>228</v>
      </c>
      <c r="C436" s="1"/>
      <c r="D436" s="1"/>
      <c r="E436" s="1"/>
      <c r="F436" s="1"/>
      <c r="G436" s="1"/>
      <c r="H436" s="1"/>
      <c r="I436" s="1"/>
      <c r="J436" s="1"/>
      <c r="K436" s="1"/>
    </row>
    <row r="437" spans="1:11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ht="15" x14ac:dyDescent="0.25">
      <c r="A438" s="1"/>
      <c r="B438" s="1"/>
      <c r="C438" s="1"/>
      <c r="D438" s="1"/>
      <c r="E438" s="1"/>
      <c r="F438" s="1"/>
      <c r="G438" s="1"/>
      <c r="H438" s="70">
        <f>1-(2*3.1416/(H81*TAN(H112*3.1416/180)))*(1-H229)</f>
        <v>0.90849073134258496</v>
      </c>
      <c r="I438" s="1"/>
      <c r="J438" s="1"/>
      <c r="K438" s="1"/>
    </row>
    <row r="439" spans="1:11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ht="15" x14ac:dyDescent="0.25">
      <c r="A442" s="1"/>
      <c r="B442" s="1"/>
      <c r="C442" s="1"/>
      <c r="D442" s="1"/>
      <c r="E442" s="1"/>
      <c r="F442" s="1"/>
      <c r="G442" s="1"/>
      <c r="H442" s="70">
        <f>H426*H430/H434</f>
        <v>2.6018993569652955</v>
      </c>
      <c r="I442" s="1"/>
      <c r="J442" s="1"/>
      <c r="K442" s="1"/>
    </row>
    <row r="443" spans="1:11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ht="15" x14ac:dyDescent="0.25">
      <c r="A444" s="1"/>
      <c r="B444" s="1" t="s">
        <v>229</v>
      </c>
      <c r="C444" s="1"/>
      <c r="D444" s="1"/>
      <c r="E444" s="1"/>
      <c r="F444" s="1"/>
      <c r="G444" s="1"/>
      <c r="H444" s="1"/>
      <c r="I444" s="1"/>
      <c r="J444" s="1"/>
      <c r="K444" s="1"/>
    </row>
    <row r="445" spans="1:11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ht="15" x14ac:dyDescent="0.25">
      <c r="A446" s="1"/>
      <c r="B446" s="1"/>
      <c r="C446" s="1"/>
      <c r="D446" s="1"/>
      <c r="E446" s="1"/>
      <c r="F446" s="1"/>
      <c r="G446" s="1"/>
      <c r="H446" s="70">
        <f>H426*H430</f>
        <v>2.4115036903332365</v>
      </c>
      <c r="I446" s="1"/>
      <c r="J446" s="1"/>
      <c r="K446" s="1"/>
    </row>
    <row r="447" spans="1:11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ht="15" x14ac:dyDescent="0.25">
      <c r="A449" s="1"/>
      <c r="B449" s="1"/>
      <c r="C449" s="1"/>
      <c r="D449" s="1"/>
      <c r="E449" s="1"/>
      <c r="F449" s="1"/>
      <c r="G449" s="1"/>
      <c r="H449" s="21">
        <f>((H417)/(H335*H442)*(F9/(F9+1)))</f>
        <v>1.3478698836510137</v>
      </c>
      <c r="I449" s="3"/>
      <c r="J449" s="1"/>
      <c r="K449" s="1"/>
    </row>
    <row r="450" spans="1:11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ht="15" x14ac:dyDescent="0.25">
      <c r="A451" s="1"/>
      <c r="B451" s="1"/>
      <c r="C451" s="1"/>
      <c r="D451" s="1"/>
      <c r="E451" s="3"/>
      <c r="F451" s="3"/>
      <c r="G451" s="1"/>
      <c r="H451" s="21">
        <f>((H419)/(H335*H446)*(F9/(F9+1)))</f>
        <v>1.4542883751755067</v>
      </c>
      <c r="I451" s="3"/>
      <c r="J451" s="1"/>
      <c r="K451" s="1"/>
    </row>
    <row r="452" spans="1:11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ht="15" x14ac:dyDescent="0.25">
      <c r="A455" s="3"/>
      <c r="B455" s="3"/>
      <c r="C455" s="3"/>
      <c r="D455" s="1" t="s">
        <v>230</v>
      </c>
      <c r="E455" s="1"/>
      <c r="F455" s="1"/>
      <c r="G455" s="1"/>
      <c r="H455" s="1"/>
      <c r="I455" s="1"/>
      <c r="J455" s="1"/>
      <c r="K455" s="1"/>
    </row>
    <row r="456" spans="1:11" ht="15" x14ac:dyDescent="0.25">
      <c r="A456" s="3"/>
      <c r="B456" s="3"/>
      <c r="C456" s="3"/>
      <c r="D456" s="1"/>
      <c r="E456" s="1"/>
      <c r="F456" s="1"/>
      <c r="G456" s="1"/>
      <c r="H456" s="1"/>
      <c r="I456" s="1"/>
      <c r="J456" s="1"/>
      <c r="K456" s="1"/>
    </row>
    <row r="457" spans="1:11" ht="15" x14ac:dyDescent="0.25">
      <c r="A457" s="3"/>
      <c r="B457" s="3"/>
      <c r="C457" s="3"/>
      <c r="D457" s="1"/>
      <c r="E457" s="1" t="s">
        <v>231</v>
      </c>
      <c r="F457" s="1"/>
      <c r="G457" s="1"/>
      <c r="H457" s="1"/>
      <c r="I457" s="1"/>
      <c r="J457" s="1"/>
      <c r="K457" s="1"/>
    </row>
    <row r="458" spans="1:11" ht="15" x14ac:dyDescent="0.25">
      <c r="A458" s="3"/>
      <c r="B458" s="3"/>
      <c r="C458" s="3"/>
      <c r="D458" s="1"/>
      <c r="E458" s="1"/>
      <c r="F458" s="1"/>
      <c r="G458" s="1"/>
      <c r="H458" s="1"/>
      <c r="I458" s="1"/>
      <c r="J458" s="1"/>
      <c r="K458" s="50">
        <f>IF(F33=1,2.5,1)</f>
        <v>1</v>
      </c>
    </row>
    <row r="459" spans="1:11" ht="15" x14ac:dyDescent="0.25">
      <c r="A459" s="3"/>
      <c r="B459" s="3"/>
      <c r="C459" s="3"/>
      <c r="D459" s="1"/>
      <c r="E459" s="1"/>
      <c r="F459" s="1"/>
      <c r="G459" s="1"/>
      <c r="H459" s="1"/>
      <c r="I459" s="1"/>
      <c r="J459" s="1"/>
      <c r="K459" s="1"/>
    </row>
    <row r="460" spans="1:11" ht="15" x14ac:dyDescent="0.25">
      <c r="A460" s="3"/>
      <c r="B460" s="3"/>
      <c r="C460" s="3"/>
      <c r="D460" s="1"/>
      <c r="E460" s="1" t="s">
        <v>232</v>
      </c>
      <c r="F460" s="1"/>
      <c r="G460" s="1"/>
      <c r="H460" s="1"/>
      <c r="I460" s="1"/>
      <c r="J460" s="1"/>
      <c r="K460" s="1"/>
    </row>
    <row r="461" spans="1:11" ht="15" x14ac:dyDescent="0.25">
      <c r="A461" s="3"/>
      <c r="B461" s="3"/>
      <c r="C461" s="3"/>
      <c r="D461" s="1"/>
      <c r="E461" s="1"/>
      <c r="F461" s="1"/>
      <c r="G461" s="1"/>
      <c r="H461" s="1"/>
      <c r="I461" s="1"/>
      <c r="J461" s="1"/>
      <c r="K461" s="1"/>
    </row>
    <row r="462" spans="1:11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ht="15" x14ac:dyDescent="0.25">
      <c r="A463" s="1" t="s">
        <v>233</v>
      </c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ht="15" x14ac:dyDescent="0.25">
      <c r="A466" s="1"/>
      <c r="B466" s="1"/>
      <c r="C466" s="1"/>
      <c r="D466" s="1"/>
      <c r="E466" s="1"/>
      <c r="F466" s="1" t="s">
        <v>234</v>
      </c>
      <c r="G466" s="1"/>
      <c r="H466" s="51" t="str">
        <f>IF(H449&gt;K458,"infinita",(1/F11)*167000*H417*H449^2)</f>
        <v>infinita</v>
      </c>
      <c r="I466" s="1" t="s">
        <v>235</v>
      </c>
      <c r="J466" s="3"/>
      <c r="K466" s="1"/>
    </row>
    <row r="467" spans="1:11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3"/>
      <c r="K467" s="1"/>
    </row>
    <row r="468" spans="1:11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3"/>
      <c r="K468" s="1"/>
    </row>
    <row r="469" spans="1:11" ht="15" x14ac:dyDescent="0.25">
      <c r="A469" s="1"/>
      <c r="B469" s="1"/>
      <c r="C469" s="1"/>
      <c r="D469" s="1"/>
      <c r="E469" s="1"/>
      <c r="F469" s="1" t="s">
        <v>236</v>
      </c>
      <c r="G469" s="1"/>
      <c r="H469" s="51" t="str">
        <f>IF(H451&gt;K458,"infinita",(1/F11)*167000*H419*H451^2)</f>
        <v>infinita</v>
      </c>
      <c r="I469" s="1" t="s">
        <v>237</v>
      </c>
      <c r="J469" s="3"/>
      <c r="K469" s="1"/>
    </row>
    <row r="470" spans="1:11" ht="15" x14ac:dyDescent="0.25">
      <c r="A470" s="1"/>
      <c r="B470" s="1"/>
      <c r="C470" s="1"/>
      <c r="D470" s="1"/>
      <c r="E470" s="1"/>
      <c r="F470" s="1"/>
      <c r="G470" s="1"/>
      <c r="H470" s="21"/>
      <c r="I470" s="1"/>
      <c r="J470" s="1"/>
      <c r="K470" s="1"/>
    </row>
    <row r="471" spans="1:11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</row>
    <row r="473" spans="1:1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</row>
    <row r="474" spans="1:11" ht="18" x14ac:dyDescent="0.4">
      <c r="A474" s="62" t="s">
        <v>287</v>
      </c>
      <c r="B474" s="52"/>
      <c r="C474" s="52"/>
      <c r="D474" s="52"/>
      <c r="E474" s="52"/>
      <c r="F474" s="53"/>
      <c r="G474" s="52"/>
      <c r="H474" s="52"/>
      <c r="I474" s="53"/>
      <c r="J474" s="3"/>
      <c r="K474" s="3"/>
    </row>
    <row r="475" spans="1:1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</row>
    <row r="476" spans="1:11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ht="15" x14ac:dyDescent="0.25">
      <c r="A480" s="1"/>
      <c r="B480" s="1"/>
      <c r="C480" s="1" t="s">
        <v>238</v>
      </c>
      <c r="D480" s="1"/>
      <c r="E480" s="1"/>
      <c r="F480" s="1"/>
      <c r="G480" s="1"/>
      <c r="H480" s="32">
        <v>30</v>
      </c>
      <c r="I480" s="1" t="s">
        <v>239</v>
      </c>
      <c r="J480" s="1"/>
      <c r="K480" s="1"/>
    </row>
    <row r="481" spans="1:11" ht="15" x14ac:dyDescent="0.25">
      <c r="A481" s="1"/>
      <c r="B481" s="1"/>
      <c r="C481" s="1"/>
      <c r="D481" s="1"/>
      <c r="E481" s="1" t="s">
        <v>240</v>
      </c>
      <c r="F481" s="1"/>
      <c r="G481" s="1"/>
      <c r="H481" s="1"/>
      <c r="I481" s="1"/>
      <c r="J481" s="1"/>
      <c r="K481" s="1"/>
    </row>
    <row r="482" spans="1:11" ht="15" x14ac:dyDescent="0.25">
      <c r="A482" s="1"/>
      <c r="B482" s="1"/>
      <c r="C482" s="1" t="s">
        <v>241</v>
      </c>
      <c r="D482" s="1"/>
      <c r="E482" s="1"/>
      <c r="F482" s="1"/>
      <c r="G482" s="1"/>
      <c r="H482" s="32">
        <v>7</v>
      </c>
      <c r="I482" s="1" t="s">
        <v>242</v>
      </c>
      <c r="J482" s="1"/>
      <c r="K482" s="1"/>
    </row>
    <row r="483" spans="1:11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ht="15" x14ac:dyDescent="0.25">
      <c r="A485" s="1"/>
      <c r="B485" s="1"/>
      <c r="C485" s="1"/>
      <c r="D485" s="1"/>
      <c r="E485" s="1"/>
      <c r="F485" s="1"/>
      <c r="G485" s="1"/>
      <c r="H485" s="70">
        <f>MAX(K208,K210)</f>
        <v>6.4966109245374248</v>
      </c>
      <c r="I485" s="1"/>
      <c r="J485" s="1"/>
      <c r="K485" s="1"/>
    </row>
    <row r="486" spans="1:11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ht="15" x14ac:dyDescent="0.25">
      <c r="A488" s="1"/>
      <c r="B488" s="3"/>
      <c r="C488" s="3"/>
      <c r="D488" s="3"/>
      <c r="E488" s="3"/>
      <c r="F488" s="1"/>
      <c r="G488" s="1"/>
      <c r="H488" s="70">
        <f>((12.7*(F9+1)/(F9*H122))^2)*(1+((H485/10)^4))*SQRT(F15)</f>
        <v>0.14029643659500446</v>
      </c>
      <c r="I488" s="1"/>
      <c r="J488" s="1"/>
      <c r="K488" s="1"/>
    </row>
    <row r="489" spans="1:11" ht="15" x14ac:dyDescent="0.25">
      <c r="A489" s="1"/>
      <c r="B489" s="1"/>
      <c r="C489" s="1" t="s">
        <v>243</v>
      </c>
      <c r="D489" s="1"/>
      <c r="E489" s="1"/>
      <c r="F489" s="1"/>
      <c r="G489" s="1"/>
      <c r="H489" s="1"/>
      <c r="I489" s="1"/>
      <c r="J489" s="1"/>
      <c r="K489" s="1"/>
    </row>
    <row r="490" spans="1:11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ht="15" x14ac:dyDescent="0.25">
      <c r="A491" s="1"/>
      <c r="B491" s="1"/>
      <c r="C491" s="1"/>
      <c r="D491" s="1"/>
      <c r="E491" s="1"/>
      <c r="F491" s="1"/>
      <c r="G491" s="1"/>
      <c r="H491" s="70">
        <f>((12.7*(F9+1)/(F9*H124))^2)*(1+((H485/10)^4))*SQRT(F15)</f>
        <v>0.11594746826033428</v>
      </c>
      <c r="I491" s="1"/>
      <c r="J491" s="1"/>
      <c r="K491" s="1"/>
    </row>
    <row r="492" spans="1:11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ht="15" x14ac:dyDescent="0.25">
      <c r="A495" s="1"/>
      <c r="B495" s="1"/>
      <c r="C495" s="1"/>
      <c r="D495" s="3"/>
      <c r="E495" s="3"/>
      <c r="F495" s="1"/>
      <c r="G495" s="1"/>
      <c r="H495" s="21">
        <f>(H482*COS(F19*3.1416/180))/(H335*H426*H488)*(F9/(F9+1))</f>
        <v>17.646263961590599</v>
      </c>
      <c r="I495" s="1"/>
      <c r="J495" s="3"/>
      <c r="K495" s="3"/>
    </row>
    <row r="496" spans="1:11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ht="15" x14ac:dyDescent="0.25">
      <c r="A497" s="1"/>
      <c r="B497" s="1"/>
      <c r="C497" s="1"/>
      <c r="D497" s="1"/>
      <c r="E497" s="1"/>
      <c r="F497" s="1"/>
      <c r="G497" s="1"/>
      <c r="H497" s="21">
        <f>(H482*COS(F19*3.1416/180))/(H335*H426*H491)*(F9/(F9+1))</f>
        <v>21.351979393524623</v>
      </c>
      <c r="I497" s="1"/>
      <c r="J497" s="1"/>
      <c r="K497" s="1"/>
    </row>
    <row r="498" spans="1:11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2" spans="1:11" ht="15" x14ac:dyDescent="0.25">
      <c r="A502" s="3"/>
      <c r="B502" s="3"/>
      <c r="C502" s="3"/>
      <c r="D502" s="41" t="s">
        <v>244</v>
      </c>
      <c r="E502" s="1"/>
      <c r="F502" s="1"/>
      <c r="G502" s="1"/>
      <c r="H502" s="1"/>
      <c r="I502" s="1"/>
      <c r="J502" s="42"/>
      <c r="K502" s="1"/>
    </row>
    <row r="503" spans="1:11" ht="15" x14ac:dyDescent="0.25">
      <c r="A503" s="3"/>
      <c r="B503" s="3"/>
      <c r="C503" s="3"/>
      <c r="D503" s="41"/>
      <c r="E503" s="1"/>
      <c r="F503" s="1"/>
      <c r="G503" s="1"/>
      <c r="H503" s="1"/>
      <c r="I503" s="1"/>
      <c r="J503" s="42"/>
      <c r="K503" s="1"/>
    </row>
    <row r="504" spans="1:11" ht="15" x14ac:dyDescent="0.25">
      <c r="A504" s="3"/>
      <c r="B504" s="3"/>
      <c r="C504" s="3"/>
      <c r="D504" s="41"/>
      <c r="E504" s="1" t="s">
        <v>245</v>
      </c>
      <c r="F504" s="1"/>
      <c r="G504" s="1"/>
      <c r="H504" s="1"/>
      <c r="I504" s="1"/>
      <c r="J504" s="42"/>
      <c r="K504" s="25">
        <f>IF(F85=1,2.5,1)</f>
        <v>1</v>
      </c>
    </row>
    <row r="505" spans="1:11" ht="15" x14ac:dyDescent="0.25">
      <c r="A505" s="3"/>
      <c r="B505" s="3"/>
      <c r="C505" s="3"/>
      <c r="D505" s="41"/>
      <c r="E505" s="1"/>
      <c r="F505" s="1"/>
      <c r="G505" s="1"/>
      <c r="H505" s="1"/>
      <c r="I505" s="1"/>
      <c r="J505" s="42"/>
      <c r="K505" s="1"/>
    </row>
    <row r="506" spans="1:11" ht="15" x14ac:dyDescent="0.25">
      <c r="A506" s="3"/>
      <c r="B506" s="3"/>
      <c r="C506" s="3"/>
      <c r="D506" s="41"/>
      <c r="E506" s="1"/>
      <c r="F506" s="1"/>
      <c r="G506" s="1"/>
      <c r="H506" s="1"/>
      <c r="I506" s="1"/>
      <c r="J506" s="42"/>
      <c r="K506" s="1"/>
    </row>
    <row r="507" spans="1:11" ht="15" x14ac:dyDescent="0.25">
      <c r="A507" s="3"/>
      <c r="B507" s="3"/>
      <c r="C507" s="3"/>
      <c r="D507" s="41"/>
      <c r="E507" s="1" t="s">
        <v>246</v>
      </c>
      <c r="F507" s="1"/>
      <c r="G507" s="1"/>
      <c r="H507" s="1"/>
      <c r="I507" s="1"/>
      <c r="J507" s="42"/>
      <c r="K507" s="1"/>
    </row>
    <row r="508" spans="1:11" ht="15" x14ac:dyDescent="0.25">
      <c r="A508" s="3"/>
      <c r="B508" s="3"/>
      <c r="C508" s="3"/>
      <c r="D508" s="43"/>
      <c r="E508" s="44"/>
      <c r="F508" s="44"/>
      <c r="G508" s="44"/>
      <c r="H508" s="44"/>
      <c r="I508" s="44"/>
      <c r="J508" s="45"/>
      <c r="K508" s="1"/>
    </row>
    <row r="509" spans="1:11" ht="15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ht="15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ht="15.6" x14ac:dyDescent="0.3">
      <c r="A511" s="7" t="s">
        <v>247</v>
      </c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ht="15.6" x14ac:dyDescent="0.3">
      <c r="A512" s="7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ht="15" x14ac:dyDescent="0.25">
      <c r="A513" s="1" t="s">
        <v>248</v>
      </c>
      <c r="B513" s="1"/>
      <c r="C513" s="1"/>
      <c r="D513" s="51">
        <f>MIN(H358,H466)</f>
        <v>1060.4503059611939</v>
      </c>
      <c r="E513" s="1" t="s">
        <v>249</v>
      </c>
      <c r="F513" s="1" t="s">
        <v>250</v>
      </c>
      <c r="G513" s="54" t="str">
        <f>IF(MIN(H358,H466)=H358,"por ruptura por flexão","por fadiga por contato no dente")</f>
        <v>por ruptura por flexão</v>
      </c>
      <c r="H513" s="1"/>
      <c r="I513" s="1"/>
      <c r="J513" s="3"/>
      <c r="K513" s="1"/>
    </row>
    <row r="514" spans="1:11" ht="15.6" x14ac:dyDescent="0.3">
      <c r="A514" s="7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ht="15" x14ac:dyDescent="0.25">
      <c r="A515" s="1" t="s">
        <v>251</v>
      </c>
      <c r="B515" s="1"/>
      <c r="C515" s="1"/>
      <c r="D515" s="51">
        <f>MIN(H361,H469)</f>
        <v>24391.823618106235</v>
      </c>
      <c r="E515" s="1" t="s">
        <v>252</v>
      </c>
      <c r="F515" s="1" t="s">
        <v>253</v>
      </c>
      <c r="G515" s="54" t="str">
        <f>IF(MIN(H361,H469)=H360,"por ruptura por flexão","por fadiga por contato no dente")</f>
        <v>por fadiga por contato no dente</v>
      </c>
      <c r="H515" s="1"/>
      <c r="I515" s="1"/>
      <c r="J515" s="3"/>
      <c r="K515" s="3"/>
    </row>
    <row r="516" spans="1:11" ht="15.6" x14ac:dyDescent="0.3">
      <c r="A516" s="7"/>
      <c r="B516" s="1"/>
      <c r="C516" s="1"/>
      <c r="D516" s="1"/>
      <c r="E516" s="1"/>
      <c r="F516" s="1"/>
      <c r="G516" s="1"/>
      <c r="H516" s="1"/>
      <c r="I516" s="1"/>
      <c r="J516" s="1"/>
      <c r="K516" s="3"/>
    </row>
    <row r="517" spans="1:11" ht="15" x14ac:dyDescent="0.25">
      <c r="A517" s="1" t="s">
        <v>254</v>
      </c>
      <c r="B517" s="1" t="s">
        <v>255</v>
      </c>
      <c r="C517" s="1"/>
      <c r="D517" s="1"/>
      <c r="E517" s="1"/>
      <c r="F517" s="1"/>
      <c r="G517" s="1"/>
      <c r="H517" s="1"/>
      <c r="I517" s="1"/>
      <c r="J517" s="1"/>
      <c r="K517" s="1"/>
    </row>
    <row r="518" spans="1:11" ht="15.6" x14ac:dyDescent="0.3">
      <c r="A518" s="7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ht="15.6" x14ac:dyDescent="0.3">
      <c r="A519" s="7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ht="15" x14ac:dyDescent="0.25">
      <c r="A520" s="1"/>
      <c r="B520" s="1"/>
      <c r="C520" s="1"/>
      <c r="D520" s="1"/>
      <c r="E520" s="1"/>
      <c r="F520" s="1" t="s">
        <v>256</v>
      </c>
      <c r="G520" s="1"/>
      <c r="H520" s="1" t="s">
        <v>257</v>
      </c>
      <c r="I520" s="1" t="s">
        <v>258</v>
      </c>
      <c r="J520" s="1"/>
      <c r="K520" s="1"/>
    </row>
    <row r="521" spans="1:1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</row>
    <row r="522" spans="1:1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</row>
    <row r="523" spans="1:11" x14ac:dyDescent="0.25">
      <c r="A523" s="3"/>
      <c r="B523" s="3"/>
      <c r="C523" s="3"/>
      <c r="D523" s="3"/>
      <c r="E523" s="3"/>
      <c r="F523" s="3" t="s">
        <v>259</v>
      </c>
      <c r="G523" s="3"/>
      <c r="H523" s="55" t="s">
        <v>260</v>
      </c>
      <c r="I523" s="3" t="s">
        <v>261</v>
      </c>
      <c r="J523" s="3"/>
      <c r="K523" s="3"/>
    </row>
  </sheetData>
  <sheetProtection sheet="1" objects="1" scenarios="1"/>
  <mergeCells count="6">
    <mergeCell ref="E401:K401"/>
    <mergeCell ref="E257:J257"/>
    <mergeCell ref="E260:J260"/>
    <mergeCell ref="F7:J7"/>
    <mergeCell ref="F37:I37"/>
    <mergeCell ref="F39:I39"/>
  </mergeCells>
  <printOptions gridLinesSet="0"/>
  <pageMargins left="0.78740157499999996" right="0.78740157499999996" top="0.984251969" bottom="0.984251969" header="0.51181102300000003" footer="0.51181102300000003"/>
  <pageSetup paperSize="257" scale="74" orientation="portrait" horizontalDpi="4294967293" verticalDpi="1200" r:id="rId1"/>
  <headerFooter alignWithMargins="0"/>
  <rowBreaks count="9" manualBreakCount="9">
    <brk id="43" max="16383" man="1"/>
    <brk id="99" max="16383" man="1"/>
    <brk id="144" max="16383" man="1"/>
    <brk id="202" max="10" man="1"/>
    <brk id="249" max="16383" man="1"/>
    <brk id="318" max="10" man="1"/>
    <brk id="362" max="16383" man="1"/>
    <brk id="420" max="16383" man="1"/>
    <brk id="47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53"/>
  <sheetViews>
    <sheetView topLeftCell="C1" workbookViewId="0">
      <selection activeCell="G6" sqref="G6"/>
    </sheetView>
  </sheetViews>
  <sheetFormatPr defaultColWidth="11.44140625" defaultRowHeight="13.2" x14ac:dyDescent="0.25"/>
  <cols>
    <col min="1" max="1" width="11.44140625" customWidth="1"/>
    <col min="2" max="2" width="9.44140625" customWidth="1"/>
    <col min="3" max="14" width="9" customWidth="1"/>
    <col min="15" max="15" width="9.88671875" customWidth="1"/>
    <col min="16" max="16" width="9" customWidth="1"/>
  </cols>
  <sheetData>
    <row r="1" spans="2:16" x14ac:dyDescent="0.25"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2:16" ht="17.399999999999999" x14ac:dyDescent="0.3">
      <c r="B2" s="56"/>
      <c r="C2" s="57" t="s">
        <v>262</v>
      </c>
      <c r="D2" s="57"/>
      <c r="E2" s="57"/>
      <c r="F2" s="57"/>
      <c r="G2" s="57"/>
      <c r="H2" s="56"/>
      <c r="I2" s="56"/>
      <c r="J2" s="56"/>
      <c r="K2" s="56"/>
      <c r="L2" s="56"/>
      <c r="M2" s="56"/>
      <c r="N2" s="56"/>
      <c r="O2" s="56"/>
      <c r="P2" s="56"/>
    </row>
    <row r="3" spans="2:16" x14ac:dyDescent="0.25">
      <c r="B3" s="56" t="s">
        <v>263</v>
      </c>
      <c r="C3" s="56"/>
      <c r="D3" s="56"/>
      <c r="E3" s="56"/>
      <c r="F3" s="56" t="s">
        <v>264</v>
      </c>
      <c r="G3" s="56"/>
      <c r="H3" s="56"/>
      <c r="I3" s="56"/>
      <c r="J3" s="56" t="s">
        <v>265</v>
      </c>
      <c r="K3" s="56"/>
      <c r="L3" s="56"/>
      <c r="M3" s="56"/>
      <c r="N3" s="56" t="s">
        <v>266</v>
      </c>
      <c r="O3" s="56"/>
      <c r="P3" s="56"/>
    </row>
    <row r="4" spans="2:16" x14ac:dyDescent="0.25">
      <c r="B4" s="56"/>
      <c r="C4" s="56"/>
      <c r="D4" s="56"/>
      <c r="E4" s="56"/>
      <c r="F4" s="56"/>
      <c r="G4" s="68" t="s">
        <v>288</v>
      </c>
      <c r="H4" s="56"/>
      <c r="I4" s="68" t="s">
        <v>289</v>
      </c>
      <c r="J4" s="56"/>
      <c r="K4" s="56"/>
      <c r="L4" s="56"/>
      <c r="M4" s="56"/>
      <c r="N4" s="56"/>
      <c r="O4" s="56"/>
      <c r="P4" s="56"/>
    </row>
    <row r="5" spans="2:16" x14ac:dyDescent="0.25">
      <c r="B5" s="56"/>
      <c r="C5" s="56" t="s">
        <v>267</v>
      </c>
      <c r="D5" s="56"/>
      <c r="E5" s="56"/>
      <c r="F5" s="56"/>
      <c r="G5" s="69">
        <v>22.9</v>
      </c>
      <c r="I5" s="59">
        <f>TAN(G7)-G7</f>
        <v>2.2736306352202307E-2</v>
      </c>
      <c r="J5" s="56"/>
      <c r="K5" s="56"/>
      <c r="L5" s="56"/>
      <c r="M5" s="56"/>
      <c r="N5" s="56"/>
      <c r="O5" s="56"/>
      <c r="P5" s="56"/>
    </row>
    <row r="6" spans="2:16" x14ac:dyDescent="0.25"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2:16" x14ac:dyDescent="0.25">
      <c r="B7" s="60"/>
      <c r="C7" s="59"/>
      <c r="D7" s="59"/>
      <c r="E7" s="56"/>
      <c r="F7" s="56"/>
      <c r="G7" s="59">
        <f>G5*3.1416/180</f>
        <v>0.39968133333333333</v>
      </c>
      <c r="H7" s="56"/>
      <c r="I7" s="56"/>
      <c r="J7" s="56"/>
      <c r="K7" s="56"/>
      <c r="L7" s="56"/>
      <c r="M7" s="56"/>
      <c r="N7" s="56"/>
      <c r="O7" s="56"/>
      <c r="P7" s="56"/>
    </row>
    <row r="8" spans="2:16" x14ac:dyDescent="0.25">
      <c r="B8" s="60"/>
      <c r="C8" s="59"/>
      <c r="D8" s="59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2:16" x14ac:dyDescent="0.25">
      <c r="B9" s="68" t="s">
        <v>290</v>
      </c>
      <c r="C9" s="68" t="s">
        <v>291</v>
      </c>
      <c r="D9" s="68" t="s">
        <v>289</v>
      </c>
      <c r="E9" s="56"/>
      <c r="F9" s="68" t="s">
        <v>290</v>
      </c>
      <c r="G9" s="68" t="s">
        <v>291</v>
      </c>
      <c r="H9" s="68" t="s">
        <v>289</v>
      </c>
      <c r="I9" s="56"/>
      <c r="J9" s="68" t="s">
        <v>290</v>
      </c>
      <c r="K9" s="68" t="s">
        <v>291</v>
      </c>
      <c r="L9" s="68" t="s">
        <v>289</v>
      </c>
      <c r="M9" s="56"/>
      <c r="N9" s="68" t="s">
        <v>290</v>
      </c>
      <c r="O9" s="68" t="s">
        <v>291</v>
      </c>
      <c r="P9" s="68" t="s">
        <v>289</v>
      </c>
    </row>
    <row r="10" spans="2:16" x14ac:dyDescent="0.25">
      <c r="B10" s="56">
        <v>0</v>
      </c>
      <c r="C10" s="56">
        <v>0</v>
      </c>
      <c r="D10" s="56">
        <v>0</v>
      </c>
      <c r="E10" s="56"/>
      <c r="F10" s="56">
        <v>18.600000000000001</v>
      </c>
      <c r="G10" s="56">
        <v>0.32463200000000003</v>
      </c>
      <c r="H10" s="56">
        <v>1.1906026478181453E-2</v>
      </c>
      <c r="I10" s="56"/>
      <c r="J10" s="56">
        <v>23</v>
      </c>
      <c r="K10" s="56">
        <v>0.40142666666666665</v>
      </c>
      <c r="L10" s="56">
        <v>2.3049257386691446E-2</v>
      </c>
      <c r="M10" s="56"/>
      <c r="N10" s="56">
        <v>22.8</v>
      </c>
      <c r="O10" s="56">
        <v>0.39793599999999996</v>
      </c>
      <c r="P10" s="56">
        <v>2.2426388064637315E-2</v>
      </c>
    </row>
    <row r="11" spans="2:16" x14ac:dyDescent="0.25">
      <c r="B11" s="56">
        <v>5</v>
      </c>
      <c r="C11" s="56">
        <v>8.7266666666666673E-2</v>
      </c>
      <c r="D11" s="56">
        <v>2.2220248819396216E-4</v>
      </c>
      <c r="E11" s="56"/>
      <c r="F11" s="56">
        <v>18.7</v>
      </c>
      <c r="G11" s="56">
        <v>0.32637733333333335</v>
      </c>
      <c r="H11" s="56">
        <v>1.2104843078737437E-2</v>
      </c>
      <c r="I11" s="56"/>
      <c r="J11" s="56">
        <v>23.1</v>
      </c>
      <c r="K11" s="56">
        <v>0.40317199999999997</v>
      </c>
      <c r="L11" s="56">
        <v>2.3365260453480086E-2</v>
      </c>
      <c r="M11" s="56"/>
      <c r="N11" s="56">
        <v>22.9</v>
      </c>
      <c r="O11" s="56">
        <v>0.39968133333333339</v>
      </c>
      <c r="P11" s="56">
        <v>2.2736306352202307E-2</v>
      </c>
    </row>
    <row r="12" spans="2:16" x14ac:dyDescent="0.25">
      <c r="B12" s="56">
        <v>10</v>
      </c>
      <c r="C12" s="56">
        <v>0.17453333333333335</v>
      </c>
      <c r="D12" s="56">
        <v>1.7940681984367213E-3</v>
      </c>
      <c r="E12" s="56"/>
      <c r="F12" s="56">
        <v>18.8</v>
      </c>
      <c r="G12" s="56">
        <v>0.32812266666666673</v>
      </c>
      <c r="H12" s="56">
        <v>1.2305958107915516E-2</v>
      </c>
      <c r="I12" s="56"/>
      <c r="J12" s="56">
        <v>23.2</v>
      </c>
      <c r="K12" s="56">
        <v>0.40491733333333341</v>
      </c>
      <c r="L12" s="56">
        <v>2.3684334932422835E-2</v>
      </c>
      <c r="M12" s="56"/>
      <c r="N12" s="56">
        <v>23</v>
      </c>
      <c r="O12" s="56">
        <v>0.40142666666666671</v>
      </c>
      <c r="P12" s="56">
        <v>2.3049257386691446E-2</v>
      </c>
    </row>
    <row r="13" spans="2:16" x14ac:dyDescent="0.25">
      <c r="B13" s="56">
        <v>14.5</v>
      </c>
      <c r="C13" s="56">
        <v>0.25307333333333332</v>
      </c>
      <c r="D13" s="56">
        <v>5.5448823978101469E-3</v>
      </c>
      <c r="E13" s="56"/>
      <c r="F13" s="56">
        <v>18.899999999999999</v>
      </c>
      <c r="G13" s="56">
        <v>0.32986800000000011</v>
      </c>
      <c r="H13" s="56">
        <v>1.2509387523633897E-2</v>
      </c>
      <c r="I13" s="56"/>
      <c r="J13" s="56">
        <v>23.3</v>
      </c>
      <c r="K13" s="56">
        <v>0.40666266666666673</v>
      </c>
      <c r="L13" s="56">
        <v>2.4006500298650035E-2</v>
      </c>
      <c r="M13" s="56"/>
      <c r="N13" s="56">
        <v>23.1</v>
      </c>
      <c r="O13" s="56">
        <v>0.40317200000000009</v>
      </c>
      <c r="P13" s="56">
        <v>2.3365260453480141E-2</v>
      </c>
    </row>
    <row r="14" spans="2:16" x14ac:dyDescent="0.25">
      <c r="B14" s="56">
        <v>14.6</v>
      </c>
      <c r="C14" s="56">
        <v>0.25481866666666664</v>
      </c>
      <c r="D14" s="56">
        <v>5.6624589555320792E-3</v>
      </c>
      <c r="E14" s="56"/>
      <c r="F14" s="56">
        <v>19</v>
      </c>
      <c r="G14" s="56">
        <v>0.33161333333333343</v>
      </c>
      <c r="H14" s="56">
        <v>1.2715147350016442E-2</v>
      </c>
      <c r="I14" s="56"/>
      <c r="J14" s="56">
        <v>23.4</v>
      </c>
      <c r="K14" s="56">
        <v>0.4084080000000001</v>
      </c>
      <c r="L14" s="56">
        <v>2.433177612337184E-2</v>
      </c>
      <c r="M14" s="56"/>
      <c r="N14" s="56">
        <v>23.2</v>
      </c>
      <c r="O14" s="56">
        <v>0.40491733333333341</v>
      </c>
      <c r="P14" s="56">
        <v>2.3684334932422835E-2</v>
      </c>
    </row>
    <row r="15" spans="2:16" x14ac:dyDescent="0.25">
      <c r="B15" s="56">
        <v>14.7</v>
      </c>
      <c r="C15" s="56">
        <v>0.25656400000000001</v>
      </c>
      <c r="D15" s="56">
        <v>5.7817301413994326E-3</v>
      </c>
      <c r="E15" s="56"/>
      <c r="F15" s="56">
        <v>19.100000000000001</v>
      </c>
      <c r="G15" s="56">
        <v>0.3333586666666668</v>
      </c>
      <c r="H15" s="56">
        <v>1.2923253677964208E-2</v>
      </c>
      <c r="I15" s="56"/>
      <c r="J15" s="56">
        <v>23.5</v>
      </c>
      <c r="K15" s="56">
        <v>0.41015333333333343</v>
      </c>
      <c r="L15" s="56">
        <v>2.4660182074688286E-2</v>
      </c>
      <c r="M15" s="56"/>
      <c r="N15" s="56">
        <v>23.3</v>
      </c>
      <c r="O15" s="56">
        <v>0.40666266666666684</v>
      </c>
      <c r="P15" s="56">
        <v>2.4006500298650035E-2</v>
      </c>
    </row>
    <row r="16" spans="2:16" x14ac:dyDescent="0.25">
      <c r="B16" s="56">
        <v>14.8</v>
      </c>
      <c r="C16" s="56">
        <v>0.25830933333333328</v>
      </c>
      <c r="D16" s="56">
        <v>5.9027096442295646E-3</v>
      </c>
      <c r="E16" s="56"/>
      <c r="F16" s="56">
        <v>19.2</v>
      </c>
      <c r="G16" s="56">
        <v>0.33510400000000018</v>
      </c>
      <c r="H16" s="56">
        <v>1.3133722665731484E-2</v>
      </c>
      <c r="I16" s="56"/>
      <c r="J16" s="56">
        <v>23.6</v>
      </c>
      <c r="K16" s="56">
        <v>0.41189866666666675</v>
      </c>
      <c r="L16" s="56">
        <v>2.499173791840642E-2</v>
      </c>
      <c r="M16" s="56"/>
      <c r="N16" s="56">
        <v>23.4</v>
      </c>
      <c r="O16" s="56">
        <v>0.40840800000000016</v>
      </c>
      <c r="P16" s="56">
        <v>2.433177612337184E-2</v>
      </c>
    </row>
    <row r="17" spans="2:16" x14ac:dyDescent="0.25">
      <c r="B17" s="56">
        <v>14.9</v>
      </c>
      <c r="C17" s="56">
        <v>0.26005466666666666</v>
      </c>
      <c r="D17" s="56">
        <v>6.0254111987690373E-3</v>
      </c>
      <c r="E17" s="56"/>
      <c r="F17" s="56">
        <v>19.3</v>
      </c>
      <c r="G17" s="56">
        <v>0.33684933333333356</v>
      </c>
      <c r="H17" s="56">
        <v>1.3346570539506164E-2</v>
      </c>
      <c r="I17" s="56"/>
      <c r="J17" s="56">
        <v>23.7</v>
      </c>
      <c r="K17" s="56">
        <v>0.41364400000000018</v>
      </c>
      <c r="L17" s="56">
        <v>2.5326463518864861E-2</v>
      </c>
      <c r="M17" s="56"/>
      <c r="N17" s="56">
        <v>23.5</v>
      </c>
      <c r="O17" s="56">
        <v>0.41015333333333354</v>
      </c>
      <c r="P17" s="56">
        <v>2.4660182074688286E-2</v>
      </c>
    </row>
    <row r="18" spans="2:16" x14ac:dyDescent="0.25">
      <c r="B18" s="56">
        <v>15</v>
      </c>
      <c r="C18" s="56">
        <v>0.26179999999999998</v>
      </c>
      <c r="D18" s="56">
        <v>6.1498485861243846E-3</v>
      </c>
      <c r="E18" s="56"/>
      <c r="F18" s="56">
        <v>19.399999999999999</v>
      </c>
      <c r="G18" s="56">
        <v>0.33859466666666688</v>
      </c>
      <c r="H18" s="56">
        <v>1.3561813593994443E-2</v>
      </c>
      <c r="I18" s="56"/>
      <c r="J18" s="56">
        <v>23.8</v>
      </c>
      <c r="K18" s="56">
        <v>0.41538933333333355</v>
      </c>
      <c r="L18" s="56">
        <v>2.5664378839764468E-2</v>
      </c>
      <c r="M18" s="56"/>
      <c r="N18" s="56">
        <v>23.6</v>
      </c>
      <c r="O18" s="56">
        <v>0.41189866666666686</v>
      </c>
      <c r="P18" s="56">
        <v>2.4991737918406476E-2</v>
      </c>
    </row>
    <row r="19" spans="2:16" x14ac:dyDescent="0.25">
      <c r="B19" s="56">
        <v>15.1</v>
      </c>
      <c r="C19" s="56">
        <v>0.2635453333333333</v>
      </c>
      <c r="D19" s="56">
        <v>6.2760356341964862E-3</v>
      </c>
      <c r="E19" s="56"/>
      <c r="F19" s="56">
        <v>19.5</v>
      </c>
      <c r="G19" s="56">
        <v>0.34034000000000025</v>
      </c>
      <c r="H19" s="56">
        <v>1.3779468193009792E-2</v>
      </c>
      <c r="I19" s="56"/>
      <c r="J19" s="56">
        <v>23.9</v>
      </c>
      <c r="K19" s="56">
        <v>0.41713466666666688</v>
      </c>
      <c r="L19" s="56">
        <v>2.600550394500678E-2</v>
      </c>
      <c r="M19" s="56"/>
      <c r="N19" s="56">
        <v>23.7</v>
      </c>
      <c r="O19" s="56">
        <v>0.41364400000000018</v>
      </c>
      <c r="P19" s="56">
        <v>2.5326463518864861E-2</v>
      </c>
    </row>
    <row r="20" spans="2:16" x14ac:dyDescent="0.25">
      <c r="B20" s="56">
        <v>15.2</v>
      </c>
      <c r="C20" s="56">
        <v>0.26529066666666662</v>
      </c>
      <c r="D20" s="56">
        <v>6.4039862181167195E-3</v>
      </c>
      <c r="E20" s="56"/>
      <c r="F20" s="56">
        <v>19.600000000000001</v>
      </c>
      <c r="G20" s="56">
        <v>0.34208533333333357</v>
      </c>
      <c r="H20" s="56">
        <v>1.3999550770066538E-2</v>
      </c>
      <c r="I20" s="56"/>
      <c r="J20" s="56">
        <v>24</v>
      </c>
      <c r="K20" s="56">
        <v>0.4188800000000002</v>
      </c>
      <c r="L20" s="56">
        <v>2.6349858999539566E-2</v>
      </c>
      <c r="M20" s="56"/>
      <c r="N20" s="56">
        <v>23.8</v>
      </c>
      <c r="O20" s="56">
        <v>0.41538933333333361</v>
      </c>
      <c r="P20" s="56">
        <v>2.5664378839764468E-2</v>
      </c>
    </row>
    <row r="21" spans="2:16" x14ac:dyDescent="0.25">
      <c r="B21" s="56">
        <v>15.3</v>
      </c>
      <c r="C21" s="56">
        <v>0.26703599999999994</v>
      </c>
      <c r="D21" s="56">
        <v>6.5337142606866627E-3</v>
      </c>
      <c r="E21" s="56"/>
      <c r="F21" s="56">
        <v>19.7</v>
      </c>
      <c r="G21" s="56">
        <v>0.34383066666666695</v>
      </c>
      <c r="H21" s="56">
        <v>1.4222077828977941E-2</v>
      </c>
      <c r="I21" s="56"/>
      <c r="J21" s="56">
        <v>24.1</v>
      </c>
      <c r="K21" s="56">
        <v>0.42062533333333363</v>
      </c>
      <c r="L21" s="56">
        <v>2.6697464270209192E-2</v>
      </c>
      <c r="M21" s="56"/>
      <c r="N21" s="56">
        <v>23.9</v>
      </c>
      <c r="O21" s="56">
        <v>0.41713466666666693</v>
      </c>
      <c r="P21" s="56">
        <v>2.6005503945006836E-2</v>
      </c>
    </row>
    <row r="22" spans="2:16" x14ac:dyDescent="0.25">
      <c r="B22" s="56">
        <v>15.4</v>
      </c>
      <c r="C22" s="56">
        <v>0.26878133333333332</v>
      </c>
      <c r="D22" s="56">
        <v>6.6652337328202971E-3</v>
      </c>
      <c r="E22" s="56"/>
      <c r="F22" s="56">
        <v>19.8</v>
      </c>
      <c r="G22" s="56">
        <v>0.34557600000000033</v>
      </c>
      <c r="H22" s="56">
        <v>1.444706594445877E-2</v>
      </c>
      <c r="I22" s="56"/>
      <c r="J22" s="56">
        <v>24.2</v>
      </c>
      <c r="K22" s="56">
        <v>0.42237066666666695</v>
      </c>
      <c r="L22" s="56">
        <v>2.7048340126620662E-2</v>
      </c>
      <c r="M22" s="56"/>
      <c r="N22" s="56">
        <v>24</v>
      </c>
      <c r="O22" s="56">
        <v>0.41888000000000031</v>
      </c>
      <c r="P22" s="56">
        <v>2.6349858999539622E-2</v>
      </c>
    </row>
    <row r="23" spans="2:16" x14ac:dyDescent="0.25">
      <c r="B23" s="56">
        <v>15.5</v>
      </c>
      <c r="C23" s="56">
        <v>0.27052666666666658</v>
      </c>
      <c r="D23" s="56">
        <v>6.7985586539890952E-3</v>
      </c>
      <c r="E23" s="56"/>
      <c r="F23" s="56">
        <v>19.899999999999999</v>
      </c>
      <c r="G23" s="56">
        <v>0.3473213333333337</v>
      </c>
      <c r="H23" s="56">
        <v>1.4674531762732257E-2</v>
      </c>
      <c r="I23" s="56"/>
      <c r="J23" s="56">
        <v>24.3</v>
      </c>
      <c r="K23" s="56">
        <v>0.42411600000000033</v>
      </c>
      <c r="L23" s="56">
        <v>2.7402507042004975E-2</v>
      </c>
      <c r="M23" s="56"/>
      <c r="N23" s="56">
        <v>24.1</v>
      </c>
      <c r="O23" s="56">
        <v>0.42062533333333363</v>
      </c>
      <c r="P23" s="56">
        <v>2.6697464270209192E-2</v>
      </c>
    </row>
    <row r="24" spans="2:16" x14ac:dyDescent="0.25">
      <c r="B24" s="56">
        <v>15.6</v>
      </c>
      <c r="C24" s="56">
        <v>0.27227199999999996</v>
      </c>
      <c r="D24" s="56">
        <v>6.9337030926699961E-3</v>
      </c>
      <c r="E24" s="56"/>
      <c r="F24" s="56">
        <v>20</v>
      </c>
      <c r="G24" s="56">
        <v>0.34906666666666702</v>
      </c>
      <c r="H24" s="56">
        <v>1.4904492002142278E-2</v>
      </c>
      <c r="I24" s="56"/>
      <c r="J24" s="56">
        <v>24.4</v>
      </c>
      <c r="K24" s="56">
        <v>0.42586133333333365</v>
      </c>
      <c r="L24" s="56">
        <v>2.7759985594093872E-2</v>
      </c>
      <c r="M24" s="56"/>
      <c r="N24" s="56">
        <v>24.2</v>
      </c>
      <c r="O24" s="56">
        <v>0.42237066666666706</v>
      </c>
      <c r="P24" s="56">
        <v>2.7048340126620662E-2</v>
      </c>
    </row>
    <row r="25" spans="2:16" x14ac:dyDescent="0.25">
      <c r="B25" s="56">
        <v>15.7</v>
      </c>
      <c r="C25" s="56">
        <v>0.27401733333333328</v>
      </c>
      <c r="D25" s="56">
        <v>7.0706811667964331E-3</v>
      </c>
      <c r="E25" s="56"/>
      <c r="F25" s="56">
        <v>20.100000000000001</v>
      </c>
      <c r="G25" s="56">
        <v>0.3508120000000004</v>
      </c>
      <c r="H25" s="56">
        <v>1.5136963453769636E-2</v>
      </c>
      <c r="I25" s="56"/>
      <c r="J25" s="56">
        <v>24.5</v>
      </c>
      <c r="K25" s="56">
        <v>0.42760666666666708</v>
      </c>
      <c r="L25" s="56">
        <v>2.8120796466002518E-2</v>
      </c>
      <c r="M25" s="56"/>
      <c r="N25" s="56">
        <v>24.3</v>
      </c>
      <c r="O25" s="56">
        <v>0.42411600000000038</v>
      </c>
      <c r="P25" s="56">
        <v>2.7402507042004975E-2</v>
      </c>
    </row>
    <row r="26" spans="2:16" x14ac:dyDescent="0.25">
      <c r="B26" s="56">
        <v>15.8</v>
      </c>
      <c r="C26" s="56">
        <v>0.27576266666666654</v>
      </c>
      <c r="D26" s="56">
        <v>7.2095070442121933E-3</v>
      </c>
      <c r="E26" s="56"/>
      <c r="F26" s="56">
        <v>20.2</v>
      </c>
      <c r="G26" s="56">
        <v>0.35255733333333372</v>
      </c>
      <c r="H26" s="56">
        <v>1.5371962982053289E-2</v>
      </c>
      <c r="I26" s="56"/>
      <c r="J26" s="56">
        <v>24.6</v>
      </c>
      <c r="K26" s="56">
        <v>0.4293520000000004</v>
      </c>
      <c r="L26" s="56">
        <v>2.8484960447118957E-2</v>
      </c>
      <c r="M26" s="56"/>
      <c r="N26" s="56">
        <v>24.4</v>
      </c>
      <c r="O26" s="56">
        <v>0.4258613333333337</v>
      </c>
      <c r="P26" s="56">
        <v>2.7759985594093928E-2</v>
      </c>
    </row>
    <row r="27" spans="2:16" x14ac:dyDescent="0.25">
      <c r="B27" s="56">
        <v>15.9</v>
      </c>
      <c r="C27" s="56">
        <v>0.27750799999999992</v>
      </c>
      <c r="D27" s="56">
        <v>7.3501949431282743E-3</v>
      </c>
      <c r="E27" s="56"/>
      <c r="F27" s="56">
        <v>20.3</v>
      </c>
      <c r="G27" s="56">
        <v>0.3543026666666671</v>
      </c>
      <c r="H27" s="56">
        <v>1.5609507525416566E-2</v>
      </c>
      <c r="I27" s="56"/>
      <c r="J27" s="56">
        <v>24.7</v>
      </c>
      <c r="K27" s="56">
        <v>0.43109733333333372</v>
      </c>
      <c r="L27" s="56">
        <v>2.8852498434002505E-2</v>
      </c>
      <c r="M27" s="56"/>
      <c r="N27" s="56">
        <v>24.5</v>
      </c>
      <c r="O27" s="56">
        <v>0.42760666666666708</v>
      </c>
      <c r="P27" s="56">
        <v>2.8120796466002518E-2</v>
      </c>
    </row>
    <row r="28" spans="2:16" x14ac:dyDescent="0.25">
      <c r="B28" s="56">
        <v>16</v>
      </c>
      <c r="C28" s="56">
        <v>0.27925333333333324</v>
      </c>
      <c r="D28" s="56">
        <v>7.4927591325827381E-3</v>
      </c>
      <c r="E28" s="56"/>
      <c r="F28" s="56">
        <v>20.399999999999999</v>
      </c>
      <c r="G28" s="56">
        <v>0.35604800000000048</v>
      </c>
      <c r="H28" s="56">
        <v>1.5849614096898001E-2</v>
      </c>
      <c r="I28" s="56"/>
      <c r="J28" s="56">
        <v>24.8</v>
      </c>
      <c r="K28" s="56">
        <v>0.4328426666666671</v>
      </c>
      <c r="L28" s="56">
        <v>2.9223431431288915E-2</v>
      </c>
      <c r="M28" s="56"/>
      <c r="N28" s="56">
        <v>24.6</v>
      </c>
      <c r="O28" s="56">
        <v>0.42935200000000051</v>
      </c>
      <c r="P28" s="56">
        <v>2.8484960447118957E-2</v>
      </c>
    </row>
    <row r="29" spans="2:16" x14ac:dyDescent="0.25">
      <c r="B29" s="56">
        <v>16.100000000000001</v>
      </c>
      <c r="C29" s="56">
        <v>0.28099866666666656</v>
      </c>
      <c r="D29" s="56">
        <v>7.6372139329037303E-3</v>
      </c>
      <c r="E29" s="56"/>
      <c r="F29" s="56">
        <v>20.5</v>
      </c>
      <c r="G29" s="56">
        <v>0.3577933333333338</v>
      </c>
      <c r="H29" s="56">
        <v>1.6092299784787045E-2</v>
      </c>
      <c r="I29" s="56"/>
      <c r="J29" s="56">
        <v>24.9</v>
      </c>
      <c r="K29" s="56">
        <v>0.43458800000000053</v>
      </c>
      <c r="L29" s="56">
        <v>2.9597780552604092E-2</v>
      </c>
      <c r="M29" s="56"/>
      <c r="N29" s="56">
        <v>24.7</v>
      </c>
      <c r="O29" s="56">
        <v>0.43109733333333383</v>
      </c>
      <c r="P29" s="56">
        <v>2.885249843400256E-2</v>
      </c>
    </row>
    <row r="30" spans="2:16" x14ac:dyDescent="0.25">
      <c r="B30" s="56">
        <v>16.2</v>
      </c>
      <c r="C30" s="56">
        <v>0.28274399999999994</v>
      </c>
      <c r="D30" s="56">
        <v>7.7835737161755514E-3</v>
      </c>
      <c r="E30" s="56"/>
      <c r="F30" s="56">
        <v>20.6</v>
      </c>
      <c r="G30" s="56">
        <v>0.35953866666666723</v>
      </c>
      <c r="H30" s="56">
        <v>1.6337581753265218E-2</v>
      </c>
      <c r="I30" s="56"/>
      <c r="J30" s="56">
        <v>25</v>
      </c>
      <c r="K30" s="56">
        <v>0.43633333333333385</v>
      </c>
      <c r="L30" s="56">
        <v>2.9975567021485239E-2</v>
      </c>
      <c r="M30" s="56"/>
      <c r="N30" s="56">
        <v>24.8</v>
      </c>
      <c r="O30" s="56">
        <v>0.43284266666666715</v>
      </c>
      <c r="P30" s="56">
        <v>2.9223431431288971E-2</v>
      </c>
    </row>
    <row r="31" spans="2:16" x14ac:dyDescent="0.25">
      <c r="B31" s="56">
        <v>16.3</v>
      </c>
      <c r="C31" s="56">
        <v>0.28448933333333326</v>
      </c>
      <c r="D31" s="56">
        <v>7.9318529067076704E-3</v>
      </c>
      <c r="E31" s="56"/>
      <c r="F31" s="56">
        <v>20.7</v>
      </c>
      <c r="G31" s="56">
        <v>0.36128400000000055</v>
      </c>
      <c r="H31" s="56">
        <v>1.6585477243051205E-2</v>
      </c>
      <c r="I31" s="56"/>
      <c r="J31" s="56">
        <v>25.1</v>
      </c>
      <c r="K31" s="56">
        <v>0.43807866666666717</v>
      </c>
      <c r="L31" s="56">
        <v>3.0356812172310843E-2</v>
      </c>
      <c r="M31" s="56"/>
      <c r="N31" s="56">
        <v>24.9</v>
      </c>
      <c r="O31" s="56">
        <v>0.43458800000000053</v>
      </c>
      <c r="P31" s="56">
        <v>2.9597780552604092E-2</v>
      </c>
    </row>
    <row r="32" spans="2:16" x14ac:dyDescent="0.25">
      <c r="B32" s="56">
        <v>16.399999999999999</v>
      </c>
      <c r="C32" s="56">
        <v>0.28623466666666664</v>
      </c>
      <c r="D32" s="56">
        <v>8.082065981507236E-3</v>
      </c>
      <c r="E32" s="56"/>
      <c r="F32" s="56">
        <v>20.8</v>
      </c>
      <c r="G32" s="56">
        <v>0.36302933333333393</v>
      </c>
      <c r="H32" s="56">
        <v>1.6836003572052505E-2</v>
      </c>
      <c r="I32" s="56"/>
      <c r="J32" s="56">
        <v>25.2</v>
      </c>
      <c r="K32" s="56">
        <v>0.43982400000000055</v>
      </c>
      <c r="L32" s="56">
        <v>3.0741537451238143E-2</v>
      </c>
      <c r="M32" s="56"/>
      <c r="N32" s="56">
        <v>25</v>
      </c>
      <c r="O32" s="56">
        <v>0.43633333333333391</v>
      </c>
      <c r="P32" s="56">
        <v>2.9975567021485239E-2</v>
      </c>
    </row>
    <row r="33" spans="2:16" x14ac:dyDescent="0.25">
      <c r="B33" s="56">
        <v>16.5</v>
      </c>
      <c r="C33" s="56">
        <v>0.28798000000000001</v>
      </c>
      <c r="D33" s="56">
        <v>8.2342274707543628E-3</v>
      </c>
      <c r="E33" s="56"/>
      <c r="F33" s="56">
        <v>20.9</v>
      </c>
      <c r="G33" s="56">
        <v>0.36477466666666725</v>
      </c>
      <c r="H33" s="56">
        <v>1.7089178136020622E-2</v>
      </c>
      <c r="I33" s="56"/>
      <c r="J33" s="56">
        <v>25.3</v>
      </c>
      <c r="K33" s="56">
        <v>0.44156933333333387</v>
      </c>
      <c r="L33" s="56">
        <v>3.1129764417149153E-2</v>
      </c>
      <c r="M33" s="56"/>
      <c r="N33" s="56">
        <v>25.1</v>
      </c>
      <c r="O33" s="56">
        <v>0.43807866666666728</v>
      </c>
      <c r="P33" s="56">
        <v>3.0356812172310843E-2</v>
      </c>
    </row>
    <row r="34" spans="2:16" x14ac:dyDescent="0.25">
      <c r="B34" s="56">
        <v>16.600000000000001</v>
      </c>
      <c r="C34" s="56">
        <v>0.28972533333333339</v>
      </c>
      <c r="D34" s="56">
        <v>8.3883519582811372E-3</v>
      </c>
      <c r="E34" s="56"/>
      <c r="F34" s="56">
        <v>21</v>
      </c>
      <c r="G34" s="56">
        <v>0.36652000000000057</v>
      </c>
      <c r="H34" s="56">
        <v>1.7345018409212765E-2</v>
      </c>
      <c r="I34" s="56"/>
      <c r="J34" s="56">
        <v>25.4</v>
      </c>
      <c r="K34" s="56">
        <v>0.4433146666666673</v>
      </c>
      <c r="L34" s="56">
        <v>3.1521514742605006E-2</v>
      </c>
      <c r="M34" s="56"/>
      <c r="N34" s="56">
        <v>25.2</v>
      </c>
      <c r="O34" s="56">
        <v>0.4398240000000006</v>
      </c>
      <c r="P34" s="56">
        <v>3.0741537451238199E-2</v>
      </c>
    </row>
    <row r="35" spans="2:16" x14ac:dyDescent="0.25">
      <c r="B35" s="56">
        <v>16.7</v>
      </c>
      <c r="C35" s="56">
        <v>0.29147066666666671</v>
      </c>
      <c r="D35" s="56">
        <v>8.5444540820532322E-3</v>
      </c>
      <c r="E35" s="56"/>
      <c r="F35" s="56">
        <v>21.1</v>
      </c>
      <c r="G35" s="56">
        <v>0.368265333333334</v>
      </c>
      <c r="H35" s="56">
        <v>1.7603541945057977E-2</v>
      </c>
      <c r="I35" s="56"/>
      <c r="J35" s="56">
        <v>25.5</v>
      </c>
      <c r="K35" s="56">
        <v>0.44506000000000062</v>
      </c>
      <c r="L35" s="56">
        <v>3.1916810214808744E-2</v>
      </c>
      <c r="M35" s="56"/>
      <c r="N35" s="56">
        <v>25.3</v>
      </c>
      <c r="O35" s="56">
        <v>0.44156933333333392</v>
      </c>
      <c r="P35" s="56">
        <v>3.1129764417149153E-2</v>
      </c>
    </row>
    <row r="36" spans="2:16" x14ac:dyDescent="0.25">
      <c r="B36" s="56">
        <v>16.8</v>
      </c>
      <c r="C36" s="56">
        <v>0.29321600000000009</v>
      </c>
      <c r="D36" s="56">
        <v>8.7025485346555742E-3</v>
      </c>
      <c r="E36" s="56"/>
      <c r="F36" s="56">
        <v>21.2</v>
      </c>
      <c r="G36" s="56">
        <v>0.37001066666666732</v>
      </c>
      <c r="H36" s="56">
        <v>1.7864766376828711E-2</v>
      </c>
      <c r="I36" s="56"/>
      <c r="J36" s="56">
        <v>25.6</v>
      </c>
      <c r="K36" s="56">
        <v>0.44680533333333394</v>
      </c>
      <c r="L36" s="56">
        <v>3.2315672736576595E-2</v>
      </c>
      <c r="M36" s="56"/>
      <c r="N36" s="56">
        <v>25.4</v>
      </c>
      <c r="O36" s="56">
        <v>0.4433146666666673</v>
      </c>
      <c r="P36" s="56">
        <v>3.1521514742605006E-2</v>
      </c>
    </row>
    <row r="37" spans="2:16" x14ac:dyDescent="0.25">
      <c r="B37" s="56">
        <v>16.899999999999999</v>
      </c>
      <c r="C37" s="56">
        <v>0.29496133333333341</v>
      </c>
      <c r="D37" s="56">
        <v>8.8626500637806749E-3</v>
      </c>
      <c r="E37" s="56"/>
      <c r="F37" s="56">
        <v>21.3</v>
      </c>
      <c r="G37" s="56">
        <v>0.3717560000000007</v>
      </c>
      <c r="H37" s="56">
        <v>1.8128709418317956E-2</v>
      </c>
      <c r="I37" s="56"/>
      <c r="J37" s="56">
        <v>25.7</v>
      </c>
      <c r="K37" s="56">
        <v>0.44855066666666732</v>
      </c>
      <c r="L37" s="56">
        <v>3.2718124327318132E-2</v>
      </c>
      <c r="M37" s="56"/>
      <c r="N37" s="56">
        <v>25.5</v>
      </c>
      <c r="O37" s="56">
        <v>0.44506000000000068</v>
      </c>
      <c r="P37" s="56">
        <v>3.1916810214808744E-2</v>
      </c>
    </row>
    <row r="38" spans="2:16" x14ac:dyDescent="0.25">
      <c r="B38" s="56">
        <v>17</v>
      </c>
      <c r="C38" s="56">
        <v>0.29670666666666679</v>
      </c>
      <c r="D38" s="56">
        <v>9.0247734727209039E-3</v>
      </c>
      <c r="E38" s="56"/>
      <c r="F38" s="56">
        <v>21.4</v>
      </c>
      <c r="G38" s="56">
        <v>0.37350133333333402</v>
      </c>
      <c r="H38" s="56">
        <v>1.8395388864521467E-2</v>
      </c>
      <c r="I38" s="56"/>
      <c r="J38" s="56">
        <v>25.8</v>
      </c>
      <c r="K38" s="56">
        <v>0.4502960000000007</v>
      </c>
      <c r="L38" s="56">
        <v>3.3124187124024651E-2</v>
      </c>
      <c r="M38" s="56"/>
      <c r="N38" s="56">
        <v>25.6</v>
      </c>
      <c r="O38" s="56">
        <v>0.44680533333333405</v>
      </c>
      <c r="P38" s="56">
        <v>3.2315672736576651E-2</v>
      </c>
    </row>
    <row r="39" spans="2:16" x14ac:dyDescent="0.25">
      <c r="B39" s="56">
        <v>17.100000000000001</v>
      </c>
      <c r="C39" s="56">
        <v>0.29845200000000016</v>
      </c>
      <c r="D39" s="56">
        <v>9.188933620863482E-3</v>
      </c>
      <c r="E39" s="56"/>
      <c r="F39" s="56">
        <v>21.5</v>
      </c>
      <c r="G39" s="56">
        <v>0.37524666666666745</v>
      </c>
      <c r="H39" s="56">
        <v>1.8664822592325936E-2</v>
      </c>
      <c r="I39" s="56"/>
      <c r="J39" s="56">
        <v>25.9</v>
      </c>
      <c r="K39" s="56">
        <v>0.45204133333333407</v>
      </c>
      <c r="L39" s="56">
        <v>3.3533883382266982E-2</v>
      </c>
      <c r="M39" s="56"/>
      <c r="N39" s="56"/>
      <c r="O39" s="56"/>
      <c r="P39" s="56"/>
    </row>
    <row r="40" spans="2:16" x14ac:dyDescent="0.25">
      <c r="B40" s="56">
        <v>17.2</v>
      </c>
      <c r="C40" s="56">
        <v>0.30019733333333354</v>
      </c>
      <c r="D40" s="56">
        <v>9.355145424189637E-3</v>
      </c>
      <c r="E40" s="56"/>
      <c r="F40" s="56">
        <v>21.6</v>
      </c>
      <c r="G40" s="56">
        <v>0.37699200000000077</v>
      </c>
      <c r="H40" s="56">
        <v>1.8937028561201774E-2</v>
      </c>
      <c r="I40" s="56"/>
      <c r="J40" s="56">
        <v>26</v>
      </c>
      <c r="K40" s="56">
        <v>0.45378666666666739</v>
      </c>
      <c r="L40" s="56">
        <v>3.3947235477201687E-2</v>
      </c>
      <c r="M40" s="56"/>
      <c r="N40" s="56"/>
      <c r="O40" s="56"/>
      <c r="P40" s="56"/>
    </row>
    <row r="41" spans="2:16" x14ac:dyDescent="0.25">
      <c r="B41" s="56">
        <v>17.3</v>
      </c>
      <c r="C41" s="56">
        <v>0.30194266666666686</v>
      </c>
      <c r="D41" s="56">
        <v>9.5234238557767026E-3</v>
      </c>
      <c r="E41" s="56"/>
      <c r="F41" s="56">
        <v>21.7</v>
      </c>
      <c r="G41" s="56">
        <v>0.37873733333333409</v>
      </c>
      <c r="H41" s="56">
        <v>1.9212024813902717E-2</v>
      </c>
      <c r="I41" s="56"/>
      <c r="J41" s="56">
        <v>26.1</v>
      </c>
      <c r="K41" s="56">
        <v>0.45553200000000071</v>
      </c>
      <c r="L41" s="56">
        <v>3.436426590458691E-2</v>
      </c>
      <c r="M41" s="56"/>
      <c r="N41" s="56"/>
      <c r="O41" s="56"/>
      <c r="P41" s="56"/>
    </row>
    <row r="42" spans="2:16" x14ac:dyDescent="0.25">
      <c r="B42" s="56">
        <v>17.399999999999999</v>
      </c>
      <c r="C42" s="56">
        <v>0.30368800000000018</v>
      </c>
      <c r="D42" s="56">
        <v>9.6937839463041575E-3</v>
      </c>
      <c r="E42" s="56"/>
      <c r="F42" s="56">
        <v>21.8</v>
      </c>
      <c r="G42" s="56">
        <v>0.38048266666666747</v>
      </c>
      <c r="H42" s="56">
        <v>1.9489829477169873E-2</v>
      </c>
      <c r="I42" s="56"/>
      <c r="J42" s="56">
        <v>26.2</v>
      </c>
      <c r="K42" s="56">
        <v>0.45727733333333415</v>
      </c>
      <c r="L42" s="56">
        <v>3.4784997281806618E-2</v>
      </c>
      <c r="M42" s="56"/>
      <c r="N42" s="56"/>
      <c r="O42" s="56"/>
      <c r="P42" s="56"/>
    </row>
    <row r="43" spans="2:16" x14ac:dyDescent="0.25">
      <c r="B43" s="56">
        <v>17.5</v>
      </c>
      <c r="C43" s="56">
        <v>0.30543333333333356</v>
      </c>
      <c r="D43" s="56">
        <v>9.8662407845627187E-3</v>
      </c>
      <c r="E43" s="56"/>
      <c r="F43" s="56">
        <v>21.900000000000048</v>
      </c>
      <c r="G43" s="56">
        <v>0.38222800000000084</v>
      </c>
      <c r="H43" s="56">
        <v>1.977046076244221E-2</v>
      </c>
      <c r="I43" s="56"/>
      <c r="J43" s="56">
        <v>26.3</v>
      </c>
      <c r="K43" s="56">
        <v>0.45902266666666747</v>
      </c>
      <c r="L43" s="56">
        <v>3.5209452348904657E-2</v>
      </c>
      <c r="M43" s="56"/>
      <c r="N43" s="56"/>
      <c r="O43" s="56"/>
      <c r="P43" s="56"/>
    </row>
    <row r="44" spans="2:16" x14ac:dyDescent="0.25">
      <c r="B44" s="56">
        <v>17.600000000000001</v>
      </c>
      <c r="C44" s="56">
        <v>0.30717866666666693</v>
      </c>
      <c r="D44" s="56">
        <v>1.0040809517967597E-2</v>
      </c>
      <c r="E44" s="56"/>
      <c r="F44" s="56">
        <v>22.00000000000005</v>
      </c>
      <c r="G44" s="56">
        <v>0.38397333333333422</v>
      </c>
      <c r="H44" s="56">
        <v>2.0053936966572705E-2</v>
      </c>
      <c r="I44" s="56"/>
      <c r="J44" s="56">
        <v>26.400000000000048</v>
      </c>
      <c r="K44" s="56">
        <v>0.46076800000000084</v>
      </c>
      <c r="L44" s="56">
        <v>3.5637653969627869E-2</v>
      </c>
      <c r="M44" s="56"/>
      <c r="N44" s="56"/>
      <c r="O44" s="56"/>
      <c r="P44" s="56"/>
    </row>
    <row r="45" spans="2:16" x14ac:dyDescent="0.25">
      <c r="B45" s="56">
        <v>17.7</v>
      </c>
      <c r="C45" s="56">
        <v>0.30892400000000031</v>
      </c>
      <c r="D45" s="56">
        <v>1.0217505353074863E-2</v>
      </c>
      <c r="E45" s="56"/>
      <c r="F45" s="56">
        <v>22.100000000000051</v>
      </c>
      <c r="G45" s="56">
        <v>0.38571866666666754</v>
      </c>
      <c r="H45" s="56">
        <v>2.0340276472549934E-2</v>
      </c>
      <c r="I45" s="56"/>
      <c r="J45" s="56">
        <v>26.50000000000005</v>
      </c>
      <c r="K45" s="56">
        <v>0.46251333333333416</v>
      </c>
      <c r="L45" s="56">
        <v>3.60696251324788E-2</v>
      </c>
      <c r="M45" s="56"/>
      <c r="N45" s="56"/>
      <c r="O45" s="56"/>
      <c r="P45" s="56"/>
    </row>
    <row r="46" spans="2:16" x14ac:dyDescent="0.25">
      <c r="B46" s="56">
        <v>17.8</v>
      </c>
      <c r="C46" s="56">
        <v>0.31066933333333363</v>
      </c>
      <c r="D46" s="56">
        <v>1.0396343556101695E-2</v>
      </c>
      <c r="E46" s="56"/>
      <c r="F46" s="56">
        <v>22.200000000000053</v>
      </c>
      <c r="G46" s="56">
        <v>0.38746400000000086</v>
      </c>
      <c r="H46" s="56">
        <v>2.0629497750225989E-2</v>
      </c>
      <c r="I46" s="56"/>
      <c r="J46" s="56">
        <v>26.600000000000051</v>
      </c>
      <c r="K46" s="56">
        <v>0.4642586666666676</v>
      </c>
      <c r="L46" s="56">
        <v>3.6505388951777906E-2</v>
      </c>
      <c r="M46" s="56"/>
      <c r="N46" s="56"/>
      <c r="O46" s="56"/>
      <c r="P46" s="56"/>
    </row>
    <row r="47" spans="2:16" x14ac:dyDescent="0.25">
      <c r="B47" s="56">
        <v>17.899999999999999</v>
      </c>
      <c r="C47" s="56">
        <v>0.31241466666666701</v>
      </c>
      <c r="D47" s="56">
        <v>1.0577339453450629E-2</v>
      </c>
      <c r="E47" s="56"/>
      <c r="F47" s="56">
        <v>22.300000000000054</v>
      </c>
      <c r="G47" s="56">
        <v>0.3892093333333343</v>
      </c>
      <c r="H47" s="56">
        <v>2.0921619357050225E-2</v>
      </c>
      <c r="I47" s="56"/>
      <c r="J47" s="56">
        <v>26.700000000000053</v>
      </c>
      <c r="K47" s="56">
        <v>0.46600400000000092</v>
      </c>
      <c r="L47" s="56">
        <v>3.6944968668735256E-2</v>
      </c>
      <c r="M47" s="56"/>
      <c r="N47" s="56"/>
      <c r="O47" s="56"/>
      <c r="P47" s="56"/>
    </row>
    <row r="48" spans="2:16" x14ac:dyDescent="0.25">
      <c r="B48" s="56">
        <v>18</v>
      </c>
      <c r="C48" s="56">
        <v>0.31416000000000033</v>
      </c>
      <c r="D48" s="56">
        <v>1.0760508432237081E-2</v>
      </c>
      <c r="E48" s="56"/>
      <c r="F48" s="56">
        <v>22.400000000000055</v>
      </c>
      <c r="G48" s="56">
        <v>0.39095466666666767</v>
      </c>
      <c r="H48" s="56">
        <v>2.1216659938808835E-2</v>
      </c>
      <c r="I48" s="56"/>
      <c r="J48" s="56">
        <v>26.800000000000054</v>
      </c>
      <c r="K48" s="56">
        <v>0.46774933333333429</v>
      </c>
      <c r="L48" s="56">
        <v>3.7388387652532329E-2</v>
      </c>
      <c r="M48" s="56"/>
      <c r="N48" s="56"/>
      <c r="O48" s="56"/>
      <c r="P48" s="56"/>
    </row>
    <row r="49" spans="2:16" x14ac:dyDescent="0.25">
      <c r="B49" s="56">
        <v>18.100000000000001</v>
      </c>
      <c r="C49" s="56">
        <v>0.31590533333333376</v>
      </c>
      <c r="D49" s="56">
        <v>1.0945865940820809E-2</v>
      </c>
      <c r="E49" s="56"/>
      <c r="F49" s="56">
        <v>22.500000000000057</v>
      </c>
      <c r="G49" s="56">
        <v>0.39270000000000099</v>
      </c>
      <c r="H49" s="56">
        <v>2.1514638230370531E-2</v>
      </c>
      <c r="I49" s="56"/>
      <c r="J49" s="56">
        <v>26.900000000000055</v>
      </c>
      <c r="K49" s="56">
        <v>0.46949466666666761</v>
      </c>
      <c r="L49" s="56">
        <v>3.7835669401413252E-2</v>
      </c>
      <c r="M49" s="56"/>
      <c r="N49" s="56"/>
      <c r="O49" s="56"/>
      <c r="P49" s="56"/>
    </row>
    <row r="50" spans="2:16" x14ac:dyDescent="0.25">
      <c r="B50" s="56">
        <v>18.2</v>
      </c>
      <c r="C50" s="56">
        <v>0.31765066666666708</v>
      </c>
      <c r="D50" s="56">
        <v>1.1133427489341319E-2</v>
      </c>
      <c r="E50" s="56"/>
      <c r="F50" s="56">
        <v>22.600000000000058</v>
      </c>
      <c r="G50" s="56">
        <v>0.39444533333333431</v>
      </c>
      <c r="H50" s="56">
        <v>2.1815573056438886E-2</v>
      </c>
      <c r="I50" s="56"/>
      <c r="J50" s="56">
        <v>27.000000000000057</v>
      </c>
      <c r="K50" s="56">
        <v>0.47124000000000094</v>
      </c>
      <c r="L50" s="56">
        <v>3.8286837543786645E-2</v>
      </c>
      <c r="M50" s="56"/>
      <c r="N50" s="56"/>
      <c r="O50" s="56"/>
      <c r="P50" s="56"/>
    </row>
    <row r="51" spans="2:16" x14ac:dyDescent="0.25">
      <c r="B51" s="56">
        <v>18.3</v>
      </c>
      <c r="C51" s="56">
        <v>0.31939600000000046</v>
      </c>
      <c r="D51" s="56">
        <v>1.1323208650257266E-2</v>
      </c>
      <c r="E51" s="56"/>
      <c r="F51" s="56">
        <v>22.70000000000006</v>
      </c>
      <c r="G51" s="56">
        <v>0.39619066666666769</v>
      </c>
      <c r="H51" s="56">
        <v>2.2119483332310064E-2</v>
      </c>
      <c r="I51" s="56"/>
      <c r="J51" s="56">
        <v>27.100000000000058</v>
      </c>
      <c r="K51" s="56">
        <v>0.47298533333333437</v>
      </c>
      <c r="L51" s="56">
        <v>3.874191583933706E-2</v>
      </c>
      <c r="M51" s="56"/>
      <c r="N51" s="56"/>
      <c r="O51" s="56"/>
      <c r="P51" s="56"/>
    </row>
    <row r="52" spans="2:16" x14ac:dyDescent="0.25">
      <c r="B52" s="56">
        <v>18.399999999999999</v>
      </c>
      <c r="C52" s="56">
        <v>0.32114133333333378</v>
      </c>
      <c r="D52" s="56">
        <v>1.15152250588893E-2</v>
      </c>
      <c r="E52" s="56"/>
      <c r="F52" s="56">
        <v>22.800000000000061</v>
      </c>
      <c r="G52" s="56">
        <v>0.39793600000000107</v>
      </c>
      <c r="H52" s="56">
        <v>2.2426388064637481E-2</v>
      </c>
      <c r="I52" s="56"/>
      <c r="J52" s="56">
        <v>27.20000000000006</v>
      </c>
      <c r="K52" s="56">
        <v>0.47473066666666769</v>
      </c>
      <c r="L52" s="56">
        <v>3.9200928180146588E-2</v>
      </c>
      <c r="M52" s="56"/>
      <c r="N52" s="56"/>
      <c r="O52" s="56"/>
      <c r="P52" s="56"/>
    </row>
    <row r="53" spans="2:16" x14ac:dyDescent="0.25">
      <c r="B53" s="56">
        <v>18.5</v>
      </c>
      <c r="C53" s="56">
        <v>0.32288666666666715</v>
      </c>
      <c r="D53" s="56">
        <v>1.1709492413967348E-2</v>
      </c>
      <c r="E53" s="56"/>
      <c r="F53" s="56">
        <v>22.900000000000063</v>
      </c>
      <c r="G53" s="56">
        <v>0.39968133333333444</v>
      </c>
      <c r="H53" s="56">
        <v>2.2736306352202473E-2</v>
      </c>
      <c r="I53" s="56"/>
      <c r="J53" s="56">
        <v>27.300000000000061</v>
      </c>
      <c r="K53" s="56">
        <v>0.47647600000000107</v>
      </c>
      <c r="L53" s="56">
        <v>3.9663898591827229E-2</v>
      </c>
      <c r="M53" s="56"/>
      <c r="N53" s="56"/>
      <c r="O53" s="56"/>
      <c r="P53" s="56"/>
    </row>
  </sheetData>
  <sheetProtection password="DFA0" sheet="1" objects="1" scenarios="1"/>
  <printOptions gridLines="1" gridLinesSet="0"/>
  <pageMargins left="0.78740157499999996" right="0.78740157499999996" top="0.984251969" bottom="0.984251969" header="0.51181102300000003" footer="0.5118110230000000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Calc engren Niemann</vt:lpstr>
      <vt:lpstr>Tabela função evolvente</vt:lpstr>
      <vt:lpstr>'Calc engren Niemann'!Area_de_impressao</vt:lpstr>
      <vt:lpstr>BuiltIn_Print_Area</vt:lpstr>
      <vt:lpstr>BuiltIn_Print_Area___0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CEAS</dc:creator>
  <cp:lastModifiedBy>Jonas</cp:lastModifiedBy>
  <dcterms:created xsi:type="dcterms:W3CDTF">2002-09-24T21:54:30Z</dcterms:created>
  <dcterms:modified xsi:type="dcterms:W3CDTF">2019-04-02T13:54:06Z</dcterms:modified>
</cp:coreProperties>
</file>