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drawings/drawing2.xml" ContentType="application/vnd.openxmlformats-officedocument.drawing+xml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EleMaqIII 2019\Planilhas2019\"/>
    </mc:Choice>
  </mc:AlternateContent>
  <xr:revisionPtr revIDLastSave="0" documentId="13_ncr:1_{E021A4BA-80B7-4C96-9654-15237A1A3C8E}" xr6:coauthVersionLast="41" xr6:coauthVersionMax="41" xr10:uidLastSave="{00000000-0000-0000-0000-000000000000}"/>
  <bookViews>
    <workbookView xWindow="-108" yWindow="-108" windowWidth="23256" windowHeight="12600" xr2:uid="{00000000-000D-0000-FFFF-FFFF00000000}"/>
  </bookViews>
  <sheets>
    <sheet name="Eixo Coroa" sheetId="1" r:id="rId1"/>
    <sheet name="Eixo Parafuso" sheetId="2" r:id="rId2"/>
  </sheets>
  <definedNames>
    <definedName name="solver_adj" localSheetId="0" hidden="1">'Eixo Coroa'!$G$37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'Eixo Coroa'!$G$37</definedName>
    <definedName name="solver_lhs2" localSheetId="0" hidden="1">'Eixo Coroa'!$G$37</definedName>
    <definedName name="solver_lin" localSheetId="0" hidden="1">2</definedName>
    <definedName name="solver_neg" localSheetId="0" hidden="1">2</definedName>
    <definedName name="solver_num" localSheetId="0" hidden="1">2</definedName>
    <definedName name="solver_nwt" localSheetId="0" hidden="1">1</definedName>
    <definedName name="solver_opt" localSheetId="0" hidden="1">'Eixo Coroa'!$C$37</definedName>
    <definedName name="solver_pre" localSheetId="0" hidden="1">0.000001</definedName>
    <definedName name="solver_rel1" localSheetId="0" hidden="1">1</definedName>
    <definedName name="solver_rel2" localSheetId="0" hidden="1">3</definedName>
    <definedName name="solver_rhs1" localSheetId="0" hidden="1">'Eixo Coroa'!$C$18+'Eixo Coroa'!$C$19</definedName>
    <definedName name="solver_rhs2" localSheetId="0" hidden="1">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81029"/>
</workbook>
</file>

<file path=xl/calcChain.xml><?xml version="1.0" encoding="utf-8"?>
<calcChain xmlns="http://schemas.openxmlformats.org/spreadsheetml/2006/main">
  <c r="C7" i="2" l="1"/>
  <c r="C6" i="2" l="1"/>
  <c r="C5" i="2"/>
  <c r="C24" i="2" s="1"/>
  <c r="C48" i="2"/>
  <c r="F41" i="2"/>
  <c r="G39" i="2"/>
  <c r="F39" i="2"/>
  <c r="E39" i="2"/>
  <c r="G38" i="2"/>
  <c r="F38" i="2"/>
  <c r="E38" i="2"/>
  <c r="G37" i="2"/>
  <c r="G36" i="2"/>
  <c r="E36" i="2"/>
  <c r="G35" i="2"/>
  <c r="G34" i="2"/>
  <c r="E34" i="2"/>
  <c r="G33" i="2"/>
  <c r="G32" i="2"/>
  <c r="E32" i="2"/>
  <c r="G31" i="2"/>
  <c r="C14" i="2"/>
  <c r="C13" i="2"/>
  <c r="C4" i="2"/>
  <c r="C14" i="1"/>
  <c r="C48" i="1"/>
  <c r="C13" i="1"/>
  <c r="C65" i="1" s="1"/>
  <c r="F41" i="1"/>
  <c r="E32" i="1"/>
  <c r="G31" i="1"/>
  <c r="E39" i="1"/>
  <c r="G36" i="1"/>
  <c r="G38" i="1"/>
  <c r="G39" i="1"/>
  <c r="E38" i="1"/>
  <c r="F38" i="1"/>
  <c r="F39" i="1"/>
  <c r="G37" i="1"/>
  <c r="E36" i="1"/>
  <c r="G35" i="1"/>
  <c r="G32" i="1"/>
  <c r="G34" i="1"/>
  <c r="E34" i="1"/>
  <c r="G33" i="1"/>
  <c r="C72" i="1" l="1"/>
  <c r="C72" i="2"/>
  <c r="C65" i="2"/>
  <c r="C23" i="2"/>
  <c r="C25" i="2" s="1"/>
  <c r="C33" i="2" s="1"/>
  <c r="C37" i="2" s="1"/>
  <c r="C28" i="2"/>
  <c r="C32" i="2"/>
  <c r="C49" i="2" l="1"/>
  <c r="C50" i="2" s="1"/>
  <c r="C51" i="2" s="1"/>
  <c r="C27" i="2"/>
  <c r="C29" i="2" s="1"/>
  <c r="C34" i="2" s="1"/>
  <c r="C66" i="2" l="1"/>
  <c r="C67" i="2" l="1"/>
  <c r="C71" i="2" s="1"/>
  <c r="C70" i="2"/>
  <c r="C4" i="1"/>
  <c r="C23" i="1" s="1"/>
  <c r="C5" i="1"/>
  <c r="C32" i="1" s="1"/>
  <c r="C6" i="1"/>
  <c r="C7" i="1"/>
  <c r="C73" i="2" l="1"/>
  <c r="C27" i="1"/>
  <c r="C24" i="1"/>
  <c r="C28" i="1" s="1"/>
  <c r="C76" i="2" l="1"/>
  <c r="C74" i="2"/>
  <c r="D76" i="2" s="1"/>
  <c r="C25" i="1"/>
  <c r="C33" i="1" s="1"/>
  <c r="C37" i="1" s="1"/>
  <c r="C29" i="1"/>
  <c r="C34" i="1" s="1"/>
  <c r="C49" i="1" l="1"/>
  <c r="C50" i="1" s="1"/>
  <c r="C51" i="1" s="1"/>
  <c r="C66" i="1" s="1"/>
  <c r="C70" i="1" l="1"/>
  <c r="C67" i="1"/>
  <c r="C71" i="1" s="1"/>
  <c r="C73" i="1" l="1"/>
  <c r="C76" i="1" l="1"/>
  <c r="C74" i="1"/>
  <c r="D76" i="1" s="1"/>
</calcChain>
</file>

<file path=xl/sharedStrings.xml><?xml version="1.0" encoding="utf-8"?>
<sst xmlns="http://schemas.openxmlformats.org/spreadsheetml/2006/main" count="390" uniqueCount="138">
  <si>
    <t>Parâmetros de Entrada</t>
  </si>
  <si>
    <t>Força Radial na Coroa</t>
  </si>
  <si>
    <t>Força Tangencial na Coroa</t>
  </si>
  <si>
    <t>Força Axial na Coroa</t>
  </si>
  <si>
    <t>Parâmetro</t>
  </si>
  <si>
    <t>Abrev.</t>
  </si>
  <si>
    <t>Valor</t>
  </si>
  <si>
    <t>Unidade</t>
  </si>
  <si>
    <t>Fr</t>
  </si>
  <si>
    <t>Ft</t>
  </si>
  <si>
    <t>Fa</t>
  </si>
  <si>
    <t>Diâmetro Primitivo da Coroa</t>
  </si>
  <si>
    <t>Dp</t>
  </si>
  <si>
    <t>mm</t>
  </si>
  <si>
    <t>Mt</t>
  </si>
  <si>
    <t>Momento Torçor</t>
  </si>
  <si>
    <t>Esforços Calculados</t>
  </si>
  <si>
    <t>Mf</t>
  </si>
  <si>
    <t>V</t>
  </si>
  <si>
    <t>N</t>
  </si>
  <si>
    <t>N.m</t>
  </si>
  <si>
    <t>Parâmetros Geométricos</t>
  </si>
  <si>
    <t>Distância entre mancal 1 e Engrenagem</t>
  </si>
  <si>
    <t>Distância entre mancal 2 e Engrenagem</t>
  </si>
  <si>
    <t>d1</t>
  </si>
  <si>
    <t>d2</t>
  </si>
  <si>
    <t>Momento Fletor</t>
  </si>
  <si>
    <t>Momento Fletor Máximo</t>
  </si>
  <si>
    <t>Força cortante</t>
  </si>
  <si>
    <t>Reação Vertical Mancal 1</t>
  </si>
  <si>
    <t>Reação Horizontal Mancal 1</t>
  </si>
  <si>
    <t>Reação Axial Mancal 1</t>
  </si>
  <si>
    <t>Reação Vertical Mancal 2</t>
  </si>
  <si>
    <t>Reação Horizontal Mancal 2</t>
  </si>
  <si>
    <t>Reação Axial Mancal 2</t>
  </si>
  <si>
    <t>Rv1</t>
  </si>
  <si>
    <t>Rh1</t>
  </si>
  <si>
    <t>Ra1</t>
  </si>
  <si>
    <t>Rv2</t>
  </si>
  <si>
    <t>Rh2</t>
  </si>
  <si>
    <t>Ra2</t>
  </si>
  <si>
    <t>Rr1</t>
  </si>
  <si>
    <t>Reação Radial Mancal 1</t>
  </si>
  <si>
    <t>Rr2</t>
  </si>
  <si>
    <t>Reação Radial Mancal 2</t>
  </si>
  <si>
    <t>Parâmetros do Material</t>
  </si>
  <si>
    <t>Material:</t>
  </si>
  <si>
    <t>SAE 4340</t>
  </si>
  <si>
    <t>σadm</t>
  </si>
  <si>
    <t>σr</t>
  </si>
  <si>
    <t>Mpa</t>
  </si>
  <si>
    <t>MPa</t>
  </si>
  <si>
    <t>&lt;=x&lt;=</t>
  </si>
  <si>
    <t>Intervalo</t>
  </si>
  <si>
    <t>Mfmáx</t>
  </si>
  <si>
    <t>@</t>
  </si>
  <si>
    <t>x=</t>
  </si>
  <si>
    <t>Força Normal</t>
  </si>
  <si>
    <t>Seção Crítica:</t>
  </si>
  <si>
    <t>Coeficientes de Segurança</t>
  </si>
  <si>
    <t>a</t>
  </si>
  <si>
    <t>b</t>
  </si>
  <si>
    <t>d</t>
  </si>
  <si>
    <t>c</t>
  </si>
  <si>
    <t>tipo do material (dúctil, frágil, etc..)</t>
  </si>
  <si>
    <t>tipo de carga</t>
  </si>
  <si>
    <t>Tab. 3-4 Niemann</t>
  </si>
  <si>
    <t>σwf</t>
  </si>
  <si>
    <t>Tensão de ruptura</t>
  </si>
  <si>
    <t>aplicação da carga</t>
  </si>
  <si>
    <t>condições de trabalho</t>
  </si>
  <si>
    <t>Tensão Admissível</t>
  </si>
  <si>
    <t>Meq</t>
  </si>
  <si>
    <t>Momento equivalente</t>
  </si>
  <si>
    <t>Mf=V1*d1+V2*(x-d1)/1000</t>
  </si>
  <si>
    <t>Mf=V1*x/1000</t>
  </si>
  <si>
    <t>d'</t>
  </si>
  <si>
    <t>Diâmetro de pré-dimensionamento</t>
  </si>
  <si>
    <t>Adota-se com 10% de segurança</t>
  </si>
  <si>
    <t>Pré-dimensionamento</t>
  </si>
  <si>
    <t>Verificação à Fadiga</t>
  </si>
  <si>
    <t>Tensão de resistência à fadiga à flexão</t>
  </si>
  <si>
    <t>σwt</t>
  </si>
  <si>
    <t>Tensão de resistência à fadiga à torção</t>
  </si>
  <si>
    <t>b1</t>
  </si>
  <si>
    <t>b2</t>
  </si>
  <si>
    <t>b3</t>
  </si>
  <si>
    <t>η1</t>
  </si>
  <si>
    <t>η2</t>
  </si>
  <si>
    <t>η3</t>
  </si>
  <si>
    <t>η4</t>
  </si>
  <si>
    <t>η5</t>
  </si>
  <si>
    <t>βk</t>
  </si>
  <si>
    <t>Sadm</t>
  </si>
  <si>
    <t>Coeficiente de entalhe</t>
  </si>
  <si>
    <t>Grau de acabamento</t>
  </si>
  <si>
    <t>Diâmetro (incertezas no material)</t>
  </si>
  <si>
    <t>Tipo de seção</t>
  </si>
  <si>
    <t>Dados metalográficos</t>
  </si>
  <si>
    <t>Modelo</t>
  </si>
  <si>
    <t>Importância da falha</t>
  </si>
  <si>
    <t>Conhecimento das cargas</t>
  </si>
  <si>
    <t>Grupo</t>
  </si>
  <si>
    <t>tabela pg. 56 Niemann vol.1</t>
  </si>
  <si>
    <t>Wf</t>
  </si>
  <si>
    <t>Wt</t>
  </si>
  <si>
    <t>Módulo de Resistência à Flexão</t>
  </si>
  <si>
    <t>m^3</t>
  </si>
  <si>
    <t>βkat</t>
  </si>
  <si>
    <t>βkaf</t>
  </si>
  <si>
    <t>Módulo de Resistência à Torção</t>
  </si>
  <si>
    <t>Máxima tensão de torção</t>
  </si>
  <si>
    <t>Máxima tensão de flexão</t>
  </si>
  <si>
    <r>
      <rPr>
        <sz val="11"/>
        <color theme="1"/>
        <rFont val="Calibri"/>
        <family val="2"/>
      </rPr>
      <t>σ</t>
    </r>
    <r>
      <rPr>
        <sz val="11"/>
        <color theme="1"/>
        <rFont val="Calibri"/>
        <family val="2"/>
        <scheme val="minor"/>
      </rPr>
      <t>fmáx</t>
    </r>
  </si>
  <si>
    <t>H</t>
  </si>
  <si>
    <t>σ*</t>
  </si>
  <si>
    <t>Tensão de Confronto</t>
  </si>
  <si>
    <t>CS</t>
  </si>
  <si>
    <t>Coeficiente de Segurança</t>
  </si>
  <si>
    <r>
      <rPr>
        <sz val="11"/>
        <color theme="1"/>
        <rFont val="Calibri"/>
        <family val="2"/>
      </rPr>
      <t>τ</t>
    </r>
    <r>
      <rPr>
        <sz val="11"/>
        <color theme="1"/>
        <rFont val="Calibri"/>
        <family val="2"/>
        <scheme val="minor"/>
      </rPr>
      <t>tmáx</t>
    </r>
  </si>
  <si>
    <t>Coeficiente de Concentração de Tensão à Flexão</t>
  </si>
  <si>
    <t>Coeficiente de Concentração de Tensão à Torção</t>
  </si>
  <si>
    <t>Força Radial no Parafuso</t>
  </si>
  <si>
    <t>Força Tangencial no Parafuso</t>
  </si>
  <si>
    <t>Força Axial no Parafuso</t>
  </si>
  <si>
    <t>Diâmetro Primitivo do Parafuso</t>
  </si>
  <si>
    <t>Adota-se com 15% de segurança</t>
  </si>
  <si>
    <t>Tipo de máquina</t>
  </si>
  <si>
    <t>Coeficiente dinâmico de entalhe</t>
  </si>
  <si>
    <t>Eixo retificado (apostila de fadiga)</t>
  </si>
  <si>
    <t>Material de características bem conhecidas (apostila de fadiga)</t>
  </si>
  <si>
    <t>Força axial e foça cortante desconsideradas (apostila de fadiga)</t>
  </si>
  <si>
    <t>Cargas bem determinadas (apostila de fadiga)</t>
  </si>
  <si>
    <t>Prensa -&gt; choques fortes (apostila de fadiga)</t>
  </si>
  <si>
    <t>Seção circular</t>
  </si>
  <si>
    <t>(apostila de fadiga)</t>
  </si>
  <si>
    <t>Chaveta plana (apostila de fadiga)</t>
  </si>
  <si>
    <t>Predomina torção (rasgo de chaveta plana)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</si>
</sst>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3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3" fillId="0" borderId="14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6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3.wmf"/><Relationship Id="rId1" Type="http://schemas.openxmlformats.org/officeDocument/2006/relationships/image" Target="../media/image2.w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76200</xdr:colOff>
          <xdr:row>47</xdr:row>
          <xdr:rowOff>152400</xdr:rowOff>
        </xdr:from>
        <xdr:to>
          <xdr:col>12</xdr:col>
          <xdr:colOff>403860</xdr:colOff>
          <xdr:row>50</xdr:row>
          <xdr:rowOff>38100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182880</xdr:colOff>
          <xdr:row>70</xdr:row>
          <xdr:rowOff>182880</xdr:rowOff>
        </xdr:from>
        <xdr:to>
          <xdr:col>12</xdr:col>
          <xdr:colOff>297180</xdr:colOff>
          <xdr:row>72</xdr:row>
          <xdr:rowOff>114300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403860</xdr:colOff>
          <xdr:row>66</xdr:row>
          <xdr:rowOff>83820</xdr:rowOff>
        </xdr:from>
        <xdr:to>
          <xdr:col>12</xdr:col>
          <xdr:colOff>76200</xdr:colOff>
          <xdr:row>69</xdr:row>
          <xdr:rowOff>22860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68580</xdr:colOff>
          <xdr:row>47</xdr:row>
          <xdr:rowOff>152400</xdr:rowOff>
        </xdr:from>
        <xdr:to>
          <xdr:col>12</xdr:col>
          <xdr:colOff>388620</xdr:colOff>
          <xdr:row>50</xdr:row>
          <xdr:rowOff>38100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198120</xdr:colOff>
          <xdr:row>58</xdr:row>
          <xdr:rowOff>0</xdr:rowOff>
        </xdr:from>
        <xdr:to>
          <xdr:col>15</xdr:col>
          <xdr:colOff>251460</xdr:colOff>
          <xdr:row>62</xdr:row>
          <xdr:rowOff>76200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373380</xdr:colOff>
          <xdr:row>71</xdr:row>
          <xdr:rowOff>22860</xdr:rowOff>
        </xdr:from>
        <xdr:to>
          <xdr:col>9</xdr:col>
          <xdr:colOff>487680</xdr:colOff>
          <xdr:row>72</xdr:row>
          <xdr:rowOff>144780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594360</xdr:colOff>
          <xdr:row>66</xdr:row>
          <xdr:rowOff>114300</xdr:rowOff>
        </xdr:from>
        <xdr:to>
          <xdr:col>9</xdr:col>
          <xdr:colOff>266700</xdr:colOff>
          <xdr:row>69</xdr:row>
          <xdr:rowOff>45720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259080</xdr:colOff>
          <xdr:row>47</xdr:row>
          <xdr:rowOff>182880</xdr:rowOff>
        </xdr:from>
        <xdr:to>
          <xdr:col>9</xdr:col>
          <xdr:colOff>579120</xdr:colOff>
          <xdr:row>50</xdr:row>
          <xdr:rowOff>68580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457200</xdr:colOff>
          <xdr:row>58</xdr:row>
          <xdr:rowOff>68580</xdr:rowOff>
        </xdr:from>
        <xdr:to>
          <xdr:col>14</xdr:col>
          <xdr:colOff>502920</xdr:colOff>
          <xdr:row>62</xdr:row>
          <xdr:rowOff>144780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12" Type="http://schemas.openxmlformats.org/officeDocument/2006/relationships/image" Target="../media/image4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5.bin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3" Type="http://schemas.openxmlformats.org/officeDocument/2006/relationships/oleObject" Target="../embeddings/oleObject6.bin"/><Relationship Id="rId7" Type="http://schemas.openxmlformats.org/officeDocument/2006/relationships/oleObject" Target="../embeddings/oleObject8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6" Type="http://schemas.openxmlformats.org/officeDocument/2006/relationships/image" Target="../media/image3.wmf"/><Relationship Id="rId5" Type="http://schemas.openxmlformats.org/officeDocument/2006/relationships/oleObject" Target="../embeddings/oleObject7.bin"/><Relationship Id="rId10" Type="http://schemas.openxmlformats.org/officeDocument/2006/relationships/image" Target="../media/image5.emf"/><Relationship Id="rId4" Type="http://schemas.openxmlformats.org/officeDocument/2006/relationships/image" Target="../media/image2.wmf"/><Relationship Id="rId9" Type="http://schemas.openxmlformats.org/officeDocument/2006/relationships/oleObject" Target="../embeddings/oleObject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76"/>
  <sheetViews>
    <sheetView tabSelected="1" workbookViewId="0">
      <selection activeCell="A20" sqref="A20:D21"/>
    </sheetView>
  </sheetViews>
  <sheetFormatPr defaultColWidth="9.109375" defaultRowHeight="14.4" x14ac:dyDescent="0.3"/>
  <cols>
    <col min="1" max="1" width="6.88671875" style="1" bestFit="1" customWidth="1"/>
    <col min="2" max="2" width="44.6640625" style="1" bestFit="1" customWidth="1"/>
    <col min="3" max="3" width="24.6640625" style="1" bestFit="1" customWidth="1"/>
    <col min="4" max="4" width="19.109375" style="1" bestFit="1" customWidth="1"/>
    <col min="5" max="5" width="4" style="1" bestFit="1" customWidth="1"/>
    <col min="6" max="6" width="6.88671875" style="1" bestFit="1" customWidth="1"/>
    <col min="7" max="7" width="4.44140625" style="1" bestFit="1" customWidth="1"/>
    <col min="8" max="8" width="12" style="1" bestFit="1" customWidth="1"/>
    <col min="9" max="16384" width="9.109375" style="1"/>
  </cols>
  <sheetData>
    <row r="1" spans="1:5" ht="15" customHeight="1" x14ac:dyDescent="0.3">
      <c r="A1" s="39" t="s">
        <v>0</v>
      </c>
      <c r="B1" s="39"/>
      <c r="C1" s="39"/>
      <c r="D1" s="39"/>
    </row>
    <row r="2" spans="1:5" ht="15" customHeight="1" x14ac:dyDescent="0.3">
      <c r="A2" s="39"/>
      <c r="B2" s="39"/>
      <c r="C2" s="39"/>
      <c r="D2" s="39"/>
    </row>
    <row r="3" spans="1:5" x14ac:dyDescent="0.3">
      <c r="A3" s="2" t="s">
        <v>5</v>
      </c>
      <c r="B3" s="2" t="s">
        <v>4</v>
      </c>
      <c r="C3" s="2" t="s">
        <v>6</v>
      </c>
      <c r="D3" s="2" t="s">
        <v>7</v>
      </c>
    </row>
    <row r="4" spans="1:5" x14ac:dyDescent="0.3">
      <c r="A4" s="2" t="s">
        <v>8</v>
      </c>
      <c r="B4" s="2" t="s">
        <v>1</v>
      </c>
      <c r="C4" s="2">
        <f>CONVERT(900,"lbf","N")</f>
        <v>4003.3994537344502</v>
      </c>
      <c r="D4" s="2" t="s">
        <v>19</v>
      </c>
    </row>
    <row r="5" spans="1:5" x14ac:dyDescent="0.3">
      <c r="A5" s="2" t="s">
        <v>9</v>
      </c>
      <c r="B5" s="2" t="s">
        <v>2</v>
      </c>
      <c r="C5" s="2">
        <f>CONVERT(3432.07,"lbf","N")</f>
        <v>15266.607959087105</v>
      </c>
      <c r="D5" s="2" t="s">
        <v>19</v>
      </c>
    </row>
    <row r="6" spans="1:5" x14ac:dyDescent="0.3">
      <c r="A6" s="2" t="s">
        <v>10</v>
      </c>
      <c r="B6" s="2" t="s">
        <v>3</v>
      </c>
      <c r="C6" s="2">
        <f>CONVERT(579.38,"lbf","N")</f>
        <v>2577.2106394496286</v>
      </c>
      <c r="D6" s="2" t="s">
        <v>19</v>
      </c>
    </row>
    <row r="7" spans="1:5" x14ac:dyDescent="0.3">
      <c r="A7" s="2" t="s">
        <v>12</v>
      </c>
      <c r="B7" s="2" t="s">
        <v>11</v>
      </c>
      <c r="C7" s="2">
        <f>32.229*25.4</f>
        <v>818.61659999999995</v>
      </c>
      <c r="D7" s="2" t="s">
        <v>13</v>
      </c>
    </row>
    <row r="8" spans="1:5" ht="15" customHeight="1" x14ac:dyDescent="0.3">
      <c r="A8" s="39" t="s">
        <v>45</v>
      </c>
      <c r="B8" s="39"/>
      <c r="C8" s="39"/>
      <c r="D8" s="39"/>
    </row>
    <row r="9" spans="1:5" ht="15" customHeight="1" x14ac:dyDescent="0.3">
      <c r="A9" s="39"/>
      <c r="B9" s="39"/>
      <c r="C9" s="39"/>
      <c r="D9" s="39"/>
    </row>
    <row r="10" spans="1:5" x14ac:dyDescent="0.3">
      <c r="A10" s="46" t="s">
        <v>46</v>
      </c>
      <c r="B10" s="46"/>
      <c r="C10" s="33" t="s">
        <v>47</v>
      </c>
      <c r="D10" s="33"/>
    </row>
    <row r="11" spans="1:5" x14ac:dyDescent="0.3">
      <c r="A11" s="2" t="s">
        <v>5</v>
      </c>
      <c r="B11" s="2" t="s">
        <v>4</v>
      </c>
      <c r="C11" s="2" t="s">
        <v>6</v>
      </c>
      <c r="D11" s="2" t="s">
        <v>7</v>
      </c>
    </row>
    <row r="12" spans="1:5" x14ac:dyDescent="0.3">
      <c r="A12" s="3" t="s">
        <v>49</v>
      </c>
      <c r="B12" s="2" t="s">
        <v>68</v>
      </c>
      <c r="C12" s="2">
        <v>1000</v>
      </c>
      <c r="D12" s="2" t="s">
        <v>51</v>
      </c>
    </row>
    <row r="13" spans="1:5" x14ac:dyDescent="0.3">
      <c r="A13" s="3" t="s">
        <v>67</v>
      </c>
      <c r="B13" s="2" t="s">
        <v>81</v>
      </c>
      <c r="C13" s="2">
        <f>0.45*C12</f>
        <v>450</v>
      </c>
      <c r="D13" s="2" t="s">
        <v>50</v>
      </c>
      <c r="E13" s="1" t="s">
        <v>66</v>
      </c>
    </row>
    <row r="14" spans="1:5" x14ac:dyDescent="0.3">
      <c r="A14" s="3" t="s">
        <v>82</v>
      </c>
      <c r="B14" s="2" t="s">
        <v>83</v>
      </c>
      <c r="C14" s="2">
        <f>0.58*C12</f>
        <v>580</v>
      </c>
      <c r="D14" s="2" t="s">
        <v>50</v>
      </c>
      <c r="E14" s="1" t="s">
        <v>66</v>
      </c>
    </row>
    <row r="15" spans="1:5" ht="15" customHeight="1" x14ac:dyDescent="0.3">
      <c r="A15" s="39" t="s">
        <v>21</v>
      </c>
      <c r="B15" s="39"/>
      <c r="C15" s="39"/>
      <c r="D15" s="39"/>
    </row>
    <row r="16" spans="1:5" ht="15" customHeight="1" x14ac:dyDescent="0.3">
      <c r="A16" s="39"/>
      <c r="B16" s="39"/>
      <c r="C16" s="39"/>
      <c r="D16" s="39"/>
    </row>
    <row r="17" spans="1:7" x14ac:dyDescent="0.3">
      <c r="A17" s="2" t="s">
        <v>5</v>
      </c>
      <c r="B17" s="2" t="s">
        <v>4</v>
      </c>
      <c r="C17" s="2" t="s">
        <v>6</v>
      </c>
      <c r="D17" s="2" t="s">
        <v>7</v>
      </c>
    </row>
    <row r="18" spans="1:7" x14ac:dyDescent="0.3">
      <c r="A18" s="2" t="s">
        <v>24</v>
      </c>
      <c r="B18" s="2" t="s">
        <v>22</v>
      </c>
      <c r="C18" s="2">
        <v>280</v>
      </c>
      <c r="D18" s="2" t="s">
        <v>13</v>
      </c>
    </row>
    <row r="19" spans="1:7" x14ac:dyDescent="0.3">
      <c r="A19" s="2" t="s">
        <v>25</v>
      </c>
      <c r="B19" s="2" t="s">
        <v>23</v>
      </c>
      <c r="C19" s="2">
        <v>280</v>
      </c>
      <c r="D19" s="2" t="s">
        <v>13</v>
      </c>
    </row>
    <row r="20" spans="1:7" x14ac:dyDescent="0.3">
      <c r="A20" s="39" t="s">
        <v>16</v>
      </c>
      <c r="B20" s="39"/>
      <c r="C20" s="39"/>
      <c r="D20" s="39"/>
    </row>
    <row r="21" spans="1:7" x14ac:dyDescent="0.3">
      <c r="A21" s="39"/>
      <c r="B21" s="39"/>
      <c r="C21" s="39"/>
      <c r="D21" s="39"/>
    </row>
    <row r="22" spans="1:7" x14ac:dyDescent="0.3">
      <c r="A22" s="2" t="s">
        <v>5</v>
      </c>
      <c r="B22" s="2" t="s">
        <v>4</v>
      </c>
      <c r="C22" s="2" t="s">
        <v>6</v>
      </c>
      <c r="D22" s="2" t="s">
        <v>7</v>
      </c>
    </row>
    <row r="23" spans="1:7" x14ac:dyDescent="0.3">
      <c r="A23" s="2" t="s">
        <v>35</v>
      </c>
      <c r="B23" s="2" t="s">
        <v>29</v>
      </c>
      <c r="C23" s="2">
        <f>-C18*C4/(C18+C19)</f>
        <v>-2001.6997268672251</v>
      </c>
      <c r="D23" s="2" t="s">
        <v>19</v>
      </c>
    </row>
    <row r="24" spans="1:7" x14ac:dyDescent="0.3">
      <c r="A24" s="2" t="s">
        <v>36</v>
      </c>
      <c r="B24" s="2" t="s">
        <v>30</v>
      </c>
      <c r="C24" s="2">
        <f>-C18*C5/(C18+C19)</f>
        <v>-7633.3039795435534</v>
      </c>
      <c r="D24" s="2" t="s">
        <v>19</v>
      </c>
    </row>
    <row r="25" spans="1:7" x14ac:dyDescent="0.3">
      <c r="A25" s="2" t="s">
        <v>41</v>
      </c>
      <c r="B25" s="2" t="s">
        <v>42</v>
      </c>
      <c r="C25" s="2">
        <f>(C23^2+C24^2)^0.5</f>
        <v>7891.3960387662564</v>
      </c>
      <c r="D25" s="2" t="s">
        <v>19</v>
      </c>
    </row>
    <row r="26" spans="1:7" x14ac:dyDescent="0.3">
      <c r="A26" s="2" t="s">
        <v>37</v>
      </c>
      <c r="B26" s="2" t="s">
        <v>31</v>
      </c>
      <c r="C26" s="2"/>
      <c r="D26" s="2" t="s">
        <v>19</v>
      </c>
    </row>
    <row r="27" spans="1:7" x14ac:dyDescent="0.3">
      <c r="A27" s="2" t="s">
        <v>38</v>
      </c>
      <c r="B27" s="2" t="s">
        <v>32</v>
      </c>
      <c r="C27" s="2">
        <f>-C4-C23</f>
        <v>-2001.6997268672251</v>
      </c>
      <c r="D27" s="2" t="s">
        <v>19</v>
      </c>
    </row>
    <row r="28" spans="1:7" x14ac:dyDescent="0.3">
      <c r="A28" s="2" t="s">
        <v>39</v>
      </c>
      <c r="B28" s="2" t="s">
        <v>33</v>
      </c>
      <c r="C28" s="2">
        <f>-C5-C24</f>
        <v>-7633.3039795435516</v>
      </c>
      <c r="D28" s="2" t="s">
        <v>19</v>
      </c>
    </row>
    <row r="29" spans="1:7" x14ac:dyDescent="0.3">
      <c r="A29" s="2" t="s">
        <v>43</v>
      </c>
      <c r="B29" s="2" t="s">
        <v>44</v>
      </c>
      <c r="C29" s="2">
        <f>(C27^2+C28^2)^0.5</f>
        <v>7891.3960387662546</v>
      </c>
      <c r="D29" s="2" t="s">
        <v>19</v>
      </c>
    </row>
    <row r="30" spans="1:7" x14ac:dyDescent="0.3">
      <c r="A30" s="2" t="s">
        <v>40</v>
      </c>
      <c r="B30" s="2" t="s">
        <v>34</v>
      </c>
      <c r="C30" s="2"/>
      <c r="D30" s="2" t="s">
        <v>19</v>
      </c>
      <c r="E30" s="43" t="s">
        <v>53</v>
      </c>
      <c r="F30" s="44"/>
      <c r="G30" s="45"/>
    </row>
    <row r="31" spans="1:7" x14ac:dyDescent="0.3">
      <c r="A31" s="33" t="s">
        <v>14</v>
      </c>
      <c r="B31" s="33" t="s">
        <v>15</v>
      </c>
      <c r="C31" s="2">
        <v>0</v>
      </c>
      <c r="D31" s="2" t="s">
        <v>20</v>
      </c>
      <c r="E31" s="5">
        <v>0</v>
      </c>
      <c r="F31" s="6" t="s">
        <v>52</v>
      </c>
      <c r="G31" s="4">
        <f>C18</f>
        <v>280</v>
      </c>
    </row>
    <row r="32" spans="1:7" x14ac:dyDescent="0.3">
      <c r="A32" s="33"/>
      <c r="B32" s="33"/>
      <c r="C32" s="2">
        <f>C5*C7/1000</f>
        <v>12497.498701000824</v>
      </c>
      <c r="D32" s="2" t="s">
        <v>20</v>
      </c>
      <c r="E32" s="5">
        <f>C18</f>
        <v>280</v>
      </c>
      <c r="F32" s="6" t="s">
        <v>52</v>
      </c>
      <c r="G32" s="4">
        <f>C18+C19</f>
        <v>560</v>
      </c>
    </row>
    <row r="33" spans="1:7" x14ac:dyDescent="0.3">
      <c r="A33" s="33" t="s">
        <v>18</v>
      </c>
      <c r="B33" s="33" t="s">
        <v>28</v>
      </c>
      <c r="C33" s="2">
        <f>C25</f>
        <v>7891.3960387662564</v>
      </c>
      <c r="D33" s="2" t="s">
        <v>19</v>
      </c>
      <c r="E33" s="5">
        <v>0</v>
      </c>
      <c r="F33" s="6" t="s">
        <v>52</v>
      </c>
      <c r="G33" s="4">
        <f>C18</f>
        <v>280</v>
      </c>
    </row>
    <row r="34" spans="1:7" x14ac:dyDescent="0.3">
      <c r="A34" s="33"/>
      <c r="B34" s="33"/>
      <c r="C34" s="2">
        <f>-C29</f>
        <v>-7891.3960387662546</v>
      </c>
      <c r="D34" s="2" t="s">
        <v>19</v>
      </c>
      <c r="E34" s="5">
        <f>C19</f>
        <v>280</v>
      </c>
      <c r="F34" s="6" t="s">
        <v>52</v>
      </c>
      <c r="G34" s="4">
        <f>C18+C19</f>
        <v>560</v>
      </c>
    </row>
    <row r="35" spans="1:7" x14ac:dyDescent="0.3">
      <c r="A35" s="33" t="s">
        <v>17</v>
      </c>
      <c r="B35" s="33" t="s">
        <v>26</v>
      </c>
      <c r="C35" s="2" t="s">
        <v>75</v>
      </c>
      <c r="D35" s="2" t="s">
        <v>20</v>
      </c>
      <c r="E35" s="5">
        <v>0</v>
      </c>
      <c r="F35" s="6" t="s">
        <v>52</v>
      </c>
      <c r="G35" s="4">
        <f>C18</f>
        <v>280</v>
      </c>
    </row>
    <row r="36" spans="1:7" x14ac:dyDescent="0.3">
      <c r="A36" s="33"/>
      <c r="B36" s="33"/>
      <c r="C36" s="2" t="s">
        <v>74</v>
      </c>
      <c r="D36" s="2" t="s">
        <v>20</v>
      </c>
      <c r="E36" s="5">
        <f>C18</f>
        <v>280</v>
      </c>
      <c r="F36" s="6" t="s">
        <v>52</v>
      </c>
      <c r="G36" s="4">
        <f>C18+C19</f>
        <v>560</v>
      </c>
    </row>
    <row r="37" spans="1:7" x14ac:dyDescent="0.3">
      <c r="A37" s="2" t="s">
        <v>54</v>
      </c>
      <c r="B37" s="2" t="s">
        <v>27</v>
      </c>
      <c r="C37" s="2">
        <f>IF(G37&lt;=C18,C33*G37/1000,C33*C18+C34*(G37-C18)/1000)</f>
        <v>2209.5908908545521</v>
      </c>
      <c r="D37" s="2" t="s">
        <v>20</v>
      </c>
      <c r="E37" s="5" t="s">
        <v>55</v>
      </c>
      <c r="F37" s="6" t="s">
        <v>56</v>
      </c>
      <c r="G37" s="4">
        <f>C18</f>
        <v>280</v>
      </c>
    </row>
    <row r="38" spans="1:7" x14ac:dyDescent="0.3">
      <c r="A38" s="33" t="s">
        <v>19</v>
      </c>
      <c r="B38" s="33" t="s">
        <v>57</v>
      </c>
      <c r="C38" s="2"/>
      <c r="D38" s="2" t="s">
        <v>19</v>
      </c>
      <c r="E38" s="5">
        <f t="shared" ref="E38:F39" si="0">E35</f>
        <v>0</v>
      </c>
      <c r="F38" s="6" t="str">
        <f t="shared" si="0"/>
        <v>&lt;=x&lt;=</v>
      </c>
      <c r="G38" s="4">
        <f>C18</f>
        <v>280</v>
      </c>
    </row>
    <row r="39" spans="1:7" ht="15" thickBot="1" x14ac:dyDescent="0.35">
      <c r="A39" s="33"/>
      <c r="B39" s="33"/>
      <c r="C39" s="2"/>
      <c r="D39" s="2" t="s">
        <v>19</v>
      </c>
      <c r="E39" s="7">
        <f>C18</f>
        <v>280</v>
      </c>
      <c r="F39" s="8" t="str">
        <f t="shared" si="0"/>
        <v>&lt;=x&lt;=</v>
      </c>
      <c r="G39" s="9">
        <f>C18+C19</f>
        <v>560</v>
      </c>
    </row>
    <row r="40" spans="1:7" x14ac:dyDescent="0.3">
      <c r="A40" s="39" t="s">
        <v>79</v>
      </c>
      <c r="B40" s="39"/>
      <c r="C40" s="39"/>
      <c r="D40" s="39"/>
      <c r="E40" s="36" t="s">
        <v>58</v>
      </c>
      <c r="F40" s="37"/>
      <c r="G40" s="38"/>
    </row>
    <row r="41" spans="1:7" ht="15" thickBot="1" x14ac:dyDescent="0.35">
      <c r="A41" s="39"/>
      <c r="B41" s="39"/>
      <c r="C41" s="39"/>
      <c r="D41" s="39"/>
      <c r="E41" s="10" t="s">
        <v>56</v>
      </c>
      <c r="F41" s="11">
        <f>C18</f>
        <v>280</v>
      </c>
      <c r="G41" s="12" t="s">
        <v>13</v>
      </c>
    </row>
    <row r="42" spans="1:7" ht="15" thickBot="1" x14ac:dyDescent="0.35">
      <c r="A42" s="13" t="s">
        <v>5</v>
      </c>
      <c r="B42" s="13" t="s">
        <v>4</v>
      </c>
      <c r="C42" s="13" t="s">
        <v>6</v>
      </c>
      <c r="D42" s="13" t="s">
        <v>7</v>
      </c>
    </row>
    <row r="43" spans="1:7" ht="15" thickBot="1" x14ac:dyDescent="0.35">
      <c r="A43" s="40" t="s">
        <v>59</v>
      </c>
      <c r="B43" s="41"/>
      <c r="C43" s="41"/>
      <c r="D43" s="42"/>
    </row>
    <row r="44" spans="1:7" x14ac:dyDescent="0.3">
      <c r="A44" s="18" t="s">
        <v>60</v>
      </c>
      <c r="B44" s="19" t="s">
        <v>64</v>
      </c>
      <c r="C44" s="19">
        <v>1</v>
      </c>
      <c r="D44" s="20"/>
    </row>
    <row r="45" spans="1:7" x14ac:dyDescent="0.3">
      <c r="A45" s="14" t="s">
        <v>61</v>
      </c>
      <c r="B45" s="1" t="s">
        <v>65</v>
      </c>
      <c r="C45" s="1">
        <v>1.7</v>
      </c>
      <c r="D45" s="15"/>
    </row>
    <row r="46" spans="1:7" x14ac:dyDescent="0.3">
      <c r="A46" s="14" t="s">
        <v>63</v>
      </c>
      <c r="B46" s="1" t="s">
        <v>69</v>
      </c>
      <c r="C46" s="1">
        <v>3</v>
      </c>
      <c r="D46" s="15"/>
    </row>
    <row r="47" spans="1:7" ht="15" thickBot="1" x14ac:dyDescent="0.35">
      <c r="A47" s="10" t="s">
        <v>62</v>
      </c>
      <c r="B47" s="11" t="s">
        <v>70</v>
      </c>
      <c r="C47" s="11">
        <v>1.5</v>
      </c>
      <c r="D47" s="12"/>
    </row>
    <row r="48" spans="1:7" x14ac:dyDescent="0.3">
      <c r="A48" s="16" t="s">
        <v>48</v>
      </c>
      <c r="B48" s="17" t="s">
        <v>71</v>
      </c>
      <c r="C48" s="17">
        <f>C12/PRODUCT(C44:C47)</f>
        <v>130.71895424836603</v>
      </c>
      <c r="D48" s="17" t="s">
        <v>51</v>
      </c>
    </row>
    <row r="49" spans="1:5" x14ac:dyDescent="0.3">
      <c r="A49" s="2" t="s">
        <v>72</v>
      </c>
      <c r="B49" s="2" t="s">
        <v>73</v>
      </c>
      <c r="C49" s="2">
        <f>(C37^2+0.75*C32^2)^0.5</f>
        <v>11046.397477960198</v>
      </c>
      <c r="D49" s="2" t="s">
        <v>20</v>
      </c>
    </row>
    <row r="50" spans="1:5" x14ac:dyDescent="0.3">
      <c r="A50" s="2" t="s">
        <v>76</v>
      </c>
      <c r="B50" s="2" t="s">
        <v>77</v>
      </c>
      <c r="C50" s="2">
        <f>(32/PI()*C49/(C48*10^6))^(1/3)*1000</f>
        <v>95.124868408570833</v>
      </c>
      <c r="D50" s="2" t="s">
        <v>13</v>
      </c>
    </row>
    <row r="51" spans="1:5" x14ac:dyDescent="0.3">
      <c r="A51" s="17" t="s">
        <v>62</v>
      </c>
      <c r="B51" s="2" t="s">
        <v>78</v>
      </c>
      <c r="C51" s="2">
        <f>INT(C50*1.1)</f>
        <v>104</v>
      </c>
      <c r="D51" s="2" t="s">
        <v>13</v>
      </c>
    </row>
    <row r="52" spans="1:5" x14ac:dyDescent="0.3">
      <c r="A52" s="39" t="s">
        <v>80</v>
      </c>
      <c r="B52" s="39"/>
      <c r="C52" s="39"/>
      <c r="D52" s="39"/>
    </row>
    <row r="53" spans="1:5" x14ac:dyDescent="0.3">
      <c r="A53" s="39"/>
      <c r="B53" s="39"/>
      <c r="C53" s="39"/>
      <c r="D53" s="39"/>
    </row>
    <row r="54" spans="1:5" ht="15" thickBot="1" x14ac:dyDescent="0.35">
      <c r="A54" s="2" t="s">
        <v>5</v>
      </c>
      <c r="B54" s="2" t="s">
        <v>4</v>
      </c>
      <c r="C54" s="2" t="s">
        <v>6</v>
      </c>
      <c r="D54" s="2" t="s">
        <v>7</v>
      </c>
    </row>
    <row r="55" spans="1:5" ht="15" thickBot="1" x14ac:dyDescent="0.35">
      <c r="A55" s="36" t="s">
        <v>59</v>
      </c>
      <c r="B55" s="37"/>
      <c r="C55" s="37"/>
      <c r="D55" s="38"/>
    </row>
    <row r="56" spans="1:5" x14ac:dyDescent="0.3">
      <c r="A56" s="18" t="s">
        <v>84</v>
      </c>
      <c r="B56" s="19" t="s">
        <v>95</v>
      </c>
      <c r="C56" s="19">
        <v>0.9</v>
      </c>
      <c r="D56" s="20"/>
      <c r="E56" s="1" t="s">
        <v>129</v>
      </c>
    </row>
    <row r="57" spans="1:5" x14ac:dyDescent="0.3">
      <c r="A57" s="14" t="s">
        <v>85</v>
      </c>
      <c r="B57" s="1" t="s">
        <v>96</v>
      </c>
      <c r="C57" s="1">
        <v>0.6</v>
      </c>
      <c r="D57" s="15"/>
      <c r="E57" s="1" t="s">
        <v>103</v>
      </c>
    </row>
    <row r="58" spans="1:5" x14ac:dyDescent="0.3">
      <c r="A58" s="14" t="s">
        <v>86</v>
      </c>
      <c r="B58" s="1" t="s">
        <v>97</v>
      </c>
      <c r="C58" s="1">
        <v>1</v>
      </c>
      <c r="D58" s="15"/>
      <c r="E58" s="1" t="s">
        <v>134</v>
      </c>
    </row>
    <row r="59" spans="1:5" x14ac:dyDescent="0.3">
      <c r="A59" s="28" t="s">
        <v>87</v>
      </c>
      <c r="B59" s="1" t="s">
        <v>98</v>
      </c>
      <c r="C59" s="1">
        <v>1.1000000000000001</v>
      </c>
      <c r="D59" s="15"/>
      <c r="E59" s="1" t="s">
        <v>130</v>
      </c>
    </row>
    <row r="60" spans="1:5" x14ac:dyDescent="0.3">
      <c r="A60" s="28" t="s">
        <v>88</v>
      </c>
      <c r="B60" s="1" t="s">
        <v>99</v>
      </c>
      <c r="C60" s="1">
        <v>1.25</v>
      </c>
      <c r="D60" s="15"/>
      <c r="E60" s="1" t="s">
        <v>131</v>
      </c>
    </row>
    <row r="61" spans="1:5" x14ac:dyDescent="0.3">
      <c r="A61" s="28" t="s">
        <v>89</v>
      </c>
      <c r="B61" s="1" t="s">
        <v>100</v>
      </c>
      <c r="C61" s="1">
        <v>1.2</v>
      </c>
      <c r="D61" s="15"/>
      <c r="E61" s="1" t="s">
        <v>135</v>
      </c>
    </row>
    <row r="62" spans="1:5" x14ac:dyDescent="0.3">
      <c r="A62" s="28" t="s">
        <v>90</v>
      </c>
      <c r="B62" s="1" t="s">
        <v>101</v>
      </c>
      <c r="C62" s="1">
        <v>1.1000000000000001</v>
      </c>
      <c r="D62" s="15"/>
      <c r="E62" s="1" t="s">
        <v>132</v>
      </c>
    </row>
    <row r="63" spans="1:5" ht="15" thickBot="1" x14ac:dyDescent="0.35">
      <c r="A63" s="29" t="s">
        <v>91</v>
      </c>
      <c r="B63" s="11" t="s">
        <v>127</v>
      </c>
      <c r="C63" s="11">
        <v>1.7</v>
      </c>
      <c r="D63" s="12"/>
      <c r="E63" s="1" t="s">
        <v>133</v>
      </c>
    </row>
    <row r="64" spans="1:5" ht="15" thickBot="1" x14ac:dyDescent="0.35">
      <c r="A64" s="25" t="s">
        <v>92</v>
      </c>
      <c r="B64" s="26" t="s">
        <v>128</v>
      </c>
      <c r="C64" s="26">
        <v>1.6</v>
      </c>
      <c r="D64" s="27"/>
      <c r="E64" s="1" t="s">
        <v>137</v>
      </c>
    </row>
    <row r="65" spans="1:5" x14ac:dyDescent="0.3">
      <c r="A65" s="17" t="s">
        <v>93</v>
      </c>
      <c r="B65" s="17" t="s">
        <v>71</v>
      </c>
      <c r="C65" s="17">
        <f>C13*PRODUCT(C56:C58)/PRODUCT(C59:C64)</f>
        <v>49.222168206125431</v>
      </c>
      <c r="D65" s="17" t="s">
        <v>51</v>
      </c>
    </row>
    <row r="66" spans="1:5" x14ac:dyDescent="0.3">
      <c r="A66" s="2" t="s">
        <v>104</v>
      </c>
      <c r="B66" s="2" t="s">
        <v>106</v>
      </c>
      <c r="C66" s="2">
        <f>PI()*(C51/1000)^3/32</f>
        <v>1.104332649589884E-4</v>
      </c>
      <c r="D66" s="2" t="s">
        <v>107</v>
      </c>
    </row>
    <row r="67" spans="1:5" x14ac:dyDescent="0.3">
      <c r="A67" s="2" t="s">
        <v>105</v>
      </c>
      <c r="B67" s="2" t="s">
        <v>110</v>
      </c>
      <c r="C67" s="2">
        <f>2*C66</f>
        <v>2.208665299179768E-4</v>
      </c>
      <c r="D67" s="2" t="s">
        <v>107</v>
      </c>
    </row>
    <row r="68" spans="1:5" x14ac:dyDescent="0.3">
      <c r="A68" s="3" t="s">
        <v>109</v>
      </c>
      <c r="B68" s="2" t="s">
        <v>120</v>
      </c>
      <c r="C68" s="2">
        <v>2</v>
      </c>
      <c r="D68" s="2"/>
      <c r="E68" s="1" t="s">
        <v>136</v>
      </c>
    </row>
    <row r="69" spans="1:5" x14ac:dyDescent="0.3">
      <c r="A69" s="3" t="s">
        <v>108</v>
      </c>
      <c r="B69" s="2" t="s">
        <v>121</v>
      </c>
      <c r="C69" s="2">
        <v>1.6</v>
      </c>
      <c r="D69" s="2"/>
      <c r="E69" s="1" t="s">
        <v>136</v>
      </c>
    </row>
    <row r="70" spans="1:5" x14ac:dyDescent="0.3">
      <c r="A70" s="2" t="s">
        <v>113</v>
      </c>
      <c r="B70" s="2" t="s">
        <v>112</v>
      </c>
      <c r="C70" s="2">
        <f>C37/C66/10^6</f>
        <v>20.008381457119174</v>
      </c>
      <c r="D70" s="2" t="s">
        <v>51</v>
      </c>
    </row>
    <row r="71" spans="1:5" x14ac:dyDescent="0.3">
      <c r="A71" s="2" t="s">
        <v>119</v>
      </c>
      <c r="B71" s="2" t="s">
        <v>111</v>
      </c>
      <c r="C71" s="2">
        <f>C32/C67/10^6</f>
        <v>56.583941014702496</v>
      </c>
      <c r="D71" s="2" t="s">
        <v>51</v>
      </c>
    </row>
    <row r="72" spans="1:5" x14ac:dyDescent="0.3">
      <c r="A72" s="2" t="s">
        <v>114</v>
      </c>
      <c r="B72" s="2"/>
      <c r="C72" s="2">
        <f>C69*C13/C14/C68</f>
        <v>0.62068965517241381</v>
      </c>
      <c r="D72" s="2"/>
    </row>
    <row r="73" spans="1:5" ht="15" thickBot="1" x14ac:dyDescent="0.35">
      <c r="A73" s="23" t="s">
        <v>115</v>
      </c>
      <c r="B73" s="13" t="s">
        <v>116</v>
      </c>
      <c r="C73" s="13">
        <f>(C70^2+C72^2*C71^2)^0.5</f>
        <v>40.420597030256424</v>
      </c>
      <c r="D73" s="13" t="s">
        <v>51</v>
      </c>
    </row>
    <row r="74" spans="1:5" x14ac:dyDescent="0.3">
      <c r="A74" s="30" t="s">
        <v>80</v>
      </c>
      <c r="B74" s="31"/>
      <c r="C74" s="31" t="str">
        <f>IF(C73&lt;C65,"OK","Redimensionar")</f>
        <v>OK</v>
      </c>
      <c r="D74" s="34"/>
    </row>
    <row r="75" spans="1:5" x14ac:dyDescent="0.3">
      <c r="A75" s="32"/>
      <c r="B75" s="33"/>
      <c r="C75" s="33"/>
      <c r="D75" s="35"/>
    </row>
    <row r="76" spans="1:5" ht="15" thickBot="1" x14ac:dyDescent="0.35">
      <c r="A76" s="24" t="s">
        <v>117</v>
      </c>
      <c r="B76" s="21" t="s">
        <v>118</v>
      </c>
      <c r="C76" s="21">
        <f>C65/C73</f>
        <v>1.2177496579103144</v>
      </c>
      <c r="D76" s="22" t="str">
        <f>IF(C74="Redimensionar","Redimensionar",IF(C76&lt;=1.2,"OK","Superdimensionado"))</f>
        <v>Superdimensionado</v>
      </c>
    </row>
  </sheetData>
  <sheetProtection sheet="1" objects="1" scenarios="1"/>
  <mergeCells count="22">
    <mergeCell ref="B38:B39"/>
    <mergeCell ref="A38:A39"/>
    <mergeCell ref="A31:A32"/>
    <mergeCell ref="B31:B32"/>
    <mergeCell ref="A1:D2"/>
    <mergeCell ref="A20:D21"/>
    <mergeCell ref="A15:D16"/>
    <mergeCell ref="A8:D9"/>
    <mergeCell ref="A10:B10"/>
    <mergeCell ref="C10:D10"/>
    <mergeCell ref="E30:G30"/>
    <mergeCell ref="A33:A34"/>
    <mergeCell ref="B33:B34"/>
    <mergeCell ref="B35:B36"/>
    <mergeCell ref="A35:A36"/>
    <mergeCell ref="A74:B75"/>
    <mergeCell ref="C74:D75"/>
    <mergeCell ref="E40:G40"/>
    <mergeCell ref="A40:D41"/>
    <mergeCell ref="A43:D43"/>
    <mergeCell ref="A52:D53"/>
    <mergeCell ref="A55:D55"/>
  </mergeCells>
  <conditionalFormatting sqref="C74:D75 D76">
    <cfRule type="cellIs" dxfId="5" priority="1" operator="equal">
      <formula>"Superdimensionado"</formula>
    </cfRule>
    <cfRule type="cellIs" dxfId="4" priority="2" operator="equal">
      <formula>"Redimensionar"</formula>
    </cfRule>
    <cfRule type="cellIs" dxfId="3" priority="3" operator="equal">
      <formula>"OK"</formula>
    </cfRule>
  </conditionalFormatting>
  <pageMargins left="0.7" right="0.7" top="0.75" bottom="0.75" header="0.3" footer="0.3"/>
  <pageSetup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1026" r:id="rId4">
          <objectPr defaultSize="0" autoPict="0" r:id="rId5">
            <anchor moveWithCells="1" sizeWithCells="1">
              <from>
                <xdr:col>10</xdr:col>
                <xdr:colOff>76200</xdr:colOff>
                <xdr:row>47</xdr:row>
                <xdr:rowOff>152400</xdr:rowOff>
              </from>
              <to>
                <xdr:col>12</xdr:col>
                <xdr:colOff>403860</xdr:colOff>
                <xdr:row>50</xdr:row>
                <xdr:rowOff>38100</xdr:rowOff>
              </to>
            </anchor>
          </objectPr>
        </oleObject>
      </mc:Choice>
      <mc:Fallback>
        <oleObject progId="Equation.3" shapeId="1026" r:id="rId4"/>
      </mc:Fallback>
    </mc:AlternateContent>
    <mc:AlternateContent xmlns:mc="http://schemas.openxmlformats.org/markup-compatibility/2006">
      <mc:Choice Requires="x14">
        <oleObject progId="Equation.3" shapeId="1028" r:id="rId6">
          <objectPr defaultSize="0" autoPict="0" r:id="rId7">
            <anchor moveWithCells="1" sizeWithCells="1">
              <from>
                <xdr:col>10</xdr:col>
                <xdr:colOff>182880</xdr:colOff>
                <xdr:row>70</xdr:row>
                <xdr:rowOff>182880</xdr:rowOff>
              </from>
              <to>
                <xdr:col>12</xdr:col>
                <xdr:colOff>297180</xdr:colOff>
                <xdr:row>72</xdr:row>
                <xdr:rowOff>114300</xdr:rowOff>
              </to>
            </anchor>
          </objectPr>
        </oleObject>
      </mc:Choice>
      <mc:Fallback>
        <oleObject progId="Equation.3" shapeId="1028" r:id="rId6"/>
      </mc:Fallback>
    </mc:AlternateContent>
    <mc:AlternateContent xmlns:mc="http://schemas.openxmlformats.org/markup-compatibility/2006">
      <mc:Choice Requires="x14">
        <oleObject progId="Equation.3" shapeId="1029" r:id="rId8">
          <objectPr defaultSize="0" autoPict="0" r:id="rId9">
            <anchor moveWithCells="1" sizeWithCells="1">
              <from>
                <xdr:col>10</xdr:col>
                <xdr:colOff>403860</xdr:colOff>
                <xdr:row>66</xdr:row>
                <xdr:rowOff>83820</xdr:rowOff>
              </from>
              <to>
                <xdr:col>12</xdr:col>
                <xdr:colOff>76200</xdr:colOff>
                <xdr:row>69</xdr:row>
                <xdr:rowOff>22860</xdr:rowOff>
              </to>
            </anchor>
          </objectPr>
        </oleObject>
      </mc:Choice>
      <mc:Fallback>
        <oleObject progId="Equation.3" shapeId="1029" r:id="rId8"/>
      </mc:Fallback>
    </mc:AlternateContent>
    <mc:AlternateContent xmlns:mc="http://schemas.openxmlformats.org/markup-compatibility/2006">
      <mc:Choice Requires="x14">
        <oleObject progId="Equation.3" shapeId="1030" r:id="rId10">
          <objectPr defaultSize="0" autoPict="0" r:id="rId5">
            <anchor moveWithCells="1" sizeWithCells="1">
              <from>
                <xdr:col>10</xdr:col>
                <xdr:colOff>68580</xdr:colOff>
                <xdr:row>47</xdr:row>
                <xdr:rowOff>152400</xdr:rowOff>
              </from>
              <to>
                <xdr:col>12</xdr:col>
                <xdr:colOff>388620</xdr:colOff>
                <xdr:row>50</xdr:row>
                <xdr:rowOff>38100</xdr:rowOff>
              </to>
            </anchor>
          </objectPr>
        </oleObject>
      </mc:Choice>
      <mc:Fallback>
        <oleObject progId="Equation.3" shapeId="1030" r:id="rId10"/>
      </mc:Fallback>
    </mc:AlternateContent>
    <mc:AlternateContent xmlns:mc="http://schemas.openxmlformats.org/markup-compatibility/2006">
      <mc:Choice Requires="x14">
        <oleObject progId="Equation.3" shapeId="1031" r:id="rId11">
          <objectPr defaultSize="0" r:id="rId12">
            <anchor moveWithCells="1" sizeWithCells="1">
              <from>
                <xdr:col>11</xdr:col>
                <xdr:colOff>198120</xdr:colOff>
                <xdr:row>58</xdr:row>
                <xdr:rowOff>0</xdr:rowOff>
              </from>
              <to>
                <xdr:col>15</xdr:col>
                <xdr:colOff>251460</xdr:colOff>
                <xdr:row>62</xdr:row>
                <xdr:rowOff>76200</xdr:rowOff>
              </to>
            </anchor>
          </objectPr>
        </oleObject>
      </mc:Choice>
      <mc:Fallback>
        <oleObject progId="Equation.3" shapeId="1031" r:id="rId1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76"/>
  <sheetViews>
    <sheetView topLeftCell="A64" workbookViewId="0">
      <selection activeCell="B85" sqref="B85"/>
    </sheetView>
  </sheetViews>
  <sheetFormatPr defaultRowHeight="14.4" x14ac:dyDescent="0.3"/>
  <cols>
    <col min="1" max="1" width="7.109375" bestFit="1" customWidth="1"/>
    <col min="2" max="2" width="44.6640625" bestFit="1" customWidth="1"/>
    <col min="3" max="3" width="24.6640625" bestFit="1" customWidth="1"/>
    <col min="4" max="4" width="14.5546875" bestFit="1" customWidth="1"/>
  </cols>
  <sheetData>
    <row r="1" spans="1:7" x14ac:dyDescent="0.3">
      <c r="A1" s="39" t="s">
        <v>0</v>
      </c>
      <c r="B1" s="39"/>
      <c r="C1" s="39"/>
      <c r="D1" s="39"/>
      <c r="E1" s="1"/>
      <c r="F1" s="1"/>
      <c r="G1" s="1"/>
    </row>
    <row r="2" spans="1:7" x14ac:dyDescent="0.3">
      <c r="A2" s="39"/>
      <c r="B2" s="39"/>
      <c r="C2" s="39"/>
      <c r="D2" s="39"/>
      <c r="E2" s="1"/>
      <c r="F2" s="1"/>
      <c r="G2" s="1"/>
    </row>
    <row r="3" spans="1:7" x14ac:dyDescent="0.3">
      <c r="A3" s="2" t="s">
        <v>5</v>
      </c>
      <c r="B3" s="2" t="s">
        <v>4</v>
      </c>
      <c r="C3" s="2" t="s">
        <v>6</v>
      </c>
      <c r="D3" s="2" t="s">
        <v>7</v>
      </c>
      <c r="E3" s="1"/>
      <c r="F3" s="1"/>
      <c r="G3" s="1"/>
    </row>
    <row r="4" spans="1:7" x14ac:dyDescent="0.3">
      <c r="A4" s="2" t="s">
        <v>8</v>
      </c>
      <c r="B4" s="2" t="s">
        <v>122</v>
      </c>
      <c r="C4" s="2">
        <f>CONVERT(900,"lbf","N")</f>
        <v>4003.3994537344502</v>
      </c>
      <c r="D4" s="2" t="s">
        <v>19</v>
      </c>
      <c r="E4" s="1"/>
      <c r="F4" s="1"/>
      <c r="G4" s="1"/>
    </row>
    <row r="5" spans="1:7" x14ac:dyDescent="0.3">
      <c r="A5" s="2" t="s">
        <v>9</v>
      </c>
      <c r="B5" s="2" t="s">
        <v>123</v>
      </c>
      <c r="C5" s="2">
        <f>CONVERT(579.38,"lbf","N")</f>
        <v>2577.2106394496286</v>
      </c>
      <c r="D5" s="2" t="s">
        <v>19</v>
      </c>
      <c r="E5" s="1"/>
      <c r="F5" s="1"/>
      <c r="G5" s="1"/>
    </row>
    <row r="6" spans="1:7" x14ac:dyDescent="0.3">
      <c r="A6" s="2" t="s">
        <v>10</v>
      </c>
      <c r="B6" s="2" t="s">
        <v>124</v>
      </c>
      <c r="C6" s="2">
        <f>CONVERT(3432.07,"lbf","N")</f>
        <v>15266.607959087105</v>
      </c>
      <c r="D6" s="2" t="s">
        <v>19</v>
      </c>
      <c r="E6" s="1"/>
      <c r="F6" s="1"/>
      <c r="G6" s="1"/>
    </row>
    <row r="7" spans="1:7" x14ac:dyDescent="0.3">
      <c r="A7" s="2" t="s">
        <v>12</v>
      </c>
      <c r="B7" s="2" t="s">
        <v>125</v>
      </c>
      <c r="C7" s="2">
        <f>4.771*25.4</f>
        <v>121.18339999999999</v>
      </c>
      <c r="D7" s="2" t="s">
        <v>13</v>
      </c>
      <c r="E7" s="1"/>
      <c r="F7" s="1"/>
      <c r="G7" s="1"/>
    </row>
    <row r="8" spans="1:7" x14ac:dyDescent="0.3">
      <c r="A8" s="39" t="s">
        <v>45</v>
      </c>
      <c r="B8" s="39"/>
      <c r="C8" s="39"/>
      <c r="D8" s="39"/>
      <c r="E8" s="1"/>
      <c r="F8" s="1"/>
      <c r="G8" s="1"/>
    </row>
    <row r="9" spans="1:7" x14ac:dyDescent="0.3">
      <c r="A9" s="39"/>
      <c r="B9" s="39"/>
      <c r="C9" s="39"/>
      <c r="D9" s="39"/>
      <c r="E9" s="1"/>
      <c r="F9" s="1"/>
      <c r="G9" s="1"/>
    </row>
    <row r="10" spans="1:7" x14ac:dyDescent="0.3">
      <c r="A10" s="46" t="s">
        <v>46</v>
      </c>
      <c r="B10" s="46"/>
      <c r="C10" s="33" t="s">
        <v>47</v>
      </c>
      <c r="D10" s="33"/>
      <c r="E10" s="1"/>
      <c r="F10" s="1"/>
      <c r="G10" s="1"/>
    </row>
    <row r="11" spans="1:7" x14ac:dyDescent="0.3">
      <c r="A11" s="2" t="s">
        <v>5</v>
      </c>
      <c r="B11" s="2" t="s">
        <v>4</v>
      </c>
      <c r="C11" s="2" t="s">
        <v>6</v>
      </c>
      <c r="D11" s="2" t="s">
        <v>7</v>
      </c>
      <c r="E11" s="1"/>
      <c r="F11" s="1"/>
      <c r="G11" s="1"/>
    </row>
    <row r="12" spans="1:7" x14ac:dyDescent="0.3">
      <c r="A12" s="3" t="s">
        <v>49</v>
      </c>
      <c r="B12" s="2" t="s">
        <v>68</v>
      </c>
      <c r="C12" s="2">
        <v>1000</v>
      </c>
      <c r="D12" s="2" t="s">
        <v>51</v>
      </c>
      <c r="E12" s="1"/>
      <c r="F12" s="1"/>
      <c r="G12" s="1"/>
    </row>
    <row r="13" spans="1:7" x14ac:dyDescent="0.3">
      <c r="A13" s="3" t="s">
        <v>67</v>
      </c>
      <c r="B13" s="2" t="s">
        <v>81</v>
      </c>
      <c r="C13" s="2">
        <f>0.45*C12</f>
        <v>450</v>
      </c>
      <c r="D13" s="2" t="s">
        <v>50</v>
      </c>
      <c r="E13" s="1" t="s">
        <v>66</v>
      </c>
      <c r="F13" s="1"/>
      <c r="G13" s="1"/>
    </row>
    <row r="14" spans="1:7" x14ac:dyDescent="0.3">
      <c r="A14" s="3" t="s">
        <v>82</v>
      </c>
      <c r="B14" s="2" t="s">
        <v>83</v>
      </c>
      <c r="C14" s="2">
        <f>0.58*C12</f>
        <v>580</v>
      </c>
      <c r="D14" s="2" t="s">
        <v>50</v>
      </c>
      <c r="E14" s="1" t="s">
        <v>66</v>
      </c>
      <c r="F14" s="1"/>
      <c r="G14" s="1"/>
    </row>
    <row r="15" spans="1:7" x14ac:dyDescent="0.3">
      <c r="A15" s="39" t="s">
        <v>21</v>
      </c>
      <c r="B15" s="39"/>
      <c r="C15" s="39"/>
      <c r="D15" s="39"/>
      <c r="E15" s="1"/>
      <c r="F15" s="1"/>
      <c r="G15" s="1"/>
    </row>
    <row r="16" spans="1:7" x14ac:dyDescent="0.3">
      <c r="A16" s="39"/>
      <c r="B16" s="39"/>
      <c r="C16" s="39"/>
      <c r="D16" s="39"/>
      <c r="E16" s="1"/>
      <c r="F16" s="1"/>
      <c r="G16" s="1"/>
    </row>
    <row r="17" spans="1:7" x14ac:dyDescent="0.3">
      <c r="A17" s="2" t="s">
        <v>5</v>
      </c>
      <c r="B17" s="2" t="s">
        <v>4</v>
      </c>
      <c r="C17" s="2" t="s">
        <v>6</v>
      </c>
      <c r="D17" s="2" t="s">
        <v>7</v>
      </c>
      <c r="E17" s="1"/>
      <c r="F17" s="1"/>
      <c r="G17" s="1"/>
    </row>
    <row r="18" spans="1:7" x14ac:dyDescent="0.3">
      <c r="A18" s="2" t="s">
        <v>24</v>
      </c>
      <c r="B18" s="2" t="s">
        <v>22</v>
      </c>
      <c r="C18" s="2">
        <v>396.2</v>
      </c>
      <c r="D18" s="2" t="s">
        <v>13</v>
      </c>
      <c r="E18" s="1"/>
      <c r="F18" s="1"/>
      <c r="G18" s="1"/>
    </row>
    <row r="19" spans="1:7" x14ac:dyDescent="0.3">
      <c r="A19" s="2" t="s">
        <v>25</v>
      </c>
      <c r="B19" s="2" t="s">
        <v>23</v>
      </c>
      <c r="C19" s="2">
        <v>396.2</v>
      </c>
      <c r="D19" s="2" t="s">
        <v>13</v>
      </c>
      <c r="E19" s="1"/>
      <c r="F19" s="1"/>
      <c r="G19" s="1"/>
    </row>
    <row r="20" spans="1:7" x14ac:dyDescent="0.3">
      <c r="A20" s="39" t="s">
        <v>16</v>
      </c>
      <c r="B20" s="39"/>
      <c r="C20" s="39"/>
      <c r="D20" s="39"/>
      <c r="E20" s="1"/>
      <c r="F20" s="1"/>
      <c r="G20" s="1"/>
    </row>
    <row r="21" spans="1:7" x14ac:dyDescent="0.3">
      <c r="A21" s="39"/>
      <c r="B21" s="39"/>
      <c r="C21" s="39"/>
      <c r="D21" s="39"/>
      <c r="E21" s="1"/>
      <c r="F21" s="1"/>
      <c r="G21" s="1"/>
    </row>
    <row r="22" spans="1:7" x14ac:dyDescent="0.3">
      <c r="A22" s="2" t="s">
        <v>5</v>
      </c>
      <c r="B22" s="2" t="s">
        <v>4</v>
      </c>
      <c r="C22" s="2" t="s">
        <v>6</v>
      </c>
      <c r="D22" s="2" t="s">
        <v>7</v>
      </c>
      <c r="E22" s="1"/>
      <c r="F22" s="1"/>
      <c r="G22" s="1"/>
    </row>
    <row r="23" spans="1:7" x14ac:dyDescent="0.3">
      <c r="A23" s="2" t="s">
        <v>35</v>
      </c>
      <c r="B23" s="2" t="s">
        <v>29</v>
      </c>
      <c r="C23" s="2">
        <f>-C18*C4/(C18+C19)</f>
        <v>-2001.6997268672251</v>
      </c>
      <c r="D23" s="2" t="s">
        <v>19</v>
      </c>
      <c r="E23" s="1"/>
      <c r="F23" s="1"/>
      <c r="G23" s="1"/>
    </row>
    <row r="24" spans="1:7" x14ac:dyDescent="0.3">
      <c r="A24" s="2" t="s">
        <v>36</v>
      </c>
      <c r="B24" s="2" t="s">
        <v>30</v>
      </c>
      <c r="C24" s="2">
        <f>-C18*C5/(C18+C19)</f>
        <v>-1288.6053197248143</v>
      </c>
      <c r="D24" s="2" t="s">
        <v>19</v>
      </c>
      <c r="E24" s="1"/>
      <c r="F24" s="1"/>
      <c r="G24" s="1"/>
    </row>
    <row r="25" spans="1:7" x14ac:dyDescent="0.3">
      <c r="A25" s="2" t="s">
        <v>41</v>
      </c>
      <c r="B25" s="2" t="s">
        <v>42</v>
      </c>
      <c r="C25" s="2">
        <f>(C23^2+C24^2)^0.5</f>
        <v>2380.6103138824328</v>
      </c>
      <c r="D25" s="2" t="s">
        <v>19</v>
      </c>
      <c r="E25" s="1"/>
      <c r="F25" s="1"/>
      <c r="G25" s="1"/>
    </row>
    <row r="26" spans="1:7" x14ac:dyDescent="0.3">
      <c r="A26" s="2" t="s">
        <v>37</v>
      </c>
      <c r="B26" s="2" t="s">
        <v>31</v>
      </c>
      <c r="C26" s="2"/>
      <c r="D26" s="2" t="s">
        <v>19</v>
      </c>
      <c r="E26" s="1"/>
      <c r="F26" s="1"/>
      <c r="G26" s="1"/>
    </row>
    <row r="27" spans="1:7" x14ac:dyDescent="0.3">
      <c r="A27" s="2" t="s">
        <v>38</v>
      </c>
      <c r="B27" s="2" t="s">
        <v>32</v>
      </c>
      <c r="C27" s="2">
        <f>-C4-C23</f>
        <v>-2001.6997268672251</v>
      </c>
      <c r="D27" s="2" t="s">
        <v>19</v>
      </c>
      <c r="E27" s="1"/>
      <c r="F27" s="1"/>
      <c r="G27" s="1"/>
    </row>
    <row r="28" spans="1:7" x14ac:dyDescent="0.3">
      <c r="A28" s="2" t="s">
        <v>39</v>
      </c>
      <c r="B28" s="2" t="s">
        <v>33</v>
      </c>
      <c r="C28" s="2">
        <f>-C5-C24</f>
        <v>-1288.6053197248143</v>
      </c>
      <c r="D28" s="2" t="s">
        <v>19</v>
      </c>
      <c r="E28" s="1"/>
      <c r="F28" s="1"/>
      <c r="G28" s="1"/>
    </row>
    <row r="29" spans="1:7" x14ac:dyDescent="0.3">
      <c r="A29" s="2" t="s">
        <v>43</v>
      </c>
      <c r="B29" s="2" t="s">
        <v>44</v>
      </c>
      <c r="C29" s="2">
        <f>(C27^2+C28^2)^0.5</f>
        <v>2380.6103138824328</v>
      </c>
      <c r="D29" s="2" t="s">
        <v>19</v>
      </c>
      <c r="E29" s="1"/>
      <c r="F29" s="1"/>
      <c r="G29" s="1"/>
    </row>
    <row r="30" spans="1:7" x14ac:dyDescent="0.3">
      <c r="A30" s="2" t="s">
        <v>40</v>
      </c>
      <c r="B30" s="2" t="s">
        <v>34</v>
      </c>
      <c r="C30" s="2"/>
      <c r="D30" s="2" t="s">
        <v>19</v>
      </c>
      <c r="E30" s="43" t="s">
        <v>53</v>
      </c>
      <c r="F30" s="44"/>
      <c r="G30" s="45"/>
    </row>
    <row r="31" spans="1:7" x14ac:dyDescent="0.3">
      <c r="A31" s="33" t="s">
        <v>14</v>
      </c>
      <c r="B31" s="33" t="s">
        <v>15</v>
      </c>
      <c r="C31" s="2">
        <v>0</v>
      </c>
      <c r="D31" s="2" t="s">
        <v>20</v>
      </c>
      <c r="E31" s="5">
        <v>0</v>
      </c>
      <c r="F31" s="6" t="s">
        <v>52</v>
      </c>
      <c r="G31" s="4">
        <f>C18</f>
        <v>396.2</v>
      </c>
    </row>
    <row r="32" spans="1:7" x14ac:dyDescent="0.3">
      <c r="A32" s="33"/>
      <c r="B32" s="33"/>
      <c r="C32" s="2">
        <f>C5*C7/1000</f>
        <v>312.31514780468012</v>
      </c>
      <c r="D32" s="2" t="s">
        <v>20</v>
      </c>
      <c r="E32" s="5">
        <f>C18</f>
        <v>396.2</v>
      </c>
      <c r="F32" s="6" t="s">
        <v>52</v>
      </c>
      <c r="G32" s="4">
        <f>C18+C19</f>
        <v>792.4</v>
      </c>
    </row>
    <row r="33" spans="1:7" x14ac:dyDescent="0.3">
      <c r="A33" s="33" t="s">
        <v>18</v>
      </c>
      <c r="B33" s="33" t="s">
        <v>28</v>
      </c>
      <c r="C33" s="2">
        <f>C25</f>
        <v>2380.6103138824328</v>
      </c>
      <c r="D33" s="2" t="s">
        <v>19</v>
      </c>
      <c r="E33" s="5">
        <v>0</v>
      </c>
      <c r="F33" s="6" t="s">
        <v>52</v>
      </c>
      <c r="G33" s="4">
        <f>C18</f>
        <v>396.2</v>
      </c>
    </row>
    <row r="34" spans="1:7" x14ac:dyDescent="0.3">
      <c r="A34" s="33"/>
      <c r="B34" s="33"/>
      <c r="C34" s="2">
        <f>-C29</f>
        <v>-2380.6103138824328</v>
      </c>
      <c r="D34" s="2" t="s">
        <v>19</v>
      </c>
      <c r="E34" s="5">
        <f>C19</f>
        <v>396.2</v>
      </c>
      <c r="F34" s="6" t="s">
        <v>52</v>
      </c>
      <c r="G34" s="4">
        <f>C18+C19</f>
        <v>792.4</v>
      </c>
    </row>
    <row r="35" spans="1:7" x14ac:dyDescent="0.3">
      <c r="A35" s="33" t="s">
        <v>17</v>
      </c>
      <c r="B35" s="33" t="s">
        <v>26</v>
      </c>
      <c r="C35" s="2" t="s">
        <v>75</v>
      </c>
      <c r="D35" s="2" t="s">
        <v>20</v>
      </c>
      <c r="E35" s="5">
        <v>0</v>
      </c>
      <c r="F35" s="6" t="s">
        <v>52</v>
      </c>
      <c r="G35" s="4">
        <f>C18</f>
        <v>396.2</v>
      </c>
    </row>
    <row r="36" spans="1:7" x14ac:dyDescent="0.3">
      <c r="A36" s="33"/>
      <c r="B36" s="33"/>
      <c r="C36" s="2" t="s">
        <v>74</v>
      </c>
      <c r="D36" s="2" t="s">
        <v>20</v>
      </c>
      <c r="E36" s="5">
        <f>C18</f>
        <v>396.2</v>
      </c>
      <c r="F36" s="6" t="s">
        <v>52</v>
      </c>
      <c r="G36" s="4">
        <f>C18+C19</f>
        <v>792.4</v>
      </c>
    </row>
    <row r="37" spans="1:7" x14ac:dyDescent="0.3">
      <c r="A37" s="2" t="s">
        <v>54</v>
      </c>
      <c r="B37" s="2" t="s">
        <v>27</v>
      </c>
      <c r="C37" s="2">
        <f>IF(G37&lt;=C18,C33*G37/1000,C33*C18+C34*(G37-C18)/1000)</f>
        <v>943.19780636021983</v>
      </c>
      <c r="D37" s="2" t="s">
        <v>20</v>
      </c>
      <c r="E37" s="5" t="s">
        <v>55</v>
      </c>
      <c r="F37" s="6" t="s">
        <v>56</v>
      </c>
      <c r="G37" s="4">
        <f>C18</f>
        <v>396.2</v>
      </c>
    </row>
    <row r="38" spans="1:7" x14ac:dyDescent="0.3">
      <c r="A38" s="33" t="s">
        <v>19</v>
      </c>
      <c r="B38" s="33" t="s">
        <v>57</v>
      </c>
      <c r="C38" s="2"/>
      <c r="D38" s="2" t="s">
        <v>19</v>
      </c>
      <c r="E38" s="5">
        <f t="shared" ref="E38:F39" si="0">E35</f>
        <v>0</v>
      </c>
      <c r="F38" s="6" t="str">
        <f t="shared" si="0"/>
        <v>&lt;=x&lt;=</v>
      </c>
      <c r="G38" s="4">
        <f>C18</f>
        <v>396.2</v>
      </c>
    </row>
    <row r="39" spans="1:7" ht="15" thickBot="1" x14ac:dyDescent="0.35">
      <c r="A39" s="33"/>
      <c r="B39" s="33"/>
      <c r="C39" s="2"/>
      <c r="D39" s="2" t="s">
        <v>19</v>
      </c>
      <c r="E39" s="7">
        <f>C18</f>
        <v>396.2</v>
      </c>
      <c r="F39" s="8" t="str">
        <f t="shared" si="0"/>
        <v>&lt;=x&lt;=</v>
      </c>
      <c r="G39" s="9">
        <f>C18+C19</f>
        <v>792.4</v>
      </c>
    </row>
    <row r="40" spans="1:7" x14ac:dyDescent="0.3">
      <c r="A40" s="39" t="s">
        <v>79</v>
      </c>
      <c r="B40" s="39"/>
      <c r="C40" s="39"/>
      <c r="D40" s="39"/>
      <c r="E40" s="36" t="s">
        <v>58</v>
      </c>
      <c r="F40" s="37"/>
      <c r="G40" s="38"/>
    </row>
    <row r="41" spans="1:7" ht="15" thickBot="1" x14ac:dyDescent="0.35">
      <c r="A41" s="39"/>
      <c r="B41" s="39"/>
      <c r="C41" s="39"/>
      <c r="D41" s="39"/>
      <c r="E41" s="10" t="s">
        <v>56</v>
      </c>
      <c r="F41" s="11">
        <f>C18</f>
        <v>396.2</v>
      </c>
      <c r="G41" s="12" t="s">
        <v>13</v>
      </c>
    </row>
    <row r="42" spans="1:7" ht="15" thickBot="1" x14ac:dyDescent="0.35">
      <c r="A42" s="13" t="s">
        <v>5</v>
      </c>
      <c r="B42" s="13" t="s">
        <v>4</v>
      </c>
      <c r="C42" s="13" t="s">
        <v>6</v>
      </c>
      <c r="D42" s="13" t="s">
        <v>7</v>
      </c>
      <c r="E42" s="1"/>
      <c r="F42" s="1"/>
      <c r="G42" s="1"/>
    </row>
    <row r="43" spans="1:7" ht="15" thickBot="1" x14ac:dyDescent="0.35">
      <c r="A43" s="40" t="s">
        <v>59</v>
      </c>
      <c r="B43" s="41"/>
      <c r="C43" s="41"/>
      <c r="D43" s="42"/>
      <c r="E43" s="1"/>
      <c r="F43" s="1"/>
      <c r="G43" s="1"/>
    </row>
    <row r="44" spans="1:7" x14ac:dyDescent="0.3">
      <c r="A44" s="18" t="s">
        <v>60</v>
      </c>
      <c r="B44" s="19" t="s">
        <v>64</v>
      </c>
      <c r="C44" s="19">
        <v>1</v>
      </c>
      <c r="D44" s="20"/>
      <c r="E44" s="1"/>
      <c r="F44" s="1"/>
      <c r="G44" s="1"/>
    </row>
    <row r="45" spans="1:7" x14ac:dyDescent="0.3">
      <c r="A45" s="14" t="s">
        <v>61</v>
      </c>
      <c r="B45" s="1" t="s">
        <v>65</v>
      </c>
      <c r="C45" s="1">
        <v>1.7</v>
      </c>
      <c r="D45" s="15"/>
      <c r="E45" s="1"/>
      <c r="F45" s="1"/>
      <c r="G45" s="1"/>
    </row>
    <row r="46" spans="1:7" x14ac:dyDescent="0.3">
      <c r="A46" s="14" t="s">
        <v>63</v>
      </c>
      <c r="B46" s="1" t="s">
        <v>69</v>
      </c>
      <c r="C46" s="1">
        <v>3</v>
      </c>
      <c r="D46" s="15"/>
      <c r="E46" s="1"/>
      <c r="F46" s="1"/>
      <c r="G46" s="1"/>
    </row>
    <row r="47" spans="1:7" ht="15" thickBot="1" x14ac:dyDescent="0.35">
      <c r="A47" s="10" t="s">
        <v>62</v>
      </c>
      <c r="B47" s="11" t="s">
        <v>70</v>
      </c>
      <c r="C47" s="11">
        <v>1.5</v>
      </c>
      <c r="D47" s="12"/>
      <c r="E47" s="1"/>
      <c r="F47" s="1"/>
      <c r="G47" s="1"/>
    </row>
    <row r="48" spans="1:7" x14ac:dyDescent="0.3">
      <c r="A48" s="16" t="s">
        <v>48</v>
      </c>
      <c r="B48" s="17" t="s">
        <v>71</v>
      </c>
      <c r="C48" s="17">
        <f>C12/PRODUCT(C44:C47)</f>
        <v>130.71895424836603</v>
      </c>
      <c r="D48" s="17" t="s">
        <v>51</v>
      </c>
      <c r="E48" s="1"/>
      <c r="F48" s="1"/>
      <c r="G48" s="1"/>
    </row>
    <row r="49" spans="1:7" x14ac:dyDescent="0.3">
      <c r="A49" s="2" t="s">
        <v>72</v>
      </c>
      <c r="B49" s="2" t="s">
        <v>73</v>
      </c>
      <c r="C49" s="2">
        <f>(C37^2+0.75*C32^2)^0.5</f>
        <v>981.21234479796738</v>
      </c>
      <c r="D49" s="2" t="s">
        <v>20</v>
      </c>
      <c r="E49" s="1"/>
      <c r="F49" s="1"/>
      <c r="G49" s="1"/>
    </row>
    <row r="50" spans="1:7" x14ac:dyDescent="0.3">
      <c r="A50" s="2" t="s">
        <v>76</v>
      </c>
      <c r="B50" s="2" t="s">
        <v>77</v>
      </c>
      <c r="C50" s="2">
        <f>(32/PI()*C49/(C48*10^6))^(1/3)*1000</f>
        <v>42.443205998843844</v>
      </c>
      <c r="D50" s="2" t="s">
        <v>13</v>
      </c>
      <c r="E50" s="1"/>
      <c r="F50" s="1"/>
      <c r="G50" s="1"/>
    </row>
    <row r="51" spans="1:7" x14ac:dyDescent="0.3">
      <c r="A51" s="17" t="s">
        <v>62</v>
      </c>
      <c r="B51" s="2" t="s">
        <v>126</v>
      </c>
      <c r="C51" s="2">
        <f>INT(C50*1.15)</f>
        <v>48</v>
      </c>
      <c r="D51" s="2" t="s">
        <v>13</v>
      </c>
      <c r="E51" s="1"/>
      <c r="F51" s="1"/>
      <c r="G51" s="1"/>
    </row>
    <row r="52" spans="1:7" x14ac:dyDescent="0.3">
      <c r="A52" s="39" t="s">
        <v>80</v>
      </c>
      <c r="B52" s="39"/>
      <c r="C52" s="39"/>
      <c r="D52" s="39"/>
      <c r="E52" s="1"/>
      <c r="F52" s="1"/>
      <c r="G52" s="1"/>
    </row>
    <row r="53" spans="1:7" x14ac:dyDescent="0.3">
      <c r="A53" s="39"/>
      <c r="B53" s="39"/>
      <c r="C53" s="39"/>
      <c r="D53" s="39"/>
      <c r="E53" s="1"/>
      <c r="F53" s="1"/>
      <c r="G53" s="1"/>
    </row>
    <row r="54" spans="1:7" ht="15" thickBot="1" x14ac:dyDescent="0.35">
      <c r="A54" s="2" t="s">
        <v>5</v>
      </c>
      <c r="B54" s="2" t="s">
        <v>4</v>
      </c>
      <c r="C54" s="2" t="s">
        <v>6</v>
      </c>
      <c r="D54" s="2" t="s">
        <v>7</v>
      </c>
      <c r="E54" s="1"/>
      <c r="F54" s="1"/>
      <c r="G54" s="1"/>
    </row>
    <row r="55" spans="1:7" ht="15" thickBot="1" x14ac:dyDescent="0.35">
      <c r="A55" s="36" t="s">
        <v>59</v>
      </c>
      <c r="B55" s="37"/>
      <c r="C55" s="37"/>
      <c r="D55" s="38"/>
      <c r="E55" s="1"/>
      <c r="F55" s="1"/>
      <c r="G55" s="1"/>
    </row>
    <row r="56" spans="1:7" x14ac:dyDescent="0.3">
      <c r="A56" s="18" t="s">
        <v>84</v>
      </c>
      <c r="B56" s="19" t="s">
        <v>95</v>
      </c>
      <c r="C56" s="19">
        <v>0.9</v>
      </c>
      <c r="D56" s="20"/>
      <c r="E56" s="1" t="s">
        <v>129</v>
      </c>
      <c r="F56" s="1"/>
      <c r="G56" s="1"/>
    </row>
    <row r="57" spans="1:7" x14ac:dyDescent="0.3">
      <c r="A57" s="14" t="s">
        <v>85</v>
      </c>
      <c r="B57" s="1" t="s">
        <v>96</v>
      </c>
      <c r="C57" s="1">
        <v>0.7</v>
      </c>
      <c r="D57" s="15"/>
      <c r="E57" s="1" t="s">
        <v>103</v>
      </c>
      <c r="F57" s="1"/>
      <c r="G57" s="1"/>
    </row>
    <row r="58" spans="1:7" x14ac:dyDescent="0.3">
      <c r="A58" s="14" t="s">
        <v>86</v>
      </c>
      <c r="B58" s="1" t="s">
        <v>97</v>
      </c>
      <c r="C58" s="1">
        <v>1</v>
      </c>
      <c r="D58" s="15"/>
      <c r="E58" s="1" t="s">
        <v>134</v>
      </c>
      <c r="F58" s="1"/>
      <c r="G58" s="1"/>
    </row>
    <row r="59" spans="1:7" x14ac:dyDescent="0.3">
      <c r="A59" s="28" t="s">
        <v>87</v>
      </c>
      <c r="B59" s="1" t="s">
        <v>98</v>
      </c>
      <c r="C59" s="1">
        <v>1.1000000000000001</v>
      </c>
      <c r="D59" s="15"/>
      <c r="E59" s="1" t="s">
        <v>130</v>
      </c>
      <c r="F59" s="1"/>
      <c r="G59" s="1"/>
    </row>
    <row r="60" spans="1:7" x14ac:dyDescent="0.3">
      <c r="A60" s="28" t="s">
        <v>88</v>
      </c>
      <c r="B60" s="1" t="s">
        <v>99</v>
      </c>
      <c r="C60" s="1">
        <v>1.25</v>
      </c>
      <c r="D60" s="15"/>
      <c r="E60" s="1" t="s">
        <v>131</v>
      </c>
      <c r="F60" s="1"/>
      <c r="G60" s="1"/>
    </row>
    <row r="61" spans="1:7" x14ac:dyDescent="0.3">
      <c r="A61" s="28" t="s">
        <v>89</v>
      </c>
      <c r="B61" s="1" t="s">
        <v>100</v>
      </c>
      <c r="C61" s="1">
        <v>1.2</v>
      </c>
      <c r="D61" s="15"/>
      <c r="E61" s="1" t="s">
        <v>135</v>
      </c>
      <c r="F61" s="1"/>
      <c r="G61" s="1"/>
    </row>
    <row r="62" spans="1:7" x14ac:dyDescent="0.3">
      <c r="A62" s="28" t="s">
        <v>90</v>
      </c>
      <c r="B62" s="1" t="s">
        <v>101</v>
      </c>
      <c r="C62" s="1">
        <v>1.1000000000000001</v>
      </c>
      <c r="D62" s="15"/>
      <c r="E62" s="1" t="s">
        <v>132</v>
      </c>
      <c r="F62" s="1"/>
      <c r="G62" s="1"/>
    </row>
    <row r="63" spans="1:7" ht="15" thickBot="1" x14ac:dyDescent="0.35">
      <c r="A63" s="29" t="s">
        <v>91</v>
      </c>
      <c r="B63" s="11" t="s">
        <v>102</v>
      </c>
      <c r="C63" s="11">
        <v>1.7</v>
      </c>
      <c r="D63" s="12"/>
      <c r="E63" s="1" t="s">
        <v>133</v>
      </c>
      <c r="F63" s="1"/>
      <c r="G63" s="1"/>
    </row>
    <row r="64" spans="1:7" ht="15" thickBot="1" x14ac:dyDescent="0.35">
      <c r="A64" s="25" t="s">
        <v>92</v>
      </c>
      <c r="B64" s="26" t="s">
        <v>94</v>
      </c>
      <c r="C64" s="26">
        <v>1</v>
      </c>
      <c r="D64" s="27"/>
      <c r="E64" s="1" t="s">
        <v>137</v>
      </c>
      <c r="F64" s="1"/>
      <c r="G64" s="1"/>
    </row>
    <row r="65" spans="1:7" x14ac:dyDescent="0.3">
      <c r="A65" s="17" t="s">
        <v>93</v>
      </c>
      <c r="B65" s="17" t="s">
        <v>71</v>
      </c>
      <c r="C65" s="17">
        <f>C13*PRODUCT(C56:C58)/PRODUCT(C59:C64)</f>
        <v>91.881380651434142</v>
      </c>
      <c r="D65" s="17" t="s">
        <v>51</v>
      </c>
      <c r="E65" s="1"/>
      <c r="F65" s="1"/>
      <c r="G65" s="1"/>
    </row>
    <row r="66" spans="1:7" x14ac:dyDescent="0.3">
      <c r="A66" s="2" t="s">
        <v>104</v>
      </c>
      <c r="B66" s="2" t="s">
        <v>106</v>
      </c>
      <c r="C66" s="2">
        <f>PI()*(C51/1000)^3/32</f>
        <v>1.0857344210806325E-5</v>
      </c>
      <c r="D66" s="2" t="s">
        <v>107</v>
      </c>
      <c r="E66" s="1"/>
      <c r="F66" s="1"/>
      <c r="G66" s="1"/>
    </row>
    <row r="67" spans="1:7" x14ac:dyDescent="0.3">
      <c r="A67" s="2" t="s">
        <v>105</v>
      </c>
      <c r="B67" s="2" t="s">
        <v>110</v>
      </c>
      <c r="C67" s="2">
        <f>2*C66</f>
        <v>2.171468842161265E-5</v>
      </c>
      <c r="D67" s="2" t="s">
        <v>107</v>
      </c>
      <c r="E67" s="1"/>
      <c r="F67" s="1"/>
      <c r="G67" s="1"/>
    </row>
    <row r="68" spans="1:7" x14ac:dyDescent="0.3">
      <c r="A68" s="3" t="s">
        <v>109</v>
      </c>
      <c r="B68" s="2" t="s">
        <v>120</v>
      </c>
      <c r="C68" s="2">
        <v>1</v>
      </c>
      <c r="D68" s="2"/>
      <c r="E68" s="1" t="s">
        <v>136</v>
      </c>
      <c r="F68" s="1"/>
      <c r="G68" s="1"/>
    </row>
    <row r="69" spans="1:7" x14ac:dyDescent="0.3">
      <c r="A69" s="3" t="s">
        <v>108</v>
      </c>
      <c r="B69" s="2" t="s">
        <v>121</v>
      </c>
      <c r="C69" s="2">
        <v>1</v>
      </c>
      <c r="D69" s="2"/>
      <c r="E69" s="1" t="s">
        <v>136</v>
      </c>
      <c r="F69" s="1"/>
      <c r="G69" s="1"/>
    </row>
    <row r="70" spans="1:7" x14ac:dyDescent="0.3">
      <c r="A70" s="2" t="s">
        <v>113</v>
      </c>
      <c r="B70" s="2" t="s">
        <v>112</v>
      </c>
      <c r="C70" s="2">
        <f>C37/C66/10^6</f>
        <v>86.87187106230401</v>
      </c>
      <c r="D70" s="2" t="s">
        <v>51</v>
      </c>
      <c r="E70" s="1"/>
      <c r="F70" s="1"/>
      <c r="G70" s="1"/>
    </row>
    <row r="71" spans="1:7" x14ac:dyDescent="0.3">
      <c r="A71" s="2" t="s">
        <v>119</v>
      </c>
      <c r="B71" s="2" t="s">
        <v>111</v>
      </c>
      <c r="C71" s="2">
        <f>C32/C67/10^6</f>
        <v>14.382667701270471</v>
      </c>
      <c r="D71" s="2" t="s">
        <v>51</v>
      </c>
      <c r="E71" s="1"/>
      <c r="F71" s="1"/>
      <c r="G71" s="1"/>
    </row>
    <row r="72" spans="1:7" x14ac:dyDescent="0.3">
      <c r="A72" s="2" t="s">
        <v>114</v>
      </c>
      <c r="B72" s="2"/>
      <c r="C72" s="2">
        <f>C69*C13/C14/C68</f>
        <v>0.77586206896551724</v>
      </c>
      <c r="D72" s="2"/>
      <c r="E72" s="1"/>
      <c r="F72" s="1"/>
      <c r="G72" s="1"/>
    </row>
    <row r="73" spans="1:7" ht="15" thickBot="1" x14ac:dyDescent="0.35">
      <c r="A73" s="23" t="s">
        <v>115</v>
      </c>
      <c r="B73" s="13" t="s">
        <v>116</v>
      </c>
      <c r="C73" s="13">
        <f>(C70^2+C72^2*C71^2)^0.5</f>
        <v>87.58564101035843</v>
      </c>
      <c r="D73" s="13" t="s">
        <v>51</v>
      </c>
      <c r="E73" s="1"/>
      <c r="F73" s="1"/>
      <c r="G73" s="1"/>
    </row>
    <row r="74" spans="1:7" x14ac:dyDescent="0.3">
      <c r="A74" s="30" t="s">
        <v>80</v>
      </c>
      <c r="B74" s="31"/>
      <c r="C74" s="31" t="str">
        <f>IF(C73&lt;C65,"OK","Redimensionar")</f>
        <v>OK</v>
      </c>
      <c r="D74" s="34"/>
      <c r="E74" s="1"/>
      <c r="F74" s="1"/>
      <c r="G74" s="1"/>
    </row>
    <row r="75" spans="1:7" x14ac:dyDescent="0.3">
      <c r="A75" s="32"/>
      <c r="B75" s="33"/>
      <c r="C75" s="33"/>
      <c r="D75" s="35"/>
      <c r="E75" s="1"/>
      <c r="F75" s="1"/>
      <c r="G75" s="1"/>
    </row>
    <row r="76" spans="1:7" ht="15" thickBot="1" x14ac:dyDescent="0.35">
      <c r="A76" s="24" t="s">
        <v>117</v>
      </c>
      <c r="B76" s="21" t="s">
        <v>118</v>
      </c>
      <c r="C76" s="21">
        <f>C65/C73</f>
        <v>1.0490461631783647</v>
      </c>
      <c r="D76" s="22" t="str">
        <f>IF(C74="Redimensionar","Redimensionar",IF(C76&lt;=1.2,"OK","Superdimensionado"))</f>
        <v>OK</v>
      </c>
      <c r="E76" s="1"/>
      <c r="F76" s="1"/>
      <c r="G76" s="1"/>
    </row>
  </sheetData>
  <mergeCells count="22">
    <mergeCell ref="A55:D55"/>
    <mergeCell ref="A74:B75"/>
    <mergeCell ref="C74:D75"/>
    <mergeCell ref="A38:A39"/>
    <mergeCell ref="B38:B39"/>
    <mergeCell ref="A40:D41"/>
    <mergeCell ref="E40:G40"/>
    <mergeCell ref="A43:D43"/>
    <mergeCell ref="A52:D53"/>
    <mergeCell ref="E30:G30"/>
    <mergeCell ref="A31:A32"/>
    <mergeCell ref="B31:B32"/>
    <mergeCell ref="A33:A34"/>
    <mergeCell ref="B33:B34"/>
    <mergeCell ref="A35:A36"/>
    <mergeCell ref="B35:B36"/>
    <mergeCell ref="A20:D21"/>
    <mergeCell ref="A1:D2"/>
    <mergeCell ref="A8:D9"/>
    <mergeCell ref="A10:B10"/>
    <mergeCell ref="C10:D10"/>
    <mergeCell ref="A15:D16"/>
  </mergeCells>
  <conditionalFormatting sqref="C74:D75 D76">
    <cfRule type="cellIs" dxfId="2" priority="1" operator="equal">
      <formula>"Superdimensionado"</formula>
    </cfRule>
    <cfRule type="cellIs" dxfId="1" priority="2" operator="equal">
      <formula>"Redimensionar"</formula>
    </cfRule>
    <cfRule type="cellIs" dxfId="0" priority="3" operator="equal">
      <formula>"OK"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3" shapeId="2049" r:id="rId3">
          <objectPr defaultSize="0" autoPict="0" r:id="rId4">
            <anchor moveWithCells="1" sizeWithCells="1">
              <from>
                <xdr:col>7</xdr:col>
                <xdr:colOff>373380</xdr:colOff>
                <xdr:row>71</xdr:row>
                <xdr:rowOff>22860</xdr:rowOff>
              </from>
              <to>
                <xdr:col>9</xdr:col>
                <xdr:colOff>487680</xdr:colOff>
                <xdr:row>72</xdr:row>
                <xdr:rowOff>144780</xdr:rowOff>
              </to>
            </anchor>
          </objectPr>
        </oleObject>
      </mc:Choice>
      <mc:Fallback>
        <oleObject progId="Equation.3" shapeId="2049" r:id="rId3"/>
      </mc:Fallback>
    </mc:AlternateContent>
    <mc:AlternateContent xmlns:mc="http://schemas.openxmlformats.org/markup-compatibility/2006">
      <mc:Choice Requires="x14">
        <oleObject progId="Equation.3" shapeId="2050" r:id="rId5">
          <objectPr defaultSize="0" autoPict="0" r:id="rId6">
            <anchor moveWithCells="1" sizeWithCells="1">
              <from>
                <xdr:col>7</xdr:col>
                <xdr:colOff>594360</xdr:colOff>
                <xdr:row>66</xdr:row>
                <xdr:rowOff>114300</xdr:rowOff>
              </from>
              <to>
                <xdr:col>9</xdr:col>
                <xdr:colOff>266700</xdr:colOff>
                <xdr:row>69</xdr:row>
                <xdr:rowOff>45720</xdr:rowOff>
              </to>
            </anchor>
          </objectPr>
        </oleObject>
      </mc:Choice>
      <mc:Fallback>
        <oleObject progId="Equation.3" shapeId="2050" r:id="rId5"/>
      </mc:Fallback>
    </mc:AlternateContent>
    <mc:AlternateContent xmlns:mc="http://schemas.openxmlformats.org/markup-compatibility/2006">
      <mc:Choice Requires="x14">
        <oleObject progId="Equation.3" shapeId="2051" r:id="rId7">
          <objectPr defaultSize="0" autoPict="0" r:id="rId8">
            <anchor moveWithCells="1" sizeWithCells="1">
              <from>
                <xdr:col>7</xdr:col>
                <xdr:colOff>259080</xdr:colOff>
                <xdr:row>47</xdr:row>
                <xdr:rowOff>182880</xdr:rowOff>
              </from>
              <to>
                <xdr:col>9</xdr:col>
                <xdr:colOff>579120</xdr:colOff>
                <xdr:row>50</xdr:row>
                <xdr:rowOff>68580</xdr:rowOff>
              </to>
            </anchor>
          </objectPr>
        </oleObject>
      </mc:Choice>
      <mc:Fallback>
        <oleObject progId="Equation.3" shapeId="2051" r:id="rId7"/>
      </mc:Fallback>
    </mc:AlternateContent>
    <mc:AlternateContent xmlns:mc="http://schemas.openxmlformats.org/markup-compatibility/2006">
      <mc:Choice Requires="x14">
        <oleObject progId="Equation.3" shapeId="2052" r:id="rId9">
          <objectPr defaultSize="0" r:id="rId10">
            <anchor moveWithCells="1" sizeWithCells="1">
              <from>
                <xdr:col>10</xdr:col>
                <xdr:colOff>457200</xdr:colOff>
                <xdr:row>58</xdr:row>
                <xdr:rowOff>68580</xdr:rowOff>
              </from>
              <to>
                <xdr:col>14</xdr:col>
                <xdr:colOff>502920</xdr:colOff>
                <xdr:row>62</xdr:row>
                <xdr:rowOff>144780</xdr:rowOff>
              </to>
            </anchor>
          </objectPr>
        </oleObject>
      </mc:Choice>
      <mc:Fallback>
        <oleObject progId="Equation.3" shapeId="2052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Eixo Coroa</vt:lpstr>
      <vt:lpstr>Eixo Parafuso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</dc:creator>
  <cp:lastModifiedBy>Jonas</cp:lastModifiedBy>
  <dcterms:created xsi:type="dcterms:W3CDTF">2014-06-09T20:01:00Z</dcterms:created>
  <dcterms:modified xsi:type="dcterms:W3CDTF">2019-04-02T14:00:17Z</dcterms:modified>
</cp:coreProperties>
</file>