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ink/ink1.xml" ContentType="application/inkml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rpcosta/Library/Mobile Documents/com~apple~CloudDocs/arquivo 2021/PRO 3363/PIZZARIAs/"/>
    </mc:Choice>
  </mc:AlternateContent>
  <xr:revisionPtr revIDLastSave="0" documentId="13_ncr:1_{6B0A32CC-08EB-844D-A926-597F48DCBE03}" xr6:coauthVersionLast="45" xr6:coauthVersionMax="45" xr10:uidLastSave="{00000000-0000-0000-0000-000000000000}"/>
  <bookViews>
    <workbookView xWindow="0" yWindow="460" windowWidth="28800" windowHeight="16240" tabRatio="863" firstSheet="3" activeTab="11" xr2:uid="{00000000-000D-0000-FFFF-FFFF00000000}"/>
  </bookViews>
  <sheets>
    <sheet name="Sheet1" sheetId="32" r:id="rId1"/>
    <sheet name="QUESTÕES" sheetId="19" r:id="rId2"/>
    <sheet name="PREVISAO de demanda (temporais)" sheetId="31" r:id="rId3"/>
    <sheet name="Sensitivity Report 3" sheetId="33" r:id="rId4"/>
    <sheet name="PREVISÃO DEMANDA (causais)" sheetId="21" r:id="rId5"/>
    <sheet name="Consumo de materiais" sheetId="3" r:id="rId6"/>
    <sheet name="Custo de materiais" sheetId="6" r:id="rId7"/>
    <sheet name="Margem" sheetId="7" r:id="rId8"/>
    <sheet name="Resultado" sheetId="8" r:id="rId9"/>
    <sheet name="PE" sheetId="10" r:id="rId10"/>
    <sheet name="PED" sheetId="9" r:id="rId11"/>
    <sheet name="ANÁLISE" sheetId="34" r:id="rId12"/>
  </sheets>
  <definedNames>
    <definedName name="_ftn1" localSheetId="4">'PREVISÃO DEMANDA (causais)'!$S$61</definedName>
    <definedName name="_ftnref1" localSheetId="4">'PREVISÃO DEMANDA (causais)'!$S$29</definedName>
    <definedName name="_Toc358299713" localSheetId="4">'PREVISÃO DEMANDA (causais)'!$S$32</definedName>
    <definedName name="_Toc358299714" localSheetId="4">'PREVISÃO DEMANDA (causais)'!$S$41</definedName>
    <definedName name="_Toc358299715" localSheetId="4">'PREVISÃO DEMANDA (causais)'!$S$48</definedName>
    <definedName name="_Toc358299716" localSheetId="4">'PREVISÃO DEMANDA (causais)'!$S$52</definedName>
    <definedName name="_Toc358299717" localSheetId="4">'PREVISÃO DEMANDA (causais)'!$S$56</definedName>
    <definedName name="_xlnm.Print_Area" localSheetId="1">QUESTÕES!$A$1:$J$38</definedName>
    <definedName name="solver_adj" localSheetId="4" hidden="1">'PREVISÃO DEMANDA (causais)'!$V$9:$X$9</definedName>
    <definedName name="solver_adj" localSheetId="1" hidden="1">QUESTÕES!$J$4:$J$6</definedName>
    <definedName name="solver_cvg" localSheetId="4" hidden="1">0.0001</definedName>
    <definedName name="solver_cvg" localSheetId="1" hidden="1">0.00001</definedName>
    <definedName name="solver_drv" localSheetId="4" hidden="1">1</definedName>
    <definedName name="solver_drv" localSheetId="1" hidden="1">1</definedName>
    <definedName name="solver_eng" localSheetId="4" hidden="1">1</definedName>
    <definedName name="solver_eng" localSheetId="1" hidden="1">1</definedName>
    <definedName name="solver_est" localSheetId="4" hidden="1">1</definedName>
    <definedName name="solver_est" localSheetId="1" hidden="1">1</definedName>
    <definedName name="solver_itr" localSheetId="4" hidden="1">2147483647</definedName>
    <definedName name="solver_itr" localSheetId="1" hidden="1">100</definedName>
    <definedName name="solver_lhs1" localSheetId="4" hidden="1">'PREVISÃO DEMANDA (causais)'!$V$9:$X$9</definedName>
    <definedName name="solver_lhs1" localSheetId="1" hidden="1">QUESTÕES!$E$4:$E$9</definedName>
    <definedName name="solver_lhs2" localSheetId="4" hidden="1">'PREVISÃO DEMANDA (causais)'!$W$19:$W$24</definedName>
    <definedName name="solver_lhs2" localSheetId="1" hidden="1">QUESTÕES!$J$4:$J$6</definedName>
    <definedName name="solver_lin" localSheetId="4" hidden="1">2</definedName>
    <definedName name="solver_lin" localSheetId="1" hidden="1">2</definedName>
    <definedName name="solver_mip" localSheetId="4" hidden="1">2147483647</definedName>
    <definedName name="solver_mip" localSheetId="1" hidden="1">2147483647</definedName>
    <definedName name="solver_mni" localSheetId="4" hidden="1">30</definedName>
    <definedName name="solver_mni" localSheetId="1" hidden="1">30</definedName>
    <definedName name="solver_mrt" localSheetId="4" hidden="1">0.075</definedName>
    <definedName name="solver_mrt" localSheetId="1" hidden="1">0.075</definedName>
    <definedName name="solver_msl" localSheetId="4" hidden="1">2</definedName>
    <definedName name="solver_msl" localSheetId="1" hidden="1">2</definedName>
    <definedName name="solver_neg" localSheetId="4" hidden="1">1</definedName>
    <definedName name="solver_neg" localSheetId="1" hidden="1">2</definedName>
    <definedName name="solver_nod" localSheetId="4" hidden="1">2147483647</definedName>
    <definedName name="solver_nod" localSheetId="1" hidden="1">2147483647</definedName>
    <definedName name="solver_num" localSheetId="4" hidden="1">2</definedName>
    <definedName name="solver_num" localSheetId="1" hidden="1">2</definedName>
    <definedName name="solver_nwt" localSheetId="4" hidden="1">1</definedName>
    <definedName name="solver_nwt" localSheetId="1" hidden="1">1</definedName>
    <definedName name="solver_opt" localSheetId="4" hidden="1">'PREVISÃO DEMANDA (causais)'!$V$16</definedName>
    <definedName name="solver_opt" localSheetId="1" hidden="1">QUESTÕES!$H$29</definedName>
    <definedName name="solver_pre" localSheetId="4" hidden="1">0.001</definedName>
    <definedName name="solver_pre" localSheetId="1" hidden="1">0.00001</definedName>
    <definedName name="solver_rbv" localSheetId="4" hidden="1">1</definedName>
    <definedName name="solver_rbv" localSheetId="1" hidden="1">1</definedName>
    <definedName name="solver_rel1" localSheetId="4" hidden="1">3</definedName>
    <definedName name="solver_rel1" localSheetId="1" hidden="1">1</definedName>
    <definedName name="solver_rel2" localSheetId="4" hidden="1">1</definedName>
    <definedName name="solver_rel2" localSheetId="1" hidden="1">3</definedName>
    <definedName name="solver_rhs1" localSheetId="4" hidden="1">0</definedName>
    <definedName name="solver_rhs1" localSheetId="1" hidden="1">QUESTÕES!$D$4:$D$9</definedName>
    <definedName name="solver_rhs2" localSheetId="4" hidden="1">'PREVISÃO DEMANDA (causais)'!$V$19:$V$24</definedName>
    <definedName name="solver_rhs2" localSheetId="1" hidden="1">0</definedName>
    <definedName name="solver_rlx" localSheetId="4" hidden="1">1</definedName>
    <definedName name="solver_rlx" localSheetId="1" hidden="1">1</definedName>
    <definedName name="solver_rsd" localSheetId="4" hidden="1">0</definedName>
    <definedName name="solver_rsd" localSheetId="1" hidden="1">0</definedName>
    <definedName name="solver_scl" localSheetId="4" hidden="1">2</definedName>
    <definedName name="solver_scl" localSheetId="1" hidden="1">2</definedName>
    <definedName name="solver_sho" localSheetId="4" hidden="1">2</definedName>
    <definedName name="solver_sho" localSheetId="1" hidden="1">2</definedName>
    <definedName name="solver_ssz" localSheetId="4" hidden="1">100</definedName>
    <definedName name="solver_ssz" localSheetId="1" hidden="1">100</definedName>
    <definedName name="solver_tim" localSheetId="4" hidden="1">2147483647</definedName>
    <definedName name="solver_tim" localSheetId="1" hidden="1">100</definedName>
    <definedName name="solver_tol" localSheetId="4" hidden="1">0.01</definedName>
    <definedName name="solver_tol" localSheetId="1" hidden="1">0.05</definedName>
    <definedName name="solver_typ" localSheetId="4" hidden="1">1</definedName>
    <definedName name="solver_typ" localSheetId="1" hidden="1">1</definedName>
    <definedName name="solver_val" localSheetId="4" hidden="1">0</definedName>
    <definedName name="solver_val" localSheetId="1" hidden="1">0</definedName>
    <definedName name="solver_ver" localSheetId="4" hidden="1">2</definedName>
    <definedName name="solver_ver" localSheetId="1" hidden="1">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34" l="1"/>
  <c r="F5" i="34"/>
  <c r="E5" i="34"/>
  <c r="D5" i="34"/>
  <c r="X7" i="21" l="1"/>
  <c r="X6" i="21"/>
  <c r="W7" i="21"/>
  <c r="W6" i="21"/>
  <c r="V6" i="21"/>
  <c r="J6" i="19"/>
  <c r="F4" i="3" s="1"/>
  <c r="J5" i="19"/>
  <c r="C4" i="7" s="1"/>
  <c r="J4" i="19"/>
  <c r="D4" i="3" s="1"/>
  <c r="V20" i="21"/>
  <c r="V21" i="21"/>
  <c r="V22" i="21"/>
  <c r="V23" i="21"/>
  <c r="V24" i="21"/>
  <c r="V19" i="21"/>
  <c r="W11" i="21"/>
  <c r="X11" i="21"/>
  <c r="V11" i="21"/>
  <c r="J23" i="21"/>
  <c r="X10" i="21"/>
  <c r="H6" i="19" s="1"/>
  <c r="B5" i="7" s="1"/>
  <c r="J17" i="21"/>
  <c r="W10" i="21"/>
  <c r="H5" i="19" s="1"/>
  <c r="B4" i="7" s="1"/>
  <c r="J22" i="21"/>
  <c r="J16" i="21"/>
  <c r="J9" i="21"/>
  <c r="V7" i="21"/>
  <c r="V10" i="21"/>
  <c r="H4" i="19" s="1"/>
  <c r="B3" i="7" s="1"/>
  <c r="J8" i="21"/>
  <c r="H5" i="7"/>
  <c r="H4" i="7"/>
  <c r="H3" i="7"/>
  <c r="E4" i="7"/>
  <c r="E5" i="7"/>
  <c r="E3" i="7"/>
  <c r="G12" i="6"/>
  <c r="F12" i="6"/>
  <c r="E12" i="6"/>
  <c r="G11" i="6"/>
  <c r="F11" i="6"/>
  <c r="E11" i="6"/>
  <c r="G10" i="6"/>
  <c r="F10" i="6"/>
  <c r="E10" i="6"/>
  <c r="G9" i="6"/>
  <c r="F9" i="6"/>
  <c r="E9" i="6"/>
  <c r="G8" i="6"/>
  <c r="G4" i="6"/>
  <c r="F8" i="6"/>
  <c r="E8" i="6"/>
  <c r="E4" i="6"/>
  <c r="G7" i="6"/>
  <c r="F7" i="6"/>
  <c r="E7" i="6"/>
  <c r="C13" i="8"/>
  <c r="J24" i="8"/>
  <c r="G10" i="8"/>
  <c r="H16" i="21"/>
  <c r="H22" i="21"/>
  <c r="C7" i="6"/>
  <c r="C8" i="6"/>
  <c r="C9" i="6"/>
  <c r="C10" i="6"/>
  <c r="C11" i="6"/>
  <c r="C12" i="6"/>
  <c r="C10" i="8"/>
  <c r="C19" i="8"/>
  <c r="K35" i="19"/>
  <c r="N43" i="21"/>
  <c r="N44" i="21"/>
  <c r="O42" i="21"/>
  <c r="O62" i="21"/>
  <c r="O61" i="21"/>
  <c r="O60" i="21"/>
  <c r="P59" i="21"/>
  <c r="O59" i="21"/>
  <c r="O58" i="21"/>
  <c r="O57" i="21"/>
  <c r="O56" i="21"/>
  <c r="O55" i="21"/>
  <c r="O30" i="21"/>
  <c r="P34" i="21"/>
  <c r="O31" i="21"/>
  <c r="O32" i="21"/>
  <c r="O33" i="21"/>
  <c r="O34" i="21"/>
  <c r="O35" i="21"/>
  <c r="O36" i="21"/>
  <c r="O37" i="21"/>
  <c r="E14" i="19"/>
  <c r="D14" i="19"/>
  <c r="C14" i="19"/>
  <c r="F3" i="3"/>
  <c r="G3" i="6"/>
  <c r="E3" i="3"/>
  <c r="D3" i="3"/>
  <c r="A6" i="3"/>
  <c r="A7" i="3"/>
  <c r="A8" i="3"/>
  <c r="A9" i="3"/>
  <c r="A10" i="3"/>
  <c r="A11" i="3"/>
  <c r="A5" i="3"/>
  <c r="F3" i="6"/>
  <c r="E3" i="6"/>
  <c r="B7" i="6"/>
  <c r="B8" i="6"/>
  <c r="B9" i="6"/>
  <c r="B10" i="6"/>
  <c r="B11" i="6"/>
  <c r="B12" i="6"/>
  <c r="A8" i="6"/>
  <c r="A9" i="6"/>
  <c r="A10" i="6"/>
  <c r="A11" i="6"/>
  <c r="A12" i="6"/>
  <c r="A7" i="6"/>
  <c r="A4" i="7"/>
  <c r="A5" i="7"/>
  <c r="A3" i="7"/>
  <c r="D21" i="8"/>
  <c r="G15" i="8"/>
  <c r="O44" i="21"/>
  <c r="N45" i="21"/>
  <c r="O43" i="21"/>
  <c r="E4" i="3"/>
  <c r="E9" i="3" s="1"/>
  <c r="K24" i="8"/>
  <c r="B3" i="9"/>
  <c r="F4" i="6"/>
  <c r="N46" i="21"/>
  <c r="O45" i="21"/>
  <c r="B18" i="9"/>
  <c r="B17" i="9"/>
  <c r="B15" i="9"/>
  <c r="B19" i="9"/>
  <c r="B11" i="9"/>
  <c r="B12" i="9"/>
  <c r="B21" i="9"/>
  <c r="B16" i="9"/>
  <c r="B20" i="9"/>
  <c r="B13" i="9"/>
  <c r="B14" i="9"/>
  <c r="B10" i="9"/>
  <c r="N47" i="21"/>
  <c r="O46" i="21"/>
  <c r="N48" i="21"/>
  <c r="O47" i="21"/>
  <c r="N49" i="21"/>
  <c r="O48" i="21"/>
  <c r="O49" i="21"/>
  <c r="N50" i="21"/>
  <c r="P46" i="21"/>
  <c r="C5" i="7" l="1"/>
  <c r="E4" i="19"/>
  <c r="W19" i="21" s="1"/>
  <c r="E10" i="3"/>
  <c r="D9" i="3"/>
  <c r="D10" i="3"/>
  <c r="E6" i="6"/>
  <c r="E5" i="6" s="1"/>
  <c r="G3" i="7" s="1"/>
  <c r="D5" i="3"/>
  <c r="D8" i="3"/>
  <c r="D7" i="3"/>
  <c r="E9" i="19"/>
  <c r="W24" i="21" s="1"/>
  <c r="C3" i="7"/>
  <c r="D3" i="7" s="1"/>
  <c r="F9" i="3"/>
  <c r="C9" i="3" s="1"/>
  <c r="G6" i="6"/>
  <c r="G5" i="6" s="1"/>
  <c r="G5" i="7" s="1"/>
  <c r="F7" i="3"/>
  <c r="F5" i="3"/>
  <c r="F8" i="3"/>
  <c r="F6" i="3"/>
  <c r="F10" i="3"/>
  <c r="E8" i="3"/>
  <c r="E5" i="3"/>
  <c r="C5" i="3" s="1"/>
  <c r="E7" i="3"/>
  <c r="E7" i="19"/>
  <c r="W22" i="21" s="1"/>
  <c r="F6" i="6"/>
  <c r="F5" i="6" s="1"/>
  <c r="G4" i="7" s="1"/>
  <c r="E6" i="3"/>
  <c r="E5" i="19"/>
  <c r="W20" i="21" s="1"/>
  <c r="E8" i="19"/>
  <c r="W23" i="21" s="1"/>
  <c r="V13" i="21"/>
  <c r="E6" i="19"/>
  <c r="W21" i="21" s="1"/>
  <c r="I3" i="7"/>
  <c r="D4" i="7"/>
  <c r="F4" i="7" s="1"/>
  <c r="I4" i="7"/>
  <c r="I5" i="7"/>
  <c r="D5" i="7"/>
  <c r="F5" i="7" s="1"/>
  <c r="D6" i="3"/>
  <c r="X13" i="21"/>
  <c r="W13" i="21"/>
  <c r="C10" i="3" l="1"/>
  <c r="C8" i="3"/>
  <c r="C6" i="7"/>
  <c r="G6" i="7"/>
  <c r="C5" i="8" s="1"/>
  <c r="C18" i="8" s="1"/>
  <c r="C20" i="8" s="1"/>
  <c r="D20" i="8" s="1"/>
  <c r="D22" i="8" s="1"/>
  <c r="G7" i="8" s="1"/>
  <c r="V15" i="21"/>
  <c r="V16" i="21" s="1"/>
  <c r="C7" i="3"/>
  <c r="C6" i="3"/>
  <c r="J3" i="7"/>
  <c r="K3" i="7"/>
  <c r="K5" i="7"/>
  <c r="J5" i="7"/>
  <c r="D6" i="7"/>
  <c r="C3" i="8" s="1"/>
  <c r="F3" i="7"/>
  <c r="F6" i="7" s="1"/>
  <c r="C4" i="8" s="1"/>
  <c r="K4" i="7"/>
  <c r="J4" i="7"/>
  <c r="H24" i="19"/>
  <c r="C22" i="8" l="1"/>
  <c r="D5" i="8"/>
  <c r="K6" i="7"/>
  <c r="L3" i="7" s="1"/>
  <c r="G5" i="8"/>
  <c r="H23" i="19"/>
  <c r="D4" i="8"/>
  <c r="B4" i="9" s="1"/>
  <c r="C10" i="9" s="1"/>
  <c r="D10" i="9" s="1"/>
  <c r="E10" i="9" s="1"/>
  <c r="B1" i="9"/>
  <c r="A11" i="9" s="1"/>
  <c r="C6" i="8"/>
  <c r="D3" i="8"/>
  <c r="G4" i="8"/>
  <c r="D10" i="8"/>
  <c r="H22" i="19"/>
  <c r="L5" i="7" l="1"/>
  <c r="I23" i="19"/>
  <c r="I28" i="19"/>
  <c r="I22" i="19"/>
  <c r="H25" i="19"/>
  <c r="D6" i="8"/>
  <c r="C9" i="8"/>
  <c r="C11" i="9"/>
  <c r="D11" i="9" s="1"/>
  <c r="E11" i="9" s="1"/>
  <c r="A12" i="9"/>
  <c r="L4" i="7"/>
  <c r="L6" i="7" s="1"/>
  <c r="G6" i="8"/>
  <c r="G9" i="8" s="1"/>
  <c r="G14" i="8" s="1"/>
  <c r="G16" i="8" s="1"/>
  <c r="I24" i="19"/>
  <c r="J33" i="8" l="1"/>
  <c r="G25" i="8"/>
  <c r="J32" i="8"/>
  <c r="J27" i="8"/>
  <c r="J30" i="8"/>
  <c r="J31" i="8"/>
  <c r="J26" i="8"/>
  <c r="G18" i="8"/>
  <c r="J29" i="8"/>
  <c r="J25" i="8"/>
  <c r="J28" i="8"/>
  <c r="J34" i="8"/>
  <c r="C11" i="8"/>
  <c r="D9" i="8"/>
  <c r="E6" i="8"/>
  <c r="B2" i="9"/>
  <c r="A13" i="9"/>
  <c r="C12" i="9"/>
  <c r="D12" i="9" s="1"/>
  <c r="E12" i="9" s="1"/>
  <c r="I25" i="19"/>
  <c r="I27" i="19" s="1"/>
  <c r="H27" i="19"/>
  <c r="H29" i="19" s="1"/>
  <c r="I29" i="19" s="1"/>
  <c r="J22" i="8" l="1"/>
  <c r="G19" i="8"/>
  <c r="G20" i="8" s="1"/>
  <c r="A14" i="9"/>
  <c r="C13" i="9"/>
  <c r="D13" i="9" s="1"/>
  <c r="E13" i="9" s="1"/>
  <c r="D11" i="8"/>
  <c r="E11" i="8"/>
  <c r="A15" i="9" l="1"/>
  <c r="C14" i="9"/>
  <c r="D14" i="9" s="1"/>
  <c r="E14" i="9" s="1"/>
  <c r="K27" i="8"/>
  <c r="K91" i="8"/>
  <c r="K36" i="8"/>
  <c r="K112" i="8"/>
  <c r="G23" i="8"/>
  <c r="K102" i="8"/>
  <c r="K43" i="8"/>
  <c r="K42" i="8"/>
  <c r="K51" i="8"/>
  <c r="K59" i="8"/>
  <c r="K82" i="8"/>
  <c r="K101" i="8"/>
  <c r="K93" i="8"/>
  <c r="K25" i="8"/>
  <c r="K57" i="8"/>
  <c r="K89" i="8"/>
  <c r="K50" i="8"/>
  <c r="K108" i="8"/>
  <c r="K34" i="8"/>
  <c r="K111" i="8"/>
  <c r="K75" i="8"/>
  <c r="K96" i="8"/>
  <c r="K88" i="8"/>
  <c r="K64" i="8"/>
  <c r="K66" i="8"/>
  <c r="K84" i="8"/>
  <c r="K71" i="8"/>
  <c r="K63" i="8"/>
  <c r="K60" i="8"/>
  <c r="K70" i="8"/>
  <c r="K83" i="8"/>
  <c r="K56" i="8"/>
  <c r="K72" i="8"/>
  <c r="K45" i="8"/>
  <c r="K65" i="8"/>
  <c r="K49" i="8"/>
  <c r="K77" i="8"/>
  <c r="K52" i="8"/>
  <c r="K40" i="8"/>
  <c r="K28" i="8"/>
  <c r="K107" i="8"/>
  <c r="K46" i="8"/>
  <c r="K38" i="8"/>
  <c r="K31" i="8"/>
  <c r="K79" i="8"/>
  <c r="K55" i="8"/>
  <c r="K73" i="8"/>
  <c r="K104" i="8"/>
  <c r="K106" i="8"/>
  <c r="K97" i="8"/>
  <c r="K39" i="8"/>
  <c r="K81" i="8"/>
  <c r="K95" i="8"/>
  <c r="K92" i="8"/>
  <c r="K113" i="8"/>
  <c r="K76" i="8"/>
  <c r="K35" i="8"/>
  <c r="K68" i="8"/>
  <c r="K47" i="8"/>
  <c r="K110" i="8"/>
  <c r="K67" i="8"/>
  <c r="K30" i="8"/>
  <c r="K33" i="8"/>
  <c r="K48" i="8"/>
  <c r="K94" i="8"/>
  <c r="K103" i="8"/>
  <c r="K32" i="8"/>
  <c r="K80" i="8"/>
  <c r="K26" i="8"/>
  <c r="K109" i="8"/>
  <c r="K53" i="8"/>
  <c r="K100" i="8"/>
  <c r="K78" i="8"/>
  <c r="K41" i="8"/>
  <c r="K105" i="8"/>
  <c r="K44" i="8"/>
  <c r="K99" i="8"/>
  <c r="K90" i="8"/>
  <c r="K69" i="8"/>
  <c r="K86" i="8"/>
  <c r="K62" i="8"/>
  <c r="K37" i="8"/>
  <c r="K74" i="8"/>
  <c r="K61" i="8"/>
  <c r="K87" i="8"/>
  <c r="K98" i="8"/>
  <c r="K85" i="8"/>
  <c r="K54" i="8"/>
  <c r="K58" i="8"/>
  <c r="K29" i="8"/>
  <c r="A16" i="9" l="1"/>
  <c r="C15" i="9"/>
  <c r="D15" i="9" s="1"/>
  <c r="E15" i="9" s="1"/>
  <c r="K22" i="8"/>
  <c r="C16" i="9" l="1"/>
  <c r="D16" i="9" s="1"/>
  <c r="E16" i="9"/>
  <c r="A17" i="9"/>
  <c r="A18" i="9" l="1"/>
  <c r="C17" i="9"/>
  <c r="D17" i="9" s="1"/>
  <c r="E17" i="9"/>
  <c r="A19" i="9" l="1"/>
  <c r="C18" i="9"/>
  <c r="D18" i="9" s="1"/>
  <c r="E18" i="9" s="1"/>
  <c r="A20" i="9" l="1"/>
  <c r="C19" i="9"/>
  <c r="D19" i="9" s="1"/>
  <c r="E19" i="9" s="1"/>
  <c r="A21" i="9" l="1"/>
  <c r="C20" i="9"/>
  <c r="D20" i="9" s="1"/>
  <c r="E20" i="9" s="1"/>
  <c r="C21" i="9" l="1"/>
  <c r="D21" i="9" s="1"/>
  <c r="E21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CF</author>
  </authors>
  <commentList>
    <comment ref="H2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CF:</t>
        </r>
        <r>
          <rPr>
            <sz val="9"/>
            <color indexed="81"/>
            <rFont val="Tahoma"/>
            <family val="2"/>
          </rPr>
          <t xml:space="preserve">
Dado do exc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CF</author>
  </authors>
  <commentList>
    <comment ref="H16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CF:</t>
        </r>
        <r>
          <rPr>
            <sz val="9"/>
            <color indexed="81"/>
            <rFont val="Tahoma"/>
            <family val="2"/>
          </rPr>
          <t xml:space="preserve">
Não entendi pra quê serve</t>
        </r>
      </text>
    </comment>
    <comment ref="H22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CF:</t>
        </r>
        <r>
          <rPr>
            <sz val="9"/>
            <color indexed="81"/>
            <rFont val="Tahoma"/>
            <family val="2"/>
          </rPr>
          <t xml:space="preserve">
Não entendi pra quê serve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CF</author>
  </authors>
  <commentList>
    <comment ref="G12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CF:</t>
        </r>
        <r>
          <rPr>
            <sz val="9"/>
            <color indexed="81"/>
            <rFont val="Tahoma"/>
            <family val="2"/>
          </rPr>
          <t xml:space="preserve">
Dado do exc</t>
        </r>
      </text>
    </comment>
  </commentList>
</comments>
</file>

<file path=xl/sharedStrings.xml><?xml version="1.0" encoding="utf-8"?>
<sst xmlns="http://schemas.openxmlformats.org/spreadsheetml/2006/main" count="298" uniqueCount="215">
  <si>
    <t>Descrição</t>
  </si>
  <si>
    <t>Lista de materiais</t>
  </si>
  <si>
    <t>Unidade</t>
  </si>
  <si>
    <t>Farinha de trigo</t>
  </si>
  <si>
    <t>Ovo</t>
  </si>
  <si>
    <t>Leite</t>
  </si>
  <si>
    <t>Queijo muzzarela</t>
  </si>
  <si>
    <t>Molho de tomate</t>
  </si>
  <si>
    <t>Presunto</t>
  </si>
  <si>
    <t>kg</t>
  </si>
  <si>
    <t>un.</t>
  </si>
  <si>
    <t>L</t>
  </si>
  <si>
    <t>Material</t>
  </si>
  <si>
    <t>Preço</t>
  </si>
  <si>
    <t>Margem</t>
  </si>
  <si>
    <t>Impostos</t>
  </si>
  <si>
    <t>Faturamento</t>
  </si>
  <si>
    <t>Pizza presunto</t>
  </si>
  <si>
    <t>Pizza marguerita</t>
  </si>
  <si>
    <t>Consumo de material por produto</t>
  </si>
  <si>
    <t>Quantidade</t>
  </si>
  <si>
    <t>Total</t>
  </si>
  <si>
    <t>Custo de materiais por produto</t>
  </si>
  <si>
    <t>Unitário</t>
  </si>
  <si>
    <t>Produto</t>
  </si>
  <si>
    <t>Imposto%</t>
  </si>
  <si>
    <t>%Margem un.</t>
  </si>
  <si>
    <t>%Margem tot.</t>
  </si>
  <si>
    <t>Custo fixo (-)</t>
  </si>
  <si>
    <t>Imposto (-)</t>
  </si>
  <si>
    <t>Custo variável (-)</t>
  </si>
  <si>
    <t>Margem total da empresa</t>
  </si>
  <si>
    <t>CF</t>
  </si>
  <si>
    <t>Fatura</t>
  </si>
  <si>
    <t>Passo</t>
  </si>
  <si>
    <t>CV</t>
  </si>
  <si>
    <t>CT</t>
  </si>
  <si>
    <t>Resultado econômico</t>
  </si>
  <si>
    <t>ÁRVORE DOS PRODUTOS E COEFICIENTE DE MATERIAIS</t>
  </si>
  <si>
    <t>QUESTOES</t>
  </si>
  <si>
    <t>1. Fazer um planilha mostrando o consumo de materiais para o dado plano de vendas (MRP)</t>
  </si>
  <si>
    <t>2. Fazer um planilha mostrando o custo de materiais por produto (Unitário e Total)</t>
  </si>
  <si>
    <t>3. Fazer um planilha mostrando a margem por produto (Unitário e Total) e percentuais</t>
  </si>
  <si>
    <t xml:space="preserve">R$ </t>
  </si>
  <si>
    <t xml:space="preserve">% </t>
  </si>
  <si>
    <t>5. Fazer gráfico de ponto de equilibrio, onde variando-se qualquer parâmetro obtenha-se o novo ponto de equilibrio</t>
  </si>
  <si>
    <t>Pizza muzzarela</t>
  </si>
  <si>
    <t>restrições</t>
  </si>
  <si>
    <t>Resultado/LUCRO</t>
  </si>
  <si>
    <t>Dados as tabelas 1, 2 e 3</t>
  </si>
  <si>
    <t>(Tab1)</t>
  </si>
  <si>
    <t>Lista de Produtos (Tab 2)</t>
  </si>
  <si>
    <t>Tabela 3</t>
  </si>
  <si>
    <t>Mg cont</t>
  </si>
  <si>
    <t>4. Fazer planilha de resultados agregados para a empresa, como o modelo ao lado</t>
  </si>
  <si>
    <t>s/vendas</t>
  </si>
  <si>
    <t>Preço un.</t>
  </si>
  <si>
    <t>sem/impostos</t>
  </si>
  <si>
    <t>Preço unitário</t>
  </si>
  <si>
    <t>Tab 4</t>
  </si>
  <si>
    <t>utilizacao</t>
  </si>
  <si>
    <t>com</t>
  </si>
  <si>
    <t>7. Calcular e Fazer comentários sobre o mix de produtos respondendo qual o melhor produto, sabendo que existem restrições de matérias primas (t.1.).</t>
  </si>
  <si>
    <t>LUCRO</t>
  </si>
  <si>
    <t>n</t>
  </si>
  <si>
    <t>A</t>
  </si>
  <si>
    <t>B</t>
  </si>
  <si>
    <t>Q</t>
  </si>
  <si>
    <t>e.ponto</t>
  </si>
  <si>
    <t>P1</t>
  </si>
  <si>
    <t>P1 = 15 - b.Q</t>
  </si>
  <si>
    <t>b</t>
  </si>
  <si>
    <t>P2 = 19 - bQ</t>
  </si>
  <si>
    <t>P3 = 17 - bQ</t>
  </si>
  <si>
    <t>P2</t>
  </si>
  <si>
    <t>P3</t>
  </si>
  <si>
    <t>QUAL O MIX ÓTIMO?</t>
  </si>
  <si>
    <t>DESAFIO</t>
  </si>
  <si>
    <t>FUNÇÃO PRODUÇÃO</t>
  </si>
  <si>
    <t>DRE</t>
  </si>
  <si>
    <t>EBITDA</t>
  </si>
  <si>
    <t>LUCRO OPERACIONAL</t>
  </si>
  <si>
    <t>DEPRECIAÇÃO?</t>
  </si>
  <si>
    <t>FLUXO DE CAIXA PROSPECTIVO (TIR, VPL, PAY BACK)</t>
  </si>
  <si>
    <t>"CONTABILIDADES" FINANCEIRA E GERENCIAL</t>
  </si>
  <si>
    <t>DEBATES SOBRE:</t>
  </si>
  <si>
    <t>8. Mostrar resultados usando o custeio por absorção.</t>
  </si>
  <si>
    <t>(=) LUCRO BRUTO</t>
  </si>
  <si>
    <t>(-) DESPESAS OPERACIONAIS</t>
  </si>
  <si>
    <t>. Administrativas</t>
  </si>
  <si>
    <t xml:space="preserve">(=) EBITDA (LAJIDA) </t>
  </si>
  <si>
    <t>(A OPERAÇÃO ESTÁ RENDENDO CAIXA NESTE VALOR) ESTE VALOR DEVE SER SUFICIENTE PARA PAGAR OS JUROS LÍQUIDOS</t>
  </si>
  <si>
    <t xml:space="preserve"> E O IMPOSTO DE RENDA, BEM COMO OS DIVIDENDOS (REM K QUE REPÕE O KAPITAL INICIAL) AQUI OS FLUXOS </t>
  </si>
  <si>
    <t>DAÍ A IMPORTÂNCIA DE CALCULAR ROI = EBITDA/INVESTIMENTO</t>
  </si>
  <si>
    <t>CPV</t>
  </si>
  <si>
    <t>CUSTOS VARIÁVEIS</t>
  </si>
  <si>
    <t>CUSTOS FIXOS</t>
  </si>
  <si>
    <t>DEP</t>
  </si>
  <si>
    <t>INVESTIMENTO</t>
  </si>
  <si>
    <t>VIDA CONTÁBIL</t>
  </si>
  <si>
    <t>DEP ANUAL</t>
  </si>
  <si>
    <t xml:space="preserve"> (=) RECEITA LÍQUIDA DE VENDAS</t>
  </si>
  <si>
    <t>. Vendas (COMISSÕES, POR EXEMPLO)</t>
  </si>
  <si>
    <t>. Gerais</t>
  </si>
  <si>
    <t>(=) LUCRO OPERACIONAL</t>
  </si>
  <si>
    <t>(+) DEPRECIAÇÃO (aquela que entrou no CPV; isto é, a DEPf)</t>
  </si>
  <si>
    <t xml:space="preserve">(A OPERAÇÃO ESTÁ RENDENDO CAIXA NESTE VALOR) ESTE VALOR DEVE SER SUFICIENTE PARA PAGAR OS JUROS LÍQUIDOS E O IMPOSTO DE RENDA, BEM COMO OS DIVIDENDOS (REM K QUE REPÕE O KAPITAL INICIAL) AQUI OS FLUXOS </t>
  </si>
  <si>
    <t>(-) Depreciação/amortização/exaustão (contábil)</t>
  </si>
  <si>
    <t>VIDA CONTÁBIL [ANOS]</t>
  </si>
  <si>
    <t>R$/MÊS</t>
  </si>
  <si>
    <t>(-) Provisão para IR e CS (30%)</t>
  </si>
  <si>
    <t>Resultado - EBITDA</t>
  </si>
  <si>
    <t>depreciaçao</t>
  </si>
  <si>
    <t>contábil</t>
  </si>
  <si>
    <t>(como se fossem os custos da fábrica que somados aos indiretos compõem os</t>
  </si>
  <si>
    <t>CGF ou CGI que serao rateados nos produtos…</t>
  </si>
  <si>
    <t>(-) IMPOSTOS</t>
  </si>
  <si>
    <t>(+) RECEITA BRUTA</t>
  </si>
  <si>
    <t xml:space="preserve">USANDO </t>
  </si>
  <si>
    <t>MODELOS CAUSAIS</t>
  </si>
  <si>
    <t>Muzzarela</t>
  </si>
  <si>
    <t>Marguerita</t>
  </si>
  <si>
    <t>pronunciamento contábil CPC 27 (IFRS IAS 16)</t>
  </si>
  <si>
    <t>média ponderada</t>
  </si>
  <si>
    <t>Previsão de demanda por produto</t>
  </si>
  <si>
    <t>os cf da fábrica estao incluidos no CPV</t>
  </si>
  <si>
    <t>coef ang</t>
  </si>
  <si>
    <t>coef linear</t>
  </si>
  <si>
    <t>equcao =</t>
  </si>
  <si>
    <t>modelo economico</t>
  </si>
  <si>
    <t>QUANTIDADE</t>
  </si>
  <si>
    <t>CD</t>
  </si>
  <si>
    <t>MCT</t>
  </si>
  <si>
    <t>a</t>
  </si>
  <si>
    <t>PREÇO</t>
  </si>
  <si>
    <t>MCU</t>
  </si>
  <si>
    <t>[(DEPRECIAÇÕES] .DEP . TRIBUTÁRIA = DEP CONTÁBIL</t>
  </si>
  <si>
    <t xml:space="preserve">(-) CPV/CMV/CSP </t>
  </si>
  <si>
    <t>(aqui entra a depreciação econômica/financeira/real) maq e eqptos e etc...E A QUESTÃO DE CALCULAR CPV incluindo DEPf.</t>
  </si>
  <si>
    <t xml:space="preserve"> (=) LUCRO ANTES DO IR e CSLL  - LUCRO TRIBUTÁVEL</t>
  </si>
  <si>
    <t>(=) LUCRO contábil</t>
  </si>
  <si>
    <t>FLUXO DE CAIXA</t>
  </si>
  <si>
    <t>EBITDA/INV</t>
  </si>
  <si>
    <t>FCF</t>
  </si>
  <si>
    <t>L CONTÁBIL</t>
  </si>
  <si>
    <t>TRC = TAXA DE RETORNO CONTÁBIL</t>
  </si>
  <si>
    <t>6. Analisar o lucro, dado que o investimento inicial foi de R$ 200 mil. (CALCULAR TAXA DE RETEORNO  COMO SE O INVESTIMENTO FOSSE O PATRIMONIO LIQUIDO TOTAL). PARA DIFERENCIAR ROI, ROA E ROE</t>
  </si>
  <si>
    <t>&lt;=TRC"</t>
  </si>
  <si>
    <t>TIR [%.a.a.]=&gt;</t>
  </si>
  <si>
    <t>Preço [$/U]</t>
  </si>
  <si>
    <t>Quantidade [u]</t>
  </si>
  <si>
    <t>TOTAIS</t>
  </si>
  <si>
    <t>Faturamento [$]</t>
  </si>
  <si>
    <t>Imposto [$]</t>
  </si>
  <si>
    <t>Custo variável total  [$]</t>
  </si>
  <si>
    <t>Margem Total  [$]</t>
  </si>
  <si>
    <t>Custo var unitário [$/u]</t>
  </si>
  <si>
    <t>Margem Contribuição unitária [$/u]</t>
  </si>
  <si>
    <t>RT/10</t>
  </si>
  <si>
    <t>MC% média</t>
  </si>
  <si>
    <t>R$/mês</t>
  </si>
  <si>
    <t>% da RT</t>
  </si>
  <si>
    <t>CVT</t>
  </si>
  <si>
    <t>9. OTIMIZAR A PIZZARIA, USANDO OS MODELOS CAUSAIS</t>
  </si>
  <si>
    <t>PROPOSTOS(CALCULAR preços e quantidades que otimizam o sistema)</t>
  </si>
  <si>
    <t>PE</t>
  </si>
  <si>
    <t>cvu [$/u]</t>
  </si>
  <si>
    <t>Custo VAR total [$/mês]</t>
  </si>
  <si>
    <t>CUSTOS TOTAIS</t>
  </si>
  <si>
    <t>RESTRIÇÕES</t>
  </si>
  <si>
    <t>UTILIZ.</t>
  </si>
  <si>
    <t>Alunos:</t>
  </si>
  <si>
    <t>Carlos Gomes Pires Filho</t>
  </si>
  <si>
    <t>Sophia Leal Codognotto</t>
  </si>
  <si>
    <t>Thalissa de Oliveira Elias Reis</t>
  </si>
  <si>
    <t>resposta do solver</t>
  </si>
  <si>
    <t>Microsoft Excel 16.43 Sensitivity Report</t>
  </si>
  <si>
    <t>Worksheet: [EC1 G3.xls]PREVISÃO DEMANDA (causais)</t>
  </si>
  <si>
    <t>Report Created: 11/04/23 11:32:44</t>
  </si>
  <si>
    <t>Variable Cells</t>
  </si>
  <si>
    <t>Cell</t>
  </si>
  <si>
    <t>Name</t>
  </si>
  <si>
    <t>Final</t>
  </si>
  <si>
    <t>Value</t>
  </si>
  <si>
    <t>Reduced</t>
  </si>
  <si>
    <t>Gradient</t>
  </si>
  <si>
    <t>Constraints</t>
  </si>
  <si>
    <t>Lagrange</t>
  </si>
  <si>
    <t>Multiplier</t>
  </si>
  <si>
    <t>$V$9</t>
  </si>
  <si>
    <t>QUANTIDADE P1</t>
  </si>
  <si>
    <t>$W$9</t>
  </si>
  <si>
    <t>QUANTIDADE P2</t>
  </si>
  <si>
    <t>$X$9</t>
  </si>
  <si>
    <t>QUANTIDADE P3</t>
  </si>
  <si>
    <t>$W$19</t>
  </si>
  <si>
    <t>Farinha de trigo UTILIZ.</t>
  </si>
  <si>
    <t>$W$20</t>
  </si>
  <si>
    <t>Ovo UTILIZ.</t>
  </si>
  <si>
    <t>$W$21</t>
  </si>
  <si>
    <t>Leite UTILIZ.</t>
  </si>
  <si>
    <t>$W$22</t>
  </si>
  <si>
    <t>Queijo muzzarela UTILIZ.</t>
  </si>
  <si>
    <t>$W$23</t>
  </si>
  <si>
    <t>Molho de tomate UTILIZ.</t>
  </si>
  <si>
    <t>$W$24</t>
  </si>
  <si>
    <t>Presunto UTILIZ.</t>
  </si>
  <si>
    <t>LUCRO CONTÁBIL</t>
  </si>
  <si>
    <t>TRC</t>
  </si>
  <si>
    <t>EBITDA/INV (TIR)</t>
  </si>
  <si>
    <t>MODELO 1</t>
  </si>
  <si>
    <t>MODELO 2</t>
  </si>
  <si>
    <t>MODELO 3</t>
  </si>
  <si>
    <t>MODELO 4</t>
  </si>
  <si>
    <t>PREÇOS E MIX DE PRODUTOS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</si>
</sst>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"/>
    <numFmt numFmtId="167" formatCode="0.000"/>
    <numFmt numFmtId="168" formatCode="0.0000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2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Cambria"/>
      <family val="1"/>
    </font>
    <font>
      <b/>
      <sz val="18"/>
      <name val="Arial"/>
      <family val="2"/>
    </font>
    <font>
      <sz val="2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000000"/>
      <name val="Arial"/>
      <family val="2"/>
    </font>
    <font>
      <b/>
      <sz val="10"/>
      <color indexed="1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BE0E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3">
    <xf numFmtId="0" fontId="0" fillId="0" borderId="0" xfId="0"/>
    <xf numFmtId="43" fontId="0" fillId="0" borderId="0" xfId="0" applyNumberFormat="1"/>
    <xf numFmtId="0" fontId="2" fillId="2" borderId="0" xfId="0" applyFont="1" applyFill="1"/>
    <xf numFmtId="0" fontId="0" fillId="2" borderId="0" xfId="0" applyFill="1"/>
    <xf numFmtId="0" fontId="2" fillId="3" borderId="1" xfId="0" applyFont="1" applyFill="1" applyBorder="1" applyProtection="1"/>
    <xf numFmtId="0" fontId="2" fillId="3" borderId="2" xfId="0" applyFont="1" applyFill="1" applyBorder="1" applyProtection="1"/>
    <xf numFmtId="9" fontId="0" fillId="2" borderId="0" xfId="0" applyNumberFormat="1" applyFill="1"/>
    <xf numFmtId="10" fontId="0" fillId="2" borderId="0" xfId="2" applyNumberFormat="1" applyFont="1" applyFill="1"/>
    <xf numFmtId="0" fontId="4" fillId="4" borderId="3" xfId="0" applyFont="1" applyFill="1" applyBorder="1"/>
    <xf numFmtId="0" fontId="4" fillId="4" borderId="4" xfId="0" applyFont="1" applyFill="1" applyBorder="1"/>
    <xf numFmtId="0" fontId="2" fillId="5" borderId="5" xfId="0" applyFont="1" applyFill="1" applyBorder="1"/>
    <xf numFmtId="0" fontId="2" fillId="5" borderId="6" xfId="0" applyFont="1" applyFill="1" applyBorder="1"/>
    <xf numFmtId="0" fontId="4" fillId="6" borderId="4" xfId="0" applyFont="1" applyFill="1" applyBorder="1"/>
    <xf numFmtId="0" fontId="4" fillId="4" borderId="7" xfId="0" applyFont="1" applyFill="1" applyBorder="1"/>
    <xf numFmtId="0" fontId="4" fillId="6" borderId="1" xfId="0" applyFont="1" applyFill="1" applyBorder="1"/>
    <xf numFmtId="0" fontId="4" fillId="6" borderId="2" xfId="0" applyFont="1" applyFill="1" applyBorder="1"/>
    <xf numFmtId="0" fontId="2" fillId="7" borderId="8" xfId="0" applyFont="1" applyFill="1" applyBorder="1"/>
    <xf numFmtId="0" fontId="6" fillId="2" borderId="9" xfId="0" applyFont="1" applyFill="1" applyBorder="1" applyProtection="1">
      <protection locked="0"/>
    </xf>
    <xf numFmtId="0" fontId="6" fillId="2" borderId="10" xfId="0" applyFont="1" applyFill="1" applyBorder="1" applyProtection="1">
      <protection locked="0"/>
    </xf>
    <xf numFmtId="0" fontId="6" fillId="2" borderId="5" xfId="0" applyFont="1" applyFill="1" applyBorder="1" applyProtection="1">
      <protection locked="0"/>
    </xf>
    <xf numFmtId="0" fontId="6" fillId="2" borderId="11" xfId="0" applyFont="1" applyFill="1" applyBorder="1" applyProtection="1">
      <protection locked="0"/>
    </xf>
    <xf numFmtId="0" fontId="6" fillId="2" borderId="12" xfId="0" applyFont="1" applyFill="1" applyBorder="1" applyProtection="1">
      <protection locked="0"/>
    </xf>
    <xf numFmtId="0" fontId="2" fillId="7" borderId="13" xfId="0" applyFont="1" applyFill="1" applyBorder="1"/>
    <xf numFmtId="0" fontId="2" fillId="7" borderId="14" xfId="0" applyFont="1" applyFill="1" applyBorder="1"/>
    <xf numFmtId="0" fontId="4" fillId="6" borderId="11" xfId="0" applyFont="1" applyFill="1" applyBorder="1"/>
    <xf numFmtId="43" fontId="2" fillId="8" borderId="15" xfId="1" applyFont="1" applyFill="1" applyBorder="1"/>
    <xf numFmtId="43" fontId="2" fillId="8" borderId="16" xfId="1" applyFont="1" applyFill="1" applyBorder="1"/>
    <xf numFmtId="43" fontId="0" fillId="2" borderId="17" xfId="1" applyFont="1" applyFill="1" applyBorder="1"/>
    <xf numFmtId="43" fontId="0" fillId="2" borderId="0" xfId="0" applyNumberFormat="1" applyFill="1"/>
    <xf numFmtId="43" fontId="0" fillId="2" borderId="18" xfId="1" applyFont="1" applyFill="1" applyBorder="1"/>
    <xf numFmtId="0" fontId="2" fillId="3" borderId="19" xfId="0" applyFont="1" applyFill="1" applyBorder="1"/>
    <xf numFmtId="0" fontId="2" fillId="3" borderId="16" xfId="0" applyFont="1" applyFill="1" applyBorder="1"/>
    <xf numFmtId="0" fontId="2" fillId="9" borderId="20" xfId="0" applyFont="1" applyFill="1" applyBorder="1"/>
    <xf numFmtId="0" fontId="2" fillId="10" borderId="20" xfId="0" applyFont="1" applyFill="1" applyBorder="1"/>
    <xf numFmtId="164" fontId="3" fillId="2" borderId="21" xfId="2" applyNumberFormat="1" applyFont="1" applyFill="1" applyBorder="1"/>
    <xf numFmtId="43" fontId="2" fillId="9" borderId="18" xfId="1" applyFont="1" applyFill="1" applyBorder="1"/>
    <xf numFmtId="43" fontId="2" fillId="9" borderId="22" xfId="0" applyNumberFormat="1" applyFont="1" applyFill="1" applyBorder="1"/>
    <xf numFmtId="165" fontId="0" fillId="0" borderId="0" xfId="1" applyNumberFormat="1" applyFont="1"/>
    <xf numFmtId="165" fontId="0" fillId="0" borderId="0" xfId="0" applyNumberFormat="1"/>
    <xf numFmtId="43" fontId="2" fillId="7" borderId="18" xfId="0" applyNumberFormat="1" applyFont="1" applyFill="1" applyBorder="1"/>
    <xf numFmtId="0" fontId="2" fillId="9" borderId="19" xfId="0" applyFont="1" applyFill="1" applyBorder="1"/>
    <xf numFmtId="0" fontId="2" fillId="11" borderId="20" xfId="0" applyFont="1" applyFill="1" applyBorder="1"/>
    <xf numFmtId="0" fontId="2" fillId="7" borderId="20" xfId="0" applyFont="1" applyFill="1" applyBorder="1"/>
    <xf numFmtId="0" fontId="6" fillId="2" borderId="23" xfId="0" applyFont="1" applyFill="1" applyBorder="1" applyProtection="1">
      <protection locked="0"/>
    </xf>
    <xf numFmtId="0" fontId="6" fillId="2" borderId="24" xfId="0" applyFont="1" applyFill="1" applyBorder="1" applyProtection="1">
      <protection locked="0"/>
    </xf>
    <xf numFmtId="0" fontId="4" fillId="4" borderId="18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left"/>
    </xf>
    <xf numFmtId="43" fontId="2" fillId="10" borderId="18" xfId="1" applyFont="1" applyFill="1" applyBorder="1" applyAlignment="1">
      <alignment horizontal="center"/>
    </xf>
    <xf numFmtId="164" fontId="3" fillId="10" borderId="21" xfId="2" applyNumberFormat="1" applyFont="1" applyFill="1" applyBorder="1" applyAlignment="1">
      <alignment horizontal="center"/>
    </xf>
    <xf numFmtId="0" fontId="2" fillId="3" borderId="0" xfId="0" applyFont="1" applyFill="1" applyBorder="1"/>
    <xf numFmtId="43" fontId="0" fillId="2" borderId="0" xfId="1" applyFont="1" applyFill="1"/>
    <xf numFmtId="0" fontId="0" fillId="0" borderId="0" xfId="0" applyAlignment="1">
      <alignment horizontal="center"/>
    </xf>
    <xf numFmtId="166" fontId="0" fillId="0" borderId="0" xfId="1" applyNumberFormat="1" applyFont="1" applyAlignment="1">
      <alignment horizontal="left" indent="2"/>
    </xf>
    <xf numFmtId="166" fontId="0" fillId="0" borderId="0" xfId="1" applyNumberFormat="1" applyFont="1" applyAlignment="1">
      <alignment horizontal="center"/>
    </xf>
    <xf numFmtId="0" fontId="0" fillId="0" borderId="26" xfId="0" applyBorder="1"/>
    <xf numFmtId="43" fontId="0" fillId="0" borderId="0" xfId="1" applyFont="1"/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2" borderId="0" xfId="0" applyFill="1" applyAlignment="1">
      <alignment horizontal="center"/>
    </xf>
    <xf numFmtId="0" fontId="0" fillId="12" borderId="0" xfId="0" applyFill="1"/>
    <xf numFmtId="0" fontId="25" fillId="13" borderId="56" xfId="0" applyFont="1" applyFill="1" applyBorder="1" applyAlignment="1">
      <alignment horizontal="center" wrapText="1" readingOrder="1"/>
    </xf>
    <xf numFmtId="0" fontId="14" fillId="0" borderId="0" xfId="0" applyFont="1"/>
    <xf numFmtId="0" fontId="15" fillId="0" borderId="0" xfId="0" applyFont="1"/>
    <xf numFmtId="0" fontId="2" fillId="3" borderId="26" xfId="0" applyFont="1" applyFill="1" applyBorder="1"/>
    <xf numFmtId="0" fontId="2" fillId="2" borderId="26" xfId="0" applyFont="1" applyFill="1" applyBorder="1"/>
    <xf numFmtId="0" fontId="0" fillId="2" borderId="26" xfId="0" applyFill="1" applyBorder="1"/>
    <xf numFmtId="0" fontId="6" fillId="2" borderId="26" xfId="0" applyFont="1" applyFill="1" applyBorder="1" applyProtection="1">
      <protection locked="0"/>
    </xf>
    <xf numFmtId="43" fontId="6" fillId="2" borderId="26" xfId="1" applyFont="1" applyFill="1" applyBorder="1" applyProtection="1">
      <protection locked="0"/>
    </xf>
    <xf numFmtId="43" fontId="0" fillId="0" borderId="0" xfId="1" applyFont="1" applyAlignment="1">
      <alignment horizontal="left"/>
    </xf>
    <xf numFmtId="0" fontId="0" fillId="0" borderId="0" xfId="0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168" fontId="0" fillId="0" borderId="0" xfId="0" applyNumberFormat="1"/>
    <xf numFmtId="0" fontId="10" fillId="0" borderId="0" xfId="0" applyFont="1" applyAlignment="1">
      <alignment horizontal="right"/>
    </xf>
    <xf numFmtId="0" fontId="10" fillId="0" borderId="26" xfId="0" applyFont="1" applyBorder="1" applyAlignment="1">
      <alignment horizontal="center"/>
    </xf>
    <xf numFmtId="0" fontId="10" fillId="0" borderId="26" xfId="0" applyFont="1" applyBorder="1" applyAlignment="1">
      <alignment horizontal="right"/>
    </xf>
    <xf numFmtId="0" fontId="10" fillId="0" borderId="26" xfId="0" applyFont="1" applyBorder="1"/>
    <xf numFmtId="168" fontId="0" fillId="0" borderId="26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10" fillId="12" borderId="26" xfId="0" applyFont="1" applyFill="1" applyBorder="1"/>
    <xf numFmtId="0" fontId="0" fillId="12" borderId="26" xfId="0" applyFill="1" applyBorder="1"/>
    <xf numFmtId="0" fontId="11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Border="1" applyAlignment="1"/>
    <xf numFmtId="0" fontId="0" fillId="0" borderId="26" xfId="0" applyBorder="1" applyAlignment="1">
      <alignment horizontal="center"/>
    </xf>
    <xf numFmtId="0" fontId="16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43" fontId="0" fillId="2" borderId="0" xfId="0" applyNumberFormat="1" applyFill="1" applyBorder="1"/>
    <xf numFmtId="43" fontId="0" fillId="2" borderId="0" xfId="1" applyFont="1" applyFill="1" applyBorder="1"/>
    <xf numFmtId="9" fontId="0" fillId="2" borderId="0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0" borderId="0" xfId="0" applyBorder="1"/>
    <xf numFmtId="43" fontId="0" fillId="2" borderId="26" xfId="0" applyNumberFormat="1" applyFill="1" applyBorder="1"/>
    <xf numFmtId="1" fontId="0" fillId="2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11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/>
    </xf>
    <xf numFmtId="0" fontId="10" fillId="2" borderId="0" xfId="0" applyFont="1" applyFill="1"/>
    <xf numFmtId="43" fontId="0" fillId="2" borderId="26" xfId="1" applyFont="1" applyFill="1" applyBorder="1" applyAlignment="1">
      <alignment horizontal="center"/>
    </xf>
    <xf numFmtId="43" fontId="0" fillId="2" borderId="26" xfId="1" applyFont="1" applyFill="1" applyBorder="1"/>
    <xf numFmtId="0" fontId="10" fillId="12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0" fillId="14" borderId="0" xfId="0" applyFont="1" applyFill="1"/>
    <xf numFmtId="0" fontId="5" fillId="2" borderId="0" xfId="0" applyFont="1" applyFill="1" applyBorder="1"/>
    <xf numFmtId="0" fontId="4" fillId="6" borderId="27" xfId="0" applyFont="1" applyFill="1" applyBorder="1"/>
    <xf numFmtId="0" fontId="10" fillId="0" borderId="0" xfId="0" applyFont="1" applyFill="1" applyBorder="1"/>
    <xf numFmtId="0" fontId="2" fillId="0" borderId="0" xfId="0" applyFont="1" applyFill="1" applyBorder="1"/>
    <xf numFmtId="0" fontId="2" fillId="0" borderId="0" xfId="1" applyNumberFormat="1" applyFont="1" applyFill="1" applyBorder="1"/>
    <xf numFmtId="0" fontId="0" fillId="0" borderId="0" xfId="0" applyFill="1" applyBorder="1"/>
    <xf numFmtId="0" fontId="0" fillId="0" borderId="0" xfId="0" applyFill="1"/>
    <xf numFmtId="0" fontId="2" fillId="0" borderId="5" xfId="0" applyFont="1" applyFill="1" applyBorder="1"/>
    <xf numFmtId="0" fontId="2" fillId="0" borderId="10" xfId="0" applyFont="1" applyFill="1" applyBorder="1"/>
    <xf numFmtId="43" fontId="2" fillId="0" borderId="28" xfId="0" applyNumberFormat="1" applyFont="1" applyFill="1" applyBorder="1"/>
    <xf numFmtId="43" fontId="2" fillId="0" borderId="15" xfId="1" applyFont="1" applyFill="1" applyBorder="1"/>
    <xf numFmtId="43" fontId="5" fillId="0" borderId="29" xfId="0" applyNumberFormat="1" applyFont="1" applyFill="1" applyBorder="1"/>
    <xf numFmtId="43" fontId="5" fillId="0" borderId="10" xfId="0" applyNumberFormat="1" applyFont="1" applyFill="1" applyBorder="1"/>
    <xf numFmtId="43" fontId="5" fillId="0" borderId="30" xfId="0" applyNumberFormat="1" applyFont="1" applyFill="1" applyBorder="1"/>
    <xf numFmtId="0" fontId="2" fillId="0" borderId="6" xfId="0" applyFont="1" applyFill="1" applyBorder="1"/>
    <xf numFmtId="0" fontId="2" fillId="0" borderId="31" xfId="0" applyFont="1" applyFill="1" applyBorder="1"/>
    <xf numFmtId="43" fontId="2" fillId="0" borderId="32" xfId="0" applyNumberFormat="1" applyFont="1" applyFill="1" applyBorder="1"/>
    <xf numFmtId="43" fontId="2" fillId="0" borderId="16" xfId="1" applyFont="1" applyFill="1" applyBorder="1"/>
    <xf numFmtId="43" fontId="5" fillId="0" borderId="33" xfId="0" applyNumberFormat="1" applyFont="1" applyFill="1" applyBorder="1"/>
    <xf numFmtId="43" fontId="5" fillId="0" borderId="31" xfId="0" applyNumberFormat="1" applyFont="1" applyFill="1" applyBorder="1"/>
    <xf numFmtId="43" fontId="5" fillId="0" borderId="34" xfId="0" applyNumberFormat="1" applyFont="1" applyFill="1" applyBorder="1"/>
    <xf numFmtId="0" fontId="0" fillId="0" borderId="17" xfId="0" applyFill="1" applyBorder="1"/>
    <xf numFmtId="0" fontId="4" fillId="0" borderId="12" xfId="0" applyFont="1" applyFill="1" applyBorder="1"/>
    <xf numFmtId="0" fontId="4" fillId="0" borderId="35" xfId="0" applyFont="1" applyFill="1" applyBorder="1"/>
    <xf numFmtId="43" fontId="7" fillId="0" borderId="36" xfId="0" applyNumberFormat="1" applyFont="1" applyFill="1" applyBorder="1"/>
    <xf numFmtId="43" fontId="7" fillId="0" borderId="37" xfId="0" applyNumberFormat="1" applyFont="1" applyFill="1" applyBorder="1"/>
    <xf numFmtId="0" fontId="8" fillId="0" borderId="24" xfId="0" applyFont="1" applyFill="1" applyBorder="1"/>
    <xf numFmtId="0" fontId="8" fillId="0" borderId="38" xfId="0" applyFont="1" applyFill="1" applyBorder="1"/>
    <xf numFmtId="0" fontId="2" fillId="0" borderId="39" xfId="0" applyFont="1" applyFill="1" applyBorder="1"/>
    <xf numFmtId="0" fontId="2" fillId="0" borderId="40" xfId="0" applyFont="1" applyFill="1" applyBorder="1"/>
    <xf numFmtId="0" fontId="2" fillId="0" borderId="0" xfId="0" applyFont="1" applyFill="1"/>
    <xf numFmtId="0" fontId="2" fillId="0" borderId="41" xfId="0" applyFont="1" applyFill="1" applyBorder="1"/>
    <xf numFmtId="0" fontId="4" fillId="4" borderId="42" xfId="0" applyFont="1" applyFill="1" applyBorder="1" applyAlignment="1">
      <alignment vertical="center"/>
    </xf>
    <xf numFmtId="0" fontId="4" fillId="4" borderId="36" xfId="0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center" vertical="center" wrapText="1"/>
    </xf>
    <xf numFmtId="0" fontId="2" fillId="5" borderId="43" xfId="0" applyFont="1" applyFill="1" applyBorder="1"/>
    <xf numFmtId="9" fontId="0" fillId="2" borderId="26" xfId="2" applyFont="1" applyFill="1" applyBorder="1" applyAlignment="1">
      <alignment horizontal="center"/>
    </xf>
    <xf numFmtId="0" fontId="10" fillId="12" borderId="23" xfId="0" applyFont="1" applyFill="1" applyBorder="1" applyAlignment="1">
      <alignment horizontal="right"/>
    </xf>
    <xf numFmtId="1" fontId="0" fillId="12" borderId="24" xfId="0" applyNumberFormat="1" applyFill="1" applyBorder="1" applyAlignment="1">
      <alignment horizontal="center"/>
    </xf>
    <xf numFmtId="0" fontId="0" fillId="12" borderId="24" xfId="0" applyFill="1" applyBorder="1"/>
    <xf numFmtId="43" fontId="0" fillId="12" borderId="24" xfId="0" applyNumberFormat="1" applyFill="1" applyBorder="1"/>
    <xf numFmtId="9" fontId="22" fillId="12" borderId="38" xfId="2" applyFont="1" applyFill="1" applyBorder="1" applyAlignment="1">
      <alignment horizontal="center"/>
    </xf>
    <xf numFmtId="9" fontId="2" fillId="0" borderId="0" xfId="1" applyNumberFormat="1" applyFont="1" applyFill="1" applyBorder="1"/>
    <xf numFmtId="0" fontId="2" fillId="2" borderId="44" xfId="0" applyFont="1" applyFill="1" applyBorder="1"/>
    <xf numFmtId="0" fontId="21" fillId="14" borderId="45" xfId="0" applyFont="1" applyFill="1" applyBorder="1" applyAlignment="1"/>
    <xf numFmtId="43" fontId="22" fillId="14" borderId="22" xfId="1" applyFont="1" applyFill="1" applyBorder="1"/>
    <xf numFmtId="0" fontId="0" fillId="14" borderId="46" xfId="0" applyFill="1" applyBorder="1"/>
    <xf numFmtId="0" fontId="21" fillId="14" borderId="47" xfId="0" applyFont="1" applyFill="1" applyBorder="1" applyAlignment="1"/>
    <xf numFmtId="0" fontId="0" fillId="14" borderId="0" xfId="0" applyFill="1" applyBorder="1"/>
    <xf numFmtId="0" fontId="0" fillId="14" borderId="48" xfId="0" applyFill="1" applyBorder="1"/>
    <xf numFmtId="0" fontId="21" fillId="14" borderId="14" xfId="0" applyFont="1" applyFill="1" applyBorder="1" applyAlignment="1"/>
    <xf numFmtId="0" fontId="0" fillId="14" borderId="17" xfId="0" applyFill="1" applyBorder="1" applyAlignment="1">
      <alignment horizontal="center"/>
    </xf>
    <xf numFmtId="0" fontId="0" fillId="14" borderId="49" xfId="0" applyFill="1" applyBorder="1"/>
    <xf numFmtId="0" fontId="16" fillId="14" borderId="0" xfId="0" applyFont="1" applyFill="1"/>
    <xf numFmtId="1" fontId="2" fillId="9" borderId="50" xfId="1" applyNumberFormat="1" applyFont="1" applyFill="1" applyBorder="1" applyAlignment="1">
      <alignment horizontal="center"/>
    </xf>
    <xf numFmtId="1" fontId="2" fillId="9" borderId="4" xfId="1" applyNumberFormat="1" applyFont="1" applyFill="1" applyBorder="1" applyAlignment="1">
      <alignment horizontal="center"/>
    </xf>
    <xf numFmtId="1" fontId="2" fillId="9" borderId="51" xfId="1" applyNumberFormat="1" applyFont="1" applyFill="1" applyBorder="1" applyAlignment="1">
      <alignment horizontal="center"/>
    </xf>
    <xf numFmtId="1" fontId="5" fillId="2" borderId="29" xfId="1" applyNumberFormat="1" applyFont="1" applyFill="1" applyBorder="1" applyAlignment="1">
      <alignment horizontal="center"/>
    </xf>
    <xf numFmtId="1" fontId="5" fillId="2" borderId="48" xfId="1" applyNumberFormat="1" applyFont="1" applyFill="1" applyBorder="1" applyAlignment="1">
      <alignment horizontal="center"/>
    </xf>
    <xf numFmtId="1" fontId="5" fillId="2" borderId="33" xfId="1" applyNumberFormat="1" applyFont="1" applyFill="1" applyBorder="1" applyAlignment="1">
      <alignment horizontal="center"/>
    </xf>
    <xf numFmtId="1" fontId="5" fillId="2" borderId="49" xfId="1" applyNumberFormat="1" applyFont="1" applyFill="1" applyBorder="1" applyAlignment="1">
      <alignment horizontal="center"/>
    </xf>
    <xf numFmtId="1" fontId="2" fillId="8" borderId="15" xfId="1" applyNumberFormat="1" applyFont="1" applyFill="1" applyBorder="1" applyAlignment="1">
      <alignment horizontal="center"/>
    </xf>
    <xf numFmtId="1" fontId="2" fillId="8" borderId="16" xfId="1" applyNumberFormat="1" applyFont="1" applyFill="1" applyBorder="1" applyAlignment="1">
      <alignment horizontal="center"/>
    </xf>
    <xf numFmtId="2" fontId="0" fillId="12" borderId="26" xfId="0" applyNumberFormat="1" applyFill="1" applyBorder="1" applyAlignment="1">
      <alignment horizontal="center"/>
    </xf>
    <xf numFmtId="2" fontId="6" fillId="2" borderId="10" xfId="1" applyNumberFormat="1" applyFont="1" applyFill="1" applyBorder="1" applyAlignment="1" applyProtection="1">
      <alignment horizontal="center"/>
      <protection locked="0"/>
    </xf>
    <xf numFmtId="2" fontId="6" fillId="2" borderId="24" xfId="1" applyNumberFormat="1" applyFont="1" applyFill="1" applyBorder="1" applyAlignment="1" applyProtection="1">
      <alignment horizontal="center"/>
      <protection locked="0"/>
    </xf>
    <xf numFmtId="0" fontId="2" fillId="3" borderId="35" xfId="0" applyFont="1" applyFill="1" applyBorder="1" applyProtection="1"/>
    <xf numFmtId="9" fontId="6" fillId="2" borderId="28" xfId="0" applyNumberFormat="1" applyFont="1" applyFill="1" applyBorder="1" applyAlignment="1" applyProtection="1">
      <alignment horizontal="center"/>
      <protection locked="0"/>
    </xf>
    <xf numFmtId="9" fontId="6" fillId="2" borderId="52" xfId="0" applyNumberFormat="1" applyFont="1" applyFill="1" applyBorder="1" applyAlignment="1" applyProtection="1">
      <alignment horizontal="center"/>
      <protection locked="0"/>
    </xf>
    <xf numFmtId="1" fontId="6" fillId="2" borderId="13" xfId="0" applyNumberFormat="1" applyFont="1" applyFill="1" applyBorder="1" applyAlignment="1" applyProtection="1">
      <alignment horizontal="center"/>
      <protection locked="0"/>
    </xf>
    <xf numFmtId="1" fontId="6" fillId="2" borderId="53" xfId="0" applyNumberFormat="1" applyFont="1" applyFill="1" applyBorder="1" applyAlignment="1" applyProtection="1">
      <alignment horizontal="center"/>
      <protection locked="0"/>
    </xf>
    <xf numFmtId="1" fontId="6" fillId="2" borderId="54" xfId="0" applyNumberFormat="1" applyFont="1" applyFill="1" applyBorder="1" applyAlignment="1" applyProtection="1">
      <alignment horizontal="center"/>
      <protection locked="0"/>
    </xf>
    <xf numFmtId="43" fontId="0" fillId="12" borderId="0" xfId="0" applyNumberFormat="1" applyFill="1"/>
    <xf numFmtId="0" fontId="10" fillId="12" borderId="0" xfId="0" applyFont="1" applyFill="1"/>
    <xf numFmtId="0" fontId="21" fillId="2" borderId="0" xfId="0" applyFont="1" applyFill="1" applyAlignment="1">
      <alignment horizontal="center" wrapText="1"/>
    </xf>
    <xf numFmtId="1" fontId="4" fillId="6" borderId="11" xfId="0" applyNumberFormat="1" applyFont="1" applyFill="1" applyBorder="1" applyAlignment="1">
      <alignment horizontal="center"/>
    </xf>
    <xf numFmtId="1" fontId="4" fillId="6" borderId="19" xfId="0" applyNumberFormat="1" applyFont="1" applyFill="1" applyBorder="1" applyAlignment="1">
      <alignment horizontal="center"/>
    </xf>
    <xf numFmtId="4" fontId="5" fillId="2" borderId="33" xfId="0" applyNumberFormat="1" applyFont="1" applyFill="1" applyBorder="1" applyAlignment="1">
      <alignment horizontal="center"/>
    </xf>
    <xf numFmtId="4" fontId="2" fillId="5" borderId="26" xfId="1" applyNumberFormat="1" applyFont="1" applyFill="1" applyBorder="1" applyAlignment="1">
      <alignment horizontal="center"/>
    </xf>
    <xf numFmtId="4" fontId="2" fillId="5" borderId="26" xfId="0" applyNumberFormat="1" applyFont="1" applyFill="1" applyBorder="1" applyAlignment="1">
      <alignment horizontal="center"/>
    </xf>
    <xf numFmtId="4" fontId="2" fillId="10" borderId="26" xfId="1" applyNumberFormat="1" applyFont="1" applyFill="1" applyBorder="1" applyAlignment="1">
      <alignment horizontal="center"/>
    </xf>
    <xf numFmtId="4" fontId="0" fillId="12" borderId="24" xfId="0" applyNumberFormat="1" applyFill="1" applyBorder="1" applyAlignment="1">
      <alignment horizontal="center"/>
    </xf>
    <xf numFmtId="3" fontId="2" fillId="5" borderId="26" xfId="2" applyNumberFormat="1" applyFont="1" applyFill="1" applyBorder="1" applyAlignment="1">
      <alignment horizontal="center"/>
    </xf>
    <xf numFmtId="3" fontId="0" fillId="12" borderId="24" xfId="0" applyNumberFormat="1" applyFill="1" applyBorder="1" applyAlignment="1">
      <alignment horizontal="center"/>
    </xf>
    <xf numFmtId="4" fontId="0" fillId="2" borderId="0" xfId="1" applyNumberFormat="1" applyFont="1" applyFill="1" applyAlignment="1">
      <alignment horizontal="center"/>
    </xf>
    <xf numFmtId="4" fontId="4" fillId="6" borderId="11" xfId="0" applyNumberFormat="1" applyFont="1" applyFill="1" applyBorder="1" applyAlignment="1">
      <alignment horizontal="center"/>
    </xf>
    <xf numFmtId="4" fontId="5" fillId="2" borderId="29" xfId="0" applyNumberFormat="1" applyFont="1" applyFill="1" applyBorder="1" applyAlignment="1">
      <alignment horizontal="center"/>
    </xf>
    <xf numFmtId="4" fontId="5" fillId="2" borderId="48" xfId="0" applyNumberFormat="1" applyFont="1" applyFill="1" applyBorder="1" applyAlignment="1">
      <alignment horizontal="center"/>
    </xf>
    <xf numFmtId="4" fontId="5" fillId="2" borderId="49" xfId="0" applyNumberFormat="1" applyFont="1" applyFill="1" applyBorder="1" applyAlignment="1">
      <alignment horizontal="center"/>
    </xf>
    <xf numFmtId="4" fontId="6" fillId="2" borderId="35" xfId="1" applyNumberFormat="1" applyFont="1" applyFill="1" applyBorder="1" applyProtection="1">
      <protection locked="0"/>
    </xf>
    <xf numFmtId="4" fontId="6" fillId="2" borderId="55" xfId="1" applyNumberFormat="1" applyFont="1" applyFill="1" applyBorder="1" applyProtection="1">
      <protection locked="0"/>
    </xf>
    <xf numFmtId="4" fontId="0" fillId="2" borderId="26" xfId="0" applyNumberFormat="1" applyFill="1" applyBorder="1" applyAlignment="1">
      <alignment horizontal="center"/>
    </xf>
    <xf numFmtId="164" fontId="6" fillId="3" borderId="26" xfId="2" applyNumberFormat="1" applyFont="1" applyFill="1" applyBorder="1" applyAlignment="1">
      <alignment horizontal="center"/>
    </xf>
    <xf numFmtId="164" fontId="0" fillId="2" borderId="26" xfId="2" applyNumberFormat="1" applyFont="1" applyFill="1" applyBorder="1" applyAlignment="1">
      <alignment horizontal="center"/>
    </xf>
    <xf numFmtId="0" fontId="10" fillId="2" borderId="0" xfId="0" applyFont="1" applyFill="1" applyAlignment="1"/>
    <xf numFmtId="0" fontId="11" fillId="0" borderId="0" xfId="0" applyFont="1" applyAlignment="1">
      <alignment horizontal="left" vertical="center"/>
    </xf>
    <xf numFmtId="43" fontId="10" fillId="0" borderId="0" xfId="0" applyNumberFormat="1" applyFont="1"/>
    <xf numFmtId="43" fontId="10" fillId="0" borderId="0" xfId="1" applyFont="1"/>
    <xf numFmtId="43" fontId="0" fillId="15" borderId="45" xfId="0" applyNumberFormat="1" applyFill="1" applyBorder="1"/>
    <xf numFmtId="43" fontId="0" fillId="15" borderId="47" xfId="0" applyNumberFormat="1" applyFill="1" applyBorder="1"/>
    <xf numFmtId="43" fontId="0" fillId="15" borderId="14" xfId="0" applyNumberFormat="1" applyFill="1" applyBorder="1"/>
    <xf numFmtId="164" fontId="3" fillId="2" borderId="19" xfId="2" applyNumberFormat="1" applyFont="1" applyFill="1" applyBorder="1"/>
    <xf numFmtId="164" fontId="3" fillId="2" borderId="15" xfId="2" applyNumberFormat="1" applyFont="1" applyFill="1" applyBorder="1"/>
    <xf numFmtId="164" fontId="3" fillId="2" borderId="16" xfId="2" applyNumberFormat="1" applyFont="1" applyFill="1" applyBorder="1"/>
    <xf numFmtId="164" fontId="3" fillId="9" borderId="20" xfId="2" applyNumberFormat="1" applyFont="1" applyFill="1" applyBorder="1"/>
    <xf numFmtId="164" fontId="3" fillId="15" borderId="48" xfId="2" applyNumberFormat="1" applyFont="1" applyFill="1" applyBorder="1"/>
    <xf numFmtId="0" fontId="2" fillId="10" borderId="16" xfId="0" applyFont="1" applyFill="1" applyBorder="1"/>
    <xf numFmtId="43" fontId="0" fillId="2" borderId="0" xfId="1" applyNumberFormat="1" applyFont="1" applyFill="1" applyBorder="1"/>
    <xf numFmtId="164" fontId="3" fillId="16" borderId="20" xfId="2" applyNumberFormat="1" applyFont="1" applyFill="1" applyBorder="1"/>
    <xf numFmtId="164" fontId="3" fillId="17" borderId="20" xfId="2" applyNumberFormat="1" applyFont="1" applyFill="1" applyBorder="1"/>
    <xf numFmtId="43" fontId="0" fillId="2" borderId="25" xfId="1" applyFont="1" applyFill="1" applyBorder="1"/>
    <xf numFmtId="164" fontId="20" fillId="12" borderId="0" xfId="2" applyNumberFormat="1" applyFont="1" applyFill="1" applyAlignment="1">
      <alignment horizontal="center"/>
    </xf>
    <xf numFmtId="164" fontId="19" fillId="12" borderId="0" xfId="2" applyNumberFormat="1" applyFont="1" applyFill="1"/>
    <xf numFmtId="164" fontId="19" fillId="14" borderId="0" xfId="2" applyNumberFormat="1" applyFont="1" applyFill="1"/>
    <xf numFmtId="164" fontId="0" fillId="0" borderId="0" xfId="2" applyNumberFormat="1" applyFont="1"/>
    <xf numFmtId="168" fontId="10" fillId="0" borderId="0" xfId="0" applyNumberFormat="1" applyFont="1"/>
    <xf numFmtId="166" fontId="0" fillId="0" borderId="0" xfId="0" applyNumberFormat="1"/>
    <xf numFmtId="167" fontId="10" fillId="0" borderId="0" xfId="0" applyNumberFormat="1" applyFont="1"/>
    <xf numFmtId="0" fontId="0" fillId="12" borderId="22" xfId="0" applyFill="1" applyBorder="1"/>
    <xf numFmtId="0" fontId="0" fillId="12" borderId="46" xfId="0" applyFill="1" applyBorder="1"/>
    <xf numFmtId="0" fontId="0" fillId="12" borderId="47" xfId="0" applyFill="1" applyBorder="1"/>
    <xf numFmtId="0" fontId="0" fillId="12" borderId="0" xfId="0" applyFill="1" applyBorder="1"/>
    <xf numFmtId="0" fontId="0" fillId="12" borderId="48" xfId="0" applyFill="1" applyBorder="1"/>
    <xf numFmtId="0" fontId="0" fillId="12" borderId="14" xfId="0" applyFill="1" applyBorder="1"/>
    <xf numFmtId="0" fontId="0" fillId="12" borderId="17" xfId="0" applyFill="1" applyBorder="1"/>
    <xf numFmtId="0" fontId="0" fillId="12" borderId="49" xfId="0" applyFill="1" applyBorder="1"/>
    <xf numFmtId="0" fontId="10" fillId="12" borderId="45" xfId="0" applyFont="1" applyFill="1" applyBorder="1"/>
    <xf numFmtId="0" fontId="10" fillId="12" borderId="22" xfId="0" applyFont="1" applyFill="1" applyBorder="1"/>
    <xf numFmtId="0" fontId="10" fillId="12" borderId="0" xfId="0" applyFont="1" applyFill="1" applyBorder="1"/>
    <xf numFmtId="0" fontId="10" fillId="12" borderId="17" xfId="0" applyFont="1" applyFill="1" applyBorder="1"/>
    <xf numFmtId="165" fontId="0" fillId="12" borderId="0" xfId="1" applyNumberFormat="1" applyFont="1" applyFill="1"/>
    <xf numFmtId="1" fontId="0" fillId="12" borderId="26" xfId="1" applyNumberFormat="1" applyFont="1" applyFill="1" applyBorder="1" applyAlignment="1">
      <alignment horizontal="center"/>
    </xf>
    <xf numFmtId="0" fontId="2" fillId="0" borderId="0" xfId="0" applyFont="1"/>
    <xf numFmtId="0" fontId="0" fillId="0" borderId="59" xfId="0" applyFill="1" applyBorder="1" applyAlignment="1"/>
    <xf numFmtId="0" fontId="0" fillId="0" borderId="60" xfId="0" applyFill="1" applyBorder="1" applyAlignment="1"/>
    <xf numFmtId="0" fontId="26" fillId="0" borderId="57" xfId="0" applyFont="1" applyFill="1" applyBorder="1" applyAlignment="1">
      <alignment horizontal="center"/>
    </xf>
    <xf numFmtId="0" fontId="26" fillId="0" borderId="58" xfId="0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9" fontId="10" fillId="0" borderId="0" xfId="2" applyFont="1"/>
    <xf numFmtId="0" fontId="4" fillId="4" borderId="25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'PREVISAO de demanda (temporais)'!$F$7</c:f>
              <c:strCache>
                <c:ptCount val="1"/>
                <c:pt idx="0">
                  <c:v>Muzzarela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'PREVISAO de demanda (temporais)'!$F$8:$F$17</c:f>
              <c:numCache>
                <c:formatCode>General</c:formatCode>
                <c:ptCount val="10"/>
                <c:pt idx="0">
                  <c:v>3000</c:v>
                </c:pt>
                <c:pt idx="1">
                  <c:v>2000</c:v>
                </c:pt>
                <c:pt idx="2">
                  <c:v>2500</c:v>
                </c:pt>
                <c:pt idx="3">
                  <c:v>3000</c:v>
                </c:pt>
                <c:pt idx="4">
                  <c:v>3000</c:v>
                </c:pt>
                <c:pt idx="5">
                  <c:v>2500</c:v>
                </c:pt>
                <c:pt idx="6">
                  <c:v>4000</c:v>
                </c:pt>
                <c:pt idx="7">
                  <c:v>2500</c:v>
                </c:pt>
                <c:pt idx="8">
                  <c:v>2800</c:v>
                </c:pt>
                <c:pt idx="9">
                  <c:v>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78-E949-8300-565DFE5B6005}"/>
            </c:ext>
          </c:extLst>
        </c:ser>
        <c:ser>
          <c:idx val="1"/>
          <c:order val="1"/>
          <c:tx>
            <c:strRef>
              <c:f>'PREVISAO de demanda (temporais)'!$G$7</c:f>
              <c:strCache>
                <c:ptCount val="1"/>
                <c:pt idx="0">
                  <c:v>Presunto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'PREVISAO de demanda (temporais)'!$G$8:$G$17</c:f>
              <c:numCache>
                <c:formatCode>General</c:formatCode>
                <c:ptCount val="10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2100</c:v>
                </c:pt>
                <c:pt idx="4">
                  <c:v>1600</c:v>
                </c:pt>
                <c:pt idx="5">
                  <c:v>1100</c:v>
                </c:pt>
                <c:pt idx="6">
                  <c:v>2000</c:v>
                </c:pt>
                <c:pt idx="7">
                  <c:v>2100</c:v>
                </c:pt>
                <c:pt idx="8">
                  <c:v>1600</c:v>
                </c:pt>
                <c:pt idx="9">
                  <c:v>1200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78-E949-8300-565DFE5B6005}"/>
            </c:ext>
          </c:extLst>
        </c:ser>
        <c:ser>
          <c:idx val="2"/>
          <c:order val="2"/>
          <c:tx>
            <c:strRef>
              <c:f>'PREVISAO de demanda (temporais)'!$H$7</c:f>
              <c:strCache>
                <c:ptCount val="1"/>
                <c:pt idx="0">
                  <c:v>Marguerita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'PREVISAO de demanda (temporais)'!$H$8:$H$17</c:f>
              <c:numCache>
                <c:formatCode>General</c:formatCode>
                <c:ptCount val="10"/>
                <c:pt idx="0">
                  <c:v>1500</c:v>
                </c:pt>
                <c:pt idx="1">
                  <c:v>1100</c:v>
                </c:pt>
                <c:pt idx="2">
                  <c:v>1100</c:v>
                </c:pt>
                <c:pt idx="3">
                  <c:v>1200</c:v>
                </c:pt>
                <c:pt idx="4">
                  <c:v>900</c:v>
                </c:pt>
                <c:pt idx="5">
                  <c:v>1200</c:v>
                </c:pt>
                <c:pt idx="6">
                  <c:v>1890</c:v>
                </c:pt>
                <c:pt idx="7">
                  <c:v>900</c:v>
                </c:pt>
                <c:pt idx="8">
                  <c:v>1300</c:v>
                </c:pt>
                <c:pt idx="9">
                  <c:v>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78-E949-8300-565DFE5B6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5315696"/>
        <c:axId val="1"/>
      </c:lineChart>
      <c:catAx>
        <c:axId val="195531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BR"/>
          </a:p>
        </c:txPr>
        <c:crossAx val="19553156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813231944043379"/>
          <c:y val="0.92685765229907546"/>
          <c:w val="0.42917188051464689"/>
          <c:h val="5.22664089642335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BR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'PREVISÃO DEMANDA (causais)'!$N$28</c:f>
              <c:strCache>
                <c:ptCount val="1"/>
                <c:pt idx="0">
                  <c:v>P1</c:v>
                </c:pt>
              </c:strCache>
            </c:strRef>
          </c:tx>
          <c:spPr>
            <a:ln w="47625">
              <a:noFill/>
            </a:ln>
          </c:spPr>
          <c:marker>
            <c:symbol val="diamond"/>
            <c:size val="9"/>
            <c:spPr>
              <a:gradFill rotWithShape="0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/>
              </a:gradFill>
              <a:ln>
                <a:solidFill>
                  <a:srgbClr val="666699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trendline>
            <c:trendlineType val="linear"/>
            <c:dispRSqr val="0"/>
            <c:dispEq val="1"/>
            <c:trendlineLbl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BR"/>
                </a:p>
              </c:txPr>
            </c:trendlineLbl>
          </c:trendline>
          <c:xVal>
            <c:numRef>
              <c:f>'PREVISÃO DEMANDA (causais)'!$M$29:$M$38</c:f>
              <c:numCache>
                <c:formatCode>General</c:formatCode>
                <c:ptCount val="10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</c:numCache>
            </c:numRef>
          </c:xVal>
          <c:yVal>
            <c:numRef>
              <c:f>'PREVISÃO DEMANDA (causais)'!$N$29:$N$38</c:f>
              <c:numCache>
                <c:formatCode>0.0</c:formatCode>
                <c:ptCount val="10"/>
                <c:pt idx="0">
                  <c:v>15</c:v>
                </c:pt>
                <c:pt idx="1">
                  <c:v>13.3</c:v>
                </c:pt>
                <c:pt idx="2">
                  <c:v>11.7</c:v>
                </c:pt>
                <c:pt idx="3">
                  <c:v>10</c:v>
                </c:pt>
                <c:pt idx="4">
                  <c:v>8.33</c:v>
                </c:pt>
                <c:pt idx="5">
                  <c:v>6.7</c:v>
                </c:pt>
                <c:pt idx="6">
                  <c:v>5</c:v>
                </c:pt>
                <c:pt idx="7">
                  <c:v>3.3</c:v>
                </c:pt>
                <c:pt idx="8">
                  <c:v>1.7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AF0-7445-9D59-AD60B5C86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6652464"/>
        <c:axId val="1"/>
      </c:scatterChart>
      <c:valAx>
        <c:axId val="163665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BR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BR"/>
          </a:p>
        </c:txPr>
        <c:crossAx val="1636652464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BR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'PREVISÃO DEMANDA (causais)'!$N$40</c:f>
              <c:strCache>
                <c:ptCount val="1"/>
                <c:pt idx="0">
                  <c:v>P2</c:v>
                </c:pt>
              </c:strCache>
            </c:strRef>
          </c:tx>
          <c:spPr>
            <a:ln w="47625">
              <a:noFill/>
            </a:ln>
          </c:spPr>
          <c:marker>
            <c:symbol val="diamond"/>
            <c:size val="9"/>
            <c:spPr>
              <a:gradFill rotWithShape="0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/>
              </a:gradFill>
              <a:ln>
                <a:solidFill>
                  <a:srgbClr val="666699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trendline>
            <c:trendlineType val="linear"/>
            <c:dispRSqr val="0"/>
            <c:dispEq val="1"/>
            <c:trendlineLbl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BR"/>
                </a:p>
              </c:txPr>
            </c:trendlineLbl>
          </c:trendline>
          <c:xVal>
            <c:numRef>
              <c:f>'PREVISÃO DEMANDA (causais)'!$M$41:$M$50</c:f>
              <c:numCache>
                <c:formatCode>General</c:formatCode>
                <c:ptCount val="10"/>
                <c:pt idx="0">
                  <c:v>0</c:v>
                </c:pt>
                <c:pt idx="1">
                  <c:v>300</c:v>
                </c:pt>
                <c:pt idx="2">
                  <c:v>600</c:v>
                </c:pt>
                <c:pt idx="3">
                  <c:v>900</c:v>
                </c:pt>
                <c:pt idx="4">
                  <c:v>1200</c:v>
                </c:pt>
                <c:pt idx="5">
                  <c:v>1500</c:v>
                </c:pt>
                <c:pt idx="6">
                  <c:v>1800</c:v>
                </c:pt>
                <c:pt idx="7">
                  <c:v>2100</c:v>
                </c:pt>
                <c:pt idx="8">
                  <c:v>2400</c:v>
                </c:pt>
                <c:pt idx="9">
                  <c:v>2700</c:v>
                </c:pt>
              </c:numCache>
            </c:numRef>
          </c:xVal>
          <c:yVal>
            <c:numRef>
              <c:f>'PREVISÃO DEMANDA (causais)'!$N$41:$N$50</c:f>
              <c:numCache>
                <c:formatCode>0.0</c:formatCode>
                <c:ptCount val="10"/>
                <c:pt idx="0">
                  <c:v>25</c:v>
                </c:pt>
                <c:pt idx="1">
                  <c:v>23.5</c:v>
                </c:pt>
                <c:pt idx="2">
                  <c:v>22</c:v>
                </c:pt>
                <c:pt idx="3">
                  <c:v>20.5</c:v>
                </c:pt>
                <c:pt idx="4">
                  <c:v>19</c:v>
                </c:pt>
                <c:pt idx="5">
                  <c:v>17.5</c:v>
                </c:pt>
                <c:pt idx="6">
                  <c:v>16</c:v>
                </c:pt>
                <c:pt idx="7">
                  <c:v>14.5</c:v>
                </c:pt>
                <c:pt idx="8">
                  <c:v>13</c:v>
                </c:pt>
                <c:pt idx="9">
                  <c:v>11.5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479-1540-B564-399A2F56A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0564624"/>
        <c:axId val="1"/>
      </c:scatterChart>
      <c:valAx>
        <c:axId val="164056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BR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BR"/>
          </a:p>
        </c:txPr>
        <c:crossAx val="1640564624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BR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'PREVISÃO DEMANDA (causais)'!$N$53</c:f>
              <c:strCache>
                <c:ptCount val="1"/>
                <c:pt idx="0">
                  <c:v>P3</c:v>
                </c:pt>
              </c:strCache>
            </c:strRef>
          </c:tx>
          <c:spPr>
            <a:ln w="47625">
              <a:noFill/>
            </a:ln>
          </c:spPr>
          <c:marker>
            <c:symbol val="diamond"/>
            <c:size val="9"/>
            <c:spPr>
              <a:gradFill rotWithShape="0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/>
              </a:gradFill>
              <a:ln>
                <a:solidFill>
                  <a:srgbClr val="666699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trendline>
            <c:trendlineType val="linear"/>
            <c:dispRSqr val="0"/>
            <c:dispEq val="1"/>
            <c:trendlineLbl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BR"/>
                </a:p>
              </c:txPr>
            </c:trendlineLbl>
          </c:trendline>
          <c:xVal>
            <c:numRef>
              <c:f>'PREVISÃO DEMANDA (causais)'!$M$54:$M$63</c:f>
              <c:numCache>
                <c:formatCode>General</c:formatCode>
                <c:ptCount val="10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</c:numCache>
            </c:numRef>
          </c:xVal>
          <c:yVal>
            <c:numRef>
              <c:f>'PREVISÃO DEMANDA (causais)'!$N$54:$N$63</c:f>
              <c:numCache>
                <c:formatCode>General</c:formatCode>
                <c:ptCount val="10"/>
                <c:pt idx="0">
                  <c:v>20</c:v>
                </c:pt>
                <c:pt idx="1">
                  <c:v>18.5</c:v>
                </c:pt>
                <c:pt idx="2">
                  <c:v>17</c:v>
                </c:pt>
                <c:pt idx="3">
                  <c:v>15.5</c:v>
                </c:pt>
                <c:pt idx="4" formatCode="0.0">
                  <c:v>14</c:v>
                </c:pt>
                <c:pt idx="5" formatCode="0.0">
                  <c:v>12.5</c:v>
                </c:pt>
                <c:pt idx="6" formatCode="0.0">
                  <c:v>11</c:v>
                </c:pt>
                <c:pt idx="7" formatCode="0.0">
                  <c:v>9.5</c:v>
                </c:pt>
                <c:pt idx="8" formatCode="0.0">
                  <c:v>8</c:v>
                </c:pt>
                <c:pt idx="9" formatCode="0.0">
                  <c:v>6.5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7E4-724F-902E-A1CAA2295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0982896"/>
        <c:axId val="1"/>
      </c:scatterChart>
      <c:valAx>
        <c:axId val="163098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BR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BR"/>
          </a:p>
        </c:txPr>
        <c:crossAx val="163098289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BR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Ponto de equilíbrio</a:t>
            </a:r>
          </a:p>
        </c:rich>
      </c:tx>
      <c:layout>
        <c:manualLayout>
          <c:xMode val="edge"/>
          <c:yMode val="edge"/>
          <c:x val="0.42482752989209682"/>
          <c:y val="2.03619645583517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620689655171E-2"/>
          <c:y val="0.1244343891402715"/>
          <c:w val="0.8317241379310345"/>
          <c:h val="0.83936651583710409"/>
        </c:manualLayout>
      </c:layout>
      <c:lineChart>
        <c:grouping val="standard"/>
        <c:varyColors val="0"/>
        <c:ser>
          <c:idx val="1"/>
          <c:order val="0"/>
          <c:tx>
            <c:strRef>
              <c:f>PED!$B$9</c:f>
              <c:strCache>
                <c:ptCount val="1"/>
                <c:pt idx="0">
                  <c:v>CF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PED!$A$10:$A$42</c:f>
              <c:numCache>
                <c:formatCode>_(* #,##0_);_(* \(#,##0\);_(* "-"??_);_(@_)</c:formatCode>
                <c:ptCount val="33"/>
                <c:pt idx="0">
                  <c:v>0</c:v>
                </c:pt>
                <c:pt idx="1">
                  <c:v>7081.6644683603108</c:v>
                </c:pt>
                <c:pt idx="2">
                  <c:v>14163.328936720622</c:v>
                </c:pt>
                <c:pt idx="3">
                  <c:v>21244.993405080932</c:v>
                </c:pt>
                <c:pt idx="4">
                  <c:v>28326.657873441243</c:v>
                </c:pt>
                <c:pt idx="5">
                  <c:v>35408.322341801555</c:v>
                </c:pt>
                <c:pt idx="6">
                  <c:v>42489.986810161863</c:v>
                </c:pt>
                <c:pt idx="7">
                  <c:v>49571.651278522171</c:v>
                </c:pt>
                <c:pt idx="8">
                  <c:v>56653.315746882479</c:v>
                </c:pt>
                <c:pt idx="9">
                  <c:v>63734.980215242787</c:v>
                </c:pt>
                <c:pt idx="10">
                  <c:v>70816.644683603095</c:v>
                </c:pt>
                <c:pt idx="11">
                  <c:v>77898.309151963404</c:v>
                </c:pt>
              </c:numCache>
            </c:numRef>
          </c:cat>
          <c:val>
            <c:numRef>
              <c:f>PED!$B$10:$B$21</c:f>
              <c:numCache>
                <c:formatCode>_(* #,##0_);_(* \(#,##0\);_(* "-"??_);_(@_)</c:formatCode>
                <c:ptCount val="12"/>
                <c:pt idx="0">
                  <c:v>15000</c:v>
                </c:pt>
                <c:pt idx="1">
                  <c:v>15000</c:v>
                </c:pt>
                <c:pt idx="2">
                  <c:v>15000</c:v>
                </c:pt>
                <c:pt idx="3">
                  <c:v>15000</c:v>
                </c:pt>
                <c:pt idx="4">
                  <c:v>15000</c:v>
                </c:pt>
                <c:pt idx="5">
                  <c:v>15000</c:v>
                </c:pt>
                <c:pt idx="6">
                  <c:v>15000</c:v>
                </c:pt>
                <c:pt idx="7">
                  <c:v>15000</c:v>
                </c:pt>
                <c:pt idx="8">
                  <c:v>15000</c:v>
                </c:pt>
                <c:pt idx="9">
                  <c:v>15000</c:v>
                </c:pt>
                <c:pt idx="10">
                  <c:v>15000</c:v>
                </c:pt>
                <c:pt idx="11">
                  <c:v>15000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5E-BE4E-98F7-CD041257F799}"/>
            </c:ext>
          </c:extLst>
        </c:ser>
        <c:ser>
          <c:idx val="2"/>
          <c:order val="1"/>
          <c:tx>
            <c:strRef>
              <c:f>PED!$C$9</c:f>
              <c:strCache>
                <c:ptCount val="1"/>
                <c:pt idx="0">
                  <c:v>CV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PED!$A$10:$A$42</c:f>
              <c:numCache>
                <c:formatCode>_(* #,##0_);_(* \(#,##0\);_(* "-"??_);_(@_)</c:formatCode>
                <c:ptCount val="33"/>
                <c:pt idx="0">
                  <c:v>0</c:v>
                </c:pt>
                <c:pt idx="1">
                  <c:v>7081.6644683603108</c:v>
                </c:pt>
                <c:pt idx="2">
                  <c:v>14163.328936720622</c:v>
                </c:pt>
                <c:pt idx="3">
                  <c:v>21244.993405080932</c:v>
                </c:pt>
                <c:pt idx="4">
                  <c:v>28326.657873441243</c:v>
                </c:pt>
                <c:pt idx="5">
                  <c:v>35408.322341801555</c:v>
                </c:pt>
                <c:pt idx="6">
                  <c:v>42489.986810161863</c:v>
                </c:pt>
                <c:pt idx="7">
                  <c:v>49571.651278522171</c:v>
                </c:pt>
                <c:pt idx="8">
                  <c:v>56653.315746882479</c:v>
                </c:pt>
                <c:pt idx="9">
                  <c:v>63734.980215242787</c:v>
                </c:pt>
                <c:pt idx="10">
                  <c:v>70816.644683603095</c:v>
                </c:pt>
                <c:pt idx="11">
                  <c:v>77898.309151963404</c:v>
                </c:pt>
              </c:numCache>
            </c:numRef>
          </c:cat>
          <c:val>
            <c:numRef>
              <c:f>PED!$C$10:$C$21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5083.3638912855586</c:v>
                </c:pt>
                <c:pt idx="2">
                  <c:v>10166.727782571117</c:v>
                </c:pt>
                <c:pt idx="3">
                  <c:v>15250.091673856676</c:v>
                </c:pt>
                <c:pt idx="4">
                  <c:v>20333.455565142234</c:v>
                </c:pt>
                <c:pt idx="5">
                  <c:v>25416.819456427795</c:v>
                </c:pt>
                <c:pt idx="6">
                  <c:v>30500.183347713351</c:v>
                </c:pt>
                <c:pt idx="7">
                  <c:v>35583.547238998908</c:v>
                </c:pt>
                <c:pt idx="8">
                  <c:v>40666.911130284469</c:v>
                </c:pt>
                <c:pt idx="9">
                  <c:v>45750.275021570022</c:v>
                </c:pt>
                <c:pt idx="10">
                  <c:v>50833.638912855582</c:v>
                </c:pt>
                <c:pt idx="11">
                  <c:v>55917.002804141135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5E-BE4E-98F7-CD041257F799}"/>
            </c:ext>
          </c:extLst>
        </c:ser>
        <c:ser>
          <c:idx val="3"/>
          <c:order val="2"/>
          <c:tx>
            <c:strRef>
              <c:f>PED!$D$9</c:f>
              <c:strCache>
                <c:ptCount val="1"/>
                <c:pt idx="0">
                  <c:v>CT</c:v>
                </c:pt>
              </c:strCache>
            </c:strRef>
          </c:tx>
          <c:spPr>
            <a:ln w="38100">
              <a:solidFill>
                <a:srgbClr val="66FFFF"/>
              </a:solidFill>
              <a:prstDash val="solid"/>
            </a:ln>
          </c:spPr>
          <c:marker>
            <c:symbol val="none"/>
          </c:marker>
          <c:cat>
            <c:numRef>
              <c:f>PED!$A$10:$A$15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7081.6644683603108</c:v>
                </c:pt>
                <c:pt idx="2">
                  <c:v>14163.328936720622</c:v>
                </c:pt>
                <c:pt idx="3">
                  <c:v>21244.993405080932</c:v>
                </c:pt>
                <c:pt idx="4">
                  <c:v>28326.657873441243</c:v>
                </c:pt>
                <c:pt idx="5">
                  <c:v>35408.322341801555</c:v>
                </c:pt>
              </c:numCache>
            </c:numRef>
          </c:cat>
          <c:val>
            <c:numRef>
              <c:f>PED!$D$10:$D$21</c:f>
              <c:numCache>
                <c:formatCode>_(* #,##0_);_(* \(#,##0\);_(* "-"??_);_(@_)</c:formatCode>
                <c:ptCount val="12"/>
                <c:pt idx="0">
                  <c:v>15000</c:v>
                </c:pt>
                <c:pt idx="1">
                  <c:v>20083.36389128556</c:v>
                </c:pt>
                <c:pt idx="2">
                  <c:v>25166.727782571117</c:v>
                </c:pt>
                <c:pt idx="3">
                  <c:v>30250.091673856674</c:v>
                </c:pt>
                <c:pt idx="4">
                  <c:v>35333.455565142234</c:v>
                </c:pt>
                <c:pt idx="5">
                  <c:v>40416.819456427795</c:v>
                </c:pt>
                <c:pt idx="6">
                  <c:v>45500.183347713348</c:v>
                </c:pt>
                <c:pt idx="7">
                  <c:v>50583.547238998908</c:v>
                </c:pt>
                <c:pt idx="8">
                  <c:v>55666.911130284469</c:v>
                </c:pt>
                <c:pt idx="9">
                  <c:v>60750.275021570022</c:v>
                </c:pt>
                <c:pt idx="10">
                  <c:v>65833.638912855589</c:v>
                </c:pt>
                <c:pt idx="11">
                  <c:v>70917.002804141142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5E-BE4E-98F7-CD041257F799}"/>
            </c:ext>
          </c:extLst>
        </c:ser>
        <c:ser>
          <c:idx val="0"/>
          <c:order val="3"/>
          <c:tx>
            <c:v>FAT</c:v>
          </c:tx>
          <c:spPr>
            <a:ln w="12700">
              <a:solidFill>
                <a:srgbClr val="002060"/>
              </a:solidFill>
              <a:prstDash val="solid"/>
            </a:ln>
          </c:spPr>
          <c:marker>
            <c:symbol val="none"/>
          </c:marker>
          <c:val>
            <c:numRef>
              <c:f>PED!$A$10:$A$21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7081.6644683603108</c:v>
                </c:pt>
                <c:pt idx="2">
                  <c:v>14163.328936720622</c:v>
                </c:pt>
                <c:pt idx="3">
                  <c:v>21244.993405080932</c:v>
                </c:pt>
                <c:pt idx="4">
                  <c:v>28326.657873441243</c:v>
                </c:pt>
                <c:pt idx="5">
                  <c:v>35408.322341801555</c:v>
                </c:pt>
                <c:pt idx="6">
                  <c:v>42489.986810161863</c:v>
                </c:pt>
                <c:pt idx="7">
                  <c:v>49571.651278522171</c:v>
                </c:pt>
                <c:pt idx="8">
                  <c:v>56653.315746882479</c:v>
                </c:pt>
                <c:pt idx="9">
                  <c:v>63734.980215242787</c:v>
                </c:pt>
                <c:pt idx="10">
                  <c:v>70816.644683603095</c:v>
                </c:pt>
                <c:pt idx="11">
                  <c:v>77898.309151963404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5E-BE4E-98F7-CD041257F799}"/>
            </c:ext>
          </c:extLst>
        </c:ser>
        <c:ser>
          <c:idx val="4"/>
          <c:order val="4"/>
          <c:tx>
            <c:v>lucro</c:v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none"/>
          </c:marker>
          <c:val>
            <c:numRef>
              <c:f>PED!$E$10:$E$21</c:f>
              <c:numCache>
                <c:formatCode>_(* #,##0_);_(* \(#,##0\);_(* "-"??_);_(@_)</c:formatCode>
                <c:ptCount val="12"/>
                <c:pt idx="0">
                  <c:v>-15000</c:v>
                </c:pt>
                <c:pt idx="1">
                  <c:v>-13001.699422925249</c:v>
                </c:pt>
                <c:pt idx="2">
                  <c:v>-11003.398845850495</c:v>
                </c:pt>
                <c:pt idx="3">
                  <c:v>-9005.0982687757423</c:v>
                </c:pt>
                <c:pt idx="4">
                  <c:v>-7006.797691700991</c:v>
                </c:pt>
                <c:pt idx="5">
                  <c:v>-5008.4971146262396</c:v>
                </c:pt>
                <c:pt idx="6">
                  <c:v>-3010.1965375514847</c:v>
                </c:pt>
                <c:pt idx="7">
                  <c:v>-1011.8959604767369</c:v>
                </c:pt>
                <c:pt idx="8">
                  <c:v>986.40461659801076</c:v>
                </c:pt>
                <c:pt idx="9">
                  <c:v>2984.7051936727657</c:v>
                </c:pt>
                <c:pt idx="10">
                  <c:v>4983.0057707475062</c:v>
                </c:pt>
                <c:pt idx="11">
                  <c:v>6981.3063478222612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C5E-BE4E-98F7-CD041257F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0948832"/>
        <c:axId val="1"/>
      </c:lineChart>
      <c:catAx>
        <c:axId val="1620948832"/>
        <c:scaling>
          <c:orientation val="minMax"/>
        </c:scaling>
        <c:delete val="0"/>
        <c:axPos val="b"/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R"/>
          </a:p>
        </c:txPr>
        <c:crossAx val="1620948832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2148148148148146"/>
          <c:y val="0.46153846153846156"/>
          <c:w val="7.407407407407407E-2"/>
          <c:h val="0.15384615384615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workbookViewId="0"/>
  </sheetViews>
  <pageMargins left="0.75" right="0.75" top="1" bottom="1" header="0.49212598499999999" footer="0.49212598499999999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266700</xdr:colOff>
      <xdr:row>1</xdr:row>
      <xdr:rowOff>152400</xdr:rowOff>
    </xdr:from>
    <xdr:to>
      <xdr:col>18</xdr:col>
      <xdr:colOff>317500</xdr:colOff>
      <xdr:row>20</xdr:row>
      <xdr:rowOff>76200</xdr:rowOff>
    </xdr:to>
    <xdr:graphicFrame macro="">
      <xdr:nvGraphicFramePr>
        <xdr:cNvPr id="155836" name="Chart 2">
          <a:extLst>
            <a:ext uri="{FF2B5EF4-FFF2-40B4-BE49-F238E27FC236}">
              <a16:creationId xmlns:a16="http://schemas.microsoft.com/office/drawing/2014/main" id="{83F61642-ED00-3840-B691-9CADB7FE1D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317500</xdr:colOff>
      <xdr:row>5</xdr:row>
      <xdr:rowOff>139700</xdr:rowOff>
    </xdr:from>
    <xdr:to>
      <xdr:col>17</xdr:col>
      <xdr:colOff>190500</xdr:colOff>
      <xdr:row>23</xdr:row>
      <xdr:rowOff>139700</xdr:rowOff>
    </xdr:to>
    <xdr:graphicFrame macro="">
      <xdr:nvGraphicFramePr>
        <xdr:cNvPr id="1735" name="Chart 1">
          <a:extLst>
            <a:ext uri="{FF2B5EF4-FFF2-40B4-BE49-F238E27FC236}">
              <a16:creationId xmlns:a16="http://schemas.microsoft.com/office/drawing/2014/main" id="{EA69E797-AF83-2743-A5C3-FF8BADD6B4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508000</xdr:colOff>
      <xdr:row>40</xdr:row>
      <xdr:rowOff>114300</xdr:rowOff>
    </xdr:from>
    <xdr:to>
      <xdr:col>10</xdr:col>
      <xdr:colOff>63500</xdr:colOff>
      <xdr:row>58</xdr:row>
      <xdr:rowOff>114300</xdr:rowOff>
    </xdr:to>
    <xdr:graphicFrame macro="">
      <xdr:nvGraphicFramePr>
        <xdr:cNvPr id="1736" name="Chart 2">
          <a:extLst>
            <a:ext uri="{FF2B5EF4-FFF2-40B4-BE49-F238E27FC236}">
              <a16:creationId xmlns:a16="http://schemas.microsoft.com/office/drawing/2014/main" id="{9A347B9B-8269-CB4C-AA24-68207C9A9C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29</xdr:row>
      <xdr:rowOff>152400</xdr:rowOff>
    </xdr:from>
    <xdr:to>
      <xdr:col>4</xdr:col>
      <xdr:colOff>952500</xdr:colOff>
      <xdr:row>47</xdr:row>
      <xdr:rowOff>152400</xdr:rowOff>
    </xdr:to>
    <xdr:graphicFrame macro="">
      <xdr:nvGraphicFramePr>
        <xdr:cNvPr id="1737" name="Chart 3">
          <a:extLst>
            <a:ext uri="{FF2B5EF4-FFF2-40B4-BE49-F238E27FC236}">
              <a16:creationId xmlns:a16="http://schemas.microsoft.com/office/drawing/2014/main" id="{BCC15254-F2A3-E445-AA8E-90523F9B5B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1517773</xdr:colOff>
      <xdr:row>25</xdr:row>
      <xdr:rowOff>38133</xdr:rowOff>
    </xdr:from>
    <xdr:to>
      <xdr:col>7</xdr:col>
      <xdr:colOff>140410</xdr:colOff>
      <xdr:row>29</xdr:row>
      <xdr:rowOff>127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62DCC55F-33DF-5A43-8409-C2964FA22E14}"/>
                </a:ext>
              </a:extLst>
            </xdr14:cNvPr>
            <xdr14:cNvContentPartPr/>
          </xdr14:nvContentPartPr>
          <xdr14:nvPr macro=""/>
          <xdr14:xfrm>
            <a:off x="7444440" y="5329800"/>
            <a:ext cx="463320" cy="70452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62DCC55F-33DF-5A43-8409-C2964FA22E14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7435698" y="5320726"/>
              <a:ext cx="480454" cy="722305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34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B003D7-DB1F-FF4F-B84D-3D69276A8BB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2T15:20:47.49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1940 24575,'38'-71'0,"1"-1"0,-1 1 0,1-1 0,7-13 0,-15 25 0,8-11 0,4-11 0,8-2 0,-7 20 0,11-10 0,3-4 0,2-2 0,1 2 0,-3 5 0,-7 7 0,-9 11 0,14-20 0,0 0 0,4-4 0,0 0 0,0-1 0,0 2 0,-1-1 0,1-1 0,0 1 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4"/>
  <sheetViews>
    <sheetView showGridLines="0" workbookViewId="0"/>
  </sheetViews>
  <sheetFormatPr baseColWidth="10" defaultRowHeight="13" x14ac:dyDescent="0.15"/>
  <cols>
    <col min="1" max="2" width="8.83203125" customWidth="1"/>
    <col min="3" max="3" width="19.1640625" customWidth="1"/>
    <col min="4" max="256" width="8.83203125" customWidth="1"/>
  </cols>
  <sheetData>
    <row r="1" spans="2:5" ht="14" thickBot="1" x14ac:dyDescent="0.2"/>
    <row r="2" spans="2:5" x14ac:dyDescent="0.15">
      <c r="B2" s="234" t="s">
        <v>171</v>
      </c>
      <c r="C2" s="235" t="s">
        <v>172</v>
      </c>
      <c r="D2" s="226"/>
      <c r="E2" s="227">
        <v>11279840</v>
      </c>
    </row>
    <row r="3" spans="2:5" x14ac:dyDescent="0.15">
      <c r="B3" s="228"/>
      <c r="C3" s="236" t="s">
        <v>173</v>
      </c>
      <c r="D3" s="229"/>
      <c r="E3" s="230">
        <v>11805697</v>
      </c>
    </row>
    <row r="4" spans="2:5" ht="14" thickBot="1" x14ac:dyDescent="0.2">
      <c r="B4" s="231"/>
      <c r="C4" s="237" t="s">
        <v>174</v>
      </c>
      <c r="D4" s="232"/>
      <c r="E4" s="233">
        <v>11804376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42"/>
  <sheetViews>
    <sheetView zoomScaleNormal="100" workbookViewId="0">
      <selection activeCell="B2" sqref="B2"/>
    </sheetView>
  </sheetViews>
  <sheetFormatPr baseColWidth="10" defaultColWidth="8.83203125" defaultRowHeight="13" x14ac:dyDescent="0.15"/>
  <cols>
    <col min="1" max="1" width="9.33203125" bestFit="1" customWidth="1"/>
    <col min="2" max="2" width="10.33203125" bestFit="1" customWidth="1"/>
    <col min="3" max="3" width="9.33203125" bestFit="1" customWidth="1"/>
  </cols>
  <sheetData>
    <row r="1" spans="1:5" x14ac:dyDescent="0.15">
      <c r="A1" t="s">
        <v>34</v>
      </c>
      <c r="B1" s="1">
        <f>Resultado!C3/10</f>
        <v>7081.6644683603108</v>
      </c>
      <c r="C1" s="73" t="s">
        <v>158</v>
      </c>
    </row>
    <row r="2" spans="1:5" x14ac:dyDescent="0.15">
      <c r="A2" t="s">
        <v>14</v>
      </c>
      <c r="B2" s="222">
        <f>Resultado!$D$6</f>
        <v>0.28217950539775283</v>
      </c>
      <c r="C2" s="72" t="s">
        <v>159</v>
      </c>
    </row>
    <row r="3" spans="1:5" x14ac:dyDescent="0.15">
      <c r="A3" t="s">
        <v>32</v>
      </c>
      <c r="B3" s="1">
        <f>Resultado!C10</f>
        <v>15000</v>
      </c>
      <c r="C3" s="72" t="s">
        <v>160</v>
      </c>
    </row>
    <row r="4" spans="1:5" x14ac:dyDescent="0.15">
      <c r="A4" s="72" t="s">
        <v>162</v>
      </c>
      <c r="B4" s="222">
        <f>Resultado!$D$5+Resultado!$D$4</f>
        <v>0.71782049460224728</v>
      </c>
      <c r="C4" s="72" t="s">
        <v>161</v>
      </c>
    </row>
    <row r="9" spans="1:5" x14ac:dyDescent="0.15">
      <c r="A9" t="s">
        <v>33</v>
      </c>
      <c r="B9" t="s">
        <v>32</v>
      </c>
      <c r="C9" t="s">
        <v>35</v>
      </c>
      <c r="D9" t="s">
        <v>36</v>
      </c>
      <c r="E9" t="s">
        <v>63</v>
      </c>
    </row>
    <row r="10" spans="1:5" x14ac:dyDescent="0.15">
      <c r="A10" s="37">
        <v>0</v>
      </c>
      <c r="B10" s="37">
        <f t="shared" ref="B10:B21" si="0">$B$3</f>
        <v>15000</v>
      </c>
      <c r="C10" s="37">
        <f t="shared" ref="C10:C15" si="1">A10*$B$4</f>
        <v>0</v>
      </c>
      <c r="D10" s="38">
        <f t="shared" ref="D10:D15" si="2">C10+B10</f>
        <v>15000</v>
      </c>
      <c r="E10" s="38">
        <f>A10-D10</f>
        <v>-15000</v>
      </c>
    </row>
    <row r="11" spans="1:5" x14ac:dyDescent="0.15">
      <c r="A11" s="37">
        <f t="shared" ref="A11:A21" si="3">A10+$B$1</f>
        <v>7081.6644683603108</v>
      </c>
      <c r="B11" s="37">
        <f t="shared" si="0"/>
        <v>15000</v>
      </c>
      <c r="C11" s="37">
        <f>A11*$B$4</f>
        <v>5083.3638912855586</v>
      </c>
      <c r="D11" s="38">
        <f t="shared" si="2"/>
        <v>20083.36389128556</v>
      </c>
      <c r="E11" s="38">
        <f t="shared" ref="E11:E21" si="4">A11-D11</f>
        <v>-13001.699422925249</v>
      </c>
    </row>
    <row r="12" spans="1:5" x14ac:dyDescent="0.15">
      <c r="A12" s="37">
        <f t="shared" si="3"/>
        <v>14163.328936720622</v>
      </c>
      <c r="B12" s="37">
        <f t="shared" si="0"/>
        <v>15000</v>
      </c>
      <c r="C12" s="37">
        <f t="shared" si="1"/>
        <v>10166.727782571117</v>
      </c>
      <c r="D12" s="38">
        <f t="shared" si="2"/>
        <v>25166.727782571117</v>
      </c>
      <c r="E12" s="38">
        <f t="shared" si="4"/>
        <v>-11003.398845850495</v>
      </c>
    </row>
    <row r="13" spans="1:5" x14ac:dyDescent="0.15">
      <c r="A13" s="37">
        <f t="shared" si="3"/>
        <v>21244.993405080932</v>
      </c>
      <c r="B13" s="37">
        <f t="shared" si="0"/>
        <v>15000</v>
      </c>
      <c r="C13" s="37">
        <f t="shared" si="1"/>
        <v>15250.091673856676</v>
      </c>
      <c r="D13" s="38">
        <f t="shared" si="2"/>
        <v>30250.091673856674</v>
      </c>
      <c r="E13" s="38">
        <f t="shared" si="4"/>
        <v>-9005.0982687757423</v>
      </c>
    </row>
    <row r="14" spans="1:5" x14ac:dyDescent="0.15">
      <c r="A14" s="37">
        <f t="shared" si="3"/>
        <v>28326.657873441243</v>
      </c>
      <c r="B14" s="37">
        <f t="shared" si="0"/>
        <v>15000</v>
      </c>
      <c r="C14" s="37">
        <f t="shared" si="1"/>
        <v>20333.455565142234</v>
      </c>
      <c r="D14" s="38">
        <f t="shared" si="2"/>
        <v>35333.455565142234</v>
      </c>
      <c r="E14" s="38">
        <f t="shared" si="4"/>
        <v>-7006.797691700991</v>
      </c>
    </row>
    <row r="15" spans="1:5" x14ac:dyDescent="0.15">
      <c r="A15" s="37">
        <f t="shared" si="3"/>
        <v>35408.322341801555</v>
      </c>
      <c r="B15" s="37">
        <f t="shared" si="0"/>
        <v>15000</v>
      </c>
      <c r="C15" s="37">
        <f t="shared" si="1"/>
        <v>25416.819456427795</v>
      </c>
      <c r="D15" s="38">
        <f t="shared" si="2"/>
        <v>40416.819456427795</v>
      </c>
      <c r="E15" s="38">
        <f t="shared" si="4"/>
        <v>-5008.4971146262396</v>
      </c>
    </row>
    <row r="16" spans="1:5" x14ac:dyDescent="0.15">
      <c r="A16" s="37">
        <f t="shared" si="3"/>
        <v>42489.986810161863</v>
      </c>
      <c r="B16" s="37">
        <f t="shared" si="0"/>
        <v>15000</v>
      </c>
      <c r="C16" s="37">
        <f t="shared" ref="C16:C21" si="5">A16*$B$4</f>
        <v>30500.183347713351</v>
      </c>
      <c r="D16" s="38">
        <f t="shared" ref="D16:D21" si="6">C16+B16</f>
        <v>45500.183347713348</v>
      </c>
      <c r="E16" s="38">
        <f t="shared" si="4"/>
        <v>-3010.1965375514847</v>
      </c>
    </row>
    <row r="17" spans="1:5" x14ac:dyDescent="0.15">
      <c r="A17" s="37">
        <f t="shared" si="3"/>
        <v>49571.651278522171</v>
      </c>
      <c r="B17" s="37">
        <f t="shared" si="0"/>
        <v>15000</v>
      </c>
      <c r="C17" s="37">
        <f t="shared" si="5"/>
        <v>35583.547238998908</v>
      </c>
      <c r="D17" s="38">
        <f t="shared" si="6"/>
        <v>50583.547238998908</v>
      </c>
      <c r="E17" s="38">
        <f t="shared" si="4"/>
        <v>-1011.8959604767369</v>
      </c>
    </row>
    <row r="18" spans="1:5" x14ac:dyDescent="0.15">
      <c r="A18" s="37">
        <f t="shared" si="3"/>
        <v>56653.315746882479</v>
      </c>
      <c r="B18" s="37">
        <f t="shared" si="0"/>
        <v>15000</v>
      </c>
      <c r="C18" s="37">
        <f t="shared" si="5"/>
        <v>40666.911130284469</v>
      </c>
      <c r="D18" s="38">
        <f t="shared" si="6"/>
        <v>55666.911130284469</v>
      </c>
      <c r="E18" s="38">
        <f t="shared" si="4"/>
        <v>986.40461659801076</v>
      </c>
    </row>
    <row r="19" spans="1:5" x14ac:dyDescent="0.15">
      <c r="A19" s="37">
        <f t="shared" si="3"/>
        <v>63734.980215242787</v>
      </c>
      <c r="B19" s="37">
        <f t="shared" si="0"/>
        <v>15000</v>
      </c>
      <c r="C19" s="37">
        <f t="shared" si="5"/>
        <v>45750.275021570022</v>
      </c>
      <c r="D19" s="38">
        <f t="shared" si="6"/>
        <v>60750.275021570022</v>
      </c>
      <c r="E19" s="38">
        <f t="shared" si="4"/>
        <v>2984.7051936727657</v>
      </c>
    </row>
    <row r="20" spans="1:5" x14ac:dyDescent="0.15">
      <c r="A20" s="37">
        <f t="shared" si="3"/>
        <v>70816.644683603095</v>
      </c>
      <c r="B20" s="37">
        <f t="shared" si="0"/>
        <v>15000</v>
      </c>
      <c r="C20" s="37">
        <f t="shared" si="5"/>
        <v>50833.638912855582</v>
      </c>
      <c r="D20" s="38">
        <f t="shared" si="6"/>
        <v>65833.638912855589</v>
      </c>
      <c r="E20" s="38">
        <f t="shared" si="4"/>
        <v>4983.0057707475062</v>
      </c>
    </row>
    <row r="21" spans="1:5" x14ac:dyDescent="0.15">
      <c r="A21" s="37">
        <f t="shared" si="3"/>
        <v>77898.309151963404</v>
      </c>
      <c r="B21" s="37">
        <f t="shared" si="0"/>
        <v>15000</v>
      </c>
      <c r="C21" s="37">
        <f t="shared" si="5"/>
        <v>55917.002804141135</v>
      </c>
      <c r="D21" s="38">
        <f t="shared" si="6"/>
        <v>70917.002804141142</v>
      </c>
      <c r="E21" s="38">
        <f t="shared" si="4"/>
        <v>6981.3063478222612</v>
      </c>
    </row>
    <row r="22" spans="1:5" x14ac:dyDescent="0.15">
      <c r="A22" s="37"/>
      <c r="B22" s="37"/>
      <c r="C22" s="37"/>
      <c r="D22" s="38"/>
    </row>
    <row r="23" spans="1:5" x14ac:dyDescent="0.15">
      <c r="A23" s="37"/>
      <c r="B23" s="37"/>
      <c r="C23" s="37"/>
      <c r="D23" s="38"/>
    </row>
    <row r="24" spans="1:5" x14ac:dyDescent="0.15">
      <c r="A24" s="37"/>
      <c r="B24" s="37"/>
      <c r="C24" s="37"/>
      <c r="D24" s="38"/>
    </row>
    <row r="25" spans="1:5" x14ac:dyDescent="0.15">
      <c r="A25" s="37"/>
      <c r="B25" s="37"/>
      <c r="C25" s="37"/>
      <c r="D25" s="38"/>
    </row>
    <row r="26" spans="1:5" x14ac:dyDescent="0.15">
      <c r="A26" s="37"/>
      <c r="B26" s="37"/>
      <c r="C26" s="37"/>
      <c r="D26" s="38"/>
    </row>
    <row r="27" spans="1:5" x14ac:dyDescent="0.15">
      <c r="A27" s="37"/>
      <c r="B27" s="37"/>
      <c r="C27" s="37"/>
      <c r="D27" s="38"/>
    </row>
    <row r="28" spans="1:5" x14ac:dyDescent="0.15">
      <c r="A28" s="37"/>
      <c r="B28" s="37"/>
      <c r="C28" s="37"/>
      <c r="D28" s="38"/>
    </row>
    <row r="29" spans="1:5" x14ac:dyDescent="0.15">
      <c r="A29" s="37"/>
      <c r="B29" s="37"/>
      <c r="C29" s="37"/>
      <c r="D29" s="38"/>
    </row>
    <row r="30" spans="1:5" x14ac:dyDescent="0.15">
      <c r="A30" s="37"/>
      <c r="B30" s="37"/>
      <c r="C30" s="37"/>
      <c r="D30" s="38"/>
    </row>
    <row r="31" spans="1:5" x14ac:dyDescent="0.15">
      <c r="A31" s="37"/>
      <c r="B31" s="37"/>
      <c r="C31" s="37"/>
      <c r="D31" s="38"/>
    </row>
    <row r="32" spans="1:5" x14ac:dyDescent="0.15">
      <c r="A32" s="37"/>
      <c r="B32" s="37"/>
      <c r="C32" s="37"/>
      <c r="D32" s="38"/>
    </row>
    <row r="33" spans="1:4" x14ac:dyDescent="0.15">
      <c r="A33" s="37"/>
      <c r="B33" s="37"/>
      <c r="C33" s="37"/>
      <c r="D33" s="38"/>
    </row>
    <row r="34" spans="1:4" x14ac:dyDescent="0.15">
      <c r="A34" s="37"/>
      <c r="B34" s="37"/>
      <c r="C34" s="37"/>
      <c r="D34" s="38"/>
    </row>
    <row r="35" spans="1:4" x14ac:dyDescent="0.15">
      <c r="A35" s="37"/>
      <c r="B35" s="37"/>
      <c r="C35" s="37"/>
      <c r="D35" s="38"/>
    </row>
    <row r="36" spans="1:4" x14ac:dyDescent="0.15">
      <c r="A36" s="37"/>
      <c r="B36" s="37"/>
      <c r="C36" s="37"/>
      <c r="D36" s="38"/>
    </row>
    <row r="37" spans="1:4" x14ac:dyDescent="0.15">
      <c r="A37" s="37"/>
      <c r="B37" s="37"/>
      <c r="C37" s="37"/>
      <c r="D37" s="38"/>
    </row>
    <row r="38" spans="1:4" x14ac:dyDescent="0.15">
      <c r="A38" s="37"/>
      <c r="B38" s="37"/>
      <c r="C38" s="37"/>
      <c r="D38" s="38"/>
    </row>
    <row r="39" spans="1:4" x14ac:dyDescent="0.15">
      <c r="A39" s="37"/>
      <c r="B39" s="37"/>
      <c r="C39" s="37"/>
      <c r="D39" s="38"/>
    </row>
    <row r="40" spans="1:4" x14ac:dyDescent="0.15">
      <c r="A40" s="37"/>
      <c r="B40" s="37"/>
      <c r="C40" s="37"/>
      <c r="D40" s="38"/>
    </row>
    <row r="41" spans="1:4" x14ac:dyDescent="0.15">
      <c r="A41" s="37"/>
      <c r="B41" s="37"/>
      <c r="C41" s="37"/>
      <c r="D41" s="38"/>
    </row>
    <row r="42" spans="1:4" x14ac:dyDescent="0.15">
      <c r="A42" s="37"/>
      <c r="B42" s="37"/>
      <c r="C42" s="37"/>
      <c r="D42" s="38"/>
    </row>
  </sheetData>
  <phoneticPr fontId="0" type="noConversion"/>
  <pageMargins left="0.75" right="0.75" top="1" bottom="1" header="0.49212598499999999" footer="0.49212598499999999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C2:I6"/>
  <sheetViews>
    <sheetView tabSelected="1" zoomScale="192" workbookViewId="0">
      <selection activeCell="H5" sqref="H5"/>
    </sheetView>
  </sheetViews>
  <sheetFormatPr baseColWidth="10" defaultRowHeight="13" x14ac:dyDescent="0.15"/>
  <sheetData>
    <row r="2" spans="3:9" ht="28" x14ac:dyDescent="0.15">
      <c r="C2" s="72"/>
      <c r="D2" s="73" t="s">
        <v>80</v>
      </c>
      <c r="E2" s="245" t="s">
        <v>207</v>
      </c>
      <c r="F2" s="73" t="s">
        <v>208</v>
      </c>
      <c r="G2" s="73" t="s">
        <v>209</v>
      </c>
      <c r="I2" s="252" t="s">
        <v>214</v>
      </c>
    </row>
    <row r="3" spans="3:9" x14ac:dyDescent="0.15">
      <c r="C3" s="72" t="s">
        <v>210</v>
      </c>
      <c r="D3" s="204">
        <v>65976</v>
      </c>
      <c r="E3" s="204">
        <v>37783.199999999997</v>
      </c>
      <c r="F3" s="246">
        <v>0.31485999999999997</v>
      </c>
      <c r="G3" s="246">
        <v>0.54</v>
      </c>
    </row>
    <row r="4" spans="3:9" x14ac:dyDescent="0.15">
      <c r="C4" s="72" t="s">
        <v>211</v>
      </c>
      <c r="D4" s="204">
        <v>84720</v>
      </c>
      <c r="E4" s="204">
        <v>50904</v>
      </c>
      <c r="F4" s="246">
        <v>0.42420000000000002</v>
      </c>
      <c r="G4" s="246">
        <v>0.7</v>
      </c>
    </row>
    <row r="5" spans="3:9" x14ac:dyDescent="0.15">
      <c r="C5" s="72" t="s">
        <v>212</v>
      </c>
      <c r="D5" s="204">
        <f>Resultado!G16</f>
        <v>49796.069248970365</v>
      </c>
      <c r="E5" s="204">
        <f>Resultado!G20</f>
        <v>20857.248474279259</v>
      </c>
      <c r="F5" s="246">
        <f>Resultado!G23</f>
        <v>0.10428624237139629</v>
      </c>
      <c r="G5" s="246">
        <f>Resultado!G25</f>
        <v>0.24898034624485182</v>
      </c>
    </row>
    <row r="6" spans="3:9" x14ac:dyDescent="0.15">
      <c r="C6" s="72" t="s">
        <v>213</v>
      </c>
      <c r="D6" s="72"/>
      <c r="E6" s="72"/>
      <c r="F6" s="72"/>
      <c r="G6" s="7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5"/>
  <sheetViews>
    <sheetView topLeftCell="B1" zoomScale="131" zoomScaleNormal="100" workbookViewId="0">
      <selection activeCell="H4" sqref="H4"/>
    </sheetView>
  </sheetViews>
  <sheetFormatPr baseColWidth="10" defaultColWidth="8.83203125" defaultRowHeight="13" x14ac:dyDescent="0.15"/>
  <cols>
    <col min="1" max="1" width="17.83203125" customWidth="1"/>
    <col min="2" max="2" width="11.33203125" bestFit="1" customWidth="1"/>
    <col min="3" max="3" width="11.33203125" customWidth="1"/>
    <col min="4" max="4" width="12.33203125" customWidth="1"/>
    <col min="5" max="5" width="12.6640625" customWidth="1"/>
    <col min="6" max="6" width="18" customWidth="1"/>
    <col min="7" max="7" width="15.5" customWidth="1"/>
    <col min="8" max="8" width="14.6640625" customWidth="1"/>
    <col min="9" max="9" width="11.1640625" customWidth="1"/>
    <col min="10" max="10" width="14.6640625" customWidth="1"/>
    <col min="11" max="11" width="15.1640625" bestFit="1" customWidth="1"/>
  </cols>
  <sheetData>
    <row r="1" spans="1:10" ht="14" thickBot="1" x14ac:dyDescent="0.2">
      <c r="A1" s="2" t="s">
        <v>49</v>
      </c>
      <c r="B1" s="3"/>
      <c r="C1" s="3"/>
      <c r="D1" s="3"/>
      <c r="F1" s="2"/>
      <c r="G1" s="3"/>
      <c r="H1" s="3"/>
      <c r="I1" s="3" t="s">
        <v>61</v>
      </c>
      <c r="J1" s="3"/>
    </row>
    <row r="2" spans="1:10" ht="14" thickBot="1" x14ac:dyDescent="0.2">
      <c r="A2" s="66" t="s">
        <v>1</v>
      </c>
      <c r="B2" s="67" t="s">
        <v>50</v>
      </c>
      <c r="C2" s="67" t="s">
        <v>57</v>
      </c>
      <c r="D2" s="67"/>
      <c r="F2" s="2" t="s">
        <v>51</v>
      </c>
      <c r="G2" s="3"/>
      <c r="H2" s="3"/>
      <c r="I2" s="5" t="s">
        <v>15</v>
      </c>
      <c r="J2" s="3"/>
    </row>
    <row r="3" spans="1:10" ht="14" thickBot="1" x14ac:dyDescent="0.2">
      <c r="A3" s="65" t="s">
        <v>12</v>
      </c>
      <c r="B3" s="65" t="s">
        <v>2</v>
      </c>
      <c r="C3" s="65" t="s">
        <v>58</v>
      </c>
      <c r="D3" s="55" t="s">
        <v>47</v>
      </c>
      <c r="E3" s="50" t="s">
        <v>60</v>
      </c>
      <c r="F3" s="4" t="s">
        <v>0</v>
      </c>
      <c r="G3" s="5" t="s">
        <v>2</v>
      </c>
      <c r="H3" s="5" t="s">
        <v>13</v>
      </c>
      <c r="I3" s="5" t="s">
        <v>55</v>
      </c>
      <c r="J3" s="174" t="s">
        <v>20</v>
      </c>
    </row>
    <row r="4" spans="1:10" x14ac:dyDescent="0.15">
      <c r="A4" s="68" t="s">
        <v>3</v>
      </c>
      <c r="B4" s="68" t="s">
        <v>9</v>
      </c>
      <c r="C4" s="69">
        <v>1</v>
      </c>
      <c r="D4" s="67">
        <v>4000</v>
      </c>
      <c r="E4" s="37">
        <f t="shared" ref="E4:E9" si="0">(C15*$J$4)+(D15*$J$5)+(E15*$J$6)</f>
        <v>2550.6293753732607</v>
      </c>
      <c r="F4" s="19" t="s">
        <v>46</v>
      </c>
      <c r="G4" s="18" t="s">
        <v>10</v>
      </c>
      <c r="H4" s="172">
        <f>'PREVISÃO DEMANDA (causais)'!V10</f>
        <v>11.702420693789016</v>
      </c>
      <c r="I4" s="175">
        <v>0.18</v>
      </c>
      <c r="J4" s="177">
        <f>'PREVISÃO DEMANDA (causais)'!V9</f>
        <v>1978.5475837265908</v>
      </c>
    </row>
    <row r="5" spans="1:10" x14ac:dyDescent="0.15">
      <c r="A5" s="68" t="s">
        <v>4</v>
      </c>
      <c r="B5" s="68" t="s">
        <v>10</v>
      </c>
      <c r="C5" s="69">
        <v>0.5</v>
      </c>
      <c r="D5" s="82">
        <v>9000</v>
      </c>
      <c r="E5" s="238">
        <f t="shared" si="0"/>
        <v>9000.0000000000036</v>
      </c>
      <c r="F5" s="19" t="s">
        <v>17</v>
      </c>
      <c r="G5" s="18" t="s">
        <v>10</v>
      </c>
      <c r="H5" s="172">
        <f>'PREVISÃO DEMANDA (causais)'!W10</f>
        <v>18.186498232849271</v>
      </c>
      <c r="I5" s="175">
        <v>0.18</v>
      </c>
      <c r="J5" s="178">
        <f>'PREVISÃO DEMANDA (causais)'!W9</f>
        <v>1362.700353430145</v>
      </c>
    </row>
    <row r="6" spans="1:10" ht="14" thickBot="1" x14ac:dyDescent="0.2">
      <c r="A6" s="68" t="s">
        <v>5</v>
      </c>
      <c r="B6" s="68" t="s">
        <v>11</v>
      </c>
      <c r="C6" s="69">
        <v>1</v>
      </c>
      <c r="D6" s="67">
        <v>2000</v>
      </c>
      <c r="E6" s="37">
        <f t="shared" si="0"/>
        <v>1923.1694460592898</v>
      </c>
      <c r="F6" s="43" t="s">
        <v>18</v>
      </c>
      <c r="G6" s="44" t="s">
        <v>10</v>
      </c>
      <c r="H6" s="173">
        <f>'PREVISÃO DEMANDA (causais)'!X10</f>
        <v>15.599972966025538</v>
      </c>
      <c r="I6" s="176">
        <v>0.18</v>
      </c>
      <c r="J6" s="179">
        <f>'PREVISÃO DEMANDA (causais)'!X9</f>
        <v>1466.6756779914881</v>
      </c>
    </row>
    <row r="7" spans="1:10" x14ac:dyDescent="0.15">
      <c r="A7" s="68" t="s">
        <v>6</v>
      </c>
      <c r="B7" s="68" t="s">
        <v>9</v>
      </c>
      <c r="C7" s="69">
        <v>8</v>
      </c>
      <c r="D7" s="67">
        <v>4000</v>
      </c>
      <c r="E7" s="37">
        <f t="shared" si="0"/>
        <v>1973.0051082190041</v>
      </c>
    </row>
    <row r="8" spans="1:10" x14ac:dyDescent="0.15">
      <c r="A8" s="68" t="s">
        <v>7</v>
      </c>
      <c r="B8" s="68" t="s">
        <v>9</v>
      </c>
      <c r="C8" s="69">
        <v>5</v>
      </c>
      <c r="D8" s="67">
        <v>1500</v>
      </c>
      <c r="E8" s="37">
        <f t="shared" si="0"/>
        <v>763.72996465698577</v>
      </c>
    </row>
    <row r="9" spans="1:10" x14ac:dyDescent="0.15">
      <c r="A9" s="68" t="s">
        <v>8</v>
      </c>
      <c r="B9" s="68" t="s">
        <v>9</v>
      </c>
      <c r="C9" s="69">
        <v>15</v>
      </c>
      <c r="D9" s="67">
        <v>800</v>
      </c>
      <c r="E9" s="37">
        <f t="shared" si="0"/>
        <v>634.01022395583391</v>
      </c>
    </row>
    <row r="11" spans="1:10" x14ac:dyDescent="0.15">
      <c r="A11" s="3" t="s">
        <v>38</v>
      </c>
      <c r="B11" s="3"/>
      <c r="C11" s="3"/>
      <c r="D11" s="3"/>
      <c r="E11" s="3"/>
    </row>
    <row r="12" spans="1:10" x14ac:dyDescent="0.15">
      <c r="A12" s="2" t="s">
        <v>19</v>
      </c>
      <c r="B12" s="3"/>
      <c r="C12" s="3"/>
      <c r="D12" s="3"/>
      <c r="E12" s="3"/>
    </row>
    <row r="13" spans="1:10" ht="14" thickBot="1" x14ac:dyDescent="0.2">
      <c r="A13" s="3" t="s">
        <v>52</v>
      </c>
      <c r="B13" s="3"/>
      <c r="C13" s="250" t="s">
        <v>78</v>
      </c>
      <c r="D13" s="250"/>
      <c r="E13" s="250"/>
    </row>
    <row r="14" spans="1:10" ht="14" thickBot="1" x14ac:dyDescent="0.2">
      <c r="A14" s="8" t="s">
        <v>12</v>
      </c>
      <c r="B14" s="9" t="s">
        <v>2</v>
      </c>
      <c r="C14" s="12" t="str">
        <f>F4</f>
        <v>Pizza muzzarela</v>
      </c>
      <c r="D14" s="12" t="str">
        <f>F5</f>
        <v>Pizza presunto</v>
      </c>
      <c r="E14" s="12" t="str">
        <f>F6</f>
        <v>Pizza marguerita</v>
      </c>
    </row>
    <row r="15" spans="1:10" ht="14" thickTop="1" x14ac:dyDescent="0.15">
      <c r="A15" s="20" t="s">
        <v>3</v>
      </c>
      <c r="B15" s="21" t="s">
        <v>9</v>
      </c>
      <c r="C15" s="17">
        <v>0.5</v>
      </c>
      <c r="D15" s="17">
        <v>0.5</v>
      </c>
      <c r="E15" s="17">
        <v>0.6</v>
      </c>
    </row>
    <row r="16" spans="1:10" x14ac:dyDescent="0.15">
      <c r="A16" s="19" t="s">
        <v>4</v>
      </c>
      <c r="B16" s="18" t="s">
        <v>10</v>
      </c>
      <c r="C16" s="18">
        <v>1</v>
      </c>
      <c r="D16" s="18">
        <v>3</v>
      </c>
      <c r="E16" s="18">
        <v>2</v>
      </c>
    </row>
    <row r="17" spans="1:9" x14ac:dyDescent="0.15">
      <c r="A17" s="19" t="s">
        <v>5</v>
      </c>
      <c r="B17" s="18" t="s">
        <v>11</v>
      </c>
      <c r="C17" s="18">
        <v>0.4</v>
      </c>
      <c r="D17" s="18">
        <v>0.4</v>
      </c>
      <c r="E17" s="18">
        <v>0.4</v>
      </c>
    </row>
    <row r="18" spans="1:9" x14ac:dyDescent="0.15">
      <c r="A18" s="19" t="s">
        <v>6</v>
      </c>
      <c r="B18" s="18" t="s">
        <v>9</v>
      </c>
      <c r="C18" s="18">
        <v>0.6</v>
      </c>
      <c r="D18" s="18">
        <v>0.2</v>
      </c>
      <c r="E18" s="18">
        <v>0.35</v>
      </c>
      <c r="G18" t="s">
        <v>59</v>
      </c>
    </row>
    <row r="19" spans="1:9" ht="14" thickBot="1" x14ac:dyDescent="0.2">
      <c r="A19" s="19" t="s">
        <v>7</v>
      </c>
      <c r="B19" s="18" t="s">
        <v>9</v>
      </c>
      <c r="C19" s="18">
        <v>0.1</v>
      </c>
      <c r="D19" s="18">
        <v>0.2</v>
      </c>
      <c r="E19" s="18">
        <v>0.2</v>
      </c>
    </row>
    <row r="20" spans="1:9" ht="14" thickBot="1" x14ac:dyDescent="0.2">
      <c r="A20" s="43" t="s">
        <v>8</v>
      </c>
      <c r="B20" s="44" t="s">
        <v>9</v>
      </c>
      <c r="C20" s="44">
        <v>0</v>
      </c>
      <c r="D20" s="44">
        <v>0.25</v>
      </c>
      <c r="E20" s="44">
        <v>0.2</v>
      </c>
      <c r="G20" s="47" t="s">
        <v>31</v>
      </c>
      <c r="H20" s="45"/>
      <c r="I20" s="46"/>
    </row>
    <row r="21" spans="1:9" ht="14" thickBot="1" x14ac:dyDescent="0.2">
      <c r="H21" s="48" t="s">
        <v>43</v>
      </c>
      <c r="I21" s="49" t="s">
        <v>44</v>
      </c>
    </row>
    <row r="22" spans="1:9" ht="14" thickBot="1" x14ac:dyDescent="0.2">
      <c r="A22" t="s">
        <v>39</v>
      </c>
      <c r="G22" s="33" t="s">
        <v>16</v>
      </c>
      <c r="H22" s="206">
        <f>Resultado!C3</f>
        <v>70816.64468360311</v>
      </c>
      <c r="I22" s="209">
        <f>H22/$H$22</f>
        <v>1</v>
      </c>
    </row>
    <row r="23" spans="1:9" x14ac:dyDescent="0.15">
      <c r="A23" t="s">
        <v>40</v>
      </c>
      <c r="G23" s="30" t="s">
        <v>29</v>
      </c>
      <c r="H23" s="207">
        <f>Resultado!C4</f>
        <v>12746.996043048559</v>
      </c>
      <c r="I23" s="210">
        <f>H23/$H$22</f>
        <v>0.18</v>
      </c>
    </row>
    <row r="24" spans="1:9" ht="14" thickBot="1" x14ac:dyDescent="0.2">
      <c r="A24" t="s">
        <v>41</v>
      </c>
      <c r="G24" s="31" t="s">
        <v>30</v>
      </c>
      <c r="H24" s="208">
        <f>Resultado!C5</f>
        <v>38086.642869807023</v>
      </c>
      <c r="I24" s="211">
        <f>H24/$H$22</f>
        <v>0.53782049460224723</v>
      </c>
    </row>
    <row r="25" spans="1:9" ht="14" thickBot="1" x14ac:dyDescent="0.2">
      <c r="A25" t="s">
        <v>42</v>
      </c>
      <c r="G25" s="32" t="s">
        <v>53</v>
      </c>
      <c r="H25" s="1">
        <f>Resultado!C6</f>
        <v>19983.005770747528</v>
      </c>
      <c r="I25" s="212">
        <f>H25/$H$22</f>
        <v>0.28217950539775283</v>
      </c>
    </row>
    <row r="26" spans="1:9" ht="14" thickBot="1" x14ac:dyDescent="0.2">
      <c r="A26" t="s">
        <v>54</v>
      </c>
      <c r="G26" s="247" t="s">
        <v>37</v>
      </c>
      <c r="H26" s="248"/>
      <c r="I26" s="249"/>
    </row>
    <row r="27" spans="1:9" ht="14" thickBot="1" x14ac:dyDescent="0.2">
      <c r="G27" s="40" t="s">
        <v>14</v>
      </c>
      <c r="H27" s="1">
        <f>H25</f>
        <v>19983.005770747528</v>
      </c>
      <c r="I27" s="212">
        <f>I25</f>
        <v>0.28217950539775283</v>
      </c>
    </row>
    <row r="28" spans="1:9" ht="14" thickBot="1" x14ac:dyDescent="0.2">
      <c r="G28" s="41" t="s">
        <v>28</v>
      </c>
      <c r="H28" s="218">
        <v>15000</v>
      </c>
      <c r="I28" s="34">
        <f>H28/$H$22</f>
        <v>0.21181461035068075</v>
      </c>
    </row>
    <row r="29" spans="1:9" ht="14" thickBot="1" x14ac:dyDescent="0.2">
      <c r="G29" s="42" t="s">
        <v>48</v>
      </c>
      <c r="H29" s="39">
        <f>H27-H28</f>
        <v>4983.005770747528</v>
      </c>
      <c r="I29" s="217">
        <f>H29/$H$22</f>
        <v>7.0364895047072079E-2</v>
      </c>
    </row>
    <row r="31" spans="1:9" x14ac:dyDescent="0.15">
      <c r="A31" t="s">
        <v>45</v>
      </c>
    </row>
    <row r="32" spans="1:9" x14ac:dyDescent="0.15">
      <c r="A32" s="72" t="s">
        <v>146</v>
      </c>
    </row>
    <row r="33" spans="1:12" x14ac:dyDescent="0.15">
      <c r="A33" t="s">
        <v>62</v>
      </c>
      <c r="J33" t="s">
        <v>98</v>
      </c>
      <c r="K33" s="56">
        <v>200000</v>
      </c>
    </row>
    <row r="34" spans="1:12" x14ac:dyDescent="0.15">
      <c r="A34" t="s">
        <v>86</v>
      </c>
      <c r="J34" t="s">
        <v>99</v>
      </c>
      <c r="K34">
        <v>10</v>
      </c>
    </row>
    <row r="35" spans="1:12" x14ac:dyDescent="0.15">
      <c r="A35" t="s">
        <v>85</v>
      </c>
      <c r="J35" t="s">
        <v>100</v>
      </c>
      <c r="K35" s="56">
        <f>K33/K34</f>
        <v>20000</v>
      </c>
    </row>
    <row r="36" spans="1:12" x14ac:dyDescent="0.15">
      <c r="A36" t="s">
        <v>79</v>
      </c>
    </row>
    <row r="37" spans="1:12" x14ac:dyDescent="0.15">
      <c r="A37" t="s">
        <v>83</v>
      </c>
      <c r="K37" s="64" t="s">
        <v>123</v>
      </c>
    </row>
    <row r="38" spans="1:12" x14ac:dyDescent="0.15">
      <c r="A38" t="s">
        <v>80</v>
      </c>
      <c r="I38" t="s">
        <v>112</v>
      </c>
      <c r="J38" t="s">
        <v>113</v>
      </c>
      <c r="K38">
        <v>10</v>
      </c>
    </row>
    <row r="39" spans="1:12" ht="16" x14ac:dyDescent="0.2">
      <c r="A39" t="s">
        <v>81</v>
      </c>
      <c r="L39" s="63" t="s">
        <v>122</v>
      </c>
    </row>
    <row r="40" spans="1:12" x14ac:dyDescent="0.15">
      <c r="A40" t="s">
        <v>82</v>
      </c>
    </row>
    <row r="41" spans="1:12" x14ac:dyDescent="0.15">
      <c r="A41" t="s">
        <v>84</v>
      </c>
    </row>
    <row r="44" spans="1:12" x14ac:dyDescent="0.15">
      <c r="A44" s="72" t="s">
        <v>163</v>
      </c>
    </row>
    <row r="45" spans="1:12" x14ac:dyDescent="0.15">
      <c r="A45" s="72" t="s">
        <v>164</v>
      </c>
    </row>
  </sheetData>
  <mergeCells count="2">
    <mergeCell ref="G26:I26"/>
    <mergeCell ref="C13:E13"/>
  </mergeCells>
  <phoneticPr fontId="0" type="noConversion"/>
  <pageMargins left="0.75" right="0.75" top="1" bottom="1" header="0.49212598499999999" footer="0.49212598499999999"/>
  <pageSetup paperSize="9" orientation="landscape" horizontalDpi="360" verticalDpi="36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E6:H17"/>
  <sheetViews>
    <sheetView workbookViewId="0">
      <selection activeCell="E17" sqref="E17"/>
    </sheetView>
  </sheetViews>
  <sheetFormatPr baseColWidth="10" defaultColWidth="11.5" defaultRowHeight="13" x14ac:dyDescent="0.15"/>
  <sheetData>
    <row r="6" spans="5:8" ht="14" thickBot="1" x14ac:dyDescent="0.2"/>
    <row r="7" spans="5:8" ht="18" thickBot="1" x14ac:dyDescent="0.25">
      <c r="E7" s="62" t="s">
        <v>64</v>
      </c>
      <c r="F7" s="62" t="s">
        <v>120</v>
      </c>
      <c r="G7" s="62" t="s">
        <v>8</v>
      </c>
      <c r="H7" s="62" t="s">
        <v>121</v>
      </c>
    </row>
    <row r="8" spans="5:8" ht="17" thickBot="1" x14ac:dyDescent="0.25">
      <c r="E8" s="62">
        <v>1</v>
      </c>
      <c r="F8" s="62">
        <v>3000</v>
      </c>
      <c r="G8" s="62">
        <v>1000</v>
      </c>
      <c r="H8" s="62">
        <v>1500</v>
      </c>
    </row>
    <row r="9" spans="5:8" ht="17" thickBot="1" x14ac:dyDescent="0.25">
      <c r="E9" s="62">
        <v>2</v>
      </c>
      <c r="F9" s="62">
        <v>2000</v>
      </c>
      <c r="G9" s="62">
        <v>1500</v>
      </c>
      <c r="H9" s="62">
        <v>1100</v>
      </c>
    </row>
    <row r="10" spans="5:8" ht="17" thickBot="1" x14ac:dyDescent="0.25">
      <c r="E10" s="62">
        <v>3</v>
      </c>
      <c r="F10" s="62">
        <v>2500</v>
      </c>
      <c r="G10" s="62">
        <v>2000</v>
      </c>
      <c r="H10" s="62">
        <v>1100</v>
      </c>
    </row>
    <row r="11" spans="5:8" ht="17" thickBot="1" x14ac:dyDescent="0.25">
      <c r="E11" s="62">
        <v>4</v>
      </c>
      <c r="F11" s="62">
        <v>3000</v>
      </c>
      <c r="G11" s="62">
        <v>2100</v>
      </c>
      <c r="H11" s="62">
        <v>1200</v>
      </c>
    </row>
    <row r="12" spans="5:8" ht="17" thickBot="1" x14ac:dyDescent="0.25">
      <c r="E12" s="62">
        <v>5</v>
      </c>
      <c r="F12" s="62">
        <v>3000</v>
      </c>
      <c r="G12" s="62">
        <v>1600</v>
      </c>
      <c r="H12" s="62">
        <v>900</v>
      </c>
    </row>
    <row r="13" spans="5:8" ht="17" thickBot="1" x14ac:dyDescent="0.25">
      <c r="E13" s="62">
        <v>6</v>
      </c>
      <c r="F13" s="62">
        <v>2500</v>
      </c>
      <c r="G13" s="62">
        <v>1100</v>
      </c>
      <c r="H13" s="62">
        <v>1200</v>
      </c>
    </row>
    <row r="14" spans="5:8" ht="17" thickBot="1" x14ac:dyDescent="0.25">
      <c r="E14" s="62">
        <v>7</v>
      </c>
      <c r="F14" s="62">
        <v>4000</v>
      </c>
      <c r="G14" s="62">
        <v>2000</v>
      </c>
      <c r="H14" s="62">
        <v>1890</v>
      </c>
    </row>
    <row r="15" spans="5:8" ht="17" thickBot="1" x14ac:dyDescent="0.25">
      <c r="E15" s="62">
        <v>8</v>
      </c>
      <c r="F15" s="62">
        <v>2500</v>
      </c>
      <c r="G15" s="62">
        <v>2100</v>
      </c>
      <c r="H15" s="62">
        <v>900</v>
      </c>
    </row>
    <row r="16" spans="5:8" ht="17" thickBot="1" x14ac:dyDescent="0.25">
      <c r="E16" s="62">
        <v>9</v>
      </c>
      <c r="F16" s="62">
        <v>2800</v>
      </c>
      <c r="G16" s="62">
        <v>1600</v>
      </c>
      <c r="H16" s="62">
        <v>1300</v>
      </c>
    </row>
    <row r="17" spans="5:8" ht="17" thickBot="1" x14ac:dyDescent="0.25">
      <c r="E17" s="62">
        <v>10</v>
      </c>
      <c r="F17" s="62">
        <v>3000</v>
      </c>
      <c r="G17" s="62">
        <v>1200</v>
      </c>
      <c r="H17" s="62">
        <v>1000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"/>
  <sheetViews>
    <sheetView showGridLines="0" workbookViewId="0">
      <selection activeCell="L28" sqref="L28"/>
    </sheetView>
  </sheetViews>
  <sheetFormatPr baseColWidth="10" defaultRowHeight="13" x14ac:dyDescent="0.15"/>
  <cols>
    <col min="1" max="1" width="2.33203125" customWidth="1"/>
    <col min="2" max="2" width="6.6640625" bestFit="1" customWidth="1"/>
    <col min="3" max="3" width="20.83203125" bestFit="1" customWidth="1"/>
    <col min="4" max="4" width="12.1640625" bestFit="1" customWidth="1"/>
    <col min="5" max="5" width="10.1640625" bestFit="1" customWidth="1"/>
  </cols>
  <sheetData>
    <row r="1" spans="1:5" x14ac:dyDescent="0.15">
      <c r="A1" s="240" t="s">
        <v>176</v>
      </c>
    </row>
    <row r="2" spans="1:5" x14ac:dyDescent="0.15">
      <c r="A2" s="240" t="s">
        <v>177</v>
      </c>
    </row>
    <row r="3" spans="1:5" x14ac:dyDescent="0.15">
      <c r="A3" s="240" t="s">
        <v>178</v>
      </c>
    </row>
    <row r="6" spans="1:5" ht="14" thickBot="1" x14ac:dyDescent="0.2">
      <c r="A6" t="s">
        <v>179</v>
      </c>
    </row>
    <row r="7" spans="1:5" x14ac:dyDescent="0.15">
      <c r="B7" s="243"/>
      <c r="C7" s="243"/>
      <c r="D7" s="243" t="s">
        <v>182</v>
      </c>
      <c r="E7" s="243" t="s">
        <v>184</v>
      </c>
    </row>
    <row r="8" spans="1:5" ht="14" thickBot="1" x14ac:dyDescent="0.2">
      <c r="B8" s="244" t="s">
        <v>180</v>
      </c>
      <c r="C8" s="244" t="s">
        <v>181</v>
      </c>
      <c r="D8" s="244" t="s">
        <v>183</v>
      </c>
      <c r="E8" s="244" t="s">
        <v>185</v>
      </c>
    </row>
    <row r="9" spans="1:5" x14ac:dyDescent="0.15">
      <c r="B9" s="241" t="s">
        <v>189</v>
      </c>
      <c r="C9" s="241" t="s">
        <v>190</v>
      </c>
      <c r="D9" s="241">
        <v>1978.5475837265908</v>
      </c>
      <c r="E9" s="241">
        <v>0</v>
      </c>
    </row>
    <row r="10" spans="1:5" x14ac:dyDescent="0.15">
      <c r="B10" s="241" t="s">
        <v>191</v>
      </c>
      <c r="C10" s="241" t="s">
        <v>192</v>
      </c>
      <c r="D10" s="241">
        <v>1362.700353430145</v>
      </c>
      <c r="E10" s="241">
        <v>0</v>
      </c>
    </row>
    <row r="11" spans="1:5" ht="14" thickBot="1" x14ac:dyDescent="0.2">
      <c r="B11" s="242" t="s">
        <v>193</v>
      </c>
      <c r="C11" s="242" t="s">
        <v>194</v>
      </c>
      <c r="D11" s="242">
        <v>1466.6756779914881</v>
      </c>
      <c r="E11" s="242">
        <v>0</v>
      </c>
    </row>
    <row r="13" spans="1:5" ht="14" thickBot="1" x14ac:dyDescent="0.2">
      <c r="A13" t="s">
        <v>186</v>
      </c>
    </row>
    <row r="14" spans="1:5" x14ac:dyDescent="0.15">
      <c r="B14" s="243"/>
      <c r="C14" s="243"/>
      <c r="D14" s="243" t="s">
        <v>182</v>
      </c>
      <c r="E14" s="243" t="s">
        <v>187</v>
      </c>
    </row>
    <row r="15" spans="1:5" ht="14" thickBot="1" x14ac:dyDescent="0.2">
      <c r="B15" s="244" t="s">
        <v>180</v>
      </c>
      <c r="C15" s="244" t="s">
        <v>181</v>
      </c>
      <c r="D15" s="244" t="s">
        <v>183</v>
      </c>
      <c r="E15" s="244" t="s">
        <v>188</v>
      </c>
    </row>
    <row r="16" spans="1:5" x14ac:dyDescent="0.15">
      <c r="B16" s="241" t="s">
        <v>195</v>
      </c>
      <c r="C16" s="241" t="s">
        <v>196</v>
      </c>
      <c r="D16" s="241">
        <v>2550.6293753732607</v>
      </c>
      <c r="E16" s="241">
        <v>0</v>
      </c>
    </row>
    <row r="17" spans="2:5" x14ac:dyDescent="0.15">
      <c r="B17" s="241" t="s">
        <v>197</v>
      </c>
      <c r="C17" s="241" t="s">
        <v>198</v>
      </c>
      <c r="D17" s="241">
        <v>9000.0000000000036</v>
      </c>
      <c r="E17" s="241">
        <v>0.19195050001144409</v>
      </c>
    </row>
    <row r="18" spans="2:5" x14ac:dyDescent="0.15">
      <c r="B18" s="241" t="s">
        <v>199</v>
      </c>
      <c r="C18" s="241" t="s">
        <v>200</v>
      </c>
      <c r="D18" s="241">
        <v>1923.1694460592898</v>
      </c>
      <c r="E18" s="241">
        <v>0</v>
      </c>
    </row>
    <row r="19" spans="2:5" x14ac:dyDescent="0.15">
      <c r="B19" s="241" t="s">
        <v>201</v>
      </c>
      <c r="C19" s="241" t="s">
        <v>202</v>
      </c>
      <c r="D19" s="241">
        <v>1973.0051082190041</v>
      </c>
      <c r="E19" s="241">
        <v>0</v>
      </c>
    </row>
    <row r="20" spans="2:5" x14ac:dyDescent="0.15">
      <c r="B20" s="241" t="s">
        <v>203</v>
      </c>
      <c r="C20" s="241" t="s">
        <v>204</v>
      </c>
      <c r="D20" s="241">
        <v>763.72996465698577</v>
      </c>
      <c r="E20" s="241">
        <v>0</v>
      </c>
    </row>
    <row r="21" spans="2:5" ht="14" thickBot="1" x14ac:dyDescent="0.2">
      <c r="B21" s="242" t="s">
        <v>205</v>
      </c>
      <c r="C21" s="242" t="s">
        <v>206</v>
      </c>
      <c r="D21" s="242">
        <v>634.01022395583391</v>
      </c>
      <c r="E21" s="242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Y63"/>
  <sheetViews>
    <sheetView showGridLines="0" topLeftCell="P3" zoomScale="150" zoomScaleNormal="85" workbookViewId="0">
      <selection activeCell="X10" sqref="X10"/>
    </sheetView>
  </sheetViews>
  <sheetFormatPr baseColWidth="10" defaultColWidth="8.83203125" defaultRowHeight="13" x14ac:dyDescent="0.15"/>
  <cols>
    <col min="4" max="4" width="6.33203125" bestFit="1" customWidth="1"/>
    <col min="5" max="5" width="13.5" bestFit="1" customWidth="1"/>
    <col min="6" max="6" width="15.1640625" bestFit="1" customWidth="1"/>
    <col min="14" max="14" width="9.5" bestFit="1" customWidth="1"/>
    <col min="15" max="15" width="11" bestFit="1" customWidth="1"/>
    <col min="16" max="16" width="15.6640625" bestFit="1" customWidth="1"/>
    <col min="22" max="22" width="13.33203125" customWidth="1"/>
    <col min="23" max="24" width="9.1640625" bestFit="1" customWidth="1"/>
  </cols>
  <sheetData>
    <row r="2" spans="1:25" x14ac:dyDescent="0.15">
      <c r="E2" t="s">
        <v>118</v>
      </c>
      <c r="F2" s="61" t="s">
        <v>119</v>
      </c>
      <c r="G2" s="61"/>
    </row>
    <row r="4" spans="1:25" ht="18" x14ac:dyDescent="0.2">
      <c r="S4" s="55"/>
      <c r="T4" s="251" t="s">
        <v>129</v>
      </c>
      <c r="U4" s="251"/>
      <c r="V4" s="251"/>
      <c r="W4" s="55"/>
      <c r="X4" s="55"/>
    </row>
    <row r="5" spans="1:25" x14ac:dyDescent="0.15">
      <c r="S5" s="55"/>
      <c r="T5" s="55"/>
      <c r="U5" s="55"/>
      <c r="V5" s="76" t="s">
        <v>69</v>
      </c>
      <c r="W5" s="76" t="s">
        <v>74</v>
      </c>
      <c r="X5" s="76" t="s">
        <v>75</v>
      </c>
    </row>
    <row r="6" spans="1:25" x14ac:dyDescent="0.15">
      <c r="A6" t="s">
        <v>124</v>
      </c>
      <c r="S6" s="77" t="s">
        <v>71</v>
      </c>
      <c r="T6" s="78" t="s">
        <v>126</v>
      </c>
      <c r="U6" s="55"/>
      <c r="V6" s="79">
        <f>J8</f>
        <v>1.666666666666667E-3</v>
      </c>
      <c r="W6" s="79">
        <f>J16</f>
        <v>5.0000000000000027E-3</v>
      </c>
      <c r="X6" s="79">
        <f>J22</f>
        <v>2.9999999999999983E-3</v>
      </c>
    </row>
    <row r="7" spans="1:25" x14ac:dyDescent="0.15">
      <c r="A7" t="s">
        <v>76</v>
      </c>
      <c r="S7" s="77" t="s">
        <v>133</v>
      </c>
      <c r="T7" s="78" t="s">
        <v>127</v>
      </c>
      <c r="U7" s="55"/>
      <c r="V7" s="80">
        <f>J9</f>
        <v>15</v>
      </c>
      <c r="W7" s="80">
        <f>J17</f>
        <v>25</v>
      </c>
      <c r="X7" s="80">
        <f>J23</f>
        <v>20</v>
      </c>
    </row>
    <row r="8" spans="1:25" x14ac:dyDescent="0.15">
      <c r="A8" t="s">
        <v>77</v>
      </c>
      <c r="F8" t="s">
        <v>65</v>
      </c>
      <c r="G8">
        <v>19</v>
      </c>
      <c r="H8" s="75"/>
      <c r="I8" s="72" t="s">
        <v>126</v>
      </c>
      <c r="J8" s="223">
        <f>G10</f>
        <v>1.666666666666667E-3</v>
      </c>
      <c r="S8" s="55"/>
      <c r="T8" s="55"/>
      <c r="U8" s="55"/>
      <c r="V8" s="80"/>
      <c r="W8" s="80"/>
      <c r="X8" s="80"/>
    </row>
    <row r="9" spans="1:25" x14ac:dyDescent="0.15">
      <c r="D9" t="s">
        <v>70</v>
      </c>
      <c r="F9" t="s">
        <v>66</v>
      </c>
      <c r="G9">
        <v>1200</v>
      </c>
      <c r="H9" s="75"/>
      <c r="I9" s="72" t="s">
        <v>127</v>
      </c>
      <c r="J9" s="224">
        <f>N29</f>
        <v>15</v>
      </c>
      <c r="S9" s="55"/>
      <c r="T9" s="81" t="s">
        <v>130</v>
      </c>
      <c r="U9" s="82"/>
      <c r="V9" s="239">
        <v>1978.5475837265908</v>
      </c>
      <c r="W9" s="239">
        <v>1362.700353430145</v>
      </c>
      <c r="X9" s="239">
        <v>1466.6756779914881</v>
      </c>
      <c r="Y9" s="181" t="s">
        <v>175</v>
      </c>
    </row>
    <row r="10" spans="1:25" x14ac:dyDescent="0.15">
      <c r="F10" t="s">
        <v>71</v>
      </c>
      <c r="G10" s="74">
        <v>1.666666666666667E-3</v>
      </c>
      <c r="H10" s="72" t="s">
        <v>128</v>
      </c>
      <c r="S10" s="55"/>
      <c r="T10" s="78" t="s">
        <v>134</v>
      </c>
      <c r="U10" s="55"/>
      <c r="V10" s="80">
        <f>V7-V6*V9</f>
        <v>11.702420693789016</v>
      </c>
      <c r="W10" s="80">
        <f>W7-W6*W9</f>
        <v>18.186498232849271</v>
      </c>
      <c r="X10" s="80">
        <f>X7-X6*X9</f>
        <v>15.599972966025538</v>
      </c>
    </row>
    <row r="11" spans="1:25" x14ac:dyDescent="0.15">
      <c r="S11" s="55"/>
      <c r="T11" s="78" t="s">
        <v>131</v>
      </c>
      <c r="U11" s="55"/>
      <c r="V11" s="80">
        <f>'Custo de materiais'!E4</f>
        <v>6.6999999999999993</v>
      </c>
      <c r="W11" s="80">
        <f>'Custo de materiais'!F4</f>
        <v>8.75</v>
      </c>
      <c r="X11" s="80">
        <f>'Custo de materiais'!G4</f>
        <v>8.8000000000000007</v>
      </c>
    </row>
    <row r="12" spans="1:25" x14ac:dyDescent="0.15">
      <c r="S12" s="55"/>
      <c r="T12" s="55"/>
      <c r="U12" s="55"/>
      <c r="V12" s="80"/>
      <c r="W12" s="80"/>
      <c r="X12" s="80"/>
    </row>
    <row r="13" spans="1:25" x14ac:dyDescent="0.15">
      <c r="S13" s="55"/>
      <c r="T13" s="78" t="s">
        <v>135</v>
      </c>
      <c r="U13" s="55"/>
      <c r="V13" s="80">
        <f>((1-18%)*V10-V11)</f>
        <v>2.8959849689069941</v>
      </c>
      <c r="W13" s="80">
        <f>((1-18%)*W10-W11)</f>
        <v>6.1629285509364031</v>
      </c>
      <c r="X13" s="80">
        <f>((1-18%)*X10-X11)</f>
        <v>3.9919778321409414</v>
      </c>
    </row>
    <row r="14" spans="1:25" x14ac:dyDescent="0.15">
      <c r="S14" s="55"/>
      <c r="T14" s="78"/>
      <c r="U14" s="55"/>
      <c r="V14" s="80"/>
      <c r="W14" s="80"/>
      <c r="X14" s="80"/>
    </row>
    <row r="15" spans="1:25" x14ac:dyDescent="0.15">
      <c r="S15" s="55"/>
      <c r="T15" s="78" t="s">
        <v>132</v>
      </c>
      <c r="U15" s="55"/>
      <c r="V15" s="80">
        <f>SUMPRODUCT(V13:X13,V9:X9)</f>
        <v>19983.005770747535</v>
      </c>
      <c r="W15" s="80"/>
      <c r="X15" s="80"/>
    </row>
    <row r="16" spans="1:25" x14ac:dyDescent="0.15">
      <c r="D16" t="s">
        <v>72</v>
      </c>
      <c r="F16" t="s">
        <v>65</v>
      </c>
      <c r="G16">
        <v>25</v>
      </c>
      <c r="H16">
        <f>G16-(G17*G18)</f>
        <v>18.999999999999996</v>
      </c>
      <c r="I16" s="72" t="s">
        <v>126</v>
      </c>
      <c r="J16" s="225">
        <f>G18</f>
        <v>5.0000000000000027E-3</v>
      </c>
      <c r="S16" s="55"/>
      <c r="T16" s="78" t="s">
        <v>63</v>
      </c>
      <c r="U16" s="55"/>
      <c r="V16" s="171">
        <f>V15-QUESTÕES!$H$28</f>
        <v>4983.0057707475353</v>
      </c>
      <c r="W16" s="80"/>
      <c r="X16" s="80"/>
    </row>
    <row r="17" spans="4:24" x14ac:dyDescent="0.15">
      <c r="F17" t="s">
        <v>66</v>
      </c>
      <c r="G17">
        <v>1200</v>
      </c>
      <c r="I17" s="72" t="s">
        <v>127</v>
      </c>
      <c r="J17" s="224">
        <f>N41</f>
        <v>25</v>
      </c>
      <c r="S17" s="55"/>
      <c r="T17" s="55"/>
      <c r="U17" s="55"/>
      <c r="V17" s="55"/>
      <c r="W17" s="55"/>
      <c r="X17" s="55"/>
    </row>
    <row r="18" spans="4:24" x14ac:dyDescent="0.15">
      <c r="F18" t="s">
        <v>71</v>
      </c>
      <c r="G18">
        <v>5.0000000000000027E-3</v>
      </c>
      <c r="S18" s="55"/>
      <c r="T18" s="65" t="s">
        <v>12</v>
      </c>
      <c r="U18" s="55"/>
      <c r="V18" s="78" t="s">
        <v>169</v>
      </c>
      <c r="W18" s="78" t="s">
        <v>170</v>
      </c>
      <c r="X18" s="55"/>
    </row>
    <row r="19" spans="4:24" x14ac:dyDescent="0.15">
      <c r="S19" s="55"/>
      <c r="T19" s="68" t="s">
        <v>3</v>
      </c>
      <c r="U19" s="55"/>
      <c r="V19" s="55">
        <f>QUESTÕES!D4</f>
        <v>4000</v>
      </c>
      <c r="W19" s="55">
        <f>QUESTÕES!E4</f>
        <v>2550.6293753732607</v>
      </c>
      <c r="X19" s="55"/>
    </row>
    <row r="20" spans="4:24" x14ac:dyDescent="0.15">
      <c r="S20" s="55"/>
      <c r="T20" s="68" t="s">
        <v>4</v>
      </c>
      <c r="U20" s="55"/>
      <c r="V20" s="55">
        <f>QUESTÕES!D5</f>
        <v>9000</v>
      </c>
      <c r="W20" s="55">
        <f>QUESTÕES!E5</f>
        <v>9000.0000000000036</v>
      </c>
      <c r="X20" s="55"/>
    </row>
    <row r="21" spans="4:24" x14ac:dyDescent="0.15">
      <c r="S21" s="55"/>
      <c r="T21" s="68" t="s">
        <v>5</v>
      </c>
      <c r="U21" s="55"/>
      <c r="V21" s="55">
        <f>QUESTÕES!D6</f>
        <v>2000</v>
      </c>
      <c r="W21" s="55">
        <f>QUESTÕES!E6</f>
        <v>1923.1694460592898</v>
      </c>
      <c r="X21" s="55"/>
    </row>
    <row r="22" spans="4:24" x14ac:dyDescent="0.15">
      <c r="D22" t="s">
        <v>73</v>
      </c>
      <c r="F22" t="s">
        <v>65</v>
      </c>
      <c r="G22">
        <v>20</v>
      </c>
      <c r="H22">
        <f>G22-(G23*G24)</f>
        <v>15.500000000000004</v>
      </c>
      <c r="I22" s="72" t="s">
        <v>126</v>
      </c>
      <c r="J22">
        <f>G24</f>
        <v>2.9999999999999983E-3</v>
      </c>
      <c r="S22" s="55"/>
      <c r="T22" s="68" t="s">
        <v>6</v>
      </c>
      <c r="U22" s="55"/>
      <c r="V22" s="55">
        <f>QUESTÕES!D7</f>
        <v>4000</v>
      </c>
      <c r="W22" s="55">
        <f>QUESTÕES!E7</f>
        <v>1973.0051082190041</v>
      </c>
      <c r="X22" s="55"/>
    </row>
    <row r="23" spans="4:24" x14ac:dyDescent="0.15">
      <c r="F23" t="s">
        <v>66</v>
      </c>
      <c r="G23">
        <v>1500</v>
      </c>
      <c r="I23" s="72" t="s">
        <v>127</v>
      </c>
      <c r="J23">
        <f>N54</f>
        <v>20</v>
      </c>
      <c r="S23" s="55"/>
      <c r="T23" s="68" t="s">
        <v>7</v>
      </c>
      <c r="U23" s="55"/>
      <c r="V23" s="55">
        <f>QUESTÕES!D8</f>
        <v>1500</v>
      </c>
      <c r="W23" s="55">
        <f>QUESTÕES!E8</f>
        <v>763.72996465698577</v>
      </c>
      <c r="X23" s="55"/>
    </row>
    <row r="24" spans="4:24" x14ac:dyDescent="0.15">
      <c r="F24" t="s">
        <v>71</v>
      </c>
      <c r="G24">
        <v>2.9999999999999983E-3</v>
      </c>
      <c r="S24" s="55"/>
      <c r="T24" s="68" t="s">
        <v>8</v>
      </c>
      <c r="U24" s="55"/>
      <c r="V24" s="55">
        <f>QUESTÕES!D9</f>
        <v>800</v>
      </c>
      <c r="W24" s="55">
        <f>QUESTÕES!E9</f>
        <v>634.01022395583391</v>
      </c>
      <c r="X24" s="55"/>
    </row>
    <row r="28" spans="4:24" x14ac:dyDescent="0.15">
      <c r="M28" s="52" t="s">
        <v>67</v>
      </c>
      <c r="N28" s="52" t="s">
        <v>69</v>
      </c>
      <c r="O28" t="s">
        <v>68</v>
      </c>
    </row>
    <row r="29" spans="4:24" x14ac:dyDescent="0.15">
      <c r="M29" s="52">
        <v>0</v>
      </c>
      <c r="N29" s="53">
        <v>15</v>
      </c>
      <c r="O29" s="53"/>
    </row>
    <row r="30" spans="4:24" x14ac:dyDescent="0.15">
      <c r="M30" s="52">
        <v>1000</v>
      </c>
      <c r="N30" s="53">
        <v>13.3</v>
      </c>
      <c r="O30" s="53">
        <f>(((M30-M29)/M30)/((N30-N29)/N30))</f>
        <v>-7.8235294117647101</v>
      </c>
    </row>
    <row r="31" spans="4:24" x14ac:dyDescent="0.15">
      <c r="M31" s="52">
        <v>2000</v>
      </c>
      <c r="N31" s="53">
        <v>11.7</v>
      </c>
      <c r="O31" s="53">
        <f t="shared" ref="O31:O37" si="0">(((M31-M30)/M31)/((N31-N30)/N31))</f>
        <v>-3.6562499999999964</v>
      </c>
    </row>
    <row r="32" spans="4:24" x14ac:dyDescent="0.15">
      <c r="M32" s="52">
        <v>3000</v>
      </c>
      <c r="N32" s="53">
        <v>10</v>
      </c>
      <c r="O32" s="53">
        <f t="shared" si="0"/>
        <v>-1.960784313725491</v>
      </c>
    </row>
    <row r="33" spans="13:16" x14ac:dyDescent="0.15">
      <c r="M33" s="52">
        <v>4000</v>
      </c>
      <c r="N33" s="53">
        <v>8.33</v>
      </c>
      <c r="O33" s="53">
        <f t="shared" si="0"/>
        <v>-1.2470059880239521</v>
      </c>
    </row>
    <row r="34" spans="13:16" x14ac:dyDescent="0.15">
      <c r="M34" s="52">
        <v>5000</v>
      </c>
      <c r="N34" s="53">
        <v>6.7</v>
      </c>
      <c r="O34" s="53">
        <f t="shared" si="0"/>
        <v>-0.82208588957055229</v>
      </c>
      <c r="P34" s="56">
        <f>(((M38-M29)/(M38+M29)/2))/(((N38-N29)/(N38+N29)/2))</f>
        <v>-1</v>
      </c>
    </row>
    <row r="35" spans="13:16" x14ac:dyDescent="0.15">
      <c r="M35" s="52">
        <v>6000</v>
      </c>
      <c r="N35" s="53">
        <v>5</v>
      </c>
      <c r="O35" s="53">
        <f t="shared" si="0"/>
        <v>-0.49019607843137247</v>
      </c>
    </row>
    <row r="36" spans="13:16" x14ac:dyDescent="0.15">
      <c r="M36" s="52">
        <v>7000</v>
      </c>
      <c r="N36" s="53">
        <v>3.3</v>
      </c>
      <c r="O36" s="53">
        <f t="shared" si="0"/>
        <v>-0.27731092436974786</v>
      </c>
    </row>
    <row r="37" spans="13:16" x14ac:dyDescent="0.15">
      <c r="M37" s="52">
        <v>8000</v>
      </c>
      <c r="N37" s="53">
        <v>1.7</v>
      </c>
      <c r="O37" s="53">
        <f t="shared" si="0"/>
        <v>-0.1328125</v>
      </c>
    </row>
    <row r="38" spans="13:16" x14ac:dyDescent="0.15">
      <c r="M38" s="52">
        <v>9000</v>
      </c>
      <c r="N38" s="53">
        <v>0</v>
      </c>
      <c r="O38" s="53"/>
    </row>
    <row r="40" spans="13:16" x14ac:dyDescent="0.15">
      <c r="M40" s="52" t="s">
        <v>67</v>
      </c>
      <c r="N40" s="52" t="s">
        <v>74</v>
      </c>
      <c r="O40" t="s">
        <v>68</v>
      </c>
    </row>
    <row r="41" spans="13:16" x14ac:dyDescent="0.15">
      <c r="M41" s="52">
        <v>0</v>
      </c>
      <c r="N41" s="54">
        <v>25</v>
      </c>
      <c r="O41" s="53"/>
    </row>
    <row r="42" spans="13:16" x14ac:dyDescent="0.15">
      <c r="M42" s="52">
        <v>300</v>
      </c>
      <c r="N42" s="54">
        <v>23.5</v>
      </c>
      <c r="O42" s="53">
        <f>(((M42-M41)/M42)/((N42-N41)/N42))</f>
        <v>-15.666666666666668</v>
      </c>
    </row>
    <row r="43" spans="13:16" x14ac:dyDescent="0.15">
      <c r="M43" s="52">
        <v>600</v>
      </c>
      <c r="N43" s="54">
        <f>N42-1.5</f>
        <v>22</v>
      </c>
      <c r="O43" s="53">
        <f t="shared" ref="O43:O49" si="1">(((M43-M42)/M43)/((N43-N42)/N43))</f>
        <v>-7.3333333333333339</v>
      </c>
    </row>
    <row r="44" spans="13:16" x14ac:dyDescent="0.15">
      <c r="M44" s="52">
        <v>900</v>
      </c>
      <c r="N44" s="54">
        <f t="shared" ref="N44:N50" si="2">N43-1.5</f>
        <v>20.5</v>
      </c>
      <c r="O44" s="53">
        <f t="shared" si="1"/>
        <v>-4.5555555555555554</v>
      </c>
    </row>
    <row r="45" spans="13:16" x14ac:dyDescent="0.15">
      <c r="M45" s="52">
        <v>1200</v>
      </c>
      <c r="N45" s="54">
        <f t="shared" si="2"/>
        <v>19</v>
      </c>
      <c r="O45" s="53">
        <f t="shared" si="1"/>
        <v>-3.166666666666667</v>
      </c>
    </row>
    <row r="46" spans="13:16" x14ac:dyDescent="0.15">
      <c r="M46" s="52">
        <v>1500</v>
      </c>
      <c r="N46" s="54">
        <f t="shared" si="2"/>
        <v>17.5</v>
      </c>
      <c r="O46" s="53">
        <f t="shared" si="1"/>
        <v>-2.3333333333333335</v>
      </c>
      <c r="P46" s="70">
        <f>(((M50-M41)/(M50+M41)/2))/(((N50-N41)/(N50+N41)/2))</f>
        <v>-2.7037037037037037</v>
      </c>
    </row>
    <row r="47" spans="13:16" x14ac:dyDescent="0.15">
      <c r="M47" s="52">
        <v>1800</v>
      </c>
      <c r="N47" s="54">
        <f t="shared" si="2"/>
        <v>16</v>
      </c>
      <c r="O47" s="53">
        <f t="shared" si="1"/>
        <v>-1.7777777777777777</v>
      </c>
    </row>
    <row r="48" spans="13:16" x14ac:dyDescent="0.15">
      <c r="M48" s="52">
        <v>2100</v>
      </c>
      <c r="N48" s="54">
        <f t="shared" si="2"/>
        <v>14.5</v>
      </c>
      <c r="O48" s="53">
        <f t="shared" si="1"/>
        <v>-1.3809523809523809</v>
      </c>
    </row>
    <row r="49" spans="13:16" x14ac:dyDescent="0.15">
      <c r="M49" s="52">
        <v>2400</v>
      </c>
      <c r="N49" s="54">
        <f t="shared" si="2"/>
        <v>13</v>
      </c>
      <c r="O49" s="53">
        <f t="shared" si="1"/>
        <v>-1.0833333333333333</v>
      </c>
    </row>
    <row r="50" spans="13:16" x14ac:dyDescent="0.15">
      <c r="M50" s="52">
        <v>2700</v>
      </c>
      <c r="N50" s="54">
        <f t="shared" si="2"/>
        <v>11.5</v>
      </c>
      <c r="O50" s="53"/>
    </row>
    <row r="53" spans="13:16" x14ac:dyDescent="0.15">
      <c r="M53" s="52" t="s">
        <v>67</v>
      </c>
      <c r="N53" s="52" t="s">
        <v>75</v>
      </c>
      <c r="O53" t="s">
        <v>68</v>
      </c>
    </row>
    <row r="54" spans="13:16" x14ac:dyDescent="0.15">
      <c r="M54" s="52">
        <v>0</v>
      </c>
      <c r="N54" s="52">
        <v>20</v>
      </c>
      <c r="O54" s="53"/>
    </row>
    <row r="55" spans="13:16" x14ac:dyDescent="0.15">
      <c r="M55" s="52">
        <v>500</v>
      </c>
      <c r="N55" s="52">
        <v>18.5</v>
      </c>
      <c r="O55" s="53">
        <f>(((M55-M54)/M55)/((N55-N54)/N55))</f>
        <v>-12.333333333333332</v>
      </c>
    </row>
    <row r="56" spans="13:16" x14ac:dyDescent="0.15">
      <c r="M56" s="52">
        <v>1000</v>
      </c>
      <c r="N56" s="52">
        <v>17</v>
      </c>
      <c r="O56" s="53">
        <f t="shared" ref="O56:O62" si="3">(((M56-M55)/M56)/((N56-N55)/N56))</f>
        <v>-5.6666666666666661</v>
      </c>
    </row>
    <row r="57" spans="13:16" x14ac:dyDescent="0.15">
      <c r="M57" s="52">
        <v>1500</v>
      </c>
      <c r="N57" s="52">
        <v>15.5</v>
      </c>
      <c r="O57" s="53">
        <f t="shared" si="3"/>
        <v>-3.4444444444444442</v>
      </c>
    </row>
    <row r="58" spans="13:16" x14ac:dyDescent="0.15">
      <c r="M58" s="52">
        <v>2000</v>
      </c>
      <c r="N58" s="54">
        <v>14</v>
      </c>
      <c r="O58" s="53">
        <f t="shared" si="3"/>
        <v>-2.3333333333333335</v>
      </c>
    </row>
    <row r="59" spans="13:16" x14ac:dyDescent="0.15">
      <c r="M59" s="52">
        <v>2500</v>
      </c>
      <c r="N59" s="54">
        <v>12.5</v>
      </c>
      <c r="O59" s="53">
        <f t="shared" si="3"/>
        <v>-1.6666666666666667</v>
      </c>
      <c r="P59" s="56">
        <f>(((M63-M54)/(M63+M54)/2))/(((N63-N54)/(N63+N54)/2))</f>
        <v>-1.962962962962963</v>
      </c>
    </row>
    <row r="60" spans="13:16" x14ac:dyDescent="0.15">
      <c r="M60" s="52">
        <v>3000</v>
      </c>
      <c r="N60" s="54">
        <v>11</v>
      </c>
      <c r="O60" s="53">
        <f t="shared" si="3"/>
        <v>-1.2222222222222223</v>
      </c>
    </row>
    <row r="61" spans="13:16" x14ac:dyDescent="0.15">
      <c r="M61" s="52">
        <v>3500</v>
      </c>
      <c r="N61" s="54">
        <v>9.5</v>
      </c>
      <c r="O61" s="53">
        <f t="shared" si="3"/>
        <v>-0.90476190476190477</v>
      </c>
    </row>
    <row r="62" spans="13:16" x14ac:dyDescent="0.15">
      <c r="M62" s="52">
        <v>4000</v>
      </c>
      <c r="N62" s="54">
        <v>8</v>
      </c>
      <c r="O62" s="53">
        <f t="shared" si="3"/>
        <v>-0.66666666666666663</v>
      </c>
    </row>
    <row r="63" spans="13:16" x14ac:dyDescent="0.15">
      <c r="M63" s="52">
        <v>4500</v>
      </c>
      <c r="N63" s="54">
        <v>6.5</v>
      </c>
      <c r="O63" s="53"/>
    </row>
  </sheetData>
  <mergeCells count="1">
    <mergeCell ref="T4:V4"/>
  </mergeCells>
  <phoneticPr fontId="9" type="noConversion"/>
  <pageMargins left="0.75" right="0.75" top="1" bottom="1" header="0.49212598499999999" footer="0.49212598499999999"/>
  <headerFooter alignWithMargins="0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M60"/>
  <sheetViews>
    <sheetView zoomScaleNormal="100" workbookViewId="0">
      <selection activeCell="F5" sqref="F5"/>
    </sheetView>
  </sheetViews>
  <sheetFormatPr baseColWidth="10" defaultColWidth="9.1640625" defaultRowHeight="13" x14ac:dyDescent="0.15"/>
  <cols>
    <col min="1" max="1" width="22.6640625" style="3" customWidth="1"/>
    <col min="2" max="2" width="8.5" style="3" bestFit="1" customWidth="1"/>
    <col min="3" max="3" width="11.5" style="3" customWidth="1"/>
    <col min="4" max="4" width="16.1640625" style="3" customWidth="1"/>
    <col min="5" max="5" width="14.5" style="3" bestFit="1" customWidth="1"/>
    <col min="6" max="6" width="16.6640625" style="3" bestFit="1" customWidth="1"/>
    <col min="7" max="7" width="12.83203125" style="109" bestFit="1" customWidth="1"/>
    <col min="8" max="13" width="9.1640625" style="109"/>
    <col min="14" max="16384" width="9.1640625" style="3"/>
  </cols>
  <sheetData>
    <row r="2" spans="1:13" ht="14" thickBot="1" x14ac:dyDescent="0.2">
      <c r="A2" s="2" t="s">
        <v>19</v>
      </c>
    </row>
    <row r="3" spans="1:13" ht="14" thickBot="1" x14ac:dyDescent="0.2">
      <c r="D3" s="14" t="str">
        <f>QUESTÕES!F4</f>
        <v>Pizza muzzarela</v>
      </c>
      <c r="E3" s="15" t="str">
        <f>QUESTÕES!F5</f>
        <v>Pizza presunto</v>
      </c>
      <c r="F3" s="108" t="str">
        <f>QUESTÕES!F6</f>
        <v>Pizza marguerita</v>
      </c>
      <c r="G3" s="110"/>
      <c r="H3" s="110"/>
      <c r="I3" s="110"/>
      <c r="J3" s="110"/>
      <c r="K3" s="110"/>
      <c r="L3" s="110"/>
    </row>
    <row r="4" spans="1:13" ht="14" thickBot="1" x14ac:dyDescent="0.2">
      <c r="A4" s="8" t="s">
        <v>12</v>
      </c>
      <c r="B4" s="13" t="s">
        <v>2</v>
      </c>
      <c r="C4" s="16" t="s">
        <v>21</v>
      </c>
      <c r="D4" s="162">
        <f>QUESTÕES!J4</f>
        <v>1978.5475837265908</v>
      </c>
      <c r="E4" s="163">
        <f>QUESTÕES!J5</f>
        <v>1362.700353430145</v>
      </c>
      <c r="F4" s="164">
        <f>QUESTÕES!J6</f>
        <v>1466.6756779914881</v>
      </c>
      <c r="G4" s="110"/>
      <c r="H4" s="110"/>
      <c r="I4" s="110"/>
      <c r="J4" s="110"/>
      <c r="K4" s="110"/>
      <c r="L4" s="110"/>
      <c r="M4" s="110"/>
    </row>
    <row r="5" spans="1:13" ht="14" thickTop="1" x14ac:dyDescent="0.15">
      <c r="A5" s="10" t="str">
        <f>QUESTÕES!A4</f>
        <v>Farinha de trigo</v>
      </c>
      <c r="B5" s="21" t="s">
        <v>9</v>
      </c>
      <c r="C5" s="169">
        <f t="shared" ref="C5:C10" si="0">D5+E5+F5</f>
        <v>2550.6293753732607</v>
      </c>
      <c r="D5" s="165">
        <f>QUESTÕES!C15*'Consumo de materiais'!$D$4</f>
        <v>989.2737918632954</v>
      </c>
      <c r="E5" s="165">
        <f>QUESTÕES!D15*'Consumo de materiais'!$E$4</f>
        <v>681.35017671507251</v>
      </c>
      <c r="F5" s="166">
        <f>QUESTÕES!E15*'Consumo de materiais'!$F$4</f>
        <v>880.00540679489279</v>
      </c>
      <c r="G5" s="110"/>
      <c r="H5" s="110"/>
      <c r="I5" s="110"/>
      <c r="J5" s="110"/>
      <c r="K5" s="110"/>
      <c r="L5" s="110"/>
    </row>
    <row r="6" spans="1:13" x14ac:dyDescent="0.15">
      <c r="A6" s="10" t="str">
        <f>QUESTÕES!A5</f>
        <v>Ovo</v>
      </c>
      <c r="B6" s="18" t="s">
        <v>10</v>
      </c>
      <c r="C6" s="169">
        <f t="shared" si="0"/>
        <v>9000.0000000000036</v>
      </c>
      <c r="D6" s="165">
        <f>QUESTÕES!C16*'Consumo de materiais'!$D$4</f>
        <v>1978.5475837265908</v>
      </c>
      <c r="E6" s="165">
        <f>QUESTÕES!D16*'Consumo de materiais'!$E$4</f>
        <v>4088.1010602904353</v>
      </c>
      <c r="F6" s="166">
        <f>QUESTÕES!E16*'Consumo de materiais'!$F$4</f>
        <v>2933.3513559829762</v>
      </c>
      <c r="G6" s="110"/>
      <c r="H6" s="110"/>
      <c r="I6" s="110"/>
      <c r="J6" s="110"/>
      <c r="K6" s="110"/>
      <c r="L6" s="110"/>
    </row>
    <row r="7" spans="1:13" x14ac:dyDescent="0.15">
      <c r="A7" s="10" t="str">
        <f>QUESTÕES!A6</f>
        <v>Leite</v>
      </c>
      <c r="B7" s="18" t="s">
        <v>11</v>
      </c>
      <c r="C7" s="169">
        <f t="shared" si="0"/>
        <v>1923.1694460592898</v>
      </c>
      <c r="D7" s="165">
        <f>QUESTÕES!C17*'Consumo de materiais'!$D$4</f>
        <v>791.41903349063637</v>
      </c>
      <c r="E7" s="165">
        <f>QUESTÕES!D17*'Consumo de materiais'!$E$4</f>
        <v>545.08014137205805</v>
      </c>
      <c r="F7" s="166">
        <f>QUESTÕES!E17*'Consumo de materiais'!$F$4</f>
        <v>586.67027119659531</v>
      </c>
      <c r="G7" s="110"/>
      <c r="H7" s="110"/>
      <c r="I7" s="110"/>
      <c r="J7" s="110"/>
      <c r="K7" s="110"/>
      <c r="L7" s="110"/>
    </row>
    <row r="8" spans="1:13" x14ac:dyDescent="0.15">
      <c r="A8" s="10" t="str">
        <f>QUESTÕES!A7</f>
        <v>Queijo muzzarela</v>
      </c>
      <c r="B8" s="18" t="s">
        <v>9</v>
      </c>
      <c r="C8" s="169">
        <f t="shared" si="0"/>
        <v>1973.0051082190041</v>
      </c>
      <c r="D8" s="165">
        <f>QUESTÕES!C18*'Consumo de materiais'!$D$4</f>
        <v>1187.1285502359544</v>
      </c>
      <c r="E8" s="165">
        <f>QUESTÕES!D18*'Consumo de materiais'!$E$4</f>
        <v>272.54007068602903</v>
      </c>
      <c r="F8" s="166">
        <f>QUESTÕES!E18*'Consumo de materiais'!$F$4</f>
        <v>513.33648729702077</v>
      </c>
      <c r="G8" s="110"/>
      <c r="H8" s="110"/>
      <c r="I8" s="110"/>
      <c r="J8" s="110"/>
      <c r="K8" s="110"/>
      <c r="L8" s="110"/>
    </row>
    <row r="9" spans="1:13" x14ac:dyDescent="0.15">
      <c r="A9" s="10" t="str">
        <f>QUESTÕES!A8</f>
        <v>Molho de tomate</v>
      </c>
      <c r="B9" s="18" t="s">
        <v>9</v>
      </c>
      <c r="C9" s="169">
        <f t="shared" si="0"/>
        <v>763.72996465698577</v>
      </c>
      <c r="D9" s="165">
        <f>QUESTÕES!C19*'Consumo de materiais'!$D$4</f>
        <v>197.85475837265909</v>
      </c>
      <c r="E9" s="165">
        <f>QUESTÕES!D19*'Consumo de materiais'!$E$4</f>
        <v>272.54007068602903</v>
      </c>
      <c r="F9" s="166">
        <f>QUESTÕES!E19*'Consumo de materiais'!$F$4</f>
        <v>293.33513559829765</v>
      </c>
      <c r="G9" s="110"/>
      <c r="H9" s="110"/>
      <c r="I9" s="110"/>
      <c r="J9" s="110"/>
      <c r="K9" s="110"/>
      <c r="L9" s="110"/>
    </row>
    <row r="10" spans="1:13" ht="14" thickBot="1" x14ac:dyDescent="0.2">
      <c r="A10" s="11" t="str">
        <f>QUESTÕES!A9</f>
        <v>Presunto</v>
      </c>
      <c r="B10" s="44" t="s">
        <v>9</v>
      </c>
      <c r="C10" s="170">
        <f t="shared" si="0"/>
        <v>634.01022395583391</v>
      </c>
      <c r="D10" s="167">
        <f>QUESTÕES!C20*'Consumo de materiais'!$D$4</f>
        <v>0</v>
      </c>
      <c r="E10" s="167">
        <f>QUESTÕES!D20*'Consumo de materiais'!$E$4</f>
        <v>340.67508835753625</v>
      </c>
      <c r="F10" s="168">
        <f>QUESTÕES!E20*'Consumo de materiais'!$F$4</f>
        <v>293.33513559829765</v>
      </c>
      <c r="G10" s="110"/>
      <c r="H10" s="110"/>
      <c r="I10" s="110"/>
      <c r="J10" s="110"/>
      <c r="K10" s="110"/>
      <c r="L10" s="110"/>
    </row>
    <row r="11" spans="1:13" x14ac:dyDescent="0.15">
      <c r="A11" s="110">
        <f>QUESTÕES!A10</f>
        <v>0</v>
      </c>
      <c r="B11" s="110"/>
      <c r="C11" s="111"/>
      <c r="D11" s="107"/>
      <c r="E11" s="107"/>
      <c r="F11" s="107"/>
      <c r="G11" s="110"/>
      <c r="H11" s="110"/>
      <c r="I11" s="110"/>
      <c r="J11" s="110"/>
      <c r="K11" s="110"/>
      <c r="L11" s="110"/>
    </row>
    <row r="12" spans="1:13" x14ac:dyDescent="0.15">
      <c r="A12" s="110"/>
      <c r="B12" s="110"/>
      <c r="C12" s="111"/>
      <c r="D12" s="107"/>
      <c r="E12" s="107"/>
      <c r="F12" s="107"/>
      <c r="G12" s="110"/>
      <c r="H12" s="110"/>
      <c r="I12" s="110"/>
      <c r="J12" s="110"/>
      <c r="K12" s="110"/>
      <c r="L12" s="110"/>
    </row>
    <row r="13" spans="1:13" x14ac:dyDescent="0.15">
      <c r="A13" s="110"/>
      <c r="B13" s="110"/>
      <c r="C13" s="111"/>
      <c r="D13" s="107"/>
      <c r="E13" s="107"/>
      <c r="F13" s="107"/>
      <c r="G13" s="110"/>
      <c r="H13" s="110"/>
      <c r="I13" s="110"/>
      <c r="J13" s="110"/>
      <c r="K13" s="110"/>
      <c r="L13" s="110"/>
    </row>
    <row r="14" spans="1:13" x14ac:dyDescent="0.15">
      <c r="A14" s="110"/>
      <c r="B14" s="110"/>
      <c r="C14" s="111"/>
      <c r="D14" s="107"/>
      <c r="E14" s="107"/>
      <c r="F14" s="107"/>
      <c r="G14" s="110"/>
      <c r="H14" s="110"/>
      <c r="I14" s="110"/>
      <c r="J14" s="110"/>
      <c r="K14" s="110"/>
      <c r="L14" s="110"/>
    </row>
    <row r="15" spans="1:13" x14ac:dyDescent="0.15">
      <c r="A15" s="110"/>
      <c r="B15" s="110"/>
      <c r="C15" s="111"/>
      <c r="D15" s="107"/>
      <c r="E15" s="107"/>
      <c r="F15" s="107"/>
      <c r="G15" s="110"/>
      <c r="H15" s="110"/>
      <c r="I15" s="110"/>
      <c r="J15" s="110"/>
      <c r="K15" s="110"/>
      <c r="L15" s="110"/>
    </row>
    <row r="16" spans="1:13" x14ac:dyDescent="0.15">
      <c r="A16" s="110"/>
      <c r="B16" s="110"/>
      <c r="C16" s="111"/>
      <c r="D16" s="107"/>
      <c r="E16" s="107"/>
      <c r="F16" s="107"/>
      <c r="G16" s="110"/>
      <c r="H16" s="110"/>
      <c r="I16" s="110"/>
      <c r="J16" s="110"/>
      <c r="K16" s="110"/>
      <c r="L16" s="110"/>
    </row>
    <row r="17" spans="1:12" x14ac:dyDescent="0.15">
      <c r="A17" s="110"/>
      <c r="B17" s="110"/>
      <c r="C17" s="111"/>
      <c r="D17" s="107"/>
      <c r="E17" s="107"/>
      <c r="F17" s="107"/>
      <c r="G17" s="110"/>
      <c r="H17" s="110"/>
      <c r="I17" s="110"/>
      <c r="J17" s="110"/>
      <c r="K17" s="110"/>
      <c r="L17" s="110"/>
    </row>
    <row r="18" spans="1:12" x14ac:dyDescent="0.15">
      <c r="A18" s="110"/>
      <c r="B18" s="110"/>
      <c r="C18" s="111"/>
      <c r="D18" s="107"/>
      <c r="E18" s="107"/>
      <c r="F18" s="107"/>
      <c r="G18" s="110"/>
      <c r="H18" s="110"/>
      <c r="I18" s="110"/>
      <c r="J18" s="110"/>
      <c r="K18" s="110"/>
      <c r="L18" s="110"/>
    </row>
    <row r="19" spans="1:12" x14ac:dyDescent="0.15">
      <c r="A19" s="110"/>
      <c r="B19" s="110"/>
      <c r="C19" s="111"/>
      <c r="D19" s="107"/>
      <c r="E19" s="107"/>
      <c r="F19" s="107"/>
      <c r="G19" s="110"/>
      <c r="H19" s="110"/>
      <c r="I19" s="110"/>
      <c r="J19" s="110"/>
      <c r="K19" s="110"/>
      <c r="L19" s="110"/>
    </row>
    <row r="20" spans="1:12" x14ac:dyDescent="0.15">
      <c r="A20" s="110"/>
      <c r="B20" s="110"/>
      <c r="C20" s="111"/>
      <c r="D20" s="107"/>
      <c r="E20" s="107"/>
      <c r="F20" s="107"/>
      <c r="G20" s="110"/>
      <c r="H20" s="110"/>
      <c r="I20" s="110"/>
      <c r="J20" s="110"/>
      <c r="K20" s="110"/>
      <c r="L20" s="110"/>
    </row>
    <row r="21" spans="1:12" x14ac:dyDescent="0.15">
      <c r="A21" s="110"/>
      <c r="B21" s="110"/>
      <c r="C21" s="111"/>
      <c r="D21" s="107"/>
      <c r="E21" s="107"/>
      <c r="F21" s="107"/>
      <c r="G21" s="110"/>
      <c r="H21" s="110"/>
      <c r="I21" s="110"/>
      <c r="J21" s="110"/>
      <c r="K21" s="110"/>
      <c r="L21" s="110"/>
    </row>
    <row r="22" spans="1:12" x14ac:dyDescent="0.15">
      <c r="A22" s="110"/>
      <c r="B22" s="110"/>
      <c r="C22" s="111"/>
      <c r="D22" s="107"/>
      <c r="E22" s="107"/>
      <c r="F22" s="107"/>
      <c r="G22" s="110"/>
      <c r="H22" s="110"/>
      <c r="I22" s="110"/>
      <c r="J22" s="110"/>
      <c r="K22" s="110"/>
      <c r="L22" s="110"/>
    </row>
    <row r="23" spans="1:12" x14ac:dyDescent="0.15">
      <c r="A23" s="110"/>
      <c r="B23" s="110"/>
      <c r="C23" s="111"/>
      <c r="D23" s="107"/>
      <c r="E23" s="107"/>
      <c r="F23" s="107"/>
      <c r="G23" s="110"/>
      <c r="H23" s="110"/>
      <c r="I23" s="110"/>
      <c r="J23" s="110"/>
      <c r="K23" s="110"/>
      <c r="L23" s="110"/>
    </row>
    <row r="24" spans="1:12" x14ac:dyDescent="0.15">
      <c r="A24" s="110"/>
      <c r="B24" s="110"/>
      <c r="C24" s="111"/>
      <c r="D24" s="107"/>
      <c r="E24" s="107"/>
      <c r="F24" s="107"/>
      <c r="G24" s="110"/>
      <c r="H24" s="110"/>
      <c r="I24" s="110"/>
      <c r="J24" s="110"/>
      <c r="K24" s="110"/>
      <c r="L24" s="110"/>
    </row>
    <row r="25" spans="1:12" x14ac:dyDescent="0.15">
      <c r="A25" s="110"/>
      <c r="B25" s="110"/>
      <c r="C25" s="111"/>
      <c r="D25" s="107"/>
      <c r="E25" s="107"/>
      <c r="F25" s="107"/>
      <c r="G25" s="110"/>
      <c r="H25" s="110"/>
      <c r="I25" s="110"/>
      <c r="J25" s="110"/>
      <c r="K25" s="110"/>
      <c r="L25" s="110"/>
    </row>
    <row r="26" spans="1:12" x14ac:dyDescent="0.15">
      <c r="A26" s="110"/>
      <c r="B26" s="110"/>
      <c r="C26" s="111"/>
      <c r="D26" s="107"/>
      <c r="E26" s="107"/>
      <c r="F26" s="107"/>
      <c r="G26" s="110"/>
      <c r="H26" s="110"/>
      <c r="I26" s="110"/>
      <c r="J26" s="110"/>
      <c r="K26" s="110"/>
      <c r="L26" s="110"/>
    </row>
    <row r="27" spans="1:12" x14ac:dyDescent="0.15">
      <c r="A27" s="110"/>
      <c r="B27" s="110"/>
      <c r="C27" s="111"/>
      <c r="D27" s="107"/>
      <c r="E27" s="107"/>
      <c r="F27" s="107"/>
      <c r="G27" s="110"/>
      <c r="H27" s="110"/>
      <c r="I27" s="110"/>
      <c r="J27" s="110"/>
      <c r="K27" s="110"/>
      <c r="L27" s="110"/>
    </row>
    <row r="28" spans="1:12" x14ac:dyDescent="0.15">
      <c r="A28" s="110"/>
      <c r="B28" s="110"/>
      <c r="C28" s="111"/>
      <c r="D28" s="107"/>
      <c r="E28" s="107"/>
      <c r="F28" s="107"/>
      <c r="G28" s="110"/>
      <c r="H28" s="110"/>
      <c r="I28" s="110"/>
      <c r="J28" s="110"/>
      <c r="K28" s="110"/>
      <c r="L28" s="110"/>
    </row>
    <row r="29" spans="1:12" x14ac:dyDescent="0.15">
      <c r="A29" s="110"/>
      <c r="B29" s="110"/>
      <c r="C29" s="111"/>
      <c r="D29" s="107"/>
      <c r="E29" s="107"/>
      <c r="F29" s="107"/>
      <c r="G29" s="110"/>
      <c r="H29" s="110"/>
      <c r="I29" s="110"/>
      <c r="J29" s="110"/>
      <c r="K29" s="110"/>
      <c r="L29" s="110"/>
    </row>
    <row r="30" spans="1:12" x14ac:dyDescent="0.15">
      <c r="A30" s="110"/>
      <c r="B30" s="110"/>
      <c r="C30" s="111"/>
      <c r="D30" s="107"/>
      <c r="E30" s="107"/>
      <c r="F30" s="107"/>
      <c r="G30" s="110"/>
      <c r="H30" s="110"/>
      <c r="I30" s="110"/>
      <c r="J30" s="110"/>
      <c r="K30" s="110"/>
      <c r="L30" s="110"/>
    </row>
    <row r="31" spans="1:12" x14ac:dyDescent="0.15">
      <c r="A31" s="110"/>
      <c r="B31" s="110"/>
      <c r="C31" s="111"/>
      <c r="D31" s="107"/>
      <c r="E31" s="107"/>
      <c r="F31" s="107"/>
      <c r="G31" s="110"/>
      <c r="H31" s="110"/>
      <c r="I31" s="110"/>
      <c r="J31" s="110"/>
      <c r="K31" s="110"/>
      <c r="L31" s="110"/>
    </row>
    <row r="32" spans="1:12" x14ac:dyDescent="0.15">
      <c r="A32" s="110"/>
      <c r="B32" s="110"/>
      <c r="C32" s="111"/>
      <c r="D32" s="107"/>
      <c r="E32" s="107"/>
      <c r="F32" s="107"/>
      <c r="G32" s="110"/>
      <c r="H32" s="110"/>
      <c r="I32" s="110"/>
      <c r="J32" s="110"/>
      <c r="K32" s="110"/>
      <c r="L32" s="110"/>
    </row>
    <row r="33" spans="1:12" x14ac:dyDescent="0.15">
      <c r="A33" s="110"/>
      <c r="B33" s="110"/>
      <c r="C33" s="111"/>
      <c r="D33" s="107"/>
      <c r="E33" s="107"/>
      <c r="F33" s="107"/>
      <c r="G33" s="110"/>
      <c r="H33" s="110"/>
      <c r="I33" s="110"/>
      <c r="J33" s="110"/>
      <c r="K33" s="110"/>
      <c r="L33" s="110"/>
    </row>
    <row r="34" spans="1:12" x14ac:dyDescent="0.15">
      <c r="A34" s="110"/>
      <c r="B34" s="110"/>
      <c r="C34" s="111"/>
      <c r="D34" s="107"/>
      <c r="E34" s="107"/>
      <c r="F34" s="107"/>
      <c r="G34" s="110"/>
      <c r="H34" s="110"/>
      <c r="I34" s="110"/>
      <c r="J34" s="110"/>
      <c r="K34" s="110"/>
      <c r="L34" s="110"/>
    </row>
    <row r="35" spans="1:12" x14ac:dyDescent="0.15">
      <c r="A35" s="110"/>
      <c r="B35" s="110"/>
      <c r="C35" s="111"/>
      <c r="D35" s="107"/>
      <c r="E35" s="107"/>
      <c r="F35" s="107"/>
      <c r="G35" s="110"/>
      <c r="H35" s="110"/>
      <c r="I35" s="110"/>
      <c r="J35" s="110"/>
      <c r="K35" s="110"/>
      <c r="L35" s="110"/>
    </row>
    <row r="36" spans="1:12" x14ac:dyDescent="0.15">
      <c r="A36" s="110"/>
      <c r="B36" s="110"/>
      <c r="C36" s="111"/>
      <c r="D36" s="107"/>
      <c r="E36" s="107"/>
      <c r="F36" s="107"/>
      <c r="G36" s="110"/>
      <c r="H36" s="110"/>
      <c r="I36" s="110"/>
      <c r="J36" s="110"/>
      <c r="K36" s="110"/>
      <c r="L36" s="110"/>
    </row>
    <row r="37" spans="1:12" x14ac:dyDescent="0.15">
      <c r="A37" s="110"/>
      <c r="B37" s="110"/>
      <c r="C37" s="111"/>
      <c r="D37" s="107"/>
      <c r="E37" s="107"/>
      <c r="F37" s="107"/>
      <c r="G37" s="110"/>
      <c r="H37" s="110"/>
      <c r="I37" s="110"/>
      <c r="J37" s="110"/>
      <c r="K37" s="110"/>
      <c r="L37" s="110"/>
    </row>
    <row r="38" spans="1:12" x14ac:dyDescent="0.15">
      <c r="A38" s="110"/>
      <c r="B38" s="110"/>
      <c r="C38" s="111"/>
      <c r="D38" s="107"/>
      <c r="E38" s="107"/>
      <c r="F38" s="107"/>
      <c r="G38" s="110"/>
      <c r="H38" s="110"/>
      <c r="I38" s="110"/>
      <c r="J38" s="110"/>
      <c r="K38" s="110"/>
      <c r="L38" s="110"/>
    </row>
    <row r="39" spans="1:12" x14ac:dyDescent="0.15">
      <c r="A39" s="110"/>
      <c r="B39" s="110"/>
      <c r="C39" s="111"/>
      <c r="D39" s="107"/>
      <c r="E39" s="107"/>
      <c r="F39" s="107"/>
      <c r="G39" s="110"/>
      <c r="H39" s="110"/>
      <c r="I39" s="110"/>
      <c r="J39" s="110"/>
      <c r="K39" s="110"/>
      <c r="L39" s="110"/>
    </row>
    <row r="40" spans="1:12" x14ac:dyDescent="0.15">
      <c r="A40" s="110"/>
      <c r="B40" s="110"/>
      <c r="C40" s="111"/>
      <c r="D40" s="107"/>
      <c r="E40" s="107"/>
      <c r="F40" s="107"/>
      <c r="G40" s="110"/>
      <c r="H40" s="110"/>
      <c r="I40" s="110"/>
      <c r="J40" s="110"/>
      <c r="K40" s="110"/>
      <c r="L40" s="110"/>
    </row>
    <row r="41" spans="1:12" x14ac:dyDescent="0.15">
      <c r="A41" s="110"/>
      <c r="B41" s="110"/>
      <c r="C41" s="111"/>
      <c r="D41" s="107"/>
      <c r="E41" s="107"/>
      <c r="F41" s="107"/>
      <c r="G41" s="110"/>
      <c r="H41" s="110"/>
      <c r="I41" s="110"/>
      <c r="J41" s="110"/>
      <c r="K41" s="110"/>
      <c r="L41" s="110"/>
    </row>
    <row r="42" spans="1:12" x14ac:dyDescent="0.15">
      <c r="A42" s="110"/>
      <c r="B42" s="110"/>
      <c r="C42" s="111"/>
      <c r="D42" s="107"/>
      <c r="E42" s="107"/>
      <c r="F42" s="107"/>
      <c r="G42" s="110"/>
      <c r="H42" s="110"/>
      <c r="I42" s="110"/>
      <c r="J42" s="110"/>
      <c r="K42" s="110"/>
      <c r="L42" s="110"/>
    </row>
    <row r="43" spans="1:12" x14ac:dyDescent="0.15">
      <c r="A43" s="110"/>
      <c r="B43" s="110"/>
      <c r="C43" s="111"/>
      <c r="D43" s="107"/>
      <c r="E43" s="107"/>
      <c r="F43" s="107"/>
      <c r="G43" s="110"/>
      <c r="H43" s="110"/>
      <c r="I43" s="110"/>
      <c r="J43" s="110"/>
      <c r="K43" s="110"/>
      <c r="L43" s="110"/>
    </row>
    <row r="44" spans="1:12" x14ac:dyDescent="0.15">
      <c r="A44" s="110"/>
      <c r="B44" s="110"/>
      <c r="C44" s="111"/>
      <c r="D44" s="107"/>
      <c r="E44" s="107"/>
      <c r="F44" s="107"/>
      <c r="G44" s="110"/>
      <c r="H44" s="110"/>
      <c r="I44" s="110"/>
      <c r="J44" s="110"/>
      <c r="K44" s="110"/>
      <c r="L44" s="110"/>
    </row>
    <row r="45" spans="1:12" x14ac:dyDescent="0.15">
      <c r="A45" s="112"/>
      <c r="B45" s="112"/>
      <c r="C45" s="112"/>
      <c r="D45" s="90"/>
      <c r="E45" s="90"/>
      <c r="F45" s="90"/>
    </row>
    <row r="46" spans="1:12" x14ac:dyDescent="0.15">
      <c r="A46" s="113"/>
      <c r="B46" s="113"/>
      <c r="C46" s="113"/>
    </row>
    <row r="47" spans="1:12" x14ac:dyDescent="0.15">
      <c r="A47" s="113"/>
      <c r="B47" s="113"/>
      <c r="C47" s="113"/>
    </row>
    <row r="48" spans="1:12" x14ac:dyDescent="0.15">
      <c r="A48" s="113"/>
      <c r="B48" s="113"/>
      <c r="C48" s="113"/>
    </row>
    <row r="49" spans="1:5" x14ac:dyDescent="0.15">
      <c r="A49" s="113"/>
      <c r="B49" s="113"/>
      <c r="C49" s="113"/>
    </row>
    <row r="50" spans="1:5" x14ac:dyDescent="0.15">
      <c r="A50" s="113"/>
      <c r="B50" s="113"/>
      <c r="C50" s="113"/>
    </row>
    <row r="51" spans="1:5" x14ac:dyDescent="0.15">
      <c r="A51" s="113"/>
      <c r="B51" s="113"/>
      <c r="C51" s="113"/>
    </row>
    <row r="52" spans="1:5" x14ac:dyDescent="0.15">
      <c r="A52" s="113"/>
      <c r="B52" s="113"/>
      <c r="C52" s="113"/>
    </row>
    <row r="53" spans="1:5" x14ac:dyDescent="0.15">
      <c r="A53" s="113"/>
      <c r="B53" s="113"/>
      <c r="C53" s="113"/>
    </row>
    <row r="54" spans="1:5" x14ac:dyDescent="0.15">
      <c r="A54" s="113"/>
      <c r="B54" s="113"/>
      <c r="C54" s="113"/>
    </row>
    <row r="55" spans="1:5" x14ac:dyDescent="0.15">
      <c r="A55" s="113"/>
      <c r="B55" s="113"/>
      <c r="C55" s="113"/>
    </row>
    <row r="56" spans="1:5" x14ac:dyDescent="0.15">
      <c r="A56" s="113"/>
      <c r="B56" s="113"/>
      <c r="C56" s="113"/>
    </row>
    <row r="57" spans="1:5" x14ac:dyDescent="0.15">
      <c r="A57" s="113"/>
      <c r="B57" s="113"/>
      <c r="C57" s="113"/>
      <c r="D57" s="6"/>
      <c r="E57" s="6"/>
    </row>
    <row r="58" spans="1:5" x14ac:dyDescent="0.15">
      <c r="A58" s="113"/>
      <c r="B58" s="113"/>
      <c r="C58" s="113"/>
    </row>
    <row r="60" spans="1:5" x14ac:dyDescent="0.15">
      <c r="D60" s="7"/>
      <c r="E60" s="7"/>
    </row>
  </sheetData>
  <phoneticPr fontId="0" type="noConversion"/>
  <pageMargins left="0.75" right="0.75" top="1" bottom="1" header="0.49212598499999999" footer="0.49212598499999999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P6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J29" sqref="J29"/>
    </sheetView>
  </sheetViews>
  <sheetFormatPr baseColWidth="10" defaultColWidth="9.1640625" defaultRowHeight="13" x14ac:dyDescent="0.15"/>
  <cols>
    <col min="1" max="1" width="22.6640625" style="3" customWidth="1"/>
    <col min="2" max="2" width="8.5" style="3" bestFit="1" customWidth="1"/>
    <col min="3" max="3" width="10.5" style="3" bestFit="1" customWidth="1"/>
    <col min="4" max="4" width="9.33203125" style="3" bestFit="1" customWidth="1"/>
    <col min="5" max="5" width="16.1640625" style="3" customWidth="1"/>
    <col min="6" max="6" width="14.5" style="3" bestFit="1" customWidth="1"/>
    <col min="7" max="7" width="16.6640625" style="3" bestFit="1" customWidth="1"/>
    <col min="8" max="9" width="9.1640625" style="113"/>
    <col min="10" max="10" width="12.83203125" style="113" bestFit="1" customWidth="1"/>
    <col min="11" max="16" width="9.1640625" style="113"/>
    <col min="17" max="16384" width="9.1640625" style="3"/>
  </cols>
  <sheetData>
    <row r="2" spans="1:16" ht="14" thickBot="1" x14ac:dyDescent="0.2">
      <c r="A2" s="2" t="s">
        <v>22</v>
      </c>
    </row>
    <row r="3" spans="1:16" ht="14" thickBot="1" x14ac:dyDescent="0.2">
      <c r="E3" s="24" t="str">
        <f>'Consumo de materiais'!D3</f>
        <v>Pizza muzzarela</v>
      </c>
      <c r="F3" s="24" t="str">
        <f>'Consumo de materiais'!E3</f>
        <v>Pizza presunto</v>
      </c>
      <c r="G3" s="24" t="str">
        <f>'Consumo de materiais'!F3</f>
        <v>Pizza marguerita</v>
      </c>
      <c r="H3" s="129"/>
      <c r="I3" s="129"/>
      <c r="J3" s="129"/>
      <c r="K3" s="129"/>
      <c r="L3" s="129"/>
      <c r="M3" s="129"/>
      <c r="N3" s="129"/>
      <c r="O3" s="130"/>
    </row>
    <row r="4" spans="1:16" ht="14" thickBot="1" x14ac:dyDescent="0.2">
      <c r="C4" s="101" t="s">
        <v>166</v>
      </c>
      <c r="D4" s="22" t="s">
        <v>23</v>
      </c>
      <c r="E4" s="192">
        <f>SUM(E7:E12)</f>
        <v>6.6999999999999993</v>
      </c>
      <c r="F4" s="192">
        <f>SUM(F7:F12)</f>
        <v>8.75</v>
      </c>
      <c r="G4" s="192">
        <f>SUM(G7:G12)</f>
        <v>8.8000000000000007</v>
      </c>
      <c r="H4" s="131"/>
      <c r="I4" s="131"/>
      <c r="J4" s="131"/>
      <c r="K4" s="131"/>
      <c r="L4" s="131"/>
      <c r="M4" s="131"/>
      <c r="N4" s="131"/>
      <c r="O4" s="132"/>
    </row>
    <row r="5" spans="1:16" ht="25" thickBot="1" x14ac:dyDescent="0.2">
      <c r="C5" s="182" t="s">
        <v>167</v>
      </c>
      <c r="D5" s="23" t="s">
        <v>21</v>
      </c>
      <c r="E5" s="193">
        <f>E4*E6</f>
        <v>13256.268810968157</v>
      </c>
      <c r="F5" s="193">
        <f>F4*F6</f>
        <v>11923.628092513769</v>
      </c>
      <c r="G5" s="193">
        <f>G4*G6</f>
        <v>12906.745966325096</v>
      </c>
      <c r="H5" s="133"/>
      <c r="I5" s="133"/>
      <c r="J5" s="133"/>
      <c r="K5" s="133"/>
      <c r="L5" s="133"/>
      <c r="M5" s="133"/>
      <c r="N5" s="133"/>
      <c r="O5" s="134"/>
    </row>
    <row r="6" spans="1:16" ht="14" thickBot="1" x14ac:dyDescent="0.2">
      <c r="A6" s="8" t="s">
        <v>12</v>
      </c>
      <c r="B6" s="9" t="s">
        <v>2</v>
      </c>
      <c r="C6" s="13" t="s">
        <v>56</v>
      </c>
      <c r="D6" s="16" t="s">
        <v>21</v>
      </c>
      <c r="E6" s="183">
        <f>'Consumo de materiais'!D4</f>
        <v>1978.5475837265908</v>
      </c>
      <c r="F6" s="183">
        <f>'Consumo de materiais'!E4</f>
        <v>1362.700353430145</v>
      </c>
      <c r="G6" s="184">
        <f>'Consumo de materiais'!F4</f>
        <v>1466.6756779914881</v>
      </c>
      <c r="H6" s="138"/>
      <c r="I6" s="135"/>
      <c r="J6" s="135"/>
      <c r="K6" s="135"/>
      <c r="L6" s="135"/>
      <c r="M6" s="135"/>
      <c r="N6" s="135"/>
      <c r="O6" s="136"/>
      <c r="P6" s="137"/>
    </row>
    <row r="7" spans="1:16" ht="15" thickTop="1" thickBot="1" x14ac:dyDescent="0.2">
      <c r="A7" s="10" t="str">
        <f>QUESTÕES!A4</f>
        <v>Farinha de trigo</v>
      </c>
      <c r="B7" s="10" t="str">
        <f>QUESTÕES!B4</f>
        <v>kg</v>
      </c>
      <c r="C7" s="197">
        <f>QUESTÕES!C4</f>
        <v>1</v>
      </c>
      <c r="D7" s="25"/>
      <c r="E7" s="194">
        <f>$C7*QUESTÕES!C15</f>
        <v>0.5</v>
      </c>
      <c r="F7" s="194">
        <f>$C7*QUESTÕES!D15</f>
        <v>0.5</v>
      </c>
      <c r="G7" s="195">
        <f>$C7*QUESTÕES!E15</f>
        <v>0.6</v>
      </c>
      <c r="H7" s="118"/>
      <c r="I7" s="119"/>
      <c r="J7" s="119"/>
      <c r="K7" s="119"/>
      <c r="L7" s="119"/>
      <c r="M7" s="119"/>
      <c r="N7" s="119"/>
      <c r="O7" s="120"/>
    </row>
    <row r="8" spans="1:16" ht="14" thickBot="1" x14ac:dyDescent="0.2">
      <c r="A8" s="10" t="str">
        <f>QUESTÕES!A5</f>
        <v>Ovo</v>
      </c>
      <c r="B8" s="10" t="str">
        <f>QUESTÕES!B5</f>
        <v>un.</v>
      </c>
      <c r="C8" s="197">
        <f>QUESTÕES!C5</f>
        <v>0.5</v>
      </c>
      <c r="D8" s="25"/>
      <c r="E8" s="194">
        <f>$C8*QUESTÕES!C16</f>
        <v>0.5</v>
      </c>
      <c r="F8" s="194">
        <f>$C8*QUESTÕES!D16</f>
        <v>1.5</v>
      </c>
      <c r="G8" s="195">
        <f>$C8*QUESTÕES!E16</f>
        <v>1</v>
      </c>
      <c r="H8" s="118"/>
      <c r="I8" s="119"/>
      <c r="J8" s="119"/>
      <c r="K8" s="119"/>
      <c r="L8" s="119"/>
      <c r="M8" s="119"/>
      <c r="N8" s="119"/>
      <c r="O8" s="120"/>
    </row>
    <row r="9" spans="1:16" ht="14" thickBot="1" x14ac:dyDescent="0.2">
      <c r="A9" s="10" t="str">
        <f>QUESTÕES!A6</f>
        <v>Leite</v>
      </c>
      <c r="B9" s="10" t="str">
        <f>QUESTÕES!B6</f>
        <v>L</v>
      </c>
      <c r="C9" s="197">
        <f>QUESTÕES!C6</f>
        <v>1</v>
      </c>
      <c r="D9" s="25"/>
      <c r="E9" s="194">
        <f>$C9*QUESTÕES!C17</f>
        <v>0.4</v>
      </c>
      <c r="F9" s="194">
        <f>$C9*QUESTÕES!D17</f>
        <v>0.4</v>
      </c>
      <c r="G9" s="195">
        <f>$C9*QUESTÕES!E17</f>
        <v>0.4</v>
      </c>
      <c r="H9" s="118"/>
      <c r="I9" s="119"/>
      <c r="J9" s="119"/>
      <c r="K9" s="119"/>
      <c r="L9" s="119"/>
      <c r="M9" s="119"/>
      <c r="N9" s="119"/>
      <c r="O9" s="120"/>
    </row>
    <row r="10" spans="1:16" ht="14" thickBot="1" x14ac:dyDescent="0.2">
      <c r="A10" s="10" t="str">
        <f>QUESTÕES!A7</f>
        <v>Queijo muzzarela</v>
      </c>
      <c r="B10" s="10" t="str">
        <f>QUESTÕES!B7</f>
        <v>kg</v>
      </c>
      <c r="C10" s="197">
        <f>QUESTÕES!C7</f>
        <v>8</v>
      </c>
      <c r="D10" s="25"/>
      <c r="E10" s="194">
        <f>$C10*QUESTÕES!C18</f>
        <v>4.8</v>
      </c>
      <c r="F10" s="194">
        <f>$C10*QUESTÕES!D18</f>
        <v>1.6</v>
      </c>
      <c r="G10" s="195">
        <f>$C10*QUESTÕES!E18</f>
        <v>2.8</v>
      </c>
      <c r="H10" s="118"/>
      <c r="I10" s="119"/>
      <c r="J10" s="119"/>
      <c r="K10" s="119"/>
      <c r="L10" s="119"/>
      <c r="M10" s="119"/>
      <c r="N10" s="119"/>
      <c r="O10" s="120"/>
    </row>
    <row r="11" spans="1:16" ht="14" thickBot="1" x14ac:dyDescent="0.2">
      <c r="A11" s="10" t="str">
        <f>QUESTÕES!A8</f>
        <v>Molho de tomate</v>
      </c>
      <c r="B11" s="10" t="str">
        <f>QUESTÕES!B8</f>
        <v>kg</v>
      </c>
      <c r="C11" s="197">
        <f>QUESTÕES!C8</f>
        <v>5</v>
      </c>
      <c r="D11" s="25"/>
      <c r="E11" s="194">
        <f>$C11*QUESTÕES!C19</f>
        <v>0.5</v>
      </c>
      <c r="F11" s="194">
        <f>$C11*QUESTÕES!D19</f>
        <v>1</v>
      </c>
      <c r="G11" s="195">
        <f>$C11*QUESTÕES!E19</f>
        <v>1</v>
      </c>
      <c r="H11" s="118"/>
      <c r="I11" s="119"/>
      <c r="J11" s="119"/>
      <c r="K11" s="119"/>
      <c r="L11" s="119"/>
      <c r="M11" s="119"/>
      <c r="N11" s="119"/>
      <c r="O11" s="120"/>
    </row>
    <row r="12" spans="1:16" ht="14" thickBot="1" x14ac:dyDescent="0.2">
      <c r="A12" s="11" t="str">
        <f>QUESTÕES!A9</f>
        <v>Presunto</v>
      </c>
      <c r="B12" s="11" t="str">
        <f>QUESTÕES!B9</f>
        <v>kg</v>
      </c>
      <c r="C12" s="198">
        <f>QUESTÕES!C9</f>
        <v>15</v>
      </c>
      <c r="D12" s="26"/>
      <c r="E12" s="185">
        <f>$C12*QUESTÕES!C20</f>
        <v>0</v>
      </c>
      <c r="F12" s="185">
        <f>$C12*QUESTÕES!D20</f>
        <v>3.75</v>
      </c>
      <c r="G12" s="196">
        <f>$C12*QUESTÕES!E20</f>
        <v>3</v>
      </c>
      <c r="H12" s="118"/>
      <c r="I12" s="119"/>
      <c r="J12" s="119"/>
      <c r="K12" s="119"/>
      <c r="L12" s="119"/>
      <c r="M12" s="119"/>
      <c r="N12" s="119"/>
      <c r="O12" s="120"/>
    </row>
    <row r="13" spans="1:16" x14ac:dyDescent="0.15">
      <c r="A13" s="114"/>
      <c r="B13" s="115"/>
      <c r="C13" s="116"/>
      <c r="D13" s="117"/>
      <c r="E13" s="118"/>
      <c r="F13" s="119"/>
      <c r="G13" s="119"/>
      <c r="H13" s="119"/>
      <c r="I13" s="119"/>
      <c r="J13" s="119"/>
      <c r="K13" s="119"/>
      <c r="L13" s="119"/>
      <c r="M13" s="119"/>
      <c r="N13" s="119"/>
      <c r="O13" s="120"/>
    </row>
    <row r="14" spans="1:16" x14ac:dyDescent="0.15">
      <c r="A14" s="114"/>
      <c r="B14" s="115"/>
      <c r="C14" s="116"/>
      <c r="D14" s="117"/>
      <c r="E14" s="118"/>
      <c r="F14" s="119"/>
      <c r="G14" s="119"/>
      <c r="H14" s="119"/>
      <c r="I14" s="119"/>
      <c r="J14" s="119"/>
      <c r="K14" s="119"/>
      <c r="L14" s="119"/>
      <c r="M14" s="119"/>
      <c r="N14" s="119"/>
      <c r="O14" s="120"/>
    </row>
    <row r="15" spans="1:16" x14ac:dyDescent="0.15">
      <c r="A15" s="114"/>
      <c r="B15" s="115"/>
      <c r="C15" s="116"/>
      <c r="D15" s="117"/>
      <c r="E15" s="118"/>
      <c r="F15" s="119"/>
      <c r="G15" s="119"/>
      <c r="H15" s="119"/>
      <c r="I15" s="119"/>
      <c r="J15" s="119"/>
      <c r="K15" s="119"/>
      <c r="L15" s="119"/>
      <c r="M15" s="119"/>
      <c r="N15" s="119"/>
      <c r="O15" s="120"/>
    </row>
    <row r="16" spans="1:16" x14ac:dyDescent="0.15">
      <c r="A16" s="114"/>
      <c r="B16" s="115"/>
      <c r="C16" s="116"/>
      <c r="D16" s="117"/>
      <c r="E16" s="118"/>
      <c r="F16" s="119"/>
      <c r="G16" s="119"/>
      <c r="H16" s="119"/>
      <c r="I16" s="119"/>
      <c r="J16" s="119"/>
      <c r="K16" s="119"/>
      <c r="L16" s="119"/>
      <c r="M16" s="119"/>
      <c r="N16" s="119"/>
      <c r="O16" s="120"/>
    </row>
    <row r="17" spans="1:15" x14ac:dyDescent="0.15">
      <c r="A17" s="114"/>
      <c r="B17" s="115"/>
      <c r="C17" s="116"/>
      <c r="D17" s="117"/>
      <c r="E17" s="118"/>
      <c r="F17" s="119"/>
      <c r="G17" s="119"/>
      <c r="H17" s="119"/>
      <c r="I17" s="119"/>
      <c r="J17" s="119"/>
      <c r="K17" s="119"/>
      <c r="L17" s="119"/>
      <c r="M17" s="119"/>
      <c r="N17" s="119"/>
      <c r="O17" s="120"/>
    </row>
    <row r="18" spans="1:15" x14ac:dyDescent="0.15">
      <c r="A18" s="114"/>
      <c r="B18" s="115"/>
      <c r="C18" s="116"/>
      <c r="D18" s="117"/>
      <c r="E18" s="118"/>
      <c r="F18" s="119"/>
      <c r="G18" s="119"/>
      <c r="H18" s="119"/>
      <c r="I18" s="119"/>
      <c r="J18" s="119"/>
      <c r="K18" s="119"/>
      <c r="L18" s="119"/>
      <c r="M18" s="119"/>
      <c r="N18" s="119"/>
      <c r="O18" s="120"/>
    </row>
    <row r="19" spans="1:15" x14ac:dyDescent="0.15">
      <c r="A19" s="114"/>
      <c r="B19" s="115"/>
      <c r="C19" s="116"/>
      <c r="D19" s="117"/>
      <c r="E19" s="118"/>
      <c r="F19" s="119"/>
      <c r="G19" s="119"/>
      <c r="H19" s="119"/>
      <c r="I19" s="119"/>
      <c r="J19" s="119"/>
      <c r="K19" s="119"/>
      <c r="L19" s="119"/>
      <c r="M19" s="119"/>
      <c r="N19" s="119"/>
      <c r="O19" s="120"/>
    </row>
    <row r="20" spans="1:15" x14ac:dyDescent="0.15">
      <c r="A20" s="114"/>
      <c r="B20" s="115"/>
      <c r="C20" s="116"/>
      <c r="D20" s="117"/>
      <c r="E20" s="118"/>
      <c r="F20" s="119"/>
      <c r="G20" s="119"/>
      <c r="H20" s="119"/>
      <c r="I20" s="119"/>
      <c r="J20" s="119"/>
      <c r="K20" s="119"/>
      <c r="L20" s="119"/>
      <c r="M20" s="119"/>
      <c r="N20" s="119"/>
      <c r="O20" s="120"/>
    </row>
    <row r="21" spans="1:15" x14ac:dyDescent="0.15">
      <c r="A21" s="114"/>
      <c r="B21" s="115"/>
      <c r="C21" s="116"/>
      <c r="D21" s="117"/>
      <c r="E21" s="118"/>
      <c r="F21" s="119"/>
      <c r="G21" s="119"/>
      <c r="H21" s="119"/>
      <c r="I21" s="119"/>
      <c r="J21" s="119"/>
      <c r="K21" s="119"/>
      <c r="L21" s="119"/>
      <c r="M21" s="119"/>
      <c r="N21" s="119"/>
      <c r="O21" s="120"/>
    </row>
    <row r="22" spans="1:15" x14ac:dyDescent="0.15">
      <c r="A22" s="114"/>
      <c r="B22" s="115"/>
      <c r="C22" s="116"/>
      <c r="D22" s="117"/>
      <c r="E22" s="118"/>
      <c r="F22" s="119"/>
      <c r="G22" s="119"/>
      <c r="H22" s="119"/>
      <c r="I22" s="119"/>
      <c r="J22" s="119"/>
      <c r="K22" s="119"/>
      <c r="L22" s="119"/>
      <c r="M22" s="119"/>
      <c r="N22" s="119"/>
      <c r="O22" s="120"/>
    </row>
    <row r="23" spans="1:15" x14ac:dyDescent="0.15">
      <c r="A23" s="114"/>
      <c r="B23" s="115"/>
      <c r="C23" s="116"/>
      <c r="D23" s="117"/>
      <c r="E23" s="118"/>
      <c r="F23" s="119"/>
      <c r="G23" s="119"/>
      <c r="H23" s="119"/>
      <c r="I23" s="119"/>
      <c r="J23" s="119"/>
      <c r="K23" s="119"/>
      <c r="L23" s="119"/>
      <c r="M23" s="119"/>
      <c r="N23" s="119"/>
      <c r="O23" s="120"/>
    </row>
    <row r="24" spans="1:15" x14ac:dyDescent="0.15">
      <c r="A24" s="114"/>
      <c r="B24" s="115"/>
      <c r="C24" s="116"/>
      <c r="D24" s="117"/>
      <c r="E24" s="118"/>
      <c r="F24" s="119"/>
      <c r="G24" s="119"/>
      <c r="H24" s="119"/>
      <c r="I24" s="119"/>
      <c r="J24" s="119"/>
      <c r="K24" s="119"/>
      <c r="L24" s="119"/>
      <c r="M24" s="119"/>
      <c r="N24" s="119"/>
      <c r="O24" s="120"/>
    </row>
    <row r="25" spans="1:15" x14ac:dyDescent="0.15">
      <c r="A25" s="114"/>
      <c r="B25" s="115"/>
      <c r="C25" s="116"/>
      <c r="D25" s="117"/>
      <c r="E25" s="118"/>
      <c r="F25" s="119"/>
      <c r="G25" s="119"/>
      <c r="H25" s="119"/>
      <c r="I25" s="119"/>
      <c r="J25" s="119"/>
      <c r="K25" s="119"/>
      <c r="L25" s="119"/>
      <c r="M25" s="119"/>
      <c r="N25" s="119"/>
      <c r="O25" s="120"/>
    </row>
    <row r="26" spans="1:15" x14ac:dyDescent="0.15">
      <c r="A26" s="114"/>
      <c r="B26" s="115"/>
      <c r="C26" s="116"/>
      <c r="D26" s="117"/>
      <c r="E26" s="118"/>
      <c r="F26" s="119"/>
      <c r="G26" s="119"/>
      <c r="H26" s="119"/>
      <c r="I26" s="119"/>
      <c r="J26" s="119"/>
      <c r="K26" s="119"/>
      <c r="L26" s="119"/>
      <c r="M26" s="119"/>
      <c r="N26" s="119"/>
      <c r="O26" s="120"/>
    </row>
    <row r="27" spans="1:15" x14ac:dyDescent="0.15">
      <c r="A27" s="114"/>
      <c r="B27" s="115"/>
      <c r="C27" s="116"/>
      <c r="D27" s="117"/>
      <c r="E27" s="118"/>
      <c r="F27" s="119"/>
      <c r="G27" s="119"/>
      <c r="H27" s="119"/>
      <c r="I27" s="119"/>
      <c r="J27" s="119"/>
      <c r="K27" s="119"/>
      <c r="L27" s="119"/>
      <c r="M27" s="119"/>
      <c r="N27" s="119"/>
      <c r="O27" s="120"/>
    </row>
    <row r="28" spans="1:15" x14ac:dyDescent="0.15">
      <c r="A28" s="114"/>
      <c r="B28" s="115"/>
      <c r="C28" s="116"/>
      <c r="D28" s="117"/>
      <c r="E28" s="118"/>
      <c r="F28" s="119"/>
      <c r="G28" s="119"/>
      <c r="H28" s="119"/>
      <c r="I28" s="119"/>
      <c r="J28" s="119"/>
      <c r="K28" s="119"/>
      <c r="L28" s="119"/>
      <c r="M28" s="119"/>
      <c r="N28" s="119"/>
      <c r="O28" s="120"/>
    </row>
    <row r="29" spans="1:15" x14ac:dyDescent="0.15">
      <c r="A29" s="114"/>
      <c r="B29" s="115"/>
      <c r="C29" s="116"/>
      <c r="D29" s="117"/>
      <c r="E29" s="118"/>
      <c r="F29" s="119"/>
      <c r="G29" s="119"/>
      <c r="H29" s="119"/>
      <c r="I29" s="119"/>
      <c r="J29" s="119"/>
      <c r="K29" s="119"/>
      <c r="L29" s="119"/>
      <c r="M29" s="119"/>
      <c r="N29" s="119"/>
      <c r="O29" s="120"/>
    </row>
    <row r="30" spans="1:15" x14ac:dyDescent="0.15">
      <c r="A30" s="114"/>
      <c r="B30" s="115"/>
      <c r="C30" s="116"/>
      <c r="D30" s="117"/>
      <c r="E30" s="118"/>
      <c r="F30" s="119"/>
      <c r="G30" s="119"/>
      <c r="H30" s="119"/>
      <c r="I30" s="119"/>
      <c r="J30" s="119"/>
      <c r="K30" s="119"/>
      <c r="L30" s="119"/>
      <c r="M30" s="119"/>
      <c r="N30" s="119"/>
      <c r="O30" s="120"/>
    </row>
    <row r="31" spans="1:15" x14ac:dyDescent="0.15">
      <c r="A31" s="114"/>
      <c r="B31" s="115"/>
      <c r="C31" s="116"/>
      <c r="D31" s="117"/>
      <c r="E31" s="118"/>
      <c r="F31" s="119"/>
      <c r="G31" s="119"/>
      <c r="H31" s="119"/>
      <c r="I31" s="119"/>
      <c r="J31" s="119"/>
      <c r="K31" s="119"/>
      <c r="L31" s="119"/>
      <c r="M31" s="119"/>
      <c r="N31" s="119"/>
      <c r="O31" s="120"/>
    </row>
    <row r="32" spans="1:15" x14ac:dyDescent="0.15">
      <c r="A32" s="114"/>
      <c r="B32" s="115"/>
      <c r="C32" s="116"/>
      <c r="D32" s="117"/>
      <c r="E32" s="118"/>
      <c r="F32" s="119"/>
      <c r="G32" s="119"/>
      <c r="H32" s="119"/>
      <c r="I32" s="119"/>
      <c r="J32" s="119"/>
      <c r="K32" s="119"/>
      <c r="L32" s="119"/>
      <c r="M32" s="119"/>
      <c r="N32" s="119"/>
      <c r="O32" s="120"/>
    </row>
    <row r="33" spans="1:15" x14ac:dyDescent="0.15">
      <c r="A33" s="114"/>
      <c r="B33" s="115"/>
      <c r="C33" s="116"/>
      <c r="D33" s="117"/>
      <c r="E33" s="118"/>
      <c r="F33" s="119"/>
      <c r="G33" s="119"/>
      <c r="H33" s="119"/>
      <c r="I33" s="119"/>
      <c r="J33" s="119"/>
      <c r="K33" s="119"/>
      <c r="L33" s="119"/>
      <c r="M33" s="119"/>
      <c r="N33" s="119"/>
      <c r="O33" s="120"/>
    </row>
    <row r="34" spans="1:15" x14ac:dyDescent="0.15">
      <c r="A34" s="114"/>
      <c r="B34" s="115"/>
      <c r="C34" s="116"/>
      <c r="D34" s="117"/>
      <c r="E34" s="118"/>
      <c r="F34" s="119"/>
      <c r="G34" s="119"/>
      <c r="H34" s="119"/>
      <c r="I34" s="119"/>
      <c r="J34" s="119"/>
      <c r="K34" s="119"/>
      <c r="L34" s="119"/>
      <c r="M34" s="119"/>
      <c r="N34" s="119"/>
      <c r="O34" s="120"/>
    </row>
    <row r="35" spans="1:15" x14ac:dyDescent="0.15">
      <c r="A35" s="114"/>
      <c r="B35" s="115"/>
      <c r="C35" s="116"/>
      <c r="D35" s="117"/>
      <c r="E35" s="118"/>
      <c r="F35" s="119"/>
      <c r="G35" s="119"/>
      <c r="H35" s="119"/>
      <c r="I35" s="119"/>
      <c r="J35" s="119"/>
      <c r="K35" s="119"/>
      <c r="L35" s="119"/>
      <c r="M35" s="119"/>
      <c r="N35" s="119"/>
      <c r="O35" s="120"/>
    </row>
    <row r="36" spans="1:15" x14ac:dyDescent="0.15">
      <c r="A36" s="114"/>
      <c r="B36" s="115"/>
      <c r="C36" s="116"/>
      <c r="D36" s="117"/>
      <c r="E36" s="118"/>
      <c r="F36" s="119"/>
      <c r="G36" s="119"/>
      <c r="H36" s="119"/>
      <c r="I36" s="119"/>
      <c r="J36" s="119"/>
      <c r="K36" s="119"/>
      <c r="L36" s="119"/>
      <c r="M36" s="119"/>
      <c r="N36" s="119"/>
      <c r="O36" s="120"/>
    </row>
    <row r="37" spans="1:15" x14ac:dyDescent="0.15">
      <c r="A37" s="114"/>
      <c r="B37" s="115"/>
      <c r="C37" s="116"/>
      <c r="D37" s="117"/>
      <c r="E37" s="118"/>
      <c r="F37" s="119"/>
      <c r="G37" s="119"/>
      <c r="H37" s="119"/>
      <c r="I37" s="119"/>
      <c r="J37" s="119"/>
      <c r="K37" s="119"/>
      <c r="L37" s="119"/>
      <c r="M37" s="119"/>
      <c r="N37" s="119"/>
      <c r="O37" s="120"/>
    </row>
    <row r="38" spans="1:15" x14ac:dyDescent="0.15">
      <c r="A38" s="114"/>
      <c r="B38" s="115"/>
      <c r="C38" s="116"/>
      <c r="D38" s="117"/>
      <c r="E38" s="118"/>
      <c r="F38" s="119"/>
      <c r="G38" s="119"/>
      <c r="H38" s="119"/>
      <c r="I38" s="119"/>
      <c r="J38" s="119"/>
      <c r="K38" s="119"/>
      <c r="L38" s="119"/>
      <c r="M38" s="119"/>
      <c r="N38" s="119"/>
      <c r="O38" s="120"/>
    </row>
    <row r="39" spans="1:15" x14ac:dyDescent="0.15">
      <c r="A39" s="114"/>
      <c r="B39" s="115"/>
      <c r="C39" s="116"/>
      <c r="D39" s="117"/>
      <c r="E39" s="118"/>
      <c r="F39" s="119"/>
      <c r="G39" s="119"/>
      <c r="H39" s="119"/>
      <c r="I39" s="119"/>
      <c r="J39" s="119"/>
      <c r="K39" s="119"/>
      <c r="L39" s="119"/>
      <c r="M39" s="119"/>
      <c r="N39" s="119"/>
      <c r="O39" s="120"/>
    </row>
    <row r="40" spans="1:15" x14ac:dyDescent="0.15">
      <c r="A40" s="114"/>
      <c r="B40" s="115"/>
      <c r="C40" s="116"/>
      <c r="D40" s="117"/>
      <c r="E40" s="118"/>
      <c r="F40" s="119"/>
      <c r="G40" s="119"/>
      <c r="H40" s="119"/>
      <c r="I40" s="119"/>
      <c r="J40" s="119"/>
      <c r="K40" s="119"/>
      <c r="L40" s="119"/>
      <c r="M40" s="119"/>
      <c r="N40" s="119"/>
      <c r="O40" s="120"/>
    </row>
    <row r="41" spans="1:15" x14ac:dyDescent="0.15">
      <c r="A41" s="114"/>
      <c r="B41" s="115"/>
      <c r="C41" s="116"/>
      <c r="D41" s="117"/>
      <c r="E41" s="118"/>
      <c r="F41" s="119"/>
      <c r="G41" s="119"/>
      <c r="H41" s="119"/>
      <c r="I41" s="119"/>
      <c r="J41" s="119"/>
      <c r="K41" s="119"/>
      <c r="L41" s="119"/>
      <c r="M41" s="119"/>
      <c r="N41" s="119"/>
      <c r="O41" s="120"/>
    </row>
    <row r="42" spans="1:15" x14ac:dyDescent="0.15">
      <c r="A42" s="114"/>
      <c r="B42" s="115"/>
      <c r="C42" s="116"/>
      <c r="D42" s="117"/>
      <c r="E42" s="118"/>
      <c r="F42" s="119"/>
      <c r="G42" s="119"/>
      <c r="H42" s="119"/>
      <c r="I42" s="119"/>
      <c r="J42" s="119"/>
      <c r="K42" s="119"/>
      <c r="L42" s="119"/>
      <c r="M42" s="119"/>
      <c r="N42" s="119"/>
      <c r="O42" s="120"/>
    </row>
    <row r="43" spans="1:15" x14ac:dyDescent="0.15">
      <c r="A43" s="114"/>
      <c r="B43" s="115"/>
      <c r="C43" s="116"/>
      <c r="D43" s="117"/>
      <c r="E43" s="118"/>
      <c r="F43" s="119"/>
      <c r="G43" s="119"/>
      <c r="H43" s="119"/>
      <c r="I43" s="119"/>
      <c r="J43" s="119"/>
      <c r="K43" s="119"/>
      <c r="L43" s="119"/>
      <c r="M43" s="119"/>
      <c r="N43" s="119"/>
      <c r="O43" s="120"/>
    </row>
    <row r="44" spans="1:15" x14ac:dyDescent="0.15">
      <c r="A44" s="114"/>
      <c r="B44" s="115"/>
      <c r="C44" s="116"/>
      <c r="D44" s="117"/>
      <c r="E44" s="118"/>
      <c r="F44" s="119"/>
      <c r="G44" s="119"/>
      <c r="H44" s="119"/>
      <c r="I44" s="119"/>
      <c r="J44" s="119"/>
      <c r="K44" s="119"/>
      <c r="L44" s="119"/>
      <c r="M44" s="119"/>
      <c r="N44" s="119"/>
      <c r="O44" s="120"/>
    </row>
    <row r="45" spans="1:15" x14ac:dyDescent="0.15">
      <c r="A45" s="114"/>
      <c r="B45" s="115"/>
      <c r="C45" s="116"/>
      <c r="D45" s="117"/>
      <c r="E45" s="118"/>
      <c r="F45" s="119"/>
      <c r="G45" s="119"/>
      <c r="H45" s="119"/>
      <c r="I45" s="119"/>
      <c r="J45" s="119"/>
      <c r="K45" s="119"/>
      <c r="L45" s="119"/>
      <c r="M45" s="119"/>
      <c r="N45" s="119"/>
      <c r="O45" s="120"/>
    </row>
    <row r="46" spans="1:15" ht="14" thickBot="1" x14ac:dyDescent="0.2">
      <c r="A46" s="121"/>
      <c r="B46" s="122"/>
      <c r="C46" s="123"/>
      <c r="D46" s="124"/>
      <c r="E46" s="125"/>
      <c r="F46" s="126"/>
      <c r="G46" s="126"/>
      <c r="H46" s="126"/>
      <c r="I46" s="126"/>
      <c r="J46" s="126"/>
      <c r="K46" s="126"/>
      <c r="L46" s="126"/>
      <c r="M46" s="126"/>
      <c r="N46" s="126"/>
      <c r="O46" s="127"/>
    </row>
    <row r="47" spans="1:15" ht="14" thickBot="1" x14ac:dyDescent="0.2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</row>
    <row r="59" spans="5:7" x14ac:dyDescent="0.15">
      <c r="E59" s="6"/>
      <c r="F59" s="6"/>
      <c r="G59" s="6"/>
    </row>
    <row r="62" spans="5:7" x14ac:dyDescent="0.15">
      <c r="E62" s="7"/>
      <c r="F62" s="7"/>
      <c r="G62" s="7"/>
    </row>
  </sheetData>
  <phoneticPr fontId="0" type="noConversion"/>
  <pageMargins left="0.75" right="0.75" top="1" bottom="1" header="0.49212598499999999" footer="0.49212598499999999"/>
  <pageSetup orientation="portrait" horizontalDpi="429496729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8"/>
  <sheetViews>
    <sheetView showZero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5" sqref="C5"/>
    </sheetView>
  </sheetViews>
  <sheetFormatPr baseColWidth="10" defaultColWidth="9.1640625" defaultRowHeight="13" x14ac:dyDescent="0.15"/>
  <cols>
    <col min="1" max="1" width="14.83203125" style="3" customWidth="1"/>
    <col min="2" max="2" width="8.33203125" style="3" bestFit="1" customWidth="1"/>
    <col min="3" max="3" width="11.1640625" style="3" customWidth="1"/>
    <col min="4" max="4" width="11.83203125" style="3" customWidth="1"/>
    <col min="5" max="5" width="8.1640625" style="3" customWidth="1"/>
    <col min="6" max="6" width="9" style="3" customWidth="1"/>
    <col min="7" max="7" width="14" style="3" bestFit="1" customWidth="1"/>
    <col min="8" max="8" width="9.83203125" style="3" customWidth="1"/>
    <col min="9" max="9" width="13.33203125" style="3" customWidth="1"/>
    <col min="10" max="10" width="10.83203125" style="3" customWidth="1"/>
    <col min="11" max="11" width="10.5" style="3" bestFit="1" customWidth="1"/>
    <col min="12" max="12" width="10.83203125" style="3" customWidth="1"/>
    <col min="13" max="16384" width="9.1640625" style="3"/>
  </cols>
  <sheetData>
    <row r="1" spans="1:20" ht="14" thickBot="1" x14ac:dyDescent="0.2"/>
    <row r="2" spans="1:20" ht="42" x14ac:dyDescent="0.15">
      <c r="A2" s="139" t="s">
        <v>24</v>
      </c>
      <c r="B2" s="140" t="s">
        <v>149</v>
      </c>
      <c r="C2" s="140" t="s">
        <v>150</v>
      </c>
      <c r="D2" s="141" t="s">
        <v>152</v>
      </c>
      <c r="E2" s="141" t="s">
        <v>25</v>
      </c>
      <c r="F2" s="141" t="s">
        <v>153</v>
      </c>
      <c r="G2" s="141" t="s">
        <v>154</v>
      </c>
      <c r="H2" s="141" t="s">
        <v>156</v>
      </c>
      <c r="I2" s="141" t="s">
        <v>157</v>
      </c>
      <c r="J2" s="141" t="s">
        <v>26</v>
      </c>
      <c r="K2" s="141" t="s">
        <v>155</v>
      </c>
      <c r="L2" s="142" t="s">
        <v>27</v>
      </c>
    </row>
    <row r="3" spans="1:20" x14ac:dyDescent="0.15">
      <c r="A3" s="143" t="str">
        <f>QUESTÕES!F4</f>
        <v>Pizza muzzarela</v>
      </c>
      <c r="B3" s="186">
        <f>QUESTÕES!H4</f>
        <v>11.702420693789016</v>
      </c>
      <c r="C3" s="187">
        <f>QUESTÕES!J4</f>
        <v>1978.5475837265908</v>
      </c>
      <c r="D3" s="188">
        <f>B3*C3</f>
        <v>23153.796187448312</v>
      </c>
      <c r="E3" s="144">
        <f>QUESTÕES!I4</f>
        <v>0.18</v>
      </c>
      <c r="F3" s="190">
        <f>E3*D3</f>
        <v>4167.6833137406957</v>
      </c>
      <c r="G3" s="199">
        <f>'Custo de materiais'!E5</f>
        <v>13256.268810968157</v>
      </c>
      <c r="H3" s="199">
        <f>'Custo de materiais'!E4</f>
        <v>6.6999999999999993</v>
      </c>
      <c r="I3" s="199">
        <f>B3*(1-E3)-H3</f>
        <v>2.8959849689069941</v>
      </c>
      <c r="J3" s="200">
        <f>I3/B3</f>
        <v>0.24746888226672789</v>
      </c>
      <c r="K3" s="199">
        <f>I3*C3</f>
        <v>5729.8440627394593</v>
      </c>
      <c r="L3" s="201">
        <f>K3/$K$6</f>
        <v>0.28673584587195533</v>
      </c>
    </row>
    <row r="4" spans="1:20" x14ac:dyDescent="0.15">
      <c r="A4" s="143" t="str">
        <f>QUESTÕES!F5</f>
        <v>Pizza presunto</v>
      </c>
      <c r="B4" s="186">
        <f>QUESTÕES!H5</f>
        <v>18.186498232849271</v>
      </c>
      <c r="C4" s="187">
        <f>QUESTÕES!J5</f>
        <v>1362.700353430145</v>
      </c>
      <c r="D4" s="188">
        <f>B4*C4</f>
        <v>24782.747569560408</v>
      </c>
      <c r="E4" s="144">
        <f>QUESTÕES!I5</f>
        <v>0.18</v>
      </c>
      <c r="F4" s="190">
        <f>E4*D4</f>
        <v>4460.8945625208735</v>
      </c>
      <c r="G4" s="199">
        <f>'Custo de materiais'!F5</f>
        <v>11923.628092513769</v>
      </c>
      <c r="H4" s="199">
        <f>'Custo de materiais'!F4</f>
        <v>8.75</v>
      </c>
      <c r="I4" s="199">
        <f>B4*(1-E4)-H4</f>
        <v>6.1629285509364031</v>
      </c>
      <c r="J4" s="200">
        <f>I4/B4</f>
        <v>0.33887384322313596</v>
      </c>
      <c r="K4" s="199">
        <f>I4*C4</f>
        <v>8398.2249145257683</v>
      </c>
      <c r="L4" s="201">
        <f>K4/$K$6</f>
        <v>0.42026835256283884</v>
      </c>
    </row>
    <row r="5" spans="1:20" x14ac:dyDescent="0.15">
      <c r="A5" s="143" t="str">
        <f>QUESTÕES!F6</f>
        <v>Pizza marguerita</v>
      </c>
      <c r="B5" s="186">
        <f>QUESTÕES!H6</f>
        <v>15.599972966025538</v>
      </c>
      <c r="C5" s="187">
        <f>QUESTÕES!J6</f>
        <v>1466.6756779914881</v>
      </c>
      <c r="D5" s="188">
        <f>B5*C5</f>
        <v>22880.10092659439</v>
      </c>
      <c r="E5" s="144">
        <f>QUESTÕES!I6</f>
        <v>0.18</v>
      </c>
      <c r="F5" s="190">
        <f>E5*D5</f>
        <v>4118.4181667869898</v>
      </c>
      <c r="G5" s="199">
        <f>'Custo de materiais'!G5</f>
        <v>12906.745966325096</v>
      </c>
      <c r="H5" s="199">
        <f>'Custo de materiais'!G4</f>
        <v>8.8000000000000007</v>
      </c>
      <c r="I5" s="199">
        <f>B5*(1-E5)-H5</f>
        <v>3.9919778321409414</v>
      </c>
      <c r="J5" s="200">
        <f>I5/B5</f>
        <v>0.25589645833585006</v>
      </c>
      <c r="K5" s="199">
        <f>I5*C5</f>
        <v>5854.9367934823058</v>
      </c>
      <c r="L5" s="201">
        <f>K5/$K$6</f>
        <v>0.29299580156520572</v>
      </c>
    </row>
    <row r="6" spans="1:20" ht="14" thickBot="1" x14ac:dyDescent="0.2">
      <c r="A6" s="145" t="s">
        <v>151</v>
      </c>
      <c r="B6" s="189"/>
      <c r="C6" s="189">
        <f>SUM(C3:C5)</f>
        <v>4807.9236151482237</v>
      </c>
      <c r="D6" s="189">
        <f>SUM(D3:D5)</f>
        <v>70816.64468360311</v>
      </c>
      <c r="E6" s="147"/>
      <c r="F6" s="191">
        <f>SUM(F3:F5)</f>
        <v>12746.996043048559</v>
      </c>
      <c r="G6" s="189">
        <f>SUM(G3:G5)</f>
        <v>38086.642869807023</v>
      </c>
      <c r="H6" s="146"/>
      <c r="I6" s="146"/>
      <c r="J6" s="147"/>
      <c r="K6" s="148">
        <f>SUM(K3:K5)</f>
        <v>19983.005770747535</v>
      </c>
      <c r="L6" s="149">
        <f>SUM(L3:L5)</f>
        <v>0.99999999999999978</v>
      </c>
    </row>
    <row r="7" spans="1:20" x14ac:dyDescent="0.15">
      <c r="E7" s="150"/>
    </row>
    <row r="8" spans="1:20" x14ac:dyDescent="0.15"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</sheetData>
  <phoneticPr fontId="0" type="noConversion"/>
  <pageMargins left="0.75" right="0.75" top="1" bottom="1" header="0.49212598499999999" footer="0.49212598499999999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DX113"/>
  <sheetViews>
    <sheetView zoomScale="143" zoomScaleNormal="100" workbookViewId="0">
      <selection activeCell="G23" sqref="G23"/>
    </sheetView>
  </sheetViews>
  <sheetFormatPr baseColWidth="10" defaultColWidth="9.1640625" defaultRowHeight="13" x14ac:dyDescent="0.15"/>
  <cols>
    <col min="1" max="1" width="9" style="3" customWidth="1"/>
    <col min="2" max="2" width="22.1640625" style="3" customWidth="1"/>
    <col min="3" max="4" width="11.5" style="3" bestFit="1" customWidth="1"/>
    <col min="5" max="5" width="14" style="3" bestFit="1" customWidth="1"/>
    <col min="6" max="6" width="12.33203125" style="3" bestFit="1" customWidth="1"/>
    <col min="7" max="7" width="24.33203125" style="3" customWidth="1"/>
    <col min="8" max="8" width="49" style="3" customWidth="1"/>
    <col min="9" max="9" width="15.83203125" style="3" customWidth="1"/>
    <col min="10" max="10" width="12.1640625" style="97" bestFit="1" customWidth="1"/>
    <col min="11" max="11" width="12.1640625" style="3" bestFit="1" customWidth="1"/>
    <col min="12" max="12" width="9.83203125" style="3" bestFit="1" customWidth="1"/>
    <col min="13" max="14" width="10.1640625" style="3" bestFit="1" customWidth="1"/>
    <col min="15" max="132" width="9.1640625" style="3"/>
    <col min="133" max="133" width="10.1640625" style="3" bestFit="1" customWidth="1"/>
    <col min="134" max="16384" width="9.1640625" style="3"/>
  </cols>
  <sheetData>
    <row r="1" spans="2:10" ht="14" thickBot="1" x14ac:dyDescent="0.2">
      <c r="C1" s="60" t="s">
        <v>109</v>
      </c>
    </row>
    <row r="2" spans="2:10" ht="14" thickBot="1" x14ac:dyDescent="0.2">
      <c r="B2" s="247" t="s">
        <v>31</v>
      </c>
      <c r="C2" s="248"/>
      <c r="D2" s="249"/>
    </row>
    <row r="3" spans="2:10" ht="19" thickBot="1" x14ac:dyDescent="0.2">
      <c r="B3" s="214" t="s">
        <v>16</v>
      </c>
      <c r="C3" s="215">
        <f>Margem!D6</f>
        <v>70816.64468360311</v>
      </c>
      <c r="D3" s="213">
        <f>C3/$C$3</f>
        <v>1</v>
      </c>
      <c r="G3"/>
      <c r="H3" s="57" t="s">
        <v>79</v>
      </c>
      <c r="I3"/>
      <c r="J3" s="98"/>
    </row>
    <row r="4" spans="2:10" x14ac:dyDescent="0.15">
      <c r="B4" s="30" t="s">
        <v>29</v>
      </c>
      <c r="C4" s="28">
        <f>Margem!F6</f>
        <v>12746.996043048559</v>
      </c>
      <c r="D4" s="213">
        <f>C4/$C$3</f>
        <v>0.18</v>
      </c>
      <c r="G4" s="204">
        <f>C3*12</f>
        <v>849799.73620323732</v>
      </c>
      <c r="H4" s="59" t="s">
        <v>117</v>
      </c>
      <c r="I4"/>
      <c r="J4" s="98"/>
    </row>
    <row r="5" spans="2:10" ht="14" thickBot="1" x14ac:dyDescent="0.2">
      <c r="B5" s="31" t="s">
        <v>30</v>
      </c>
      <c r="C5" s="27">
        <f>Margem!G6</f>
        <v>38086.642869807023</v>
      </c>
      <c r="D5" s="213">
        <f>C5/$C$3</f>
        <v>0.53782049460224723</v>
      </c>
      <c r="G5" s="204">
        <f>C4*12</f>
        <v>152963.95251658271</v>
      </c>
      <c r="H5" s="203" t="s">
        <v>116</v>
      </c>
      <c r="J5" s="98"/>
    </row>
    <row r="6" spans="2:10" ht="14" thickBot="1" x14ac:dyDescent="0.2">
      <c r="B6" s="32" t="s">
        <v>14</v>
      </c>
      <c r="C6" s="35">
        <f>C3-C4-C5</f>
        <v>19983.005770747528</v>
      </c>
      <c r="D6" s="216">
        <f>C6/$C$3</f>
        <v>0.28217950539775283</v>
      </c>
      <c r="E6" s="180">
        <f>C19/D6</f>
        <v>53157.65217908506</v>
      </c>
      <c r="F6" s="181" t="s">
        <v>165</v>
      </c>
      <c r="G6" s="204">
        <f>G4-G5</f>
        <v>696835.78368665464</v>
      </c>
      <c r="H6" s="59" t="s">
        <v>101</v>
      </c>
      <c r="I6"/>
      <c r="J6" s="98"/>
    </row>
    <row r="7" spans="2:10" ht="14" thickBot="1" x14ac:dyDescent="0.2">
      <c r="G7" s="204">
        <f>D22</f>
        <v>657039.71443768428</v>
      </c>
      <c r="H7" s="203" t="s">
        <v>137</v>
      </c>
      <c r="I7" s="203" t="s">
        <v>138</v>
      </c>
      <c r="J7" s="99"/>
    </row>
    <row r="8" spans="2:10" ht="14" thickBot="1" x14ac:dyDescent="0.2">
      <c r="B8" s="247" t="s">
        <v>37</v>
      </c>
      <c r="C8" s="248"/>
      <c r="D8" s="249"/>
      <c r="G8" s="72"/>
      <c r="H8" s="202"/>
      <c r="I8" s="203" t="s">
        <v>136</v>
      </c>
      <c r="J8" s="98"/>
    </row>
    <row r="9" spans="2:10" ht="14" thickBot="1" x14ac:dyDescent="0.2">
      <c r="B9" s="40" t="s">
        <v>14</v>
      </c>
      <c r="C9" s="36">
        <f>C6</f>
        <v>19983.005770747528</v>
      </c>
      <c r="D9" s="216">
        <f>C9/$C$3</f>
        <v>0.28217950539775283</v>
      </c>
      <c r="G9" s="204">
        <f>G6-G7</f>
        <v>39796.069248970365</v>
      </c>
      <c r="H9" s="59" t="s">
        <v>87</v>
      </c>
      <c r="I9"/>
      <c r="J9" s="98"/>
    </row>
    <row r="10" spans="2:10" ht="14" thickBot="1" x14ac:dyDescent="0.2">
      <c r="B10" s="41" t="s">
        <v>28</v>
      </c>
      <c r="C10" s="29">
        <f>QUESTÕES!H28</f>
        <v>15000</v>
      </c>
      <c r="D10" s="213">
        <f>C10/$C$3</f>
        <v>0.21181461035068075</v>
      </c>
      <c r="G10" s="205">
        <f>SUM(G11:G13)</f>
        <v>10000</v>
      </c>
      <c r="H10" s="58" t="s">
        <v>88</v>
      </c>
      <c r="I10"/>
      <c r="J10" s="98"/>
    </row>
    <row r="11" spans="2:10" ht="14" thickBot="1" x14ac:dyDescent="0.2">
      <c r="B11" s="42" t="s">
        <v>111</v>
      </c>
      <c r="C11" s="39">
        <f>C9-C10</f>
        <v>4983.005770747528</v>
      </c>
      <c r="D11" s="217">
        <f>C11/$C$3</f>
        <v>7.0364895047072079E-2</v>
      </c>
      <c r="E11" s="28">
        <f>C11*12</f>
        <v>59796.069248970336</v>
      </c>
      <c r="G11" s="72">
        <v>0</v>
      </c>
      <c r="H11" s="203" t="s">
        <v>102</v>
      </c>
      <c r="I11"/>
      <c r="J11" s="98"/>
    </row>
    <row r="12" spans="2:10" x14ac:dyDescent="0.15">
      <c r="G12" s="205">
        <v>10000</v>
      </c>
      <c r="H12" s="203" t="s">
        <v>89</v>
      </c>
      <c r="I12"/>
      <c r="J12" s="98"/>
    </row>
    <row r="13" spans="2:10" x14ac:dyDescent="0.15">
      <c r="B13" s="3" t="s">
        <v>98</v>
      </c>
      <c r="C13" s="51">
        <f>QUESTÕES!K33</f>
        <v>200000</v>
      </c>
      <c r="G13" s="72">
        <v>0</v>
      </c>
      <c r="H13" s="203" t="s">
        <v>103</v>
      </c>
      <c r="I13"/>
      <c r="J13" s="98"/>
    </row>
    <row r="14" spans="2:10" x14ac:dyDescent="0.15">
      <c r="B14" s="3" t="s">
        <v>108</v>
      </c>
      <c r="C14" s="3">
        <v>10</v>
      </c>
      <c r="G14" s="204">
        <f>G9-G10</f>
        <v>29796.069248970365</v>
      </c>
      <c r="H14" s="59" t="s">
        <v>104</v>
      </c>
      <c r="I14" s="58"/>
      <c r="J14" s="98"/>
    </row>
    <row r="15" spans="2:10" x14ac:dyDescent="0.15">
      <c r="G15" s="204">
        <f>D21</f>
        <v>20000</v>
      </c>
      <c r="H15" s="83" t="s">
        <v>105</v>
      </c>
      <c r="I15"/>
      <c r="J15" s="98"/>
    </row>
    <row r="16" spans="2:10" x14ac:dyDescent="0.15">
      <c r="G16" s="204">
        <f>G14+G15</f>
        <v>49796.069248970365</v>
      </c>
      <c r="H16" s="59" t="s">
        <v>90</v>
      </c>
      <c r="I16" s="59" t="s">
        <v>106</v>
      </c>
      <c r="J16" s="98"/>
    </row>
    <row r="17" spans="2:112" x14ac:dyDescent="0.15">
      <c r="B17" s="3" t="s">
        <v>94</v>
      </c>
      <c r="G17" s="72"/>
      <c r="H17" s="58" t="s">
        <v>107</v>
      </c>
      <c r="I17"/>
      <c r="J17" s="98"/>
    </row>
    <row r="18" spans="2:112" x14ac:dyDescent="0.15">
      <c r="B18" s="3" t="s">
        <v>95</v>
      </c>
      <c r="C18" s="28">
        <f>C5</f>
        <v>38086.642869807023</v>
      </c>
      <c r="G18" s="204">
        <f>G16-G15</f>
        <v>29796.069248970365</v>
      </c>
      <c r="H18" s="59" t="s">
        <v>139</v>
      </c>
      <c r="I18"/>
      <c r="J18" s="98"/>
    </row>
    <row r="19" spans="2:112" x14ac:dyDescent="0.15">
      <c r="B19" s="3" t="s">
        <v>96</v>
      </c>
      <c r="C19" s="28">
        <f>C10</f>
        <v>15000</v>
      </c>
      <c r="G19" s="204">
        <f>G18*0.3</f>
        <v>8938.8207746911085</v>
      </c>
      <c r="H19" s="85" t="s">
        <v>110</v>
      </c>
      <c r="I19"/>
      <c r="J19" s="98"/>
    </row>
    <row r="20" spans="2:112" x14ac:dyDescent="0.15">
      <c r="B20" s="101" t="s">
        <v>168</v>
      </c>
      <c r="C20" s="28">
        <f>C18+C19</f>
        <v>53086.642869807023</v>
      </c>
      <c r="D20" s="28">
        <f>C20*12</f>
        <v>637039.71443768428</v>
      </c>
      <c r="G20" s="204">
        <f>G18-G19</f>
        <v>20857.248474279259</v>
      </c>
      <c r="H20" s="59" t="s">
        <v>140</v>
      </c>
      <c r="I20"/>
      <c r="J20" s="98"/>
    </row>
    <row r="21" spans="2:112" x14ac:dyDescent="0.15">
      <c r="B21" s="3" t="s">
        <v>97</v>
      </c>
      <c r="D21" s="28">
        <f>C13/C14</f>
        <v>20000</v>
      </c>
      <c r="G21" s="1"/>
      <c r="I21"/>
      <c r="J21" s="100" t="s">
        <v>80</v>
      </c>
      <c r="K21" s="101" t="s">
        <v>144</v>
      </c>
    </row>
    <row r="22" spans="2:112" ht="25" x14ac:dyDescent="0.25">
      <c r="B22" s="3" t="s">
        <v>94</v>
      </c>
      <c r="C22" s="28">
        <f>(C5+C10)</f>
        <v>53086.642869807023</v>
      </c>
      <c r="D22" s="28">
        <f>D20+D21</f>
        <v>657039.71443768428</v>
      </c>
      <c r="G22" s="1"/>
      <c r="H22" s="58"/>
      <c r="I22" s="104" t="s">
        <v>148</v>
      </c>
      <c r="J22" s="219">
        <f>IRR(J24:J34)</f>
        <v>0.21282367906886801</v>
      </c>
      <c r="K22" s="219">
        <f>IRR(K24:K114)</f>
        <v>0.10427094931010927</v>
      </c>
      <c r="L22" s="106" t="s">
        <v>147</v>
      </c>
    </row>
    <row r="23" spans="2:112" ht="23" x14ac:dyDescent="0.25">
      <c r="G23" s="220">
        <f>G20/C13</f>
        <v>0.10428624237139629</v>
      </c>
      <c r="H23" s="84" t="s">
        <v>145</v>
      </c>
      <c r="I23" s="72" t="s">
        <v>141</v>
      </c>
      <c r="J23" s="105" t="s">
        <v>143</v>
      </c>
      <c r="K23" s="105" t="s">
        <v>143</v>
      </c>
    </row>
    <row r="24" spans="2:112" x14ac:dyDescent="0.15">
      <c r="G24" s="28"/>
      <c r="I24" s="66">
        <v>0</v>
      </c>
      <c r="J24" s="102">
        <f>-C13</f>
        <v>-200000</v>
      </c>
      <c r="K24" s="103">
        <f>J24</f>
        <v>-200000</v>
      </c>
    </row>
    <row r="25" spans="2:112" ht="23" x14ac:dyDescent="0.25">
      <c r="G25" s="221">
        <f>G16/C13</f>
        <v>0.24898034624485182</v>
      </c>
      <c r="H25" s="161" t="s">
        <v>142</v>
      </c>
      <c r="I25" s="66">
        <v>1</v>
      </c>
      <c r="J25" s="102">
        <f t="shared" ref="J25:J34" si="0">$G$16</f>
        <v>49796.069248970365</v>
      </c>
      <c r="K25" s="96">
        <f>$G$20</f>
        <v>20857.248474279259</v>
      </c>
    </row>
    <row r="26" spans="2:112" x14ac:dyDescent="0.15">
      <c r="B26" s="61" t="s">
        <v>125</v>
      </c>
      <c r="C26" s="61"/>
      <c r="D26" s="61"/>
      <c r="E26" s="61"/>
      <c r="F26" s="61"/>
      <c r="I26" s="66">
        <v>2</v>
      </c>
      <c r="J26" s="102">
        <f t="shared" si="0"/>
        <v>49796.069248970365</v>
      </c>
      <c r="K26" s="96">
        <f t="shared" ref="K26:K89" si="1">$G$20</f>
        <v>20857.248474279259</v>
      </c>
    </row>
    <row r="27" spans="2:112" ht="18" x14ac:dyDescent="0.2">
      <c r="B27" s="61" t="s">
        <v>114</v>
      </c>
      <c r="C27" s="61"/>
      <c r="D27" s="61"/>
      <c r="E27" s="61"/>
      <c r="F27" s="61"/>
      <c r="G27" s="88"/>
      <c r="H27" s="89"/>
      <c r="I27" s="66">
        <v>3</v>
      </c>
      <c r="J27" s="102">
        <f t="shared" si="0"/>
        <v>49796.069248970365</v>
      </c>
      <c r="K27" s="96">
        <f t="shared" si="1"/>
        <v>20857.248474279259</v>
      </c>
    </row>
    <row r="28" spans="2:112" x14ac:dyDescent="0.15">
      <c r="B28" s="61" t="s">
        <v>115</v>
      </c>
      <c r="C28" s="61"/>
      <c r="D28" s="61"/>
      <c r="E28" s="61"/>
      <c r="F28" s="61"/>
      <c r="G28" s="90"/>
      <c r="H28" s="91"/>
      <c r="I28" s="66">
        <v>4</v>
      </c>
      <c r="J28" s="102">
        <f t="shared" si="0"/>
        <v>49796.069248970365</v>
      </c>
      <c r="K28" s="96">
        <f t="shared" si="1"/>
        <v>20857.248474279259</v>
      </c>
    </row>
    <row r="29" spans="2:112" ht="14" thickBot="1" x14ac:dyDescent="0.2">
      <c r="G29" s="89"/>
      <c r="H29" s="90"/>
      <c r="I29" s="66">
        <v>5</v>
      </c>
      <c r="J29" s="102">
        <f t="shared" si="0"/>
        <v>49796.069248970365</v>
      </c>
      <c r="K29" s="96">
        <f t="shared" si="1"/>
        <v>20857.248474279259</v>
      </c>
    </row>
    <row r="30" spans="2:112" x14ac:dyDescent="0.15">
      <c r="F30" s="152" t="s">
        <v>91</v>
      </c>
      <c r="G30" s="153"/>
      <c r="H30" s="154"/>
      <c r="I30" s="151">
        <v>6</v>
      </c>
      <c r="J30" s="102">
        <f t="shared" si="0"/>
        <v>49796.069248970365</v>
      </c>
      <c r="K30" s="96">
        <f t="shared" si="1"/>
        <v>20857.248474279259</v>
      </c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</row>
    <row r="31" spans="2:112" x14ac:dyDescent="0.15">
      <c r="F31" s="155" t="s">
        <v>92</v>
      </c>
      <c r="G31" s="156"/>
      <c r="H31" s="157"/>
      <c r="I31" s="151">
        <v>7</v>
      </c>
      <c r="J31" s="102">
        <f t="shared" si="0"/>
        <v>49796.069248970365</v>
      </c>
      <c r="K31" s="96">
        <f t="shared" si="1"/>
        <v>20857.248474279259</v>
      </c>
    </row>
    <row r="32" spans="2:112" ht="14" thickBot="1" x14ac:dyDescent="0.2">
      <c r="F32" s="158" t="s">
        <v>93</v>
      </c>
      <c r="G32" s="159"/>
      <c r="H32" s="160"/>
      <c r="I32" s="151">
        <v>8</v>
      </c>
      <c r="J32" s="102">
        <f t="shared" si="0"/>
        <v>49796.069248970365</v>
      </c>
      <c r="K32" s="96">
        <f t="shared" si="1"/>
        <v>20857.248474279259</v>
      </c>
    </row>
    <row r="33" spans="3:128" x14ac:dyDescent="0.15">
      <c r="G33" s="93"/>
      <c r="H33" s="90"/>
      <c r="I33" s="66">
        <v>9</v>
      </c>
      <c r="J33" s="102">
        <f t="shared" si="0"/>
        <v>49796.069248970365</v>
      </c>
      <c r="K33" s="96">
        <f t="shared" si="1"/>
        <v>20857.248474279259</v>
      </c>
    </row>
    <row r="34" spans="3:128" x14ac:dyDescent="0.15">
      <c r="G34" s="90"/>
      <c r="H34" s="90"/>
      <c r="I34" s="66">
        <v>10</v>
      </c>
      <c r="J34" s="102">
        <f t="shared" si="0"/>
        <v>49796.069248970365</v>
      </c>
      <c r="K34" s="96">
        <f t="shared" si="1"/>
        <v>20857.248474279259</v>
      </c>
    </row>
    <row r="35" spans="3:128" x14ac:dyDescent="0.15">
      <c r="G35" s="90"/>
      <c r="H35" s="90"/>
      <c r="I35" s="67"/>
      <c r="J35" s="102"/>
      <c r="K35" s="96">
        <f t="shared" si="1"/>
        <v>20857.248474279259</v>
      </c>
    </row>
    <row r="36" spans="3:128" x14ac:dyDescent="0.15">
      <c r="G36" s="90"/>
      <c r="H36" s="90"/>
      <c r="I36" s="67"/>
      <c r="J36" s="102"/>
      <c r="K36" s="96">
        <f t="shared" si="1"/>
        <v>20857.248474279259</v>
      </c>
    </row>
    <row r="37" spans="3:128" x14ac:dyDescent="0.15">
      <c r="G37" s="90"/>
      <c r="H37" s="91"/>
      <c r="I37" s="67"/>
      <c r="J37" s="102"/>
      <c r="K37" s="96">
        <f t="shared" si="1"/>
        <v>20857.248474279259</v>
      </c>
    </row>
    <row r="38" spans="3:128" x14ac:dyDescent="0.15">
      <c r="G38" s="89"/>
      <c r="H38" s="90"/>
      <c r="I38" s="67"/>
      <c r="J38" s="102"/>
      <c r="K38" s="96">
        <f t="shared" si="1"/>
        <v>20857.248474279259</v>
      </c>
    </row>
    <row r="39" spans="3:128" x14ac:dyDescent="0.15">
      <c r="G39" s="92"/>
      <c r="H39" s="90"/>
      <c r="I39" s="96"/>
      <c r="J39" s="102"/>
      <c r="K39" s="96">
        <f t="shared" si="1"/>
        <v>20857.248474279259</v>
      </c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</row>
    <row r="40" spans="3:128" x14ac:dyDescent="0.15">
      <c r="G40" s="90"/>
      <c r="H40" s="90"/>
      <c r="I40" s="67"/>
      <c r="J40" s="102"/>
      <c r="K40" s="96">
        <f t="shared" si="1"/>
        <v>20857.248474279259</v>
      </c>
    </row>
    <row r="41" spans="3:128" x14ac:dyDescent="0.15">
      <c r="G41" s="89"/>
      <c r="H41" s="90"/>
      <c r="I41" s="67"/>
      <c r="J41" s="102"/>
      <c r="K41" s="96">
        <f t="shared" si="1"/>
        <v>20857.248474279259</v>
      </c>
    </row>
    <row r="42" spans="3:128" x14ac:dyDescent="0.15">
      <c r="G42" s="94"/>
      <c r="H42" s="90"/>
      <c r="I42" s="67"/>
      <c r="J42" s="102"/>
      <c r="K42" s="96">
        <f t="shared" si="1"/>
        <v>20857.248474279259</v>
      </c>
    </row>
    <row r="43" spans="3:128" x14ac:dyDescent="0.15">
      <c r="G43" s="90"/>
      <c r="H43" s="90"/>
      <c r="I43" s="67"/>
      <c r="J43" s="102"/>
      <c r="K43" s="96">
        <f t="shared" si="1"/>
        <v>20857.248474279259</v>
      </c>
    </row>
    <row r="44" spans="3:128" x14ac:dyDescent="0.15">
      <c r="G44" s="90"/>
      <c r="H44" s="71"/>
      <c r="I44" s="67"/>
      <c r="J44" s="102"/>
      <c r="K44" s="96">
        <f t="shared" si="1"/>
        <v>20857.248474279259</v>
      </c>
    </row>
    <row r="45" spans="3:128" x14ac:dyDescent="0.15">
      <c r="G45" s="90"/>
      <c r="H45" s="71"/>
      <c r="I45" s="67"/>
      <c r="J45" s="102"/>
      <c r="K45" s="96">
        <f t="shared" si="1"/>
        <v>20857.248474279259</v>
      </c>
    </row>
    <row r="46" spans="3:128" ht="19" customHeight="1" x14ac:dyDescent="0.15">
      <c r="C46" s="86"/>
      <c r="D46" s="86"/>
      <c r="E46" s="86"/>
      <c r="G46" s="90"/>
      <c r="H46" s="95"/>
      <c r="I46" s="87"/>
      <c r="J46" s="102"/>
      <c r="K46" s="96">
        <f t="shared" si="1"/>
        <v>20857.248474279259</v>
      </c>
    </row>
    <row r="47" spans="3:128" ht="16" customHeight="1" x14ac:dyDescent="0.15">
      <c r="C47" s="86"/>
      <c r="D47" s="86"/>
      <c r="E47" s="86"/>
      <c r="G47" s="90"/>
      <c r="H47" s="90"/>
      <c r="I47" s="87"/>
      <c r="J47" s="102"/>
      <c r="K47" s="96">
        <f t="shared" si="1"/>
        <v>20857.248474279259</v>
      </c>
    </row>
    <row r="48" spans="3:128" ht="13" customHeight="1" x14ac:dyDescent="0.15">
      <c r="C48" s="86"/>
      <c r="D48" s="86"/>
      <c r="E48" s="86"/>
      <c r="G48" s="90"/>
      <c r="H48" s="90"/>
      <c r="I48" s="55"/>
      <c r="J48" s="102"/>
      <c r="K48" s="96">
        <f t="shared" si="1"/>
        <v>20857.248474279259</v>
      </c>
    </row>
    <row r="49" spans="7:11" x14ac:dyDescent="0.15">
      <c r="G49" s="90"/>
      <c r="H49" s="90"/>
      <c r="I49" s="67"/>
      <c r="J49" s="102"/>
      <c r="K49" s="96">
        <f t="shared" si="1"/>
        <v>20857.248474279259</v>
      </c>
    </row>
    <row r="50" spans="7:11" x14ac:dyDescent="0.15">
      <c r="I50" s="67"/>
      <c r="J50" s="102"/>
      <c r="K50" s="96">
        <f t="shared" si="1"/>
        <v>20857.248474279259</v>
      </c>
    </row>
    <row r="51" spans="7:11" x14ac:dyDescent="0.15">
      <c r="I51" s="67"/>
      <c r="J51" s="102"/>
      <c r="K51" s="96">
        <f t="shared" si="1"/>
        <v>20857.248474279259</v>
      </c>
    </row>
    <row r="52" spans="7:11" x14ac:dyDescent="0.15">
      <c r="I52" s="67"/>
      <c r="J52" s="102"/>
      <c r="K52" s="96">
        <f t="shared" si="1"/>
        <v>20857.248474279259</v>
      </c>
    </row>
    <row r="53" spans="7:11" x14ac:dyDescent="0.15">
      <c r="I53" s="67"/>
      <c r="J53" s="102"/>
      <c r="K53" s="96">
        <f t="shared" si="1"/>
        <v>20857.248474279259</v>
      </c>
    </row>
    <row r="54" spans="7:11" x14ac:dyDescent="0.15">
      <c r="I54" s="67"/>
      <c r="J54" s="102"/>
      <c r="K54" s="96">
        <f t="shared" si="1"/>
        <v>20857.248474279259</v>
      </c>
    </row>
    <row r="55" spans="7:11" x14ac:dyDescent="0.15">
      <c r="I55" s="67"/>
      <c r="J55" s="102"/>
      <c r="K55" s="96">
        <f t="shared" si="1"/>
        <v>20857.248474279259</v>
      </c>
    </row>
    <row r="56" spans="7:11" x14ac:dyDescent="0.15">
      <c r="I56" s="67"/>
      <c r="J56" s="102"/>
      <c r="K56" s="96">
        <f t="shared" si="1"/>
        <v>20857.248474279259</v>
      </c>
    </row>
    <row r="57" spans="7:11" x14ac:dyDescent="0.15">
      <c r="I57" s="67"/>
      <c r="J57" s="102"/>
      <c r="K57" s="96">
        <f t="shared" si="1"/>
        <v>20857.248474279259</v>
      </c>
    </row>
    <row r="58" spans="7:11" x14ac:dyDescent="0.15">
      <c r="I58" s="67"/>
      <c r="J58" s="102"/>
      <c r="K58" s="96">
        <f t="shared" si="1"/>
        <v>20857.248474279259</v>
      </c>
    </row>
    <row r="59" spans="7:11" x14ac:dyDescent="0.15">
      <c r="I59" s="67"/>
      <c r="J59" s="102"/>
      <c r="K59" s="96">
        <f t="shared" si="1"/>
        <v>20857.248474279259</v>
      </c>
    </row>
    <row r="60" spans="7:11" x14ac:dyDescent="0.15">
      <c r="I60" s="67"/>
      <c r="J60" s="102"/>
      <c r="K60" s="96">
        <f t="shared" si="1"/>
        <v>20857.248474279259</v>
      </c>
    </row>
    <row r="61" spans="7:11" x14ac:dyDescent="0.15">
      <c r="I61" s="67"/>
      <c r="J61" s="102"/>
      <c r="K61" s="96">
        <f t="shared" si="1"/>
        <v>20857.248474279259</v>
      </c>
    </row>
    <row r="62" spans="7:11" x14ac:dyDescent="0.15">
      <c r="I62" s="67"/>
      <c r="J62" s="102"/>
      <c r="K62" s="96">
        <f t="shared" si="1"/>
        <v>20857.248474279259</v>
      </c>
    </row>
    <row r="63" spans="7:11" x14ac:dyDescent="0.15">
      <c r="I63" s="67"/>
      <c r="J63" s="102"/>
      <c r="K63" s="96">
        <f t="shared" si="1"/>
        <v>20857.248474279259</v>
      </c>
    </row>
    <row r="64" spans="7:11" x14ac:dyDescent="0.15">
      <c r="I64" s="67"/>
      <c r="J64" s="102"/>
      <c r="K64" s="96">
        <f t="shared" si="1"/>
        <v>20857.248474279259</v>
      </c>
    </row>
    <row r="65" spans="9:11" x14ac:dyDescent="0.15">
      <c r="I65" s="67"/>
      <c r="J65" s="102"/>
      <c r="K65" s="96">
        <f t="shared" si="1"/>
        <v>20857.248474279259</v>
      </c>
    </row>
    <row r="66" spans="9:11" x14ac:dyDescent="0.15">
      <c r="I66" s="67"/>
      <c r="J66" s="102"/>
      <c r="K66" s="96">
        <f t="shared" si="1"/>
        <v>20857.248474279259</v>
      </c>
    </row>
    <row r="67" spans="9:11" x14ac:dyDescent="0.15">
      <c r="I67" s="67"/>
      <c r="J67" s="102"/>
      <c r="K67" s="96">
        <f t="shared" si="1"/>
        <v>20857.248474279259</v>
      </c>
    </row>
    <row r="68" spans="9:11" x14ac:dyDescent="0.15">
      <c r="I68" s="67"/>
      <c r="J68" s="102"/>
      <c r="K68" s="96">
        <f t="shared" si="1"/>
        <v>20857.248474279259</v>
      </c>
    </row>
    <row r="69" spans="9:11" x14ac:dyDescent="0.15">
      <c r="I69" s="67"/>
      <c r="J69" s="102"/>
      <c r="K69" s="96">
        <f t="shared" si="1"/>
        <v>20857.248474279259</v>
      </c>
    </row>
    <row r="70" spans="9:11" x14ac:dyDescent="0.15">
      <c r="I70" s="67"/>
      <c r="J70" s="102"/>
      <c r="K70" s="96">
        <f t="shared" si="1"/>
        <v>20857.248474279259</v>
      </c>
    </row>
    <row r="71" spans="9:11" x14ac:dyDescent="0.15">
      <c r="I71" s="67"/>
      <c r="J71" s="102"/>
      <c r="K71" s="96">
        <f t="shared" si="1"/>
        <v>20857.248474279259</v>
      </c>
    </row>
    <row r="72" spans="9:11" x14ac:dyDescent="0.15">
      <c r="I72" s="67"/>
      <c r="J72" s="102"/>
      <c r="K72" s="96">
        <f t="shared" si="1"/>
        <v>20857.248474279259</v>
      </c>
    </row>
    <row r="73" spans="9:11" x14ac:dyDescent="0.15">
      <c r="I73" s="67"/>
      <c r="J73" s="102"/>
      <c r="K73" s="96">
        <f t="shared" si="1"/>
        <v>20857.248474279259</v>
      </c>
    </row>
    <row r="74" spans="9:11" x14ac:dyDescent="0.15">
      <c r="I74" s="67"/>
      <c r="J74" s="102"/>
      <c r="K74" s="96">
        <f t="shared" si="1"/>
        <v>20857.248474279259</v>
      </c>
    </row>
    <row r="75" spans="9:11" x14ac:dyDescent="0.15">
      <c r="I75" s="67"/>
      <c r="J75" s="102"/>
      <c r="K75" s="96">
        <f t="shared" si="1"/>
        <v>20857.248474279259</v>
      </c>
    </row>
    <row r="76" spans="9:11" x14ac:dyDescent="0.15">
      <c r="I76" s="67"/>
      <c r="J76" s="102"/>
      <c r="K76" s="96">
        <f t="shared" si="1"/>
        <v>20857.248474279259</v>
      </c>
    </row>
    <row r="77" spans="9:11" x14ac:dyDescent="0.15">
      <c r="I77" s="67"/>
      <c r="J77" s="102"/>
      <c r="K77" s="96">
        <f t="shared" si="1"/>
        <v>20857.248474279259</v>
      </c>
    </row>
    <row r="78" spans="9:11" x14ac:dyDescent="0.15">
      <c r="I78" s="67"/>
      <c r="J78" s="102"/>
      <c r="K78" s="96">
        <f t="shared" si="1"/>
        <v>20857.248474279259</v>
      </c>
    </row>
    <row r="79" spans="9:11" x14ac:dyDescent="0.15">
      <c r="J79" s="102"/>
      <c r="K79" s="96">
        <f t="shared" si="1"/>
        <v>20857.248474279259</v>
      </c>
    </row>
    <row r="80" spans="9:11" x14ac:dyDescent="0.15">
      <c r="J80" s="102"/>
      <c r="K80" s="96">
        <f t="shared" si="1"/>
        <v>20857.248474279259</v>
      </c>
    </row>
    <row r="81" spans="10:11" x14ac:dyDescent="0.15">
      <c r="J81" s="102"/>
      <c r="K81" s="96">
        <f t="shared" si="1"/>
        <v>20857.248474279259</v>
      </c>
    </row>
    <row r="82" spans="10:11" x14ac:dyDescent="0.15">
      <c r="J82" s="102"/>
      <c r="K82" s="96">
        <f t="shared" si="1"/>
        <v>20857.248474279259</v>
      </c>
    </row>
    <row r="83" spans="10:11" x14ac:dyDescent="0.15">
      <c r="J83" s="102"/>
      <c r="K83" s="96">
        <f t="shared" si="1"/>
        <v>20857.248474279259</v>
      </c>
    </row>
    <row r="84" spans="10:11" x14ac:dyDescent="0.15">
      <c r="J84" s="102"/>
      <c r="K84" s="96">
        <f t="shared" si="1"/>
        <v>20857.248474279259</v>
      </c>
    </row>
    <row r="85" spans="10:11" x14ac:dyDescent="0.15">
      <c r="J85" s="102"/>
      <c r="K85" s="96">
        <f t="shared" si="1"/>
        <v>20857.248474279259</v>
      </c>
    </row>
    <row r="86" spans="10:11" x14ac:dyDescent="0.15">
      <c r="J86" s="102"/>
      <c r="K86" s="96">
        <f t="shared" si="1"/>
        <v>20857.248474279259</v>
      </c>
    </row>
    <row r="87" spans="10:11" x14ac:dyDescent="0.15">
      <c r="J87" s="102"/>
      <c r="K87" s="96">
        <f t="shared" si="1"/>
        <v>20857.248474279259</v>
      </c>
    </row>
    <row r="88" spans="10:11" x14ac:dyDescent="0.15">
      <c r="J88" s="102"/>
      <c r="K88" s="96">
        <f t="shared" si="1"/>
        <v>20857.248474279259</v>
      </c>
    </row>
    <row r="89" spans="10:11" x14ac:dyDescent="0.15">
      <c r="J89" s="102"/>
      <c r="K89" s="96">
        <f t="shared" si="1"/>
        <v>20857.248474279259</v>
      </c>
    </row>
    <row r="90" spans="10:11" x14ac:dyDescent="0.15">
      <c r="J90" s="102"/>
      <c r="K90" s="96">
        <f t="shared" ref="K90:K113" si="2">$G$20</f>
        <v>20857.248474279259</v>
      </c>
    </row>
    <row r="91" spans="10:11" x14ac:dyDescent="0.15">
      <c r="J91" s="102"/>
      <c r="K91" s="96">
        <f t="shared" si="2"/>
        <v>20857.248474279259</v>
      </c>
    </row>
    <row r="92" spans="10:11" x14ac:dyDescent="0.15">
      <c r="J92" s="102"/>
      <c r="K92" s="96">
        <f t="shared" si="2"/>
        <v>20857.248474279259</v>
      </c>
    </row>
    <row r="93" spans="10:11" x14ac:dyDescent="0.15">
      <c r="J93" s="102"/>
      <c r="K93" s="96">
        <f t="shared" si="2"/>
        <v>20857.248474279259</v>
      </c>
    </row>
    <row r="94" spans="10:11" x14ac:dyDescent="0.15">
      <c r="J94" s="102"/>
      <c r="K94" s="96">
        <f t="shared" si="2"/>
        <v>20857.248474279259</v>
      </c>
    </row>
    <row r="95" spans="10:11" x14ac:dyDescent="0.15">
      <c r="J95" s="102"/>
      <c r="K95" s="96">
        <f t="shared" si="2"/>
        <v>20857.248474279259</v>
      </c>
    </row>
    <row r="96" spans="10:11" x14ac:dyDescent="0.15">
      <c r="J96" s="102"/>
      <c r="K96" s="96">
        <f t="shared" si="2"/>
        <v>20857.248474279259</v>
      </c>
    </row>
    <row r="97" spans="10:11" x14ac:dyDescent="0.15">
      <c r="J97" s="102"/>
      <c r="K97" s="96">
        <f t="shared" si="2"/>
        <v>20857.248474279259</v>
      </c>
    </row>
    <row r="98" spans="10:11" x14ac:dyDescent="0.15">
      <c r="J98" s="102"/>
      <c r="K98" s="96">
        <f t="shared" si="2"/>
        <v>20857.248474279259</v>
      </c>
    </row>
    <row r="99" spans="10:11" x14ac:dyDescent="0.15">
      <c r="J99" s="102"/>
      <c r="K99" s="96">
        <f t="shared" si="2"/>
        <v>20857.248474279259</v>
      </c>
    </row>
    <row r="100" spans="10:11" x14ac:dyDescent="0.15">
      <c r="J100" s="102"/>
      <c r="K100" s="96">
        <f t="shared" si="2"/>
        <v>20857.248474279259</v>
      </c>
    </row>
    <row r="101" spans="10:11" x14ac:dyDescent="0.15">
      <c r="J101" s="102"/>
      <c r="K101" s="96">
        <f t="shared" si="2"/>
        <v>20857.248474279259</v>
      </c>
    </row>
    <row r="102" spans="10:11" x14ac:dyDescent="0.15">
      <c r="J102" s="102"/>
      <c r="K102" s="96">
        <f t="shared" si="2"/>
        <v>20857.248474279259</v>
      </c>
    </row>
    <row r="103" spans="10:11" x14ac:dyDescent="0.15">
      <c r="J103" s="102"/>
      <c r="K103" s="96">
        <f t="shared" si="2"/>
        <v>20857.248474279259</v>
      </c>
    </row>
    <row r="104" spans="10:11" x14ac:dyDescent="0.15">
      <c r="J104" s="102"/>
      <c r="K104" s="96">
        <f t="shared" si="2"/>
        <v>20857.248474279259</v>
      </c>
    </row>
    <row r="105" spans="10:11" x14ac:dyDescent="0.15">
      <c r="J105" s="102"/>
      <c r="K105" s="96">
        <f t="shared" si="2"/>
        <v>20857.248474279259</v>
      </c>
    </row>
    <row r="106" spans="10:11" x14ac:dyDescent="0.15">
      <c r="J106" s="102"/>
      <c r="K106" s="96">
        <f t="shared" si="2"/>
        <v>20857.248474279259</v>
      </c>
    </row>
    <row r="107" spans="10:11" x14ac:dyDescent="0.15">
      <c r="J107" s="102"/>
      <c r="K107" s="96">
        <f t="shared" si="2"/>
        <v>20857.248474279259</v>
      </c>
    </row>
    <row r="108" spans="10:11" x14ac:dyDescent="0.15">
      <c r="J108" s="102"/>
      <c r="K108" s="96">
        <f t="shared" si="2"/>
        <v>20857.248474279259</v>
      </c>
    </row>
    <row r="109" spans="10:11" x14ac:dyDescent="0.15">
      <c r="J109" s="102"/>
      <c r="K109" s="96">
        <f t="shared" si="2"/>
        <v>20857.248474279259</v>
      </c>
    </row>
    <row r="110" spans="10:11" x14ac:dyDescent="0.15">
      <c r="J110" s="102"/>
      <c r="K110" s="96">
        <f t="shared" si="2"/>
        <v>20857.248474279259</v>
      </c>
    </row>
    <row r="111" spans="10:11" x14ac:dyDescent="0.15">
      <c r="J111" s="102"/>
      <c r="K111" s="96">
        <f t="shared" si="2"/>
        <v>20857.248474279259</v>
      </c>
    </row>
    <row r="112" spans="10:11" x14ac:dyDescent="0.15">
      <c r="J112" s="102"/>
      <c r="K112" s="96">
        <f t="shared" si="2"/>
        <v>20857.248474279259</v>
      </c>
    </row>
    <row r="113" spans="11:11" x14ac:dyDescent="0.15">
      <c r="K113" s="96">
        <f t="shared" si="2"/>
        <v>20857.248474279259</v>
      </c>
    </row>
  </sheetData>
  <mergeCells count="2">
    <mergeCell ref="B2:D2"/>
    <mergeCell ref="B8:D8"/>
  </mergeCells>
  <phoneticPr fontId="0" type="noConversion"/>
  <pageMargins left="0.75" right="0.75" top="1" bottom="1" header="0.49212598499999999" footer="0.49212598499999999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6" baseType="variant">
      <vt:variant>
        <vt:lpstr>Worksheets</vt:lpstr>
      </vt:variant>
      <vt:variant>
        <vt:i4>11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Sheet1</vt:lpstr>
      <vt:lpstr>QUESTÕES</vt:lpstr>
      <vt:lpstr>PREVISAO de demanda (temporais)</vt:lpstr>
      <vt:lpstr>Sensitivity Report 3</vt:lpstr>
      <vt:lpstr>PREVISÃO DEMANDA (causais)</vt:lpstr>
      <vt:lpstr>Consumo de materiais</vt:lpstr>
      <vt:lpstr>Custo de materiais</vt:lpstr>
      <vt:lpstr>Margem</vt:lpstr>
      <vt:lpstr>Resultado</vt:lpstr>
      <vt:lpstr>PED</vt:lpstr>
      <vt:lpstr>ANÁLISE</vt:lpstr>
      <vt:lpstr>PE</vt:lpstr>
      <vt:lpstr>'PREVISÃO DEMANDA (causais)'!_ftn1</vt:lpstr>
      <vt:lpstr>'PREVISÃO DEMANDA (causais)'!_ftnref1</vt:lpstr>
      <vt:lpstr>'PREVISÃO DEMANDA (causais)'!_Toc358299713</vt:lpstr>
      <vt:lpstr>'PREVISÃO DEMANDA (causais)'!_Toc358299714</vt:lpstr>
      <vt:lpstr>'PREVISÃO DEMANDA (causais)'!_Toc358299715</vt:lpstr>
      <vt:lpstr>'PREVISÃO DEMANDA (causais)'!_Toc358299716</vt:lpstr>
      <vt:lpstr>'PREVISÃO DEMANDA (causais)'!_Toc358299717</vt:lpstr>
      <vt:lpstr>QUESTÕES!Print_Area</vt:lpstr>
    </vt:vector>
  </TitlesOfParts>
  <Company>Infoco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Dadidi</dc:creator>
  <cp:lastModifiedBy>Microsoft Office User</cp:lastModifiedBy>
  <cp:lastPrinted>2003-06-22T21:40:26Z</cp:lastPrinted>
  <dcterms:created xsi:type="dcterms:W3CDTF">2001-05-29T17:43:00Z</dcterms:created>
  <dcterms:modified xsi:type="dcterms:W3CDTF">2023-04-11T15:02:56Z</dcterms:modified>
</cp:coreProperties>
</file>