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rpcosta/Library/Mobile Documents/com~apple~CloudDocs/arquivo 2021/PRO 3363/PIZZARIAs/"/>
    </mc:Choice>
  </mc:AlternateContent>
  <xr:revisionPtr revIDLastSave="0" documentId="8_{C837FBEB-4ABF-6F45-BCC0-039D0F285C51}" xr6:coauthVersionLast="45" xr6:coauthVersionMax="45" xr10:uidLastSave="{00000000-0000-0000-0000-000000000000}"/>
  <bookViews>
    <workbookView xWindow="0" yWindow="460" windowWidth="28800" windowHeight="16240" tabRatio="904" activeTab="8" xr2:uid="{00000000-000D-0000-FFFF-FFFF00000000}"/>
  </bookViews>
  <sheets>
    <sheet name="Sensitivity Report 1" sheetId="20" r:id="rId1"/>
    <sheet name="Sensitivity Report 2" sheetId="21" r:id="rId2"/>
    <sheet name="QUESTÕES" sheetId="19" r:id="rId3"/>
    <sheet name="Consumo de materiais" sheetId="3" r:id="rId4"/>
    <sheet name="Custo de materiais" sheetId="6" r:id="rId5"/>
    <sheet name="Margem" sheetId="7" r:id="rId6"/>
    <sheet name="Resultado" sheetId="8" r:id="rId7"/>
    <sheet name="PED" sheetId="9" r:id="rId8"/>
    <sheet name="ANÁLISE" sheetId="22" r:id="rId9"/>
  </sheets>
  <externalReferences>
    <externalReference r:id="rId10"/>
    <externalReference r:id="rId11"/>
  </externalReferences>
  <definedNames>
    <definedName name="_xlnm.Print_Area" localSheetId="2">QUESTÕES!$A$1:$J$38</definedName>
    <definedName name="solver_adj" localSheetId="2" hidden="1">QUESTÕES!$J$4:$J$6</definedName>
    <definedName name="solver_cvg" localSheetId="2" hidden="1">0.00001</definedName>
    <definedName name="solver_drv" localSheetId="2" hidden="1">1</definedName>
    <definedName name="solver_eng" localSheetId="2" hidden="1">1</definedName>
    <definedName name="solver_est" localSheetId="2" hidden="1">1</definedName>
    <definedName name="solver_itr" localSheetId="2" hidden="1">100</definedName>
    <definedName name="solver_lhs1" localSheetId="2" hidden="1">QUESTÕES!$E$4:$E$9</definedName>
    <definedName name="solver_lhs2" localSheetId="2" hidden="1">QUESTÕES!$J$4:$J$6</definedName>
    <definedName name="solver_lin" localSheetId="2" hidden="1">2</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2</definedName>
    <definedName name="solver_nod" localSheetId="2" hidden="1">2147483647</definedName>
    <definedName name="solver_num" localSheetId="2" hidden="1">2</definedName>
    <definedName name="solver_nwt" localSheetId="2" hidden="1">1</definedName>
    <definedName name="solver_opt" localSheetId="2" hidden="1">QUESTÕES!$H$29</definedName>
    <definedName name="solver_pre" localSheetId="2" hidden="1">0.00001</definedName>
    <definedName name="solver_rbv" localSheetId="2" hidden="1">1</definedName>
    <definedName name="solver_rel1" localSheetId="2" hidden="1">1</definedName>
    <definedName name="solver_rel2" localSheetId="2" hidden="1">3</definedName>
    <definedName name="solver_rhs1" localSheetId="2" hidden="1">QUESTÕES!$D$4:$D$9</definedName>
    <definedName name="solver_rhs2" localSheetId="2" hidden="1">0</definedName>
    <definedName name="solver_rlx" localSheetId="2" hidden="1">1</definedName>
    <definedName name="solver_rsd" localSheetId="2" hidden="1">0</definedName>
    <definedName name="solver_scl" localSheetId="2" hidden="1">2</definedName>
    <definedName name="solver_sho" localSheetId="2" hidden="1">2</definedName>
    <definedName name="solver_ssz" localSheetId="2" hidden="1">100</definedName>
    <definedName name="solver_tim" localSheetId="2" hidden="1">100</definedName>
    <definedName name="solver_tol" localSheetId="2" hidden="1">0.05</definedName>
    <definedName name="solver_typ" localSheetId="2" hidden="1">1</definedName>
    <definedName name="solver_val" localSheetId="2" hidden="1">0</definedName>
    <definedName name="solver_ver" localSheetId="2" hidden="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8" l="1"/>
  <c r="G4" i="22" s="1"/>
  <c r="F4" i="22"/>
  <c r="E4" i="22"/>
  <c r="D4" i="22"/>
  <c r="K16" i="7" l="1"/>
  <c r="G30" i="8"/>
  <c r="D21" i="8"/>
  <c r="G23" i="8"/>
  <c r="G19" i="8"/>
  <c r="K46" i="8"/>
  <c r="G15" i="8"/>
  <c r="C10" i="8"/>
  <c r="B3" i="9" s="1"/>
  <c r="F4" i="3"/>
  <c r="F9" i="3" s="1"/>
  <c r="C5" i="7"/>
  <c r="C4" i="7"/>
  <c r="D4" i="7" s="1"/>
  <c r="F4" i="7" s="1"/>
  <c r="B4" i="7"/>
  <c r="B5" i="7"/>
  <c r="B6" i="7"/>
  <c r="C7" i="6"/>
  <c r="E7" i="6"/>
  <c r="C8" i="6"/>
  <c r="C9" i="6"/>
  <c r="E9" i="6"/>
  <c r="C10" i="6"/>
  <c r="C11" i="6"/>
  <c r="E11" i="6"/>
  <c r="C12" i="6"/>
  <c r="F7" i="6"/>
  <c r="F9" i="6"/>
  <c r="F11" i="6"/>
  <c r="G7" i="6"/>
  <c r="G8" i="6"/>
  <c r="G9" i="6"/>
  <c r="G11" i="6"/>
  <c r="E14" i="19"/>
  <c r="D14" i="19"/>
  <c r="C14" i="19"/>
  <c r="F3" i="3"/>
  <c r="G3" i="6"/>
  <c r="E3" i="3"/>
  <c r="D3" i="3"/>
  <c r="A6" i="3"/>
  <c r="A7" i="3"/>
  <c r="A8" i="3"/>
  <c r="A9" i="3"/>
  <c r="A10" i="3"/>
  <c r="A11" i="3"/>
  <c r="A5" i="3"/>
  <c r="F3" i="6"/>
  <c r="E3" i="6"/>
  <c r="B7" i="6"/>
  <c r="B8" i="6"/>
  <c r="B9" i="6"/>
  <c r="B10" i="6"/>
  <c r="B11" i="6"/>
  <c r="B12" i="6"/>
  <c r="A8" i="6"/>
  <c r="A9" i="6"/>
  <c r="A10" i="6"/>
  <c r="A11" i="6"/>
  <c r="A12" i="6"/>
  <c r="A7" i="6"/>
  <c r="A5" i="7"/>
  <c r="A6" i="7"/>
  <c r="A4" i="7"/>
  <c r="E8" i="19"/>
  <c r="C6" i="7"/>
  <c r="E6" i="19"/>
  <c r="E5" i="19"/>
  <c r="D4" i="3"/>
  <c r="E6" i="6" s="1"/>
  <c r="E5" i="6" s="1"/>
  <c r="E9" i="19"/>
  <c r="E7" i="19"/>
  <c r="E4" i="19"/>
  <c r="E4" i="3"/>
  <c r="E6" i="3" s="1"/>
  <c r="F12" i="6"/>
  <c r="E12" i="6"/>
  <c r="F8" i="6"/>
  <c r="F4" i="6"/>
  <c r="E8" i="6"/>
  <c r="G12" i="6"/>
  <c r="E10" i="6"/>
  <c r="F10" i="6"/>
  <c r="G10" i="6"/>
  <c r="G4" i="6"/>
  <c r="E4" i="6"/>
  <c r="H6" i="7"/>
  <c r="H5" i="7"/>
  <c r="H4" i="7"/>
  <c r="I4" i="7"/>
  <c r="J4" i="7"/>
  <c r="C19" i="8"/>
  <c r="B12" i="9" l="1"/>
  <c r="B13" i="9"/>
  <c r="B11" i="9"/>
  <c r="B20" i="9"/>
  <c r="B14" i="9"/>
  <c r="B19" i="9"/>
  <c r="B17" i="9"/>
  <c r="B16" i="9"/>
  <c r="B10" i="9"/>
  <c r="B18" i="9"/>
  <c r="B21" i="9"/>
  <c r="B15" i="9"/>
  <c r="I6" i="7"/>
  <c r="K6" i="7" s="1"/>
  <c r="G5" i="7"/>
  <c r="I5" i="7"/>
  <c r="K5" i="7" s="1"/>
  <c r="F10" i="3"/>
  <c r="F5" i="3"/>
  <c r="F7" i="3"/>
  <c r="E9" i="3"/>
  <c r="K4" i="7"/>
  <c r="D7" i="3"/>
  <c r="D10" i="3"/>
  <c r="D8" i="3"/>
  <c r="D6" i="3"/>
  <c r="D5" i="3"/>
  <c r="D9" i="3"/>
  <c r="E8" i="3"/>
  <c r="F8" i="3"/>
  <c r="E5" i="3"/>
  <c r="E10" i="3"/>
  <c r="F6" i="6"/>
  <c r="F5" i="6" s="1"/>
  <c r="E7" i="3"/>
  <c r="F6" i="3"/>
  <c r="G6" i="6"/>
  <c r="G5" i="6" s="1"/>
  <c r="J6" i="7"/>
  <c r="J5" i="7"/>
  <c r="D5" i="7"/>
  <c r="G4" i="7"/>
  <c r="C15" i="7"/>
  <c r="D6" i="7"/>
  <c r="G6" i="7"/>
  <c r="F5" i="7" l="1"/>
  <c r="C9" i="3"/>
  <c r="C10" i="3"/>
  <c r="C5" i="3"/>
  <c r="G15" i="7"/>
  <c r="C5" i="8" s="1"/>
  <c r="C18" i="8" s="1"/>
  <c r="C20" i="8" s="1"/>
  <c r="D20" i="8" s="1"/>
  <c r="D22" i="8" s="1"/>
  <c r="G7" i="8" s="1"/>
  <c r="K15" i="7"/>
  <c r="C7" i="3"/>
  <c r="C8" i="3"/>
  <c r="C6" i="3"/>
  <c r="D15" i="7"/>
  <c r="M4" i="7" s="1"/>
  <c r="F6" i="7"/>
  <c r="F15" i="7" l="1"/>
  <c r="C4" i="8" s="1"/>
  <c r="M6" i="7"/>
  <c r="N6" i="7" s="1"/>
  <c r="O6" i="7" s="1"/>
  <c r="P6" i="7" s="1"/>
  <c r="Q6" i="7" s="1"/>
  <c r="M5" i="7"/>
  <c r="N5" i="7" s="1"/>
  <c r="O5" i="7" s="1"/>
  <c r="P5" i="7" s="1"/>
  <c r="Q5" i="7" s="1"/>
  <c r="N4" i="7"/>
  <c r="L6" i="7"/>
  <c r="K17" i="7"/>
  <c r="H24" i="19"/>
  <c r="C22" i="8"/>
  <c r="L5" i="7"/>
  <c r="L4" i="7"/>
  <c r="H23" i="19"/>
  <c r="G5" i="8"/>
  <c r="C3" i="8"/>
  <c r="D19" i="7"/>
  <c r="M15" i="7" l="1"/>
  <c r="O4" i="7"/>
  <c r="P4" i="7" s="1"/>
  <c r="Q4" i="7" s="1"/>
  <c r="Q7" i="7" s="1"/>
  <c r="L15" i="7"/>
  <c r="B1" i="9"/>
  <c r="A11" i="9" s="1"/>
  <c r="D10" i="8"/>
  <c r="D3" i="8"/>
  <c r="H22" i="19"/>
  <c r="C6" i="8"/>
  <c r="G4" i="8"/>
  <c r="G6" i="8" s="1"/>
  <c r="G9" i="8" s="1"/>
  <c r="G14" i="8" s="1"/>
  <c r="G16" i="8" s="1"/>
  <c r="H30" i="8" s="1"/>
  <c r="D5" i="8"/>
  <c r="D4" i="8"/>
  <c r="I28" i="19" l="1"/>
  <c r="I22" i="19"/>
  <c r="I24" i="19"/>
  <c r="I23" i="19"/>
  <c r="F5" i="8"/>
  <c r="B4" i="9"/>
  <c r="C10" i="9" s="1"/>
  <c r="D10" i="9" s="1"/>
  <c r="E10" i="9" s="1"/>
  <c r="E5" i="8"/>
  <c r="I30" i="8"/>
  <c r="J30" i="8" s="1"/>
  <c r="K30" i="8" s="1"/>
  <c r="L30" i="8" s="1"/>
  <c r="M30" i="8" s="1"/>
  <c r="N30" i="8" s="1"/>
  <c r="O30" i="8" s="1"/>
  <c r="P30" i="8" s="1"/>
  <c r="Q30" i="8" s="1"/>
  <c r="G20" i="8"/>
  <c r="G21" i="8" s="1"/>
  <c r="K45" i="8" s="1"/>
  <c r="D6" i="8"/>
  <c r="H25" i="19"/>
  <c r="C9" i="8"/>
  <c r="A12" i="9"/>
  <c r="H27" i="19" l="1"/>
  <c r="I25" i="19"/>
  <c r="C11" i="9"/>
  <c r="D11" i="9" s="1"/>
  <c r="E11" i="9" s="1"/>
  <c r="C11" i="8"/>
  <c r="D9" i="8"/>
  <c r="E3" i="8"/>
  <c r="B2" i="9"/>
  <c r="D24" i="9" s="1"/>
  <c r="A13" i="9"/>
  <c r="C12" i="9"/>
  <c r="D12" i="9" s="1"/>
  <c r="E12" i="9" s="1"/>
  <c r="G22" i="8"/>
  <c r="G24" i="8" s="1"/>
  <c r="G25" i="8" s="1"/>
  <c r="H29" i="19" l="1"/>
  <c r="I29" i="19" s="1"/>
  <c r="I27" i="19"/>
  <c r="C13" i="9"/>
  <c r="D13" i="9" s="1"/>
  <c r="E13" i="9" s="1"/>
  <c r="A14" i="9"/>
  <c r="K44" i="8"/>
  <c r="K47" i="8" s="1"/>
  <c r="D11" i="8"/>
  <c r="E11" i="8"/>
  <c r="C14" i="9" l="1"/>
  <c r="D14" i="9" s="1"/>
  <c r="E14" i="9" s="1"/>
  <c r="A15" i="9"/>
  <c r="A16" i="9" l="1"/>
  <c r="C15" i="9"/>
  <c r="D15" i="9" s="1"/>
  <c r="E15" i="9" s="1"/>
  <c r="A17" i="9" l="1"/>
  <c r="C16" i="9"/>
  <c r="D16" i="9" s="1"/>
  <c r="E16" i="9" s="1"/>
  <c r="A18" i="9" l="1"/>
  <c r="C17" i="9"/>
  <c r="D17" i="9" s="1"/>
  <c r="E17" i="9" s="1"/>
  <c r="A19" i="9" l="1"/>
  <c r="C18" i="9"/>
  <c r="D18" i="9" s="1"/>
  <c r="E18" i="9" s="1"/>
  <c r="A20" i="9" l="1"/>
  <c r="C19" i="9"/>
  <c r="D19" i="9" s="1"/>
  <c r="E19" i="9" s="1"/>
  <c r="A21" i="9" l="1"/>
  <c r="C20" i="9"/>
  <c r="D20" i="9" s="1"/>
  <c r="E20" i="9" s="1"/>
  <c r="C21" i="9" l="1"/>
  <c r="D21" i="9" s="1"/>
  <c r="E21" i="9" s="1"/>
</calcChain>
</file>

<file path=xl/sharedStrings.xml><?xml version="1.0" encoding="utf-8"?>
<sst xmlns="http://schemas.openxmlformats.org/spreadsheetml/2006/main" count="270" uniqueCount="178">
  <si>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</si>
  <si>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</si>
  <si>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</si>
  <si>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</si>
  <si>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</si>
  <si>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</si>
  <si>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</si>
  <si>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</si>
  <si>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</si>
  <si>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</si>
  <si>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</si>
  <si>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</si>
  <si>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</si>
  <si>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</si>
  <si>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</si>
  <si>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</si>
  <si>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</si>
  <si>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</si>
  <si>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</si>
  <si>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</si>
  <si>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</si>
  <si>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</si>
  <si>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</si>
  <si>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</si>
  <si>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</si>
  <si>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</si>
  <si>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</si>
  <si>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</si>
  <si>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</si>
  <si>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</si>
  <si>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</si>
  <si>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</si>
  <si>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</si>
  <si>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</si>
  <si>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</si>
  <si>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CF</t>
  </si>
  <si>
    <t>Fatura</t>
  </si>
  <si>
    <t>Passo</t>
  </si>
  <si>
    <t>CV</t>
  </si>
  <si>
    <t>CT</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</si>
  <si>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</si>
  <si>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</si>
  <si>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</si>
  <si>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</si>
  <si>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</si>
  <si>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</si>
  <si>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</si>
  <si>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</si>
  <si>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</si>
  <si>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</si>
  <si>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</si>
  <si>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</si>
  <si>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</si>
  <si>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</si>
  <si>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</si>
  <si>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</si>
  <si>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</si>
  <si>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</si>
  <si>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</si>
  <si>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</si>
  <si>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</si>
  <si>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</si>
  <si>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</si>
  <si>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</si>
  <si>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</si>
  <si>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</si>
  <si>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</si>
  <si>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</si>
  <si>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</si>
  <si>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</si>
  <si>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</si>
  <si>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</si>
  <si>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</si>
  <si>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</si>
  <si>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</si>
  <si>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</si>
  <si>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</si>
  <si>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</si>
  <si>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</si>
  <si>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</si>
  <si>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</si>
  <si>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</si>
  <si>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</si>
  <si>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</si>
  <si>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</si>
  <si>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</si>
  <si>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</si>
  <si>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</si>
  <si>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</si>
  <si>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</si>
  <si>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</si>
  <si>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</si>
  <si>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</si>
  <si>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fluxo de caixa prospectivo (10 ANOS DE HORIZONTE DO PROJETO)</t>
  </si>
  <si>
    <t>os cf da fábrica estao incluidos no CPV</t>
  </si>
  <si>
    <t>DRE (12 MESES)</t>
  </si>
  <si>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</si>
  <si>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</si>
  <si>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</si>
  <si>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</si>
  <si>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</si>
  <si>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</si>
  <si>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</si>
  <si>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</si>
  <si>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</si>
  <si>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</si>
  <si>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</si>
  <si>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</si>
  <si>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</si>
  <si>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</si>
  <si>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</si>
  <si>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</si>
  <si>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</si>
  <si>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</si>
  <si>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</si>
  <si>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dado (mercado)</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</si>
  <si>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</si>
  <si>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Marion, J. C. (2012). Contabilidade Empresarial. 16ª ed. São Paulo: ATLAS.</t>
  </si>
  <si>
    <r>
      <t>Damodaran, A. (2010). </t>
    </r>
    <r>
      <rPr>
        <i/>
        <sz val="11"/>
        <rFont val="Times New Roman"/>
        <family val="1"/>
      </rPr>
      <t>Avaliação de investimentos. Ferramentas e técnicas para a Determinação do Valor de Qualquer Ativo,</t>
    </r>
    <r>
      <rPr>
        <sz val="11"/>
        <rFont val="Times New Roman"/>
        <family val="1"/>
      </rPr>
      <t> 2. ed. São Paulo: Qualitymark. 1.036 p.</t>
    </r>
  </si>
  <si>
    <r>
      <t xml:space="preserve">(-) CPV/CMV/CSV (aqui entra a </t>
    </r>
    <r>
      <rPr>
        <b/>
        <i/>
        <sz val="10"/>
        <rFont val="Cambria"/>
        <family val="1"/>
      </rPr>
      <t>depreciação</t>
    </r>
    <r>
      <rPr>
        <sz val="10"/>
        <rFont val="Cambria"/>
        <family val="1"/>
      </rPr>
      <t>) maq e eqptos e etc…</t>
    </r>
  </si>
  <si>
    <t>Q*=CF/mcu</t>
  </si>
  <si>
    <t>mcu.Q*=CF</t>
  </si>
  <si>
    <t>RT=CVT +CFT</t>
  </si>
  <si>
    <t>(p.Q)-(cvu.Q)=CF</t>
  </si>
  <si>
    <t>Q(1-cvu)=CF</t>
  </si>
  <si>
    <t>Q=CF/(1-cvu)</t>
  </si>
  <si>
    <t>Q=CF/mcu</t>
  </si>
  <si>
    <t xml:space="preserve">(=) LUCRO  DEPOIS DO IR </t>
  </si>
  <si>
    <t>P. EQUILIBRIO</t>
  </si>
  <si>
    <t>Microsoft Excel 16.43 Sensitivity Report</t>
  </si>
  <si>
    <t>Worksheet: [PIZZARIA MODELO 1 PREÇOS DE MERCADO com otimizacao.xls]QUESTÕES</t>
  </si>
  <si>
    <t>Report Created: 11/04/23 10:54:31</t>
  </si>
  <si>
    <t>Variable Cells</t>
  </si>
  <si>
    <t>Cell</t>
  </si>
  <si>
    <t>Name</t>
  </si>
  <si>
    <t>Final</t>
  </si>
  <si>
    <t>Value</t>
  </si>
  <si>
    <t>Reduced</t>
  </si>
  <si>
    <t>Gradient</t>
  </si>
  <si>
    <t>Constraints</t>
  </si>
  <si>
    <t>Lagrange</t>
  </si>
  <si>
    <t>Multiplier</t>
  </si>
  <si>
    <t>$J$4</t>
  </si>
  <si>
    <t>un. Quantidade</t>
  </si>
  <si>
    <t>$J$5</t>
  </si>
  <si>
    <t>$J$6</t>
  </si>
  <si>
    <t>$E$4</t>
  </si>
  <si>
    <t>kg utilizacao</t>
  </si>
  <si>
    <t>$E$5</t>
  </si>
  <si>
    <t>un. utilizacao</t>
  </si>
  <si>
    <t>$E$6</t>
  </si>
  <si>
    <t>L utilizacao</t>
  </si>
  <si>
    <t>$E$7</t>
  </si>
  <si>
    <t>$E$8</t>
  </si>
  <si>
    <t>$E$9</t>
  </si>
  <si>
    <t>PE =</t>
  </si>
  <si>
    <t>CF/mc%</t>
  </si>
  <si>
    <t>[uma pizzaria com custos fixos na fábrica, sem despesas operacionais]</t>
  </si>
  <si>
    <t>aqui o cálculo do custeio por absorção utilizando como base de rateio o faturamento proporcional de cada produto</t>
  </si>
  <si>
    <t>Base de rateio</t>
  </si>
  <si>
    <t>rateio</t>
  </si>
  <si>
    <t>custo fixo unitário (R$/u)</t>
  </si>
  <si>
    <t>custo unitário total=cfu+cvu+dvv</t>
  </si>
  <si>
    <t>margem de lucro unitário (R$/u)</t>
  </si>
  <si>
    <t>MLT x produto</t>
  </si>
  <si>
    <t>CFT</t>
  </si>
  <si>
    <t>5. Calcular Ponto de equilíbrio (PED)</t>
  </si>
  <si>
    <t>Worksheet: [PIZZARIA MODELO 2 PREÇOS DE MERCADO com otimizacao.xlsx]QUESTÕES</t>
  </si>
  <si>
    <t>Report Created: 11/04/23 11:27:15</t>
  </si>
  <si>
    <t xml:space="preserve"> considera restrições de MPs)</t>
  </si>
  <si>
    <t>EBITDA</t>
  </si>
  <si>
    <t>LUCRO CONTÁBIL</t>
  </si>
  <si>
    <t>TRC</t>
  </si>
  <si>
    <t>EBITDA/INV (TIR)</t>
  </si>
  <si>
    <t>MODELO 1</t>
  </si>
  <si>
    <t>MODELO 2</t>
  </si>
  <si>
    <t>MODELO 3</t>
  </si>
  <si>
    <t>MODELO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</si>
</sst>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26" x14ac:knownFonts="1">
    <font>
      <sz val="10"/>
      <name val="Arial"/>
    </font>
    <font>
      <sz val="10"/>
      <name val="Arial"/>
      <family val="2"/>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sz val="10"/>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sz val="10"/>
      <name val="Arial"/>
      <family val="2"/>
    </font>
    <font>
      <b/>
      <sz val="14"/>
      <name val="Arial"/>
      <family val="2"/>
    </font>
    <font>
      <b/>
      <sz val="8"/>
      <name val="Cambria"/>
      <family val="1"/>
    </font>
    <font>
      <b/>
      <sz val="16"/>
      <name val="Arial"/>
      <family val="2"/>
    </font>
    <font>
      <sz val="11"/>
      <name val="Times New Roman"/>
      <family val="1"/>
    </font>
    <font>
      <i/>
      <sz val="11"/>
      <name val="Times New Roman"/>
      <family val="1"/>
    </font>
    <font>
      <b/>
      <sz val="10"/>
      <color indexed="18"/>
      <name val="Arial"/>
      <family val="2"/>
    </font>
    <font>
      <sz val="8"/>
      <name val="Arial"/>
      <family val="2"/>
    </font>
    <font>
      <sz val="6"/>
      <name val="Arial"/>
      <family val="2"/>
    </font>
  </fonts>
  <fills count="1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
      <patternFill patternType="solid">
        <fgColor theme="2"/>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23"/>
      </top>
      <bottom/>
      <diagonal/>
    </border>
    <border>
      <left/>
      <right/>
      <top/>
      <bottom style="medium">
        <color indexed="23"/>
      </bottom>
      <diagonal/>
    </border>
    <border>
      <left/>
      <right/>
      <top style="thin">
        <color indexed="23"/>
      </top>
      <bottom/>
      <diagonal/>
    </border>
    <border>
      <left/>
      <right/>
      <top style="thin">
        <color indexed="23"/>
      </top>
      <bottom style="medium">
        <color indexed="2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43" fontId="0" fillId="0" borderId="0" xfId="0" applyNumberFormat="1"/>
    <xf numFmtId="9" fontId="0" fillId="0" borderId="0" xfId="2" applyFont="1"/>
    <xf numFmtId="164" fontId="0" fillId="0" borderId="0" xfId="2" applyNumberFormat="1" applyFont="1"/>
    <xf numFmtId="0" fontId="2" fillId="2" borderId="0" xfId="0" applyFont="1" applyFill="1"/>
    <xf numFmtId="0" fontId="0" fillId="2" borderId="0" xfId="0" applyFill="1"/>
    <xf numFmtId="9" fontId="0" fillId="2" borderId="0" xfId="0" applyNumberFormat="1" applyFill="1"/>
    <xf numFmtId="10" fontId="0" fillId="2" borderId="0" xfId="2" applyNumberFormat="1" applyFont="1" applyFill="1"/>
    <xf numFmtId="0" fontId="4" fillId="4" borderId="4" xfId="0" applyFont="1" applyFill="1" applyBorder="1"/>
    <xf numFmtId="0" fontId="4" fillId="4" borderId="5" xfId="0" applyFont="1" applyFill="1" applyBorder="1"/>
    <xf numFmtId="0" fontId="2" fillId="5" borderId="6" xfId="0" applyFont="1" applyFill="1" applyBorder="1"/>
    <xf numFmtId="0" fontId="2" fillId="5" borderId="7" xfId="0" applyFont="1" applyFill="1" applyBorder="1"/>
    <xf numFmtId="0" fontId="2" fillId="5" borderId="8" xfId="0" applyFont="1" applyFill="1" applyBorder="1"/>
    <xf numFmtId="0" fontId="2" fillId="5" borderId="9" xfId="0" applyFont="1" applyFill="1" applyBorder="1"/>
    <xf numFmtId="0" fontId="4" fillId="6" borderId="5" xfId="0" applyFont="1" applyFill="1" applyBorder="1"/>
    <xf numFmtId="0" fontId="5" fillId="2" borderId="7" xfId="0" applyFont="1" applyFill="1" applyBorder="1"/>
    <xf numFmtId="0" fontId="5" fillId="2" borderId="10" xfId="0" applyFont="1" applyFill="1" applyBorder="1"/>
    <xf numFmtId="0" fontId="5" fillId="2" borderId="9" xfId="0" applyFont="1" applyFill="1" applyBorder="1"/>
    <xf numFmtId="0" fontId="5" fillId="2" borderId="11" xfId="0" applyFont="1" applyFill="1" applyBorder="1"/>
    <xf numFmtId="0" fontId="4" fillId="4" borderId="12" xfId="0" applyFont="1" applyFill="1" applyBorder="1"/>
    <xf numFmtId="0" fontId="4" fillId="6" borderId="1" xfId="0" applyFont="1" applyFill="1" applyBorder="1"/>
    <xf numFmtId="0" fontId="4" fillId="6" borderId="2" xfId="0" applyFont="1" applyFill="1" applyBorder="1"/>
    <xf numFmtId="0" fontId="4" fillId="6" borderId="3" xfId="0" applyFont="1" applyFill="1" applyBorder="1"/>
    <xf numFmtId="0" fontId="2" fillId="7" borderId="5" xfId="0" applyFont="1" applyFill="1" applyBorder="1"/>
    <xf numFmtId="0" fontId="2" fillId="7" borderId="13" xfId="0" applyFont="1" applyFill="1" applyBorder="1"/>
    <xf numFmtId="0" fontId="2" fillId="5" borderId="14" xfId="0" applyFont="1" applyFill="1" applyBorder="1"/>
    <xf numFmtId="0" fontId="2" fillId="5" borderId="15" xfId="0" applyFont="1" applyFill="1" applyBorder="1"/>
    <xf numFmtId="0" fontId="2" fillId="7" borderId="16" xfId="0" applyFont="1" applyFill="1" applyBorder="1"/>
    <xf numFmtId="0" fontId="2" fillId="8" borderId="17" xfId="0" applyFont="1" applyFill="1" applyBorder="1"/>
    <xf numFmtId="0" fontId="2" fillId="9" borderId="18" xfId="1" applyNumberFormat="1" applyFont="1" applyFill="1" applyBorder="1"/>
    <xf numFmtId="0" fontId="2" fillId="9" borderId="19" xfId="1" applyNumberFormat="1" applyFont="1" applyFill="1" applyBorder="1"/>
    <xf numFmtId="0" fontId="5" fillId="2" borderId="20" xfId="0" applyFont="1" applyFill="1" applyBorder="1"/>
    <xf numFmtId="0" fontId="5" fillId="2" borderId="21" xfId="0" applyFont="1" applyFill="1" applyBorder="1"/>
    <xf numFmtId="0" fontId="6" fillId="2" borderId="22" xfId="0" applyFont="1" applyFill="1" applyBorder="1" applyProtection="1">
      <protection locked="0"/>
    </xf>
    <xf numFmtId="0" fontId="6" fillId="2" borderId="7" xfId="0" applyFont="1" applyFill="1" applyBorder="1" applyProtection="1">
      <protection locked="0"/>
    </xf>
    <xf numFmtId="0" fontId="6" fillId="2" borderId="6" xfId="0" applyFont="1" applyFill="1" applyBorder="1" applyProtection="1">
      <protection locked="0"/>
    </xf>
    <xf numFmtId="0" fontId="6" fillId="2" borderId="23" xfId="0" applyFont="1" applyFill="1" applyBorder="1" applyProtection="1">
      <protection locked="0"/>
    </xf>
    <xf numFmtId="0" fontId="6" fillId="2" borderId="24" xfId="0" applyFont="1" applyFill="1" applyBorder="1" applyProtection="1">
      <protection locked="0"/>
    </xf>
    <xf numFmtId="43" fontId="6" fillId="2" borderId="25" xfId="1" applyFont="1" applyFill="1" applyBorder="1" applyProtection="1">
      <protection locked="0"/>
    </xf>
    <xf numFmtId="43" fontId="7" fillId="0" borderId="26" xfId="0" applyNumberFormat="1" applyFont="1" applyBorder="1"/>
    <xf numFmtId="43" fontId="7" fillId="0" borderId="27" xfId="0" applyNumberFormat="1" applyFont="1" applyBorder="1"/>
    <xf numFmtId="0" fontId="8" fillId="0" borderId="28" xfId="0" applyFont="1" applyBorder="1"/>
    <xf numFmtId="0" fontId="8" fillId="0" borderId="29" xfId="0" applyFont="1" applyBorder="1"/>
    <xf numFmtId="0" fontId="2" fillId="8" borderId="30" xfId="0" applyFont="1" applyFill="1" applyBorder="1"/>
    <xf numFmtId="0" fontId="2" fillId="8" borderId="31" xfId="0" applyFont="1" applyFill="1" applyBorder="1"/>
    <xf numFmtId="0" fontId="4" fillId="6" borderId="23" xfId="0" applyFont="1" applyFill="1" applyBorder="1"/>
    <xf numFmtId="0" fontId="4" fillId="6" borderId="24" xfId="0" applyFont="1" applyFill="1" applyBorder="1"/>
    <xf numFmtId="0" fontId="4" fillId="6" borderId="25" xfId="0" applyFont="1" applyFill="1" applyBorder="1"/>
    <xf numFmtId="0" fontId="2" fillId="7" borderId="32" xfId="0" applyFont="1" applyFill="1" applyBorder="1"/>
    <xf numFmtId="0" fontId="2" fillId="7" borderId="33" xfId="0" applyFont="1" applyFill="1" applyBorder="1"/>
    <xf numFmtId="43" fontId="2" fillId="5" borderId="14" xfId="0" applyNumberFormat="1" applyFont="1" applyFill="1" applyBorder="1"/>
    <xf numFmtId="43" fontId="2" fillId="9" borderId="18" xfId="1" applyFont="1" applyFill="1" applyBorder="1"/>
    <xf numFmtId="43" fontId="2" fillId="5" borderId="15" xfId="0" applyNumberFormat="1" applyFont="1" applyFill="1" applyBorder="1"/>
    <xf numFmtId="43" fontId="2" fillId="9" borderId="19" xfId="1" applyFont="1" applyFill="1" applyBorder="1"/>
    <xf numFmtId="43" fontId="5" fillId="2" borderId="20" xfId="0" applyNumberFormat="1" applyFont="1" applyFill="1" applyBorder="1"/>
    <xf numFmtId="43" fontId="5" fillId="2" borderId="7" xfId="0" applyNumberFormat="1" applyFont="1" applyFill="1" applyBorder="1"/>
    <xf numFmtId="43" fontId="5" fillId="2" borderId="10" xfId="0" applyNumberFormat="1" applyFont="1" applyFill="1" applyBorder="1"/>
    <xf numFmtId="43" fontId="5" fillId="2" borderId="21" xfId="0" applyNumberFormat="1" applyFont="1" applyFill="1" applyBorder="1"/>
    <xf numFmtId="43" fontId="5" fillId="2" borderId="9" xfId="0" applyNumberFormat="1" applyFont="1" applyFill="1" applyBorder="1"/>
    <xf numFmtId="43" fontId="5" fillId="2" borderId="11" xfId="0" applyNumberFormat="1" applyFont="1" applyFill="1" applyBorder="1"/>
    <xf numFmtId="43" fontId="0" fillId="2" borderId="34" xfId="1" applyFont="1" applyFill="1" applyBorder="1"/>
    <xf numFmtId="43" fontId="0" fillId="2" borderId="0" xfId="0" applyNumberFormat="1" applyFill="1"/>
    <xf numFmtId="0" fontId="4" fillId="4" borderId="1" xfId="0" applyFont="1" applyFill="1" applyBorder="1"/>
    <xf numFmtId="43" fontId="0" fillId="2" borderId="35" xfId="1" applyFont="1" applyFill="1" applyBorder="1"/>
    <xf numFmtId="0" fontId="2" fillId="3" borderId="36" xfId="0" applyFont="1" applyFill="1" applyBorder="1"/>
    <xf numFmtId="0" fontId="2" fillId="3" borderId="19" xfId="0" applyFont="1" applyFill="1" applyBorder="1"/>
    <xf numFmtId="0" fontId="2" fillId="7" borderId="37" xfId="0" applyFont="1" applyFill="1" applyBorder="1"/>
    <xf numFmtId="0" fontId="2" fillId="10" borderId="37" xfId="0" applyFont="1" applyFill="1" applyBorder="1"/>
    <xf numFmtId="164" fontId="3" fillId="10" borderId="38" xfId="2" applyNumberFormat="1" applyFont="1" applyFill="1" applyBorder="1"/>
    <xf numFmtId="43" fontId="2" fillId="7" borderId="35" xfId="1" applyFont="1" applyFill="1" applyBorder="1"/>
    <xf numFmtId="43" fontId="2" fillId="7" borderId="39" xfId="0" applyNumberFormat="1" applyFont="1" applyFill="1" applyBorder="1"/>
    <xf numFmtId="165" fontId="0" fillId="0" borderId="0" xfId="1" applyNumberFormat="1" applyFont="1"/>
    <xf numFmtId="165" fontId="0" fillId="0" borderId="0" xfId="0" applyNumberFormat="1"/>
    <xf numFmtId="43" fontId="2" fillId="8" borderId="35" xfId="0" applyNumberFormat="1" applyFont="1" applyFill="1" applyBorder="1"/>
    <xf numFmtId="0" fontId="2" fillId="7" borderId="36" xfId="0" applyFont="1" applyFill="1" applyBorder="1"/>
    <xf numFmtId="0" fontId="2" fillId="11" borderId="37" xfId="0" applyFont="1" applyFill="1" applyBorder="1"/>
    <xf numFmtId="0" fontId="2" fillId="8" borderId="37" xfId="0" applyFont="1" applyFill="1" applyBorder="1"/>
    <xf numFmtId="0" fontId="6" fillId="2" borderId="40" xfId="0" applyFont="1" applyFill="1" applyBorder="1" applyProtection="1">
      <protection locked="0"/>
    </xf>
    <xf numFmtId="0" fontId="6" fillId="2" borderId="28" xfId="0" applyFont="1" applyFill="1" applyBorder="1" applyProtection="1">
      <protection locked="0"/>
    </xf>
    <xf numFmtId="9" fontId="2" fillId="5" borderId="7" xfId="1" applyNumberFormat="1" applyFont="1" applyFill="1" applyBorder="1"/>
    <xf numFmtId="43" fontId="10" fillId="2" borderId="7" xfId="0" applyNumberFormat="1" applyFont="1" applyFill="1" applyBorder="1"/>
    <xf numFmtId="0" fontId="4" fillId="4" borderId="35" xfId="0" applyFont="1" applyFill="1" applyBorder="1" applyAlignment="1">
      <alignment horizontal="center"/>
    </xf>
    <xf numFmtId="0" fontId="4" fillId="4" borderId="38" xfId="0" applyFont="1" applyFill="1" applyBorder="1" applyAlignment="1">
      <alignment horizontal="center"/>
    </xf>
    <xf numFmtId="43" fontId="2" fillId="10" borderId="35" xfId="1" applyFont="1" applyFill="1" applyBorder="1" applyAlignment="1">
      <alignment horizontal="center"/>
    </xf>
    <xf numFmtId="164" fontId="3" fillId="10" borderId="38" xfId="2" applyNumberFormat="1" applyFont="1" applyFill="1" applyBorder="1" applyAlignment="1">
      <alignment horizontal="center"/>
    </xf>
    <xf numFmtId="43" fontId="4" fillId="6" borderId="23" xfId="0" applyNumberFormat="1" applyFont="1" applyFill="1" applyBorder="1"/>
    <xf numFmtId="0" fontId="2" fillId="3" borderId="0" xfId="0" applyFont="1" applyFill="1" applyBorder="1"/>
    <xf numFmtId="43" fontId="0" fillId="2" borderId="0" xfId="1" applyFont="1" applyFill="1"/>
    <xf numFmtId="9" fontId="0" fillId="2" borderId="0" xfId="2" applyFont="1" applyFill="1"/>
    <xf numFmtId="0" fontId="0" fillId="0" borderId="42" xfId="0" applyBorder="1"/>
    <xf numFmtId="43" fontId="0" fillId="0" borderId="0" xfId="1" applyFont="1"/>
    <xf numFmtId="0" fontId="14"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2" borderId="0" xfId="0" applyFill="1" applyAlignment="1">
      <alignment horizontal="center"/>
    </xf>
    <xf numFmtId="0" fontId="0" fillId="13" borderId="0" xfId="0" applyFill="1"/>
    <xf numFmtId="164" fontId="0" fillId="2" borderId="0" xfId="0" applyNumberFormat="1" applyFill="1" applyAlignment="1">
      <alignment horizontal="center"/>
    </xf>
    <xf numFmtId="0" fontId="16" fillId="0" borderId="0" xfId="0" applyFont="1"/>
    <xf numFmtId="0" fontId="17" fillId="0" borderId="0" xfId="0" applyFont="1"/>
    <xf numFmtId="0" fontId="18" fillId="2" borderId="0" xfId="0" applyFont="1" applyFill="1"/>
    <xf numFmtId="0" fontId="2" fillId="3" borderId="42" xfId="0" applyFont="1" applyFill="1" applyBorder="1"/>
    <xf numFmtId="0" fontId="2" fillId="2" borderId="42" xfId="0" applyFont="1" applyFill="1" applyBorder="1"/>
    <xf numFmtId="0" fontId="0" fillId="2" borderId="42" xfId="0" applyFill="1" applyBorder="1"/>
    <xf numFmtId="0" fontId="6" fillId="2" borderId="42" xfId="0" applyFont="1" applyFill="1" applyBorder="1" applyProtection="1">
      <protection locked="0"/>
    </xf>
    <xf numFmtId="43" fontId="6" fillId="2" borderId="42" xfId="1" applyFont="1" applyFill="1" applyBorder="1" applyProtection="1">
      <protection locked="0"/>
    </xf>
    <xf numFmtId="43" fontId="0" fillId="2" borderId="39" xfId="1" applyFont="1" applyFill="1" applyBorder="1"/>
    <xf numFmtId="0" fontId="11" fillId="2" borderId="0" xfId="0" applyFont="1" applyFill="1"/>
    <xf numFmtId="0" fontId="0" fillId="2" borderId="43" xfId="0" applyFill="1" applyBorder="1"/>
    <xf numFmtId="0" fontId="11" fillId="2" borderId="26" xfId="0" applyFont="1" applyFill="1" applyBorder="1" applyAlignment="1">
      <alignment horizontal="center"/>
    </xf>
    <xf numFmtId="0" fontId="0" fillId="2" borderId="44" xfId="0" applyFill="1" applyBorder="1"/>
    <xf numFmtId="43" fontId="0" fillId="2" borderId="42" xfId="0" applyNumberFormat="1" applyFill="1" applyBorder="1"/>
    <xf numFmtId="0" fontId="0" fillId="2" borderId="40" xfId="0" applyFill="1" applyBorder="1"/>
    <xf numFmtId="43" fontId="0" fillId="2" borderId="28" xfId="0" applyNumberFormat="1" applyFill="1" applyBorder="1"/>
    <xf numFmtId="43" fontId="0" fillId="2" borderId="29" xfId="0" applyNumberFormat="1" applyFill="1" applyBorder="1"/>
    <xf numFmtId="0" fontId="19" fillId="0" borderId="0" xfId="0" applyFont="1" applyAlignment="1">
      <alignment vertical="center"/>
    </xf>
    <xf numFmtId="0" fontId="11" fillId="13" borderId="0" xfId="0" applyFont="1" applyFill="1"/>
    <xf numFmtId="0" fontId="11" fillId="13" borderId="14" xfId="0" applyFont="1" applyFill="1" applyBorder="1"/>
    <xf numFmtId="0" fontId="11" fillId="13" borderId="42" xfId="0" applyFont="1" applyFill="1" applyBorder="1"/>
    <xf numFmtId="0" fontId="0" fillId="13" borderId="42" xfId="0" applyFill="1" applyBorder="1"/>
    <xf numFmtId="43" fontId="0" fillId="2" borderId="0" xfId="0" applyNumberFormat="1" applyFill="1" applyAlignment="1">
      <alignment horizontal="left"/>
    </xf>
    <xf numFmtId="0" fontId="0" fillId="2" borderId="0" xfId="0" applyFill="1" applyAlignment="1">
      <alignment horizontal="left"/>
    </xf>
    <xf numFmtId="0" fontId="20" fillId="13" borderId="0" xfId="0" applyFont="1" applyFill="1"/>
    <xf numFmtId="0" fontId="4" fillId="4" borderId="41" xfId="0" applyFont="1" applyFill="1" applyBorder="1" applyAlignment="1">
      <alignment horizontal="center"/>
    </xf>
    <xf numFmtId="164" fontId="0" fillId="2" borderId="0" xfId="0" applyNumberFormat="1" applyFill="1"/>
    <xf numFmtId="0" fontId="4" fillId="4" borderId="2" xfId="0" applyFont="1" applyFill="1" applyBorder="1" applyAlignment="1">
      <alignment horizontal="center"/>
    </xf>
    <xf numFmtId="0" fontId="4" fillId="6" borderId="2" xfId="0" applyFont="1" applyFill="1" applyBorder="1" applyAlignment="1">
      <alignment horizontal="center"/>
    </xf>
    <xf numFmtId="0" fontId="4" fillId="6" borderId="3" xfId="0" applyFont="1" applyFill="1" applyBorder="1" applyAlignment="1">
      <alignment horizontal="center"/>
    </xf>
    <xf numFmtId="43" fontId="2" fillId="5" borderId="6" xfId="0" applyNumberFormat="1" applyFont="1" applyFill="1" applyBorder="1" applyAlignment="1">
      <alignment horizontal="center"/>
    </xf>
    <xf numFmtId="43" fontId="2" fillId="10" borderId="7" xfId="1" applyFont="1" applyFill="1" applyBorder="1" applyAlignment="1">
      <alignment horizontal="center"/>
    </xf>
    <xf numFmtId="1" fontId="2" fillId="5" borderId="7" xfId="2" applyNumberFormat="1" applyFont="1" applyFill="1" applyBorder="1" applyAlignment="1">
      <alignment horizontal="center"/>
    </xf>
    <xf numFmtId="43" fontId="0" fillId="2" borderId="0" xfId="0" applyNumberFormat="1" applyFill="1" applyAlignment="1">
      <alignment horizontal="center"/>
    </xf>
    <xf numFmtId="0" fontId="2" fillId="2" borderId="7" xfId="0" applyNumberFormat="1" applyFont="1" applyFill="1" applyBorder="1" applyAlignment="1">
      <alignment horizontal="center"/>
    </xf>
    <xf numFmtId="10" fontId="6" fillId="3" borderId="7" xfId="2" applyNumberFormat="1" applyFont="1" applyFill="1" applyBorder="1" applyAlignment="1">
      <alignment horizontal="center"/>
    </xf>
    <xf numFmtId="43" fontId="2" fillId="2" borderId="7" xfId="0" applyNumberFormat="1" applyFont="1" applyFill="1" applyBorder="1" applyAlignment="1">
      <alignment horizontal="center"/>
    </xf>
    <xf numFmtId="10" fontId="9" fillId="12" borderId="10" xfId="2" applyNumberFormat="1" applyFont="1" applyFill="1" applyBorder="1" applyAlignment="1">
      <alignment horizontal="center"/>
    </xf>
    <xf numFmtId="43" fontId="2" fillId="5" borderId="7" xfId="1" applyFont="1" applyFill="1" applyBorder="1" applyAlignment="1">
      <alignment horizontal="center"/>
    </xf>
    <xf numFmtId="0" fontId="2" fillId="5" borderId="7" xfId="0" applyFont="1" applyFill="1" applyBorder="1" applyAlignment="1">
      <alignment horizontal="center"/>
    </xf>
    <xf numFmtId="9" fontId="2" fillId="5" borderId="7" xfId="1" applyNumberFormat="1" applyFont="1" applyFill="1" applyBorder="1" applyAlignment="1">
      <alignment horizontal="center"/>
    </xf>
    <xf numFmtId="43" fontId="10" fillId="2" borderId="7" xfId="0" applyNumberFormat="1" applyFont="1" applyFill="1" applyBorder="1" applyAlignment="1">
      <alignment horizontal="center"/>
    </xf>
    <xf numFmtId="43" fontId="2" fillId="2" borderId="9" xfId="0" applyNumberFormat="1" applyFont="1" applyFill="1" applyBorder="1" applyAlignment="1">
      <alignment horizontal="center"/>
    </xf>
    <xf numFmtId="10" fontId="6" fillId="3" borderId="9" xfId="2" applyNumberFormat="1" applyFont="1" applyFill="1" applyBorder="1" applyAlignment="1">
      <alignment horizontal="center"/>
    </xf>
    <xf numFmtId="10" fontId="9" fillId="12" borderId="11" xfId="2" applyNumberFormat="1" applyFont="1" applyFill="1" applyBorder="1" applyAlignment="1">
      <alignment horizontal="center"/>
    </xf>
    <xf numFmtId="9" fontId="0" fillId="2" borderId="0" xfId="2" applyFont="1" applyFill="1" applyAlignment="1">
      <alignment horizontal="center"/>
    </xf>
    <xf numFmtId="0" fontId="11" fillId="2" borderId="45" xfId="0" applyFont="1" applyFill="1" applyBorder="1" applyAlignment="1">
      <alignment horizontal="center"/>
    </xf>
    <xf numFmtId="0" fontId="0" fillId="2" borderId="46" xfId="0" applyFill="1" applyBorder="1"/>
    <xf numFmtId="43" fontId="0" fillId="2" borderId="46" xfId="0" applyNumberFormat="1" applyFill="1" applyBorder="1"/>
    <xf numFmtId="0" fontId="0" fillId="14" borderId="36" xfId="0" applyFill="1" applyBorder="1"/>
    <xf numFmtId="0" fontId="0" fillId="14" borderId="18" xfId="0" applyFill="1" applyBorder="1" applyAlignment="1">
      <alignment horizontal="right"/>
    </xf>
    <xf numFmtId="0" fontId="0" fillId="14" borderId="19" xfId="0" applyFill="1" applyBorder="1" applyAlignment="1">
      <alignment horizontal="right"/>
    </xf>
    <xf numFmtId="0" fontId="0" fillId="0" borderId="0" xfId="0" applyAlignment="1">
      <alignment horizontal="center"/>
    </xf>
    <xf numFmtId="0" fontId="2" fillId="10" borderId="37" xfId="0" applyFont="1" applyFill="1" applyBorder="1" applyAlignment="1">
      <alignment horizontal="center"/>
    </xf>
    <xf numFmtId="43" fontId="0" fillId="0" borderId="0" xfId="0" applyNumberFormat="1" applyAlignment="1">
      <alignment horizontal="center"/>
    </xf>
    <xf numFmtId="9" fontId="0" fillId="0" borderId="0" xfId="2" applyFont="1" applyAlignment="1">
      <alignment horizontal="center"/>
    </xf>
    <xf numFmtId="0" fontId="2" fillId="3" borderId="36" xfId="0" applyFont="1" applyFill="1" applyBorder="1" applyAlignment="1">
      <alignment horizontal="center"/>
    </xf>
    <xf numFmtId="0" fontId="2" fillId="3" borderId="19" xfId="0" applyFont="1" applyFill="1" applyBorder="1" applyAlignment="1">
      <alignment horizontal="center"/>
    </xf>
    <xf numFmtId="0" fontId="2" fillId="7" borderId="37" xfId="0" applyFont="1" applyFill="1" applyBorder="1" applyAlignment="1">
      <alignment horizontal="center"/>
    </xf>
    <xf numFmtId="0" fontId="2" fillId="7" borderId="36" xfId="0" applyFont="1" applyFill="1" applyBorder="1" applyAlignment="1">
      <alignment horizontal="center"/>
    </xf>
    <xf numFmtId="0" fontId="2" fillId="11" borderId="37" xfId="0" applyFont="1" applyFill="1" applyBorder="1" applyAlignment="1">
      <alignment horizontal="center"/>
    </xf>
    <xf numFmtId="43" fontId="0" fillId="2" borderId="35" xfId="1" applyFont="1" applyFill="1" applyBorder="1" applyAlignment="1">
      <alignment horizontal="center"/>
    </xf>
    <xf numFmtId="0" fontId="2" fillId="8" borderId="37" xfId="0" applyFont="1" applyFill="1" applyBorder="1" applyAlignment="1">
      <alignment horizontal="center"/>
    </xf>
    <xf numFmtId="43" fontId="2" fillId="8" borderId="35" xfId="0" applyNumberFormat="1" applyFont="1" applyFill="1" applyBorder="1" applyAlignment="1">
      <alignment horizontal="center"/>
    </xf>
    <xf numFmtId="0" fontId="2" fillId="3" borderId="24" xfId="0" applyFont="1" applyFill="1" applyBorder="1" applyAlignment="1" applyProtection="1">
      <alignment horizontal="center"/>
    </xf>
    <xf numFmtId="0" fontId="2" fillId="3" borderId="42" xfId="0" applyFont="1" applyFill="1" applyBorder="1" applyAlignment="1" applyProtection="1">
      <alignment horizontal="center"/>
    </xf>
    <xf numFmtId="0" fontId="6" fillId="2" borderId="42" xfId="0" applyFont="1" applyFill="1" applyBorder="1" applyAlignment="1" applyProtection="1">
      <alignment horizontal="center"/>
      <protection locked="0"/>
    </xf>
    <xf numFmtId="43" fontId="6" fillId="2" borderId="42" xfId="1" applyFont="1" applyFill="1" applyBorder="1" applyAlignment="1" applyProtection="1">
      <alignment horizontal="center"/>
      <protection locked="0"/>
    </xf>
    <xf numFmtId="9" fontId="6" fillId="2" borderId="42" xfId="0" applyNumberFormat="1" applyFont="1" applyFill="1" applyBorder="1" applyAlignment="1" applyProtection="1">
      <alignment horizontal="center"/>
      <protection locked="0"/>
    </xf>
    <xf numFmtId="1" fontId="6" fillId="2" borderId="42" xfId="0" applyNumberFormat="1" applyFont="1" applyFill="1" applyBorder="1" applyAlignment="1" applyProtection="1">
      <alignment horizontal="center"/>
      <protection locked="0"/>
    </xf>
    <xf numFmtId="0" fontId="2" fillId="0" borderId="0" xfId="0" applyFont="1"/>
    <xf numFmtId="0" fontId="0" fillId="0" borderId="49" xfId="0" applyFill="1" applyBorder="1" applyAlignment="1"/>
    <xf numFmtId="0" fontId="0" fillId="0" borderId="50" xfId="0" applyFill="1" applyBorder="1" applyAlignment="1"/>
    <xf numFmtId="0" fontId="23" fillId="0" borderId="47" xfId="0" applyFont="1" applyFill="1" applyBorder="1" applyAlignment="1">
      <alignment horizontal="center"/>
    </xf>
    <xf numFmtId="0" fontId="23" fillId="0" borderId="48" xfId="0" applyFont="1" applyFill="1" applyBorder="1" applyAlignment="1">
      <alignment horizontal="center"/>
    </xf>
    <xf numFmtId="165" fontId="0" fillId="13" borderId="0" xfId="1" applyNumberFormat="1" applyFont="1" applyFill="1"/>
    <xf numFmtId="2" fontId="2" fillId="7" borderId="16" xfId="0" applyNumberFormat="1" applyFont="1" applyFill="1" applyBorder="1"/>
    <xf numFmtId="43" fontId="4" fillId="6" borderId="23" xfId="1" applyFont="1" applyFill="1" applyBorder="1"/>
    <xf numFmtId="9" fontId="0" fillId="13" borderId="0" xfId="0" applyNumberFormat="1" applyFill="1"/>
    <xf numFmtId="165" fontId="11" fillId="0" borderId="0" xfId="1" applyNumberFormat="1" applyFont="1"/>
    <xf numFmtId="0" fontId="11" fillId="0" borderId="0" xfId="0" applyFont="1"/>
    <xf numFmtId="0" fontId="11" fillId="2" borderId="0" xfId="0" applyFont="1" applyFill="1" applyAlignment="1">
      <alignment vertical="center"/>
    </xf>
    <xf numFmtId="0" fontId="24" fillId="2" borderId="0" xfId="0" applyFont="1" applyFill="1" applyAlignment="1">
      <alignment vertical="center"/>
    </xf>
    <xf numFmtId="0" fontId="24" fillId="2" borderId="0" xfId="0" applyFont="1" applyFill="1"/>
    <xf numFmtId="0" fontId="24" fillId="2" borderId="0" xfId="0" applyFont="1" applyFill="1" applyAlignment="1">
      <alignment vertical="center" wrapText="1"/>
    </xf>
    <xf numFmtId="166" fontId="0" fillId="2" borderId="0" xfId="1" applyNumberFormat="1" applyFont="1" applyFill="1" applyAlignment="1">
      <alignment horizontal="center"/>
    </xf>
    <xf numFmtId="0" fontId="24" fillId="2" borderId="0" xfId="0" applyFont="1" applyFill="1" applyAlignment="1">
      <alignment horizontal="center" vertical="center" wrapText="1"/>
    </xf>
    <xf numFmtId="0" fontId="25" fillId="2" borderId="0" xfId="0" applyFont="1" applyFill="1" applyAlignment="1">
      <alignment horizontal="center" vertical="center" wrapText="1"/>
    </xf>
    <xf numFmtId="43" fontId="0" fillId="13" borderId="0" xfId="0" applyNumberFormat="1" applyFill="1"/>
    <xf numFmtId="43" fontId="0" fillId="13" borderId="0" xfId="0" applyNumberFormat="1" applyFill="1" applyAlignment="1">
      <alignment horizontal="center"/>
    </xf>
    <xf numFmtId="0" fontId="11" fillId="2" borderId="0" xfId="0" applyFont="1" applyFill="1" applyAlignment="1">
      <alignment horizontal="right"/>
    </xf>
    <xf numFmtId="43" fontId="11" fillId="2" borderId="0" xfId="0" applyNumberFormat="1" applyFont="1" applyFill="1" applyAlignment="1">
      <alignment horizontal="right"/>
    </xf>
    <xf numFmtId="0" fontId="11" fillId="0" borderId="0" xfId="0" applyFont="1" applyAlignment="1">
      <alignment horizontal="center"/>
    </xf>
    <xf numFmtId="0" fontId="11" fillId="0" borderId="0" xfId="0" applyFont="1" applyAlignment="1">
      <alignment horizontal="center" wrapText="1"/>
    </xf>
    <xf numFmtId="43" fontId="11" fillId="0" borderId="0" xfId="0" applyNumberFormat="1" applyFont="1"/>
    <xf numFmtId="9" fontId="11" fillId="0" borderId="0" xfId="0" applyNumberFormat="1" applyFont="1"/>
    <xf numFmtId="0" fontId="4" fillId="4" borderId="41" xfId="0" applyFont="1" applyFill="1" applyBorder="1" applyAlignment="1">
      <alignment horizontal="center"/>
    </xf>
    <xf numFmtId="0" fontId="4" fillId="4" borderId="35" xfId="0" applyFont="1" applyFill="1" applyBorder="1" applyAlignment="1">
      <alignment horizontal="center"/>
    </xf>
    <xf numFmtId="0" fontId="4" fillId="4" borderId="38" xfId="0" applyFont="1" applyFill="1" applyBorder="1" applyAlignment="1">
      <alignment horizontal="center"/>
    </xf>
    <xf numFmtId="0" fontId="0" fillId="2" borderId="34" xfId="0" applyFill="1" applyBorder="1" applyAlignment="1">
      <alignment horizontal="center"/>
    </xf>
    <xf numFmtId="0" fontId="16" fillId="0" borderId="0" xfId="0" applyFont="1" applyAlignment="1">
      <alignment horizontal="left" vertical="center"/>
    </xf>
    <xf numFmtId="0" fontId="11" fillId="13" borderId="0" xfId="0" applyFont="1" applyFill="1" applyAlignment="1">
      <alignment horizontal="center" vertical="center" wrapText="1"/>
    </xf>
    <xf numFmtId="0" fontId="11" fillId="2" borderId="0" xfId="0" applyFont="1" applyFill="1" applyAlignment="1">
      <alignment horizontal="center" vertical="center" wrapText="1"/>
    </xf>
    <xf numFmtId="0" fontId="16" fillId="0" borderId="0" xfId="0" applyFont="1" applyAlignment="1">
      <alignment horizontal="left" vertical="center" wrapText="1"/>
    </xf>
    <xf numFmtId="0" fontId="21" fillId="0" borderId="0" xfId="0" applyFont="1" applyAlignment="1">
      <alignment horizontal="left" vertical="center"/>
    </xf>
    <xf numFmtId="0" fontId="0" fillId="13" borderId="14" xfId="0" applyFill="1" applyBorder="1" applyAlignment="1">
      <alignment horizontal="left"/>
    </xf>
    <xf numFmtId="0" fontId="0" fillId="13" borderId="0" xfId="0" applyFill="1" applyAlignment="1">
      <alignment horizontal="left"/>
    </xf>
    <xf numFmtId="9" fontId="11" fillId="0" borderId="0" xfId="2" applyFont="1"/>
  </cellXfs>
  <cellStyles count="3">
    <cellStyle name="Comma" xfId="1" builtinId="3"/>
    <cellStyle name="Normal" xfId="0" builtinId="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sz="800"/>
              <a:t>Oferta x 
Demanda </a:t>
            </a:r>
          </a:p>
        </c:rich>
      </c:tx>
      <c:layout>
        <c:manualLayout>
          <c:xMode val="edge"/>
          <c:yMode val="edge"/>
          <c:x val="0.39876655880223205"/>
          <c:y val="2.0484024645874357E-2"/>
        </c:manualLayout>
      </c:layout>
      <c:overlay val="0"/>
      <c:spPr>
        <a:noFill/>
        <a:ln w="25400">
          <a:noFill/>
        </a:ln>
      </c:spPr>
    </c:title>
    <c:autoTitleDeleted val="0"/>
    <c:plotArea>
      <c:layout>
        <c:manualLayout>
          <c:layoutTarget val="inner"/>
          <c:xMode val="edge"/>
          <c:yMode val="edge"/>
          <c:x val="0.149056088655555"/>
          <c:y val="0.15129655606097053"/>
          <c:w val="0.77509166100888605"/>
          <c:h val="0.50186174693395103"/>
        </c:manualLayout>
      </c:layout>
      <c:scatterChart>
        <c:scatterStyle val="smoothMarker"/>
        <c:varyColors val="0"/>
        <c:ser>
          <c:idx val="0"/>
          <c:order val="0"/>
          <c:tx>
            <c:strRef>
              <c:f>[1]G3!$A$1</c:f>
              <c:strCache>
                <c:ptCount val="1"/>
                <c:pt idx="0">
                  <c:v>Função Demanda</c:v>
                </c:pt>
              </c:strCache>
            </c:strRef>
          </c:tx>
          <c:spPr>
            <a:ln w="38100">
              <a:solidFill>
                <a:srgbClr val="000000"/>
              </a:solidFill>
              <a:prstDash val="solid"/>
            </a:ln>
          </c:spPr>
          <c:marker>
            <c:symbol val="x"/>
            <c:size val="3"/>
            <c:spPr>
              <a:solidFill>
                <a:srgbClr val="000000"/>
              </a:solidFill>
              <a:ln>
                <a:solidFill>
                  <a:srgbClr val="000000"/>
                </a:solidFill>
                <a:prstDash val="solid"/>
              </a:ln>
            </c:spPr>
          </c:marker>
          <c:xVal>
            <c:numRef>
              <c:f>[1]G3!$E$7:$E$16</c:f>
              <c:numCache>
                <c:formatCode>General</c:formatCode>
                <c:ptCount val="10"/>
                <c:pt idx="0">
                  <c:v>10</c:v>
                </c:pt>
                <c:pt idx="1">
                  <c:v>20</c:v>
                </c:pt>
                <c:pt idx="2">
                  <c:v>30</c:v>
                </c:pt>
                <c:pt idx="3">
                  <c:v>40</c:v>
                </c:pt>
                <c:pt idx="4">
                  <c:v>50</c:v>
                </c:pt>
                <c:pt idx="5">
                  <c:v>60</c:v>
                </c:pt>
                <c:pt idx="6">
                  <c:v>70</c:v>
                </c:pt>
                <c:pt idx="7">
                  <c:v>80</c:v>
                </c:pt>
                <c:pt idx="8">
                  <c:v>90</c:v>
                </c:pt>
                <c:pt idx="9">
                  <c:v>100</c:v>
                </c:pt>
              </c:numCache>
            </c:numRef>
          </c:xVal>
          <c:yVal>
            <c:numRef>
              <c:f>[1]G3!$C$7:$C$16</c:f>
              <c:numCache>
                <c:formatCode>General</c:formatCode>
                <c:ptCount val="10"/>
                <c:pt idx="0">
                  <c:v>82</c:v>
                </c:pt>
                <c:pt idx="1">
                  <c:v>74</c:v>
                </c:pt>
                <c:pt idx="2">
                  <c:v>66</c:v>
                </c:pt>
                <c:pt idx="3">
                  <c:v>58</c:v>
                </c:pt>
                <c:pt idx="4">
                  <c:v>50</c:v>
                </c:pt>
                <c:pt idx="5">
                  <c:v>42</c:v>
                </c:pt>
                <c:pt idx="6">
                  <c:v>34</c:v>
                </c:pt>
                <c:pt idx="7">
                  <c:v>26</c:v>
                </c:pt>
                <c:pt idx="8">
                  <c:v>18</c:v>
                </c:pt>
                <c:pt idx="9">
                  <c:v>10</c:v>
                </c:pt>
              </c:numCache>
            </c:numRef>
          </c:yVal>
          <c:smooth val="1"/>
          <c:extLst>
            <c:ext xmlns:c16="http://schemas.microsoft.com/office/drawing/2014/chart" uri="{C3380CC4-5D6E-409C-BE32-E72D297353CC}">
              <c16:uniqueId val="{00000000-781F-BE48-B9DD-2C1FA31927F8}"/>
            </c:ext>
          </c:extLst>
        </c:ser>
        <c:ser>
          <c:idx val="1"/>
          <c:order val="1"/>
          <c:tx>
            <c:strRef>
              <c:f>[1]G3!$A$2</c:f>
              <c:strCache>
                <c:ptCount val="1"/>
                <c:pt idx="0">
                  <c:v>Função oferta</c:v>
                </c:pt>
              </c:strCache>
            </c:strRef>
          </c:tx>
          <c:spPr>
            <a:ln w="38100">
              <a:solidFill>
                <a:srgbClr val="000000"/>
              </a:solidFill>
              <a:prstDash val="solid"/>
            </a:ln>
          </c:spPr>
          <c:marker>
            <c:symbol val="triangle"/>
            <c:size val="6"/>
            <c:spPr>
              <a:solidFill>
                <a:srgbClr val="000000"/>
              </a:solidFill>
              <a:ln>
                <a:solidFill>
                  <a:srgbClr val="000000"/>
                </a:solidFill>
                <a:prstDash val="solid"/>
              </a:ln>
            </c:spPr>
          </c:marker>
          <c:xVal>
            <c:numRef>
              <c:f>[1]G3!$E$7:$E$16</c:f>
              <c:numCache>
                <c:formatCode>General</c:formatCode>
                <c:ptCount val="10"/>
                <c:pt idx="0">
                  <c:v>10</c:v>
                </c:pt>
                <c:pt idx="1">
                  <c:v>20</c:v>
                </c:pt>
                <c:pt idx="2">
                  <c:v>30</c:v>
                </c:pt>
                <c:pt idx="3">
                  <c:v>40</c:v>
                </c:pt>
                <c:pt idx="4">
                  <c:v>50</c:v>
                </c:pt>
                <c:pt idx="5">
                  <c:v>60</c:v>
                </c:pt>
                <c:pt idx="6">
                  <c:v>70</c:v>
                </c:pt>
                <c:pt idx="7">
                  <c:v>80</c:v>
                </c:pt>
                <c:pt idx="8">
                  <c:v>90</c:v>
                </c:pt>
                <c:pt idx="9">
                  <c:v>100</c:v>
                </c:pt>
              </c:numCache>
            </c:numRef>
          </c:xVal>
          <c:yVal>
            <c:numRef>
              <c:f>[1]G3!$D$7:$D$16</c:f>
              <c:numCache>
                <c:formatCode>General</c:formatCode>
                <c:ptCount val="10"/>
                <c:pt idx="0">
                  <c:v>18</c:v>
                </c:pt>
                <c:pt idx="1">
                  <c:v>26</c:v>
                </c:pt>
                <c:pt idx="2">
                  <c:v>34</c:v>
                </c:pt>
                <c:pt idx="3">
                  <c:v>42</c:v>
                </c:pt>
                <c:pt idx="4">
                  <c:v>50</c:v>
                </c:pt>
                <c:pt idx="5">
                  <c:v>58</c:v>
                </c:pt>
                <c:pt idx="6">
                  <c:v>66</c:v>
                </c:pt>
                <c:pt idx="7">
                  <c:v>74</c:v>
                </c:pt>
                <c:pt idx="8">
                  <c:v>82</c:v>
                </c:pt>
                <c:pt idx="9">
                  <c:v>90</c:v>
                </c:pt>
              </c:numCache>
            </c:numRef>
          </c:yVal>
          <c:smooth val="1"/>
          <c:extLst>
            <c:ext xmlns:c16="http://schemas.microsoft.com/office/drawing/2014/chart" uri="{C3380CC4-5D6E-409C-BE32-E72D297353CC}">
              <c16:uniqueId val="{00000001-781F-BE48-B9DD-2C1FA31927F8}"/>
            </c:ext>
          </c:extLst>
        </c:ser>
        <c:dLbls>
          <c:showLegendKey val="0"/>
          <c:showVal val="0"/>
          <c:showCatName val="0"/>
          <c:showSerName val="0"/>
          <c:showPercent val="0"/>
          <c:showBubbleSize val="0"/>
        </c:dLbls>
        <c:axId val="1556898064"/>
        <c:axId val="1"/>
      </c:scatterChart>
      <c:valAx>
        <c:axId val="1556898064"/>
        <c:scaling>
          <c:orientation val="minMax"/>
        </c:scaling>
        <c:delete val="0"/>
        <c:axPos val="b"/>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US" sz="800"/>
                  <a:t>Quantidade</a:t>
                </a:r>
              </a:p>
            </c:rich>
          </c:tx>
          <c:layout>
            <c:manualLayout>
              <c:xMode val="edge"/>
              <c:yMode val="edge"/>
              <c:x val="0.80761296347390532"/>
              <c:y val="0.734341754942502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BR"/>
          </a:p>
        </c:txPr>
        <c:crossAx val="1"/>
        <c:crosses val="autoZero"/>
        <c:crossBetween val="midCat"/>
        <c:majorUnit val="10"/>
      </c:valAx>
      <c:valAx>
        <c:axId val="1"/>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sz="800"/>
                  <a:t>Preço</a:t>
                </a:r>
              </a:p>
            </c:rich>
          </c:tx>
          <c:layout>
            <c:manualLayout>
              <c:xMode val="edge"/>
              <c:yMode val="edge"/>
              <c:x val="4.3361934829210746E-2"/>
              <c:y val="2.71891664327813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BR"/>
          </a:p>
        </c:txPr>
        <c:crossAx val="1556898064"/>
        <c:crossesAt val="-10"/>
        <c:crossBetween val="midCat"/>
      </c:valAx>
      <c:spPr>
        <a:solidFill>
          <a:srgbClr val="C0C0C0"/>
        </a:solidFill>
        <a:ln w="12700">
          <a:solidFill>
            <a:srgbClr val="808080"/>
          </a:solidFill>
          <a:prstDash val="solid"/>
        </a:ln>
      </c:spPr>
    </c:plotArea>
    <c:legend>
      <c:legendPos val="b"/>
      <c:layout>
        <c:manualLayout>
          <c:xMode val="edge"/>
          <c:yMode val="edge"/>
          <c:x val="0.21138867075577816"/>
          <c:y val="0.88194811080269642"/>
          <c:w val="0.59351423053250418"/>
          <c:h val="6.2732679997734131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B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BR"/>
    </a:p>
  </c:txPr>
  <c:printSettings>
    <c:headerFooter alignWithMargins="0"/>
    <c:pageMargins b="1" l="0.75" r="0.75" t="1" header="0.49212598499999999" footer="0.49212598499999999"/>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R"/>
        </a:p>
      </c:txPr>
    </c:title>
    <c:autoTitleDeleted val="0"/>
    <c:plotArea>
      <c:layout/>
      <c:lineChart>
        <c:grouping val="standard"/>
        <c:varyColors val="0"/>
        <c:ser>
          <c:idx val="0"/>
          <c:order val="0"/>
          <c:spPr>
            <a:ln w="28575" cap="rnd">
              <a:solidFill>
                <a:schemeClr val="accent1"/>
              </a:solidFill>
              <a:round/>
            </a:ln>
            <a:effectLst/>
          </c:spPr>
          <c:marker>
            <c:symbol val="none"/>
          </c:marker>
          <c:cat>
            <c:numRef>
              <c:f>PED!$A$10:$A$21</c:f>
              <c:numCache>
                <c:formatCode>_(* #,##0_);_(* \(#,##0\);_(* "-"??_);_(@_)</c:formatCode>
                <c:ptCount val="12"/>
                <c:pt idx="0">
                  <c:v>0</c:v>
                </c:pt>
                <c:pt idx="1">
                  <c:v>7799.9999999999955</c:v>
                </c:pt>
                <c:pt idx="2">
                  <c:v>15599.999999999991</c:v>
                </c:pt>
                <c:pt idx="3">
                  <c:v>23399.999999999985</c:v>
                </c:pt>
                <c:pt idx="4">
                  <c:v>31199.999999999982</c:v>
                </c:pt>
                <c:pt idx="5">
                  <c:v>38999.999999999978</c:v>
                </c:pt>
                <c:pt idx="6">
                  <c:v>46799.999999999971</c:v>
                </c:pt>
                <c:pt idx="7">
                  <c:v>54599.999999999964</c:v>
                </c:pt>
                <c:pt idx="8">
                  <c:v>62399.999999999956</c:v>
                </c:pt>
                <c:pt idx="9">
                  <c:v>70199.999999999956</c:v>
                </c:pt>
                <c:pt idx="10">
                  <c:v>77999.999999999956</c:v>
                </c:pt>
                <c:pt idx="11">
                  <c:v>85799.999999999956</c:v>
                </c:pt>
              </c:numCache>
            </c:numRef>
          </c:cat>
          <c:val>
            <c:numRef>
              <c:f>PED!$A$10:$A$21</c:f>
              <c:numCache>
                <c:formatCode>_(* #,##0_);_(* \(#,##0\);_(* "-"??_);_(@_)</c:formatCode>
                <c:ptCount val="12"/>
                <c:pt idx="0">
                  <c:v>0</c:v>
                </c:pt>
                <c:pt idx="1">
                  <c:v>7799.9999999999955</c:v>
                </c:pt>
                <c:pt idx="2">
                  <c:v>15599.999999999991</c:v>
                </c:pt>
                <c:pt idx="3">
                  <c:v>23399.999999999985</c:v>
                </c:pt>
                <c:pt idx="4">
                  <c:v>31199.999999999982</c:v>
                </c:pt>
                <c:pt idx="5">
                  <c:v>38999.999999999978</c:v>
                </c:pt>
                <c:pt idx="6">
                  <c:v>46799.999999999971</c:v>
                </c:pt>
                <c:pt idx="7">
                  <c:v>54599.999999999964</c:v>
                </c:pt>
                <c:pt idx="8">
                  <c:v>62399.999999999956</c:v>
                </c:pt>
                <c:pt idx="9">
                  <c:v>70199.999999999956</c:v>
                </c:pt>
                <c:pt idx="10">
                  <c:v>77999.999999999956</c:v>
                </c:pt>
                <c:pt idx="11">
                  <c:v>85799.999999999956</c:v>
                </c:pt>
              </c:numCache>
            </c:numRef>
          </c:val>
          <c:smooth val="0"/>
          <c:extLst>
            <c:ext xmlns:c16="http://schemas.microsoft.com/office/drawing/2014/chart" uri="{C3380CC4-5D6E-409C-BE32-E72D297353CC}">
              <c16:uniqueId val="{00000000-3F5E-9B4E-8416-27B5BD5A9180}"/>
            </c:ext>
          </c:extLst>
        </c:ser>
        <c:ser>
          <c:idx val="1"/>
          <c:order val="1"/>
          <c:spPr>
            <a:ln w="28575" cap="rnd">
              <a:solidFill>
                <a:schemeClr val="accent2"/>
              </a:solidFill>
              <a:round/>
            </a:ln>
            <a:effectLst/>
          </c:spPr>
          <c:marker>
            <c:symbol val="none"/>
          </c:marker>
          <c:cat>
            <c:numRef>
              <c:f>PED!$A$10:$A$21</c:f>
              <c:numCache>
                <c:formatCode>_(* #,##0_);_(* \(#,##0\);_(* "-"??_);_(@_)</c:formatCode>
                <c:ptCount val="12"/>
                <c:pt idx="0">
                  <c:v>0</c:v>
                </c:pt>
                <c:pt idx="1">
                  <c:v>7799.9999999999955</c:v>
                </c:pt>
                <c:pt idx="2">
                  <c:v>15599.999999999991</c:v>
                </c:pt>
                <c:pt idx="3">
                  <c:v>23399.999999999985</c:v>
                </c:pt>
                <c:pt idx="4">
                  <c:v>31199.999999999982</c:v>
                </c:pt>
                <c:pt idx="5">
                  <c:v>38999.999999999978</c:v>
                </c:pt>
                <c:pt idx="6">
                  <c:v>46799.999999999971</c:v>
                </c:pt>
                <c:pt idx="7">
                  <c:v>54599.999999999964</c:v>
                </c:pt>
                <c:pt idx="8">
                  <c:v>62399.999999999956</c:v>
                </c:pt>
                <c:pt idx="9">
                  <c:v>70199.999999999956</c:v>
                </c:pt>
                <c:pt idx="10">
                  <c:v>77999.999999999956</c:v>
                </c:pt>
                <c:pt idx="11">
                  <c:v>85799.999999999956</c:v>
                </c:pt>
              </c:numCache>
            </c:numRef>
          </c:cat>
          <c:val>
            <c:numRef>
              <c:f>PED!$B$10:$B$21</c:f>
              <c:numCache>
                <c:formatCode>_(* #,##0_);_(* \(#,##0\);_(* "-"??_);_(@_)</c:formatCode>
                <c:ptCount val="12"/>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numCache>
            </c:numRef>
          </c:val>
          <c:smooth val="0"/>
          <c:extLst>
            <c:ext xmlns:c16="http://schemas.microsoft.com/office/drawing/2014/chart" uri="{C3380CC4-5D6E-409C-BE32-E72D297353CC}">
              <c16:uniqueId val="{00000001-3F5E-9B4E-8416-27B5BD5A9180}"/>
            </c:ext>
          </c:extLst>
        </c:ser>
        <c:ser>
          <c:idx val="2"/>
          <c:order val="2"/>
          <c:spPr>
            <a:ln w="28575" cap="rnd">
              <a:solidFill>
                <a:schemeClr val="accent3"/>
              </a:solidFill>
              <a:round/>
            </a:ln>
            <a:effectLst/>
          </c:spPr>
          <c:marker>
            <c:symbol val="none"/>
          </c:marker>
          <c:cat>
            <c:numRef>
              <c:f>PED!$A$10:$A$21</c:f>
              <c:numCache>
                <c:formatCode>_(* #,##0_);_(* \(#,##0\);_(* "-"??_);_(@_)</c:formatCode>
                <c:ptCount val="12"/>
                <c:pt idx="0">
                  <c:v>0</c:v>
                </c:pt>
                <c:pt idx="1">
                  <c:v>7799.9999999999955</c:v>
                </c:pt>
                <c:pt idx="2">
                  <c:v>15599.999999999991</c:v>
                </c:pt>
                <c:pt idx="3">
                  <c:v>23399.999999999985</c:v>
                </c:pt>
                <c:pt idx="4">
                  <c:v>31199.999999999982</c:v>
                </c:pt>
                <c:pt idx="5">
                  <c:v>38999.999999999978</c:v>
                </c:pt>
                <c:pt idx="6">
                  <c:v>46799.999999999971</c:v>
                </c:pt>
                <c:pt idx="7">
                  <c:v>54599.999999999964</c:v>
                </c:pt>
                <c:pt idx="8">
                  <c:v>62399.999999999956</c:v>
                </c:pt>
                <c:pt idx="9">
                  <c:v>70199.999999999956</c:v>
                </c:pt>
                <c:pt idx="10">
                  <c:v>77999.999999999956</c:v>
                </c:pt>
                <c:pt idx="11">
                  <c:v>85799.999999999956</c:v>
                </c:pt>
              </c:numCache>
            </c:numRef>
          </c:cat>
          <c:val>
            <c:numRef>
              <c:f>PED!$C$10:$C$21</c:f>
              <c:numCache>
                <c:formatCode>_(* #,##0_);_(* \(#,##0\);_(* "-"??_);_(@_)</c:formatCode>
                <c:ptCount val="12"/>
                <c:pt idx="0">
                  <c:v>0</c:v>
                </c:pt>
                <c:pt idx="1">
                  <c:v>5593.9999999999982</c:v>
                </c:pt>
                <c:pt idx="2">
                  <c:v>11187.999999999996</c:v>
                </c:pt>
                <c:pt idx="3">
                  <c:v>16781.999999999993</c:v>
                </c:pt>
                <c:pt idx="4">
                  <c:v>22375.999999999993</c:v>
                </c:pt>
                <c:pt idx="5">
                  <c:v>27969.999999999989</c:v>
                </c:pt>
                <c:pt idx="6">
                  <c:v>33563.999999999985</c:v>
                </c:pt>
                <c:pt idx="7">
                  <c:v>39157.999999999978</c:v>
                </c:pt>
                <c:pt idx="8">
                  <c:v>44751.999999999978</c:v>
                </c:pt>
                <c:pt idx="9">
                  <c:v>50345.999999999978</c:v>
                </c:pt>
                <c:pt idx="10">
                  <c:v>55939.999999999978</c:v>
                </c:pt>
                <c:pt idx="11">
                  <c:v>61533.999999999978</c:v>
                </c:pt>
              </c:numCache>
            </c:numRef>
          </c:val>
          <c:smooth val="0"/>
          <c:extLst>
            <c:ext xmlns:c16="http://schemas.microsoft.com/office/drawing/2014/chart" uri="{C3380CC4-5D6E-409C-BE32-E72D297353CC}">
              <c16:uniqueId val="{00000002-3F5E-9B4E-8416-27B5BD5A9180}"/>
            </c:ext>
          </c:extLst>
        </c:ser>
        <c:ser>
          <c:idx val="3"/>
          <c:order val="3"/>
          <c:spPr>
            <a:ln w="28575" cap="rnd">
              <a:solidFill>
                <a:schemeClr val="accent4"/>
              </a:solidFill>
              <a:round/>
            </a:ln>
            <a:effectLst/>
          </c:spPr>
          <c:marker>
            <c:symbol val="none"/>
          </c:marker>
          <c:cat>
            <c:numRef>
              <c:f>PED!$A$10:$A$21</c:f>
              <c:numCache>
                <c:formatCode>_(* #,##0_);_(* \(#,##0\);_(* "-"??_);_(@_)</c:formatCode>
                <c:ptCount val="12"/>
                <c:pt idx="0">
                  <c:v>0</c:v>
                </c:pt>
                <c:pt idx="1">
                  <c:v>7799.9999999999955</c:v>
                </c:pt>
                <c:pt idx="2">
                  <c:v>15599.999999999991</c:v>
                </c:pt>
                <c:pt idx="3">
                  <c:v>23399.999999999985</c:v>
                </c:pt>
                <c:pt idx="4">
                  <c:v>31199.999999999982</c:v>
                </c:pt>
                <c:pt idx="5">
                  <c:v>38999.999999999978</c:v>
                </c:pt>
                <c:pt idx="6">
                  <c:v>46799.999999999971</c:v>
                </c:pt>
                <c:pt idx="7">
                  <c:v>54599.999999999964</c:v>
                </c:pt>
                <c:pt idx="8">
                  <c:v>62399.999999999956</c:v>
                </c:pt>
                <c:pt idx="9">
                  <c:v>70199.999999999956</c:v>
                </c:pt>
                <c:pt idx="10">
                  <c:v>77999.999999999956</c:v>
                </c:pt>
                <c:pt idx="11">
                  <c:v>85799.999999999956</c:v>
                </c:pt>
              </c:numCache>
            </c:numRef>
          </c:cat>
          <c:val>
            <c:numRef>
              <c:f>PED!$D$10:$D$21</c:f>
              <c:numCache>
                <c:formatCode>_(* #,##0_);_(* \(#,##0\);_(* "-"??_);_(@_)</c:formatCode>
                <c:ptCount val="12"/>
                <c:pt idx="0">
                  <c:v>15000</c:v>
                </c:pt>
                <c:pt idx="1">
                  <c:v>20594</c:v>
                </c:pt>
                <c:pt idx="2">
                  <c:v>26187.999999999996</c:v>
                </c:pt>
                <c:pt idx="3">
                  <c:v>31781.999999999993</c:v>
                </c:pt>
                <c:pt idx="4">
                  <c:v>37375.999999999993</c:v>
                </c:pt>
                <c:pt idx="5">
                  <c:v>42969.999999999985</c:v>
                </c:pt>
                <c:pt idx="6">
                  <c:v>48563.999999999985</c:v>
                </c:pt>
                <c:pt idx="7">
                  <c:v>54157.999999999978</c:v>
                </c:pt>
                <c:pt idx="8">
                  <c:v>59751.999999999978</c:v>
                </c:pt>
                <c:pt idx="9">
                  <c:v>65345.999999999978</c:v>
                </c:pt>
                <c:pt idx="10">
                  <c:v>70939.999999999971</c:v>
                </c:pt>
                <c:pt idx="11">
                  <c:v>76533.999999999971</c:v>
                </c:pt>
              </c:numCache>
            </c:numRef>
          </c:val>
          <c:smooth val="0"/>
          <c:extLst>
            <c:ext xmlns:c16="http://schemas.microsoft.com/office/drawing/2014/chart" uri="{C3380CC4-5D6E-409C-BE32-E72D297353CC}">
              <c16:uniqueId val="{00000003-3F5E-9B4E-8416-27B5BD5A9180}"/>
            </c:ext>
          </c:extLst>
        </c:ser>
        <c:ser>
          <c:idx val="4"/>
          <c:order val="4"/>
          <c:spPr>
            <a:ln w="28575" cap="rnd">
              <a:solidFill>
                <a:schemeClr val="accent5"/>
              </a:solidFill>
              <a:round/>
            </a:ln>
            <a:effectLst/>
          </c:spPr>
          <c:marker>
            <c:symbol val="none"/>
          </c:marker>
          <c:cat>
            <c:numRef>
              <c:f>PED!$A$10:$A$21</c:f>
              <c:numCache>
                <c:formatCode>_(* #,##0_);_(* \(#,##0\);_(* "-"??_);_(@_)</c:formatCode>
                <c:ptCount val="12"/>
                <c:pt idx="0">
                  <c:v>0</c:v>
                </c:pt>
                <c:pt idx="1">
                  <c:v>7799.9999999999955</c:v>
                </c:pt>
                <c:pt idx="2">
                  <c:v>15599.999999999991</c:v>
                </c:pt>
                <c:pt idx="3">
                  <c:v>23399.999999999985</c:v>
                </c:pt>
                <c:pt idx="4">
                  <c:v>31199.999999999982</c:v>
                </c:pt>
                <c:pt idx="5">
                  <c:v>38999.999999999978</c:v>
                </c:pt>
                <c:pt idx="6">
                  <c:v>46799.999999999971</c:v>
                </c:pt>
                <c:pt idx="7">
                  <c:v>54599.999999999964</c:v>
                </c:pt>
                <c:pt idx="8">
                  <c:v>62399.999999999956</c:v>
                </c:pt>
                <c:pt idx="9">
                  <c:v>70199.999999999956</c:v>
                </c:pt>
                <c:pt idx="10">
                  <c:v>77999.999999999956</c:v>
                </c:pt>
                <c:pt idx="11">
                  <c:v>85799.999999999956</c:v>
                </c:pt>
              </c:numCache>
            </c:numRef>
          </c:cat>
          <c:val>
            <c:numRef>
              <c:f>PED!$E$10:$E$21</c:f>
              <c:numCache>
                <c:formatCode>_(* #,##0_);_(* \(#,##0\);_(* "-"??_);_(@_)</c:formatCode>
                <c:ptCount val="12"/>
                <c:pt idx="0">
                  <c:v>-15000</c:v>
                </c:pt>
                <c:pt idx="1">
                  <c:v>-12794.000000000004</c:v>
                </c:pt>
                <c:pt idx="2">
                  <c:v>-10588.000000000005</c:v>
                </c:pt>
                <c:pt idx="3">
                  <c:v>-8382.0000000000073</c:v>
                </c:pt>
                <c:pt idx="4">
                  <c:v>-6176.0000000000109</c:v>
                </c:pt>
                <c:pt idx="5">
                  <c:v>-3970.0000000000073</c:v>
                </c:pt>
                <c:pt idx="6">
                  <c:v>-1764.0000000000146</c:v>
                </c:pt>
                <c:pt idx="7">
                  <c:v>441.99999999998545</c:v>
                </c:pt>
                <c:pt idx="8">
                  <c:v>2647.9999999999782</c:v>
                </c:pt>
                <c:pt idx="9">
                  <c:v>4853.9999999999782</c:v>
                </c:pt>
                <c:pt idx="10">
                  <c:v>7059.9999999999854</c:v>
                </c:pt>
                <c:pt idx="11">
                  <c:v>9265.9999999999854</c:v>
                </c:pt>
              </c:numCache>
            </c:numRef>
          </c:val>
          <c:smooth val="0"/>
          <c:extLst>
            <c:ext xmlns:c16="http://schemas.microsoft.com/office/drawing/2014/chart" uri="{C3380CC4-5D6E-409C-BE32-E72D297353CC}">
              <c16:uniqueId val="{00000004-3F5E-9B4E-8416-27B5BD5A9180}"/>
            </c:ext>
          </c:extLst>
        </c:ser>
        <c:dLbls>
          <c:showLegendKey val="0"/>
          <c:showVal val="0"/>
          <c:showCatName val="0"/>
          <c:showSerName val="0"/>
          <c:showPercent val="0"/>
          <c:showBubbleSize val="0"/>
        </c:dLbls>
        <c:smooth val="0"/>
        <c:axId val="1530386240"/>
        <c:axId val="1"/>
      </c:lineChart>
      <c:catAx>
        <c:axId val="1530386240"/>
        <c:scaling>
          <c:orientation val="minMax"/>
        </c:scaling>
        <c:delete val="0"/>
        <c:axPos val="b"/>
        <c:numFmt formatCode="_(* #,##0_);_(* \(#,##0\);_(* &quot;-&quot;??_);_(@_)"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R"/>
          </a:p>
        </c:txPr>
        <c:crossAx val="1530386240"/>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188148</xdr:colOff>
      <xdr:row>1</xdr:row>
      <xdr:rowOff>47038</xdr:rowOff>
    </xdr:from>
    <xdr:to>
      <xdr:col>15</xdr:col>
      <xdr:colOff>376296</xdr:colOff>
      <xdr:row>17</xdr:row>
      <xdr:rowOff>94074</xdr:rowOff>
    </xdr:to>
    <xdr:graphicFrame macro="">
      <xdr:nvGraphicFramePr>
        <xdr:cNvPr id="2" name="Chart 2">
          <a:extLst>
            <a:ext uri="{FF2B5EF4-FFF2-40B4-BE49-F238E27FC236}">
              <a16:creationId xmlns:a16="http://schemas.microsoft.com/office/drawing/2014/main" id="{7B934777-9545-E349-AFAF-5EE7494581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1</cdr:x>
      <cdr:y>0.43275</cdr:y>
    </cdr:from>
    <cdr:to>
      <cdr:x>1</cdr:x>
      <cdr:y>0.42765</cdr:y>
    </cdr:to>
    <cdr:sp macro="" textlink="">
      <cdr:nvSpPr>
        <cdr:cNvPr id="61441" name="Line 1"/>
        <cdr:cNvSpPr>
          <a:spLocks xmlns:a="http://schemas.openxmlformats.org/drawingml/2006/main" noChangeShapeType="1"/>
        </cdr:cNvSpPr>
      </cdr:nvSpPr>
      <cdr:spPr bwMode="auto">
        <a:xfrm xmlns:a="http://schemas.openxmlformats.org/drawingml/2006/main" flipH="1">
          <a:off x="7990510" y="1498371"/>
          <a:ext cx="0" cy="787908"/>
        </a:xfrm>
        <a:prstGeom xmlns:a="http://schemas.openxmlformats.org/drawingml/2006/main" prst="line">
          <a:avLst/>
        </a:prstGeom>
        <a:noFill xmlns:a="http://schemas.openxmlformats.org/drawingml/2006/main"/>
        <a:ln xmlns:a="http://schemas.openxmlformats.org/drawingml/2006/main" w="25400" cap="rnd">
          <a:solidFill>
            <a:srgbClr xmlns:mc="http://schemas.openxmlformats.org/markup-compatibility/2006" xmlns:a14="http://schemas.microsoft.com/office/drawing/2010/main" val="000000" mc:Ignorable="a14" a14:legacySpreadsheetColorIndex="64"/>
          </a:solidFill>
          <a:prstDash val="sysDot"/>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1</cdr:x>
      <cdr:y>0.43275</cdr:y>
    </cdr:from>
    <cdr:to>
      <cdr:x>1</cdr:x>
      <cdr:y>0.42765</cdr:y>
    </cdr:to>
    <cdr:sp macro="" textlink="">
      <cdr:nvSpPr>
        <cdr:cNvPr id="61442" name="Line 2"/>
        <cdr:cNvSpPr>
          <a:spLocks xmlns:a="http://schemas.openxmlformats.org/drawingml/2006/main" noChangeShapeType="1"/>
        </cdr:cNvSpPr>
      </cdr:nvSpPr>
      <cdr:spPr bwMode="auto">
        <a:xfrm xmlns:a="http://schemas.openxmlformats.org/drawingml/2006/main" flipH="1">
          <a:off x="7990510" y="1498371"/>
          <a:ext cx="0" cy="787908"/>
        </a:xfrm>
        <a:prstGeom xmlns:a="http://schemas.openxmlformats.org/drawingml/2006/main" prst="line">
          <a:avLst/>
        </a:prstGeom>
        <a:noFill xmlns:a="http://schemas.openxmlformats.org/drawingml/2006/main"/>
        <a:ln xmlns:a="http://schemas.openxmlformats.org/drawingml/2006/main" w="25400" cap="rnd">
          <a:solidFill>
            <a:srgbClr xmlns:mc="http://schemas.openxmlformats.org/markup-compatibility/2006" xmlns:a14="http://schemas.microsoft.com/office/drawing/2010/main" val="000000" mc:Ignorable="a14" a14:legacySpreadsheetColorIndex="64"/>
          </a:solidFill>
          <a:prstDash val="sysDot"/>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1</cdr:x>
      <cdr:y>0.43275</cdr:y>
    </cdr:from>
    <cdr:to>
      <cdr:x>1</cdr:x>
      <cdr:y>0.42765</cdr:y>
    </cdr:to>
    <cdr:sp macro="" textlink="">
      <cdr:nvSpPr>
        <cdr:cNvPr id="61443" name="Line 3"/>
        <cdr:cNvSpPr>
          <a:spLocks xmlns:a="http://schemas.openxmlformats.org/drawingml/2006/main" noChangeShapeType="1"/>
        </cdr:cNvSpPr>
      </cdr:nvSpPr>
      <cdr:spPr bwMode="auto">
        <a:xfrm xmlns:a="http://schemas.openxmlformats.org/drawingml/2006/main" flipH="1">
          <a:off x="8003153" y="1498371"/>
          <a:ext cx="0" cy="787908"/>
        </a:xfrm>
        <a:prstGeom xmlns:a="http://schemas.openxmlformats.org/drawingml/2006/main" prst="line">
          <a:avLst/>
        </a:prstGeom>
        <a:noFill xmlns:a="http://schemas.openxmlformats.org/drawingml/2006/main"/>
        <a:ln xmlns:a="http://schemas.openxmlformats.org/drawingml/2006/main" w="25400" cap="rnd">
          <a:solidFill>
            <a:srgbClr xmlns:mc="http://schemas.openxmlformats.org/markup-compatibility/2006" xmlns:a14="http://schemas.microsoft.com/office/drawing/2010/main" val="000000" mc:Ignorable="a14" a14:legacySpreadsheetColorIndex="64"/>
          </a:solidFill>
          <a:prstDash val="sysDot"/>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0.2554</cdr:x>
      <cdr:y>0.73828</cdr:y>
    </cdr:from>
    <cdr:to>
      <cdr:x>0.33171</cdr:x>
      <cdr:y>0.85208</cdr:y>
    </cdr:to>
    <cdr:sp macro="" textlink="">
      <cdr:nvSpPr>
        <cdr:cNvPr id="61444" name="Text Box 4"/>
        <cdr:cNvSpPr txBox="1">
          <a:spLocks xmlns:a="http://schemas.openxmlformats.org/drawingml/2006/main" noChangeArrowheads="1"/>
        </cdr:cNvSpPr>
      </cdr:nvSpPr>
      <cdr:spPr bwMode="auto">
        <a:xfrm xmlns:a="http://schemas.openxmlformats.org/drawingml/2006/main">
          <a:off x="945615" y="1304724"/>
          <a:ext cx="282537" cy="2011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charset="0"/>
              <a:cs typeface="Arial" charset="0"/>
            </a:rPr>
            <a:t>Qd1</a:t>
          </a:r>
        </a:p>
        <a:p xmlns:a="http://schemas.openxmlformats.org/drawingml/2006/main">
          <a:pPr algn="l" rtl="0">
            <a:defRPr sz="1000"/>
          </a:pPr>
          <a:r>
            <a:rPr lang="en-US" sz="800" b="0" i="0" u="none" strike="noStrike" baseline="0">
              <a:solidFill>
                <a:srgbClr val="000000"/>
              </a:solidFill>
              <a:latin typeface="Arial" charset="0"/>
              <a:cs typeface="Arial" charset="0"/>
            </a:rPr>
            <a:t>Qs1</a:t>
          </a:r>
        </a:p>
      </cdr:txBody>
    </cdr:sp>
  </cdr:relSizeAnchor>
  <cdr:relSizeAnchor xmlns:cdr="http://schemas.openxmlformats.org/drawingml/2006/chartDrawing">
    <cdr:from>
      <cdr:x>0.67573</cdr:x>
      <cdr:y>0.74227</cdr:y>
    </cdr:from>
    <cdr:to>
      <cdr:x>0.75154</cdr:x>
      <cdr:y>0.84783</cdr:y>
    </cdr:to>
    <cdr:sp macro="" textlink="">
      <cdr:nvSpPr>
        <cdr:cNvPr id="61445" name="Text Box 5"/>
        <cdr:cNvSpPr txBox="1">
          <a:spLocks xmlns:a="http://schemas.openxmlformats.org/drawingml/2006/main" noChangeArrowheads="1"/>
        </cdr:cNvSpPr>
      </cdr:nvSpPr>
      <cdr:spPr bwMode="auto">
        <a:xfrm xmlns:a="http://schemas.openxmlformats.org/drawingml/2006/main">
          <a:off x="2501899" y="1616021"/>
          <a:ext cx="280686" cy="22981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charset="0"/>
              <a:cs typeface="Arial" charset="0"/>
            </a:rPr>
            <a:t>Qd2</a:t>
          </a:r>
        </a:p>
        <a:p xmlns:a="http://schemas.openxmlformats.org/drawingml/2006/main">
          <a:pPr algn="l" rtl="0">
            <a:defRPr sz="1000"/>
          </a:pPr>
          <a:r>
            <a:rPr lang="en-US" sz="800" b="0" i="0" u="none" strike="noStrike" baseline="0">
              <a:solidFill>
                <a:srgbClr val="000000"/>
              </a:solidFill>
              <a:latin typeface="Arial" charset="0"/>
              <a:cs typeface="Arial" charset="0"/>
            </a:rPr>
            <a:t>Qs2</a:t>
          </a:r>
        </a:p>
      </cdr:txBody>
    </cdr:sp>
  </cdr:relSizeAnchor>
  <cdr:relSizeAnchor xmlns:cdr="http://schemas.openxmlformats.org/drawingml/2006/chartDrawing">
    <cdr:from>
      <cdr:x>0.04017</cdr:x>
      <cdr:y>0.26172</cdr:y>
    </cdr:from>
    <cdr:to>
      <cdr:x>0.1089</cdr:x>
      <cdr:y>0.3435</cdr:y>
    </cdr:to>
    <cdr:sp macro="" textlink="">
      <cdr:nvSpPr>
        <cdr:cNvPr id="61446" name="Text Box 6"/>
        <cdr:cNvSpPr txBox="1">
          <a:spLocks xmlns:a="http://schemas.openxmlformats.org/drawingml/2006/main" noChangeArrowheads="1"/>
        </cdr:cNvSpPr>
      </cdr:nvSpPr>
      <cdr:spPr bwMode="auto">
        <a:xfrm xmlns:a="http://schemas.openxmlformats.org/drawingml/2006/main">
          <a:off x="194469" y="883133"/>
          <a:ext cx="334461" cy="29504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charset="0"/>
              <a:cs typeface="Arial" charset="0"/>
            </a:rPr>
            <a:t>P1</a:t>
          </a:r>
        </a:p>
      </cdr:txBody>
    </cdr:sp>
  </cdr:relSizeAnchor>
  <cdr:relSizeAnchor xmlns:cdr="http://schemas.openxmlformats.org/drawingml/2006/chartDrawing">
    <cdr:from>
      <cdr:x>0.04017</cdr:x>
      <cdr:y>0.48446</cdr:y>
    </cdr:from>
    <cdr:to>
      <cdr:x>0.09398</cdr:x>
      <cdr:y>0.53469</cdr:y>
    </cdr:to>
    <cdr:sp macro="" textlink="">
      <cdr:nvSpPr>
        <cdr:cNvPr id="61447" name="Text Box 7"/>
        <cdr:cNvSpPr txBox="1">
          <a:spLocks xmlns:a="http://schemas.openxmlformats.org/drawingml/2006/main" noChangeArrowheads="1"/>
        </cdr:cNvSpPr>
      </cdr:nvSpPr>
      <cdr:spPr bwMode="auto">
        <a:xfrm xmlns:a="http://schemas.openxmlformats.org/drawingml/2006/main">
          <a:off x="194469" y="1689481"/>
          <a:ext cx="263201" cy="1802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charset="0"/>
              <a:cs typeface="Arial" charset="0"/>
            </a:rPr>
            <a:t>P2</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93133</xdr:colOff>
      <xdr:row>2</xdr:row>
      <xdr:rowOff>134055</xdr:rowOff>
    </xdr:from>
    <xdr:to>
      <xdr:col>13</xdr:col>
      <xdr:colOff>155223</xdr:colOff>
      <xdr:row>21</xdr:row>
      <xdr:rowOff>71967</xdr:rowOff>
    </xdr:to>
    <xdr:graphicFrame macro="">
      <xdr:nvGraphicFramePr>
        <xdr:cNvPr id="5124" name="Chart 2">
          <a:extLst>
            <a:ext uri="{FF2B5EF4-FFF2-40B4-BE49-F238E27FC236}">
              <a16:creationId xmlns:a16="http://schemas.microsoft.com/office/drawing/2014/main" id="{1426670D-646F-9440-9EB2-C87743B8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pcosta/Library/Mobile%20Documents/com~apple~CloudDocs/arquivo%202021/PRO%203363/2023/intro%20eco%20planilha%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pcosta/Library/Mobile%20Documents/com~apple~CloudDocs/arquivo%202021/PRO%203363/2023/T%201.1.%20-%20PIZZARIA%20preco%20por%20MARK%20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
      <sheetName val="G2"/>
      <sheetName val="G3"/>
      <sheetName val="G4"/>
      <sheetName val="G5-G6"/>
      <sheetName val="G7"/>
      <sheetName val="G8-G9"/>
      <sheetName val="G10-G11"/>
      <sheetName val="G12-13-14-15-16"/>
      <sheetName val="G17-18-G19"/>
      <sheetName val="G20-21"/>
      <sheetName val="G22-23"/>
      <sheetName val="G24-25"/>
      <sheetName val="P11"/>
      <sheetName val="P12"/>
      <sheetName val="P13"/>
      <sheetName val="EX 13"/>
      <sheetName val="EX 14"/>
      <sheetName val="EX 15"/>
      <sheetName val="EX 16"/>
    </sheetNames>
    <sheetDataSet>
      <sheetData sheetId="0"/>
      <sheetData sheetId="1"/>
      <sheetData sheetId="2"/>
      <sheetData sheetId="3">
        <row r="1">
          <cell r="A1" t="str">
            <v>Função Demanda</v>
          </cell>
        </row>
        <row r="2">
          <cell r="A2" t="str">
            <v>Função oferta</v>
          </cell>
        </row>
        <row r="7">
          <cell r="C7">
            <v>82</v>
          </cell>
          <cell r="D7">
            <v>18</v>
          </cell>
          <cell r="E7">
            <v>10</v>
          </cell>
        </row>
        <row r="8">
          <cell r="C8">
            <v>74</v>
          </cell>
          <cell r="D8">
            <v>26</v>
          </cell>
          <cell r="E8">
            <v>20</v>
          </cell>
        </row>
        <row r="9">
          <cell r="C9">
            <v>66</v>
          </cell>
          <cell r="D9">
            <v>34</v>
          </cell>
          <cell r="E9">
            <v>30</v>
          </cell>
        </row>
        <row r="10">
          <cell r="C10">
            <v>58</v>
          </cell>
          <cell r="D10">
            <v>42</v>
          </cell>
          <cell r="E10">
            <v>40</v>
          </cell>
        </row>
        <row r="11">
          <cell r="C11">
            <v>50</v>
          </cell>
          <cell r="D11">
            <v>50</v>
          </cell>
          <cell r="E11">
            <v>50</v>
          </cell>
        </row>
        <row r="12">
          <cell r="C12">
            <v>42</v>
          </cell>
          <cell r="D12">
            <v>58</v>
          </cell>
          <cell r="E12">
            <v>60</v>
          </cell>
        </row>
        <row r="13">
          <cell r="C13">
            <v>34</v>
          </cell>
          <cell r="D13">
            <v>66</v>
          </cell>
          <cell r="E13">
            <v>70</v>
          </cell>
        </row>
        <row r="14">
          <cell r="C14">
            <v>26</v>
          </cell>
          <cell r="D14">
            <v>74</v>
          </cell>
          <cell r="E14">
            <v>80</v>
          </cell>
        </row>
        <row r="15">
          <cell r="C15">
            <v>18</v>
          </cell>
          <cell r="D15">
            <v>82</v>
          </cell>
          <cell r="E15">
            <v>90</v>
          </cell>
        </row>
        <row r="16">
          <cell r="C16">
            <v>10</v>
          </cell>
          <cell r="D16">
            <v>90</v>
          </cell>
          <cell r="E16">
            <v>100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
  <sheetViews>
    <sheetView showGridLines="0" zoomScale="175" workbookViewId="0">
      <selection sqref="A1:A3"/>
    </sheetView>
  </sheetViews>
  <sheetFormatPr baseColWidth="10" defaultRowHeight="13" x14ac:dyDescent="0.15"/>
  <cols>
    <col min="1" max="1" width="2.33203125" customWidth="1"/>
    <col min="2" max="2" width="5.33203125" bestFit="1" customWidth="1"/>
    <col min="3" max="3" width="13.33203125" bestFit="1" customWidth="1"/>
    <col min="4" max="4" width="12.33203125" bestFit="1" customWidth="1"/>
    <col min="5" max="5" width="12.1640625" bestFit="1" customWidth="1"/>
  </cols>
  <sheetData>
    <row r="1" spans="1:5" x14ac:dyDescent="0.15">
      <c r="A1" s="167" t="s">
        <v>129</v>
      </c>
    </row>
    <row r="2" spans="1:5" x14ac:dyDescent="0.15">
      <c r="A2" s="167" t="s">
        <v>130</v>
      </c>
    </row>
    <row r="3" spans="1:5" x14ac:dyDescent="0.15">
      <c r="A3" s="167" t="s">
        <v>131</v>
      </c>
    </row>
    <row r="6" spans="1:5" ht="14" thickBot="1" x14ac:dyDescent="0.2">
      <c r="A6" t="s">
        <v>132</v>
      </c>
    </row>
    <row r="7" spans="1:5" x14ac:dyDescent="0.15">
      <c r="B7" s="170"/>
      <c r="C7" s="170"/>
      <c r="D7" s="170" t="s">
        <v>135</v>
      </c>
      <c r="E7" s="170" t="s">
        <v>137</v>
      </c>
    </row>
    <row r="8" spans="1:5" ht="14" thickBot="1" x14ac:dyDescent="0.2">
      <c r="B8" s="171" t="s">
        <v>133</v>
      </c>
      <c r="C8" s="171" t="s">
        <v>134</v>
      </c>
      <c r="D8" s="171" t="s">
        <v>136</v>
      </c>
      <c r="E8" s="171" t="s">
        <v>138</v>
      </c>
    </row>
    <row r="9" spans="1:5" x14ac:dyDescent="0.15">
      <c r="B9" s="168" t="s">
        <v>142</v>
      </c>
      <c r="C9" s="168" t="s">
        <v>143</v>
      </c>
      <c r="D9" s="168">
        <v>999.99999999999841</v>
      </c>
      <c r="E9" s="168">
        <v>0</v>
      </c>
    </row>
    <row r="10" spans="1:5" x14ac:dyDescent="0.15">
      <c r="B10" s="168" t="s">
        <v>144</v>
      </c>
      <c r="C10" s="168" t="s">
        <v>143</v>
      </c>
      <c r="D10" s="168">
        <v>1.9326762412674725E-12</v>
      </c>
      <c r="E10" s="168">
        <v>0</v>
      </c>
    </row>
    <row r="11" spans="1:5" ht="14" thickBot="1" x14ac:dyDescent="0.2">
      <c r="B11" s="169" t="s">
        <v>145</v>
      </c>
      <c r="C11" s="169" t="s">
        <v>143</v>
      </c>
      <c r="D11" s="169">
        <v>3999.9999999999968</v>
      </c>
      <c r="E11" s="169">
        <v>0</v>
      </c>
    </row>
    <row r="13" spans="1:5" ht="14" thickBot="1" x14ac:dyDescent="0.2">
      <c r="A13" t="s">
        <v>139</v>
      </c>
    </row>
    <row r="14" spans="1:5" x14ac:dyDescent="0.15">
      <c r="B14" s="170"/>
      <c r="C14" s="170"/>
      <c r="D14" s="170" t="s">
        <v>135</v>
      </c>
      <c r="E14" s="170" t="s">
        <v>140</v>
      </c>
    </row>
    <row r="15" spans="1:5" ht="14" thickBot="1" x14ac:dyDescent="0.2">
      <c r="B15" s="171" t="s">
        <v>133</v>
      </c>
      <c r="C15" s="171" t="s">
        <v>134</v>
      </c>
      <c r="D15" s="171" t="s">
        <v>136</v>
      </c>
      <c r="E15" s="171" t="s">
        <v>141</v>
      </c>
    </row>
    <row r="16" spans="1:5" x14ac:dyDescent="0.15">
      <c r="B16" s="168" t="s">
        <v>146</v>
      </c>
      <c r="C16" s="168" t="s">
        <v>147</v>
      </c>
      <c r="D16" s="168">
        <v>2899.9999999999982</v>
      </c>
      <c r="E16" s="168">
        <v>0</v>
      </c>
    </row>
    <row r="17" spans="2:5" x14ac:dyDescent="0.15">
      <c r="B17" s="168" t="s">
        <v>148</v>
      </c>
      <c r="C17" s="168" t="s">
        <v>149</v>
      </c>
      <c r="D17" s="168">
        <v>8999.9999999999982</v>
      </c>
      <c r="E17" s="168">
        <v>1.0400284662142969</v>
      </c>
    </row>
    <row r="18" spans="2:5" x14ac:dyDescent="0.15">
      <c r="B18" s="168" t="s">
        <v>150</v>
      </c>
      <c r="C18" s="168" t="s">
        <v>151</v>
      </c>
      <c r="D18" s="168">
        <v>1999.9999999999991</v>
      </c>
      <c r="E18" s="168">
        <v>1.1499288173289841</v>
      </c>
    </row>
    <row r="19" spans="2:5" x14ac:dyDescent="0.15">
      <c r="B19" s="168" t="s">
        <v>152</v>
      </c>
      <c r="C19" s="168" t="s">
        <v>147</v>
      </c>
      <c r="D19" s="168">
        <v>1999.9999999999982</v>
      </c>
      <c r="E19" s="168">
        <v>0</v>
      </c>
    </row>
    <row r="20" spans="2:5" x14ac:dyDescent="0.15">
      <c r="B20" s="168" t="s">
        <v>153</v>
      </c>
      <c r="C20" s="168" t="s">
        <v>147</v>
      </c>
      <c r="D20" s="168">
        <v>899.99999999999966</v>
      </c>
      <c r="E20" s="168">
        <v>0</v>
      </c>
    </row>
    <row r="21" spans="2:5" ht="14" thickBot="1" x14ac:dyDescent="0.2">
      <c r="B21" s="169" t="s">
        <v>154</v>
      </c>
      <c r="C21" s="169" t="s">
        <v>147</v>
      </c>
      <c r="D21" s="169">
        <v>799.99999999999989</v>
      </c>
      <c r="E21" s="169">
        <v>12.999856807643525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1"/>
  <sheetViews>
    <sheetView showGridLines="0" workbookViewId="0">
      <selection sqref="A1:A3"/>
    </sheetView>
  </sheetViews>
  <sheetFormatPr baseColWidth="10" defaultRowHeight="13" x14ac:dyDescent="0.15"/>
  <cols>
    <col min="1" max="1" width="2.33203125" customWidth="1"/>
    <col min="2" max="2" width="5.33203125" bestFit="1" customWidth="1"/>
    <col min="3" max="3" width="13.33203125" bestFit="1" customWidth="1"/>
    <col min="4" max="4" width="12.33203125" bestFit="1" customWidth="1"/>
    <col min="5" max="5" width="12.1640625" bestFit="1" customWidth="1"/>
  </cols>
  <sheetData>
    <row r="1" spans="1:5" x14ac:dyDescent="0.15">
      <c r="A1" s="167" t="s">
        <v>129</v>
      </c>
    </row>
    <row r="2" spans="1:5" x14ac:dyDescent="0.15">
      <c r="A2" s="167" t="s">
        <v>167</v>
      </c>
    </row>
    <row r="3" spans="1:5" x14ac:dyDescent="0.15">
      <c r="A3" s="167" t="s">
        <v>168</v>
      </c>
    </row>
    <row r="6" spans="1:5" ht="14" thickBot="1" x14ac:dyDescent="0.2">
      <c r="A6" t="s">
        <v>132</v>
      </c>
    </row>
    <row r="7" spans="1:5" x14ac:dyDescent="0.15">
      <c r="B7" s="170"/>
      <c r="C7" s="170"/>
      <c r="D7" s="170" t="s">
        <v>135</v>
      </c>
      <c r="E7" s="170" t="s">
        <v>137</v>
      </c>
    </row>
    <row r="8" spans="1:5" ht="14" thickBot="1" x14ac:dyDescent="0.2">
      <c r="B8" s="171" t="s">
        <v>133</v>
      </c>
      <c r="C8" s="171" t="s">
        <v>134</v>
      </c>
      <c r="D8" s="171" t="s">
        <v>136</v>
      </c>
      <c r="E8" s="171" t="s">
        <v>138</v>
      </c>
    </row>
    <row r="9" spans="1:5" x14ac:dyDescent="0.15">
      <c r="B9" s="168" t="s">
        <v>142</v>
      </c>
      <c r="C9" s="168" t="s">
        <v>143</v>
      </c>
      <c r="D9" s="168">
        <v>999.99999999999841</v>
      </c>
      <c r="E9" s="168">
        <v>0</v>
      </c>
    </row>
    <row r="10" spans="1:5" x14ac:dyDescent="0.15">
      <c r="B10" s="168" t="s">
        <v>144</v>
      </c>
      <c r="C10" s="168" t="s">
        <v>143</v>
      </c>
      <c r="D10" s="168">
        <v>1.9326762412674725E-12</v>
      </c>
      <c r="E10" s="168">
        <v>0</v>
      </c>
    </row>
    <row r="11" spans="1:5" ht="14" thickBot="1" x14ac:dyDescent="0.2">
      <c r="B11" s="169" t="s">
        <v>145</v>
      </c>
      <c r="C11" s="169" t="s">
        <v>143</v>
      </c>
      <c r="D11" s="169">
        <v>3999.9999999999968</v>
      </c>
      <c r="E11" s="169">
        <v>0</v>
      </c>
    </row>
    <row r="13" spans="1:5" ht="14" thickBot="1" x14ac:dyDescent="0.2">
      <c r="A13" t="s">
        <v>139</v>
      </c>
    </row>
    <row r="14" spans="1:5" x14ac:dyDescent="0.15">
      <c r="B14" s="170"/>
      <c r="C14" s="170"/>
      <c r="D14" s="170" t="s">
        <v>135</v>
      </c>
      <c r="E14" s="170" t="s">
        <v>140</v>
      </c>
    </row>
    <row r="15" spans="1:5" ht="14" thickBot="1" x14ac:dyDescent="0.2">
      <c r="B15" s="171" t="s">
        <v>133</v>
      </c>
      <c r="C15" s="171" t="s">
        <v>134</v>
      </c>
      <c r="D15" s="171" t="s">
        <v>136</v>
      </c>
      <c r="E15" s="171" t="s">
        <v>141</v>
      </c>
    </row>
    <row r="16" spans="1:5" x14ac:dyDescent="0.15">
      <c r="B16" s="168" t="s">
        <v>146</v>
      </c>
      <c r="C16" s="168" t="s">
        <v>147</v>
      </c>
      <c r="D16" s="168">
        <v>2899.9999999999982</v>
      </c>
      <c r="E16" s="168">
        <v>0</v>
      </c>
    </row>
    <row r="17" spans="2:5" x14ac:dyDescent="0.15">
      <c r="B17" s="168" t="s">
        <v>148</v>
      </c>
      <c r="C17" s="168" t="s">
        <v>149</v>
      </c>
      <c r="D17" s="168">
        <v>8999.9999999999982</v>
      </c>
      <c r="E17" s="168">
        <v>1.0400284662142969</v>
      </c>
    </row>
    <row r="18" spans="2:5" x14ac:dyDescent="0.15">
      <c r="B18" s="168" t="s">
        <v>150</v>
      </c>
      <c r="C18" s="168" t="s">
        <v>151</v>
      </c>
      <c r="D18" s="168">
        <v>1999.9999999999991</v>
      </c>
      <c r="E18" s="168">
        <v>1.1499288173289841</v>
      </c>
    </row>
    <row r="19" spans="2:5" x14ac:dyDescent="0.15">
      <c r="B19" s="168" t="s">
        <v>152</v>
      </c>
      <c r="C19" s="168" t="s">
        <v>147</v>
      </c>
      <c r="D19" s="168">
        <v>1999.9999999999982</v>
      </c>
      <c r="E19" s="168">
        <v>0</v>
      </c>
    </row>
    <row r="20" spans="2:5" x14ac:dyDescent="0.15">
      <c r="B20" s="168" t="s">
        <v>153</v>
      </c>
      <c r="C20" s="168" t="s">
        <v>147</v>
      </c>
      <c r="D20" s="168">
        <v>899.99999999999966</v>
      </c>
      <c r="E20" s="168">
        <v>0</v>
      </c>
    </row>
    <row r="21" spans="2:5" ht="14" thickBot="1" x14ac:dyDescent="0.2">
      <c r="B21" s="169" t="s">
        <v>154</v>
      </c>
      <c r="C21" s="169" t="s">
        <v>147</v>
      </c>
      <c r="D21" s="169">
        <v>799.99999999999989</v>
      </c>
      <c r="E21" s="169">
        <v>12.999856807643525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9"/>
  <sheetViews>
    <sheetView topLeftCell="A8" zoomScale="189" zoomScaleNormal="140" workbookViewId="0">
      <selection activeCell="F12" sqref="F12"/>
    </sheetView>
  </sheetViews>
  <sheetFormatPr baseColWidth="10" defaultColWidth="8.83203125" defaultRowHeight="13" x14ac:dyDescent="0.15"/>
  <cols>
    <col min="1" max="1" width="17.83203125" customWidth="1"/>
    <col min="2" max="2" width="11.33203125" bestFit="1" customWidth="1"/>
    <col min="3" max="3" width="11.33203125" customWidth="1"/>
    <col min="4" max="4" width="12.33203125" customWidth="1"/>
    <col min="5" max="5" width="12.6640625" customWidth="1"/>
    <col min="6" max="6" width="18" customWidth="1"/>
    <col min="7" max="7" width="22.1640625" style="149" bestFit="1" customWidth="1"/>
    <col min="8" max="8" width="10.1640625" style="149" bestFit="1" customWidth="1"/>
    <col min="9" max="9" width="8.6640625" style="149" bestFit="1" customWidth="1"/>
    <col min="10" max="10" width="10.5" style="149" bestFit="1" customWidth="1"/>
    <col min="11" max="11" width="10.83203125" bestFit="1" customWidth="1"/>
  </cols>
  <sheetData>
    <row r="1" spans="1:10" ht="14" thickBot="1" x14ac:dyDescent="0.2">
      <c r="A1" s="4" t="s">
        <v>51</v>
      </c>
      <c r="B1" s="5"/>
      <c r="C1" s="5"/>
      <c r="D1" s="5"/>
      <c r="F1" s="4"/>
      <c r="G1" s="94"/>
      <c r="H1" s="94"/>
      <c r="I1" s="94" t="s">
        <v>67</v>
      </c>
      <c r="J1" s="94"/>
    </row>
    <row r="2" spans="1:10" x14ac:dyDescent="0.15">
      <c r="A2" s="101" t="s">
        <v>1</v>
      </c>
      <c r="B2" s="102" t="s">
        <v>52</v>
      </c>
      <c r="C2" s="102" t="s">
        <v>63</v>
      </c>
      <c r="D2" s="102"/>
      <c r="F2" s="4" t="s">
        <v>53</v>
      </c>
      <c r="G2" s="94"/>
      <c r="H2" s="94"/>
      <c r="I2" s="161" t="s">
        <v>15</v>
      </c>
      <c r="J2" s="94"/>
    </row>
    <row r="3" spans="1:10" x14ac:dyDescent="0.15">
      <c r="A3" s="100" t="s">
        <v>12</v>
      </c>
      <c r="B3" s="100" t="s">
        <v>2</v>
      </c>
      <c r="C3" s="100" t="s">
        <v>64</v>
      </c>
      <c r="D3" s="89" t="s">
        <v>49</v>
      </c>
      <c r="E3" s="86" t="s">
        <v>66</v>
      </c>
      <c r="F3" s="162" t="s">
        <v>0</v>
      </c>
      <c r="G3" s="162" t="s">
        <v>2</v>
      </c>
      <c r="H3" s="162" t="s">
        <v>13</v>
      </c>
      <c r="I3" s="162" t="s">
        <v>57</v>
      </c>
      <c r="J3" s="162" t="s">
        <v>21</v>
      </c>
    </row>
    <row r="4" spans="1:10" x14ac:dyDescent="0.15">
      <c r="A4" s="103" t="s">
        <v>3</v>
      </c>
      <c r="B4" s="103" t="s">
        <v>9</v>
      </c>
      <c r="C4" s="104">
        <v>1</v>
      </c>
      <c r="D4" s="102">
        <v>4000</v>
      </c>
      <c r="E4" s="71">
        <f t="shared" ref="E4:E9" si="0">(C15*$J$4)+(D15*$J$5)+(E15*$J$6)</f>
        <v>2899.9999999999982</v>
      </c>
      <c r="F4" s="163" t="s">
        <v>48</v>
      </c>
      <c r="G4" s="163" t="s">
        <v>10</v>
      </c>
      <c r="H4" s="164">
        <v>10</v>
      </c>
      <c r="I4" s="165">
        <v>0.18</v>
      </c>
      <c r="J4" s="166">
        <v>999.99999999999841</v>
      </c>
    </row>
    <row r="5" spans="1:10" x14ac:dyDescent="0.15">
      <c r="A5" s="103" t="s">
        <v>4</v>
      </c>
      <c r="B5" s="103" t="s">
        <v>10</v>
      </c>
      <c r="C5" s="104">
        <v>0.5</v>
      </c>
      <c r="D5" s="118">
        <v>9000</v>
      </c>
      <c r="E5" s="172">
        <f t="shared" si="0"/>
        <v>8999.9999999999982</v>
      </c>
      <c r="F5" s="163" t="s">
        <v>18</v>
      </c>
      <c r="G5" s="163" t="s">
        <v>10</v>
      </c>
      <c r="H5" s="164">
        <v>19</v>
      </c>
      <c r="I5" s="165">
        <v>0.18</v>
      </c>
      <c r="J5" s="166">
        <v>1.9326762412674725E-12</v>
      </c>
    </row>
    <row r="6" spans="1:10" x14ac:dyDescent="0.15">
      <c r="A6" s="103" t="s">
        <v>5</v>
      </c>
      <c r="B6" s="103" t="s">
        <v>11</v>
      </c>
      <c r="C6" s="104">
        <v>1</v>
      </c>
      <c r="D6" s="118">
        <v>2000</v>
      </c>
      <c r="E6" s="172">
        <f t="shared" si="0"/>
        <v>1999.9999999999991</v>
      </c>
      <c r="F6" s="163" t="s">
        <v>19</v>
      </c>
      <c r="G6" s="163" t="s">
        <v>10</v>
      </c>
      <c r="H6" s="164">
        <v>17</v>
      </c>
      <c r="I6" s="165">
        <v>0.18</v>
      </c>
      <c r="J6" s="166">
        <v>3999.9999999999968</v>
      </c>
    </row>
    <row r="7" spans="1:10" x14ac:dyDescent="0.15">
      <c r="A7" s="103" t="s">
        <v>6</v>
      </c>
      <c r="B7" s="103" t="s">
        <v>9</v>
      </c>
      <c r="C7" s="104">
        <v>8</v>
      </c>
      <c r="D7" s="102">
        <v>4000</v>
      </c>
      <c r="E7" s="71">
        <f t="shared" si="0"/>
        <v>1999.9999999999982</v>
      </c>
    </row>
    <row r="8" spans="1:10" x14ac:dyDescent="0.15">
      <c r="A8" s="103" t="s">
        <v>7</v>
      </c>
      <c r="B8" s="103" t="s">
        <v>9</v>
      </c>
      <c r="C8" s="104">
        <v>5</v>
      </c>
      <c r="D8" s="102">
        <v>1500</v>
      </c>
      <c r="E8" s="71">
        <f t="shared" si="0"/>
        <v>899.99999999999966</v>
      </c>
    </row>
    <row r="9" spans="1:10" x14ac:dyDescent="0.15">
      <c r="A9" s="103" t="s">
        <v>8</v>
      </c>
      <c r="B9" s="103" t="s">
        <v>9</v>
      </c>
      <c r="C9" s="104">
        <v>15</v>
      </c>
      <c r="D9" s="118">
        <v>800</v>
      </c>
      <c r="E9" s="172">
        <f t="shared" si="0"/>
        <v>799.99999999999989</v>
      </c>
    </row>
    <row r="11" spans="1:10" x14ac:dyDescent="0.15">
      <c r="A11" s="5" t="s">
        <v>41</v>
      </c>
      <c r="B11" s="5"/>
      <c r="C11" s="5"/>
      <c r="D11" s="5"/>
      <c r="E11" s="5"/>
    </row>
    <row r="12" spans="1:10" x14ac:dyDescent="0.15">
      <c r="A12" s="4" t="s">
        <v>20</v>
      </c>
      <c r="B12" s="5"/>
      <c r="C12" s="5"/>
      <c r="D12" s="5"/>
      <c r="E12" s="5"/>
    </row>
    <row r="13" spans="1:10" ht="14" thickBot="1" x14ac:dyDescent="0.2">
      <c r="A13" s="5" t="s">
        <v>54</v>
      </c>
      <c r="B13" s="5"/>
      <c r="C13" s="196" t="s">
        <v>69</v>
      </c>
      <c r="D13" s="196"/>
      <c r="E13" s="196"/>
    </row>
    <row r="14" spans="1:10" ht="14" thickBot="1" x14ac:dyDescent="0.2">
      <c r="A14" s="8" t="s">
        <v>12</v>
      </c>
      <c r="B14" s="9" t="s">
        <v>2</v>
      </c>
      <c r="C14" s="14" t="str">
        <f>F4</f>
        <v>Pizza muzzarela</v>
      </c>
      <c r="D14" s="14" t="str">
        <f>F5</f>
        <v>Pizza presunto</v>
      </c>
      <c r="E14" s="14" t="str">
        <f>F6</f>
        <v>Pizza marguerita</v>
      </c>
    </row>
    <row r="15" spans="1:10" ht="14" thickTop="1" x14ac:dyDescent="0.15">
      <c r="A15" s="36" t="s">
        <v>3</v>
      </c>
      <c r="B15" s="37" t="s">
        <v>9</v>
      </c>
      <c r="C15" s="33">
        <v>0.5</v>
      </c>
      <c r="D15" s="33">
        <v>0.5</v>
      </c>
      <c r="E15" s="33">
        <v>0.6</v>
      </c>
    </row>
    <row r="16" spans="1:10" x14ac:dyDescent="0.15">
      <c r="A16" s="35" t="s">
        <v>4</v>
      </c>
      <c r="B16" s="34" t="s">
        <v>10</v>
      </c>
      <c r="C16" s="34">
        <v>1</v>
      </c>
      <c r="D16" s="34">
        <v>3</v>
      </c>
      <c r="E16" s="34">
        <v>2</v>
      </c>
    </row>
    <row r="17" spans="1:9" x14ac:dyDescent="0.15">
      <c r="A17" s="35" t="s">
        <v>5</v>
      </c>
      <c r="B17" s="34" t="s">
        <v>11</v>
      </c>
      <c r="C17" s="34">
        <v>0.4</v>
      </c>
      <c r="D17" s="34">
        <v>0.4</v>
      </c>
      <c r="E17" s="34">
        <v>0.4</v>
      </c>
    </row>
    <row r="18" spans="1:9" x14ac:dyDescent="0.15">
      <c r="A18" s="35" t="s">
        <v>6</v>
      </c>
      <c r="B18" s="34" t="s">
        <v>9</v>
      </c>
      <c r="C18" s="34">
        <v>0.6</v>
      </c>
      <c r="D18" s="34">
        <v>0.2</v>
      </c>
      <c r="E18" s="34">
        <v>0.35</v>
      </c>
      <c r="G18" s="149" t="s">
        <v>65</v>
      </c>
    </row>
    <row r="19" spans="1:9" ht="14" thickBot="1" x14ac:dyDescent="0.2">
      <c r="A19" s="35" t="s">
        <v>7</v>
      </c>
      <c r="B19" s="34" t="s">
        <v>9</v>
      </c>
      <c r="C19" s="34">
        <v>0.1</v>
      </c>
      <c r="D19" s="34">
        <v>0.2</v>
      </c>
      <c r="E19" s="34">
        <v>0.2</v>
      </c>
    </row>
    <row r="20" spans="1:9" ht="14" thickBot="1" x14ac:dyDescent="0.2">
      <c r="A20" s="77" t="s">
        <v>8</v>
      </c>
      <c r="B20" s="78" t="s">
        <v>9</v>
      </c>
      <c r="C20" s="78">
        <v>0</v>
      </c>
      <c r="D20" s="78">
        <v>0.25</v>
      </c>
      <c r="E20" s="78">
        <v>0.2</v>
      </c>
      <c r="G20" s="122" t="s">
        <v>34</v>
      </c>
      <c r="H20" s="81"/>
      <c r="I20" s="82"/>
    </row>
    <row r="21" spans="1:9" ht="14" thickBot="1" x14ac:dyDescent="0.2">
      <c r="H21" s="83" t="s">
        <v>46</v>
      </c>
      <c r="I21" s="84" t="s">
        <v>47</v>
      </c>
    </row>
    <row r="22" spans="1:9" ht="14" thickBot="1" x14ac:dyDescent="0.2">
      <c r="A22" t="s">
        <v>42</v>
      </c>
      <c r="G22" s="150" t="s">
        <v>17</v>
      </c>
      <c r="H22" s="151">
        <f>Resultado!C3</f>
        <v>77999.999999999956</v>
      </c>
      <c r="I22" s="152">
        <f>H22/$H$22</f>
        <v>1</v>
      </c>
    </row>
    <row r="23" spans="1:9" x14ac:dyDescent="0.15">
      <c r="A23" t="s">
        <v>43</v>
      </c>
      <c r="G23" s="153" t="s">
        <v>32</v>
      </c>
      <c r="H23" s="151">
        <f>Resultado!C4</f>
        <v>14039.999999999993</v>
      </c>
      <c r="I23" s="152">
        <f t="shared" ref="I23:I29" si="1">H23/$H$22</f>
        <v>0.18000000000000002</v>
      </c>
    </row>
    <row r="24" spans="1:9" ht="14" thickBot="1" x14ac:dyDescent="0.2">
      <c r="A24" t="s">
        <v>44</v>
      </c>
      <c r="G24" s="154" t="s">
        <v>33</v>
      </c>
      <c r="H24" s="151">
        <f>Resultado!C5</f>
        <v>41899.999999999985</v>
      </c>
      <c r="I24" s="152">
        <f t="shared" si="1"/>
        <v>0.53717948717948727</v>
      </c>
    </row>
    <row r="25" spans="1:9" ht="14" thickBot="1" x14ac:dyDescent="0.2">
      <c r="A25" t="s">
        <v>45</v>
      </c>
      <c r="G25" s="155" t="s">
        <v>55</v>
      </c>
      <c r="H25" s="151">
        <f>Resultado!C6</f>
        <v>22059.999999999978</v>
      </c>
      <c r="I25" s="152">
        <f t="shared" si="1"/>
        <v>0.28282051282051268</v>
      </c>
    </row>
    <row r="26" spans="1:9" ht="14" thickBot="1" x14ac:dyDescent="0.2">
      <c r="A26" t="s">
        <v>56</v>
      </c>
      <c r="G26" s="193" t="s">
        <v>40</v>
      </c>
      <c r="H26" s="194"/>
      <c r="I26" s="195"/>
    </row>
    <row r="27" spans="1:9" ht="14" thickBot="1" x14ac:dyDescent="0.2">
      <c r="A27" s="177" t="s">
        <v>166</v>
      </c>
      <c r="G27" s="156" t="s">
        <v>14</v>
      </c>
      <c r="H27" s="151">
        <f>H25</f>
        <v>22059.999999999978</v>
      </c>
      <c r="I27" s="152">
        <f t="shared" si="1"/>
        <v>0.28282051282051268</v>
      </c>
    </row>
    <row r="28" spans="1:9" ht="14" thickBot="1" x14ac:dyDescent="0.2">
      <c r="G28" s="157" t="s">
        <v>31</v>
      </c>
      <c r="H28" s="158">
        <v>15000</v>
      </c>
      <c r="I28" s="152">
        <f t="shared" si="1"/>
        <v>0.1923076923076924</v>
      </c>
    </row>
    <row r="29" spans="1:9" ht="14" thickBot="1" x14ac:dyDescent="0.2">
      <c r="G29" s="159" t="s">
        <v>50</v>
      </c>
      <c r="H29" s="160">
        <f>H27-H28</f>
        <v>7059.9999999999782</v>
      </c>
      <c r="I29" s="152">
        <f t="shared" si="1"/>
        <v>9.051282051282028E-2</v>
      </c>
    </row>
    <row r="30" spans="1:9" ht="20" x14ac:dyDescent="0.2">
      <c r="A30" s="121" t="s">
        <v>115</v>
      </c>
      <c r="B30" s="121"/>
      <c r="C30" s="121"/>
      <c r="D30" s="121"/>
      <c r="E30" s="121"/>
      <c r="F30" s="121"/>
    </row>
    <row r="33" spans="11:12" x14ac:dyDescent="0.15">
      <c r="K33" s="90"/>
    </row>
    <row r="35" spans="11:12" x14ac:dyDescent="0.15">
      <c r="K35" s="90"/>
    </row>
    <row r="37" spans="11:12" x14ac:dyDescent="0.15">
      <c r="K37" s="98"/>
    </row>
    <row r="39" spans="11:12" ht="16" x14ac:dyDescent="0.2">
      <c r="L39" s="97"/>
    </row>
  </sheetData>
  <mergeCells count="2">
    <mergeCell ref="G26:I26"/>
    <mergeCell ref="C13:E13"/>
  </mergeCells>
  <phoneticPr fontId="0" type="noConversion"/>
  <pageMargins left="0.75" right="0.75" top="1" bottom="1" header="0.49212598499999999" footer="0.49212598499999999"/>
  <pageSetup paperSize="9" orientation="landscape" horizontalDpi="360" verticalDpi="36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60"/>
  <sheetViews>
    <sheetView showZeros="0" zoomScale="193" workbookViewId="0">
      <selection activeCell="E5" sqref="E5"/>
    </sheetView>
  </sheetViews>
  <sheetFormatPr baseColWidth="10" defaultColWidth="9.1640625" defaultRowHeight="13" x14ac:dyDescent="0.15"/>
  <cols>
    <col min="1" max="1" width="22.6640625" style="5" customWidth="1"/>
    <col min="2" max="2" width="8.5" style="5" bestFit="1" customWidth="1"/>
    <col min="3" max="3" width="10.1640625" style="5" bestFit="1" customWidth="1"/>
    <col min="4" max="4" width="16.1640625" style="5" customWidth="1"/>
    <col min="5" max="5" width="14.6640625" style="5" bestFit="1" customWidth="1"/>
    <col min="6" max="6" width="16.83203125" style="5" bestFit="1" customWidth="1"/>
    <col min="7" max="7" width="12.83203125" style="5" bestFit="1" customWidth="1"/>
    <col min="8" max="16384" width="9.1640625" style="5"/>
  </cols>
  <sheetData>
    <row r="2" spans="1:13" ht="14" thickBot="1" x14ac:dyDescent="0.2">
      <c r="A2" s="4" t="s">
        <v>20</v>
      </c>
    </row>
    <row r="3" spans="1:13" ht="14" thickBot="1" x14ac:dyDescent="0.2">
      <c r="D3" s="20" t="str">
        <f>QUESTÕES!F4</f>
        <v>Pizza muzzarela</v>
      </c>
      <c r="E3" s="21" t="str">
        <f>QUESTÕES!F5</f>
        <v>Pizza presunto</v>
      </c>
      <c r="F3" s="21" t="str">
        <f>QUESTÕES!F6</f>
        <v>Pizza marguerita</v>
      </c>
      <c r="G3" s="21"/>
      <c r="H3" s="21"/>
      <c r="I3" s="21"/>
      <c r="J3" s="21"/>
      <c r="K3" s="21"/>
      <c r="L3" s="22"/>
    </row>
    <row r="4" spans="1:13" ht="14" thickBot="1" x14ac:dyDescent="0.2">
      <c r="A4" s="8" t="s">
        <v>12</v>
      </c>
      <c r="B4" s="19" t="s">
        <v>2</v>
      </c>
      <c r="C4" s="28" t="s">
        <v>22</v>
      </c>
      <c r="D4" s="27">
        <f>QUESTÕES!J4</f>
        <v>999.99999999999841</v>
      </c>
      <c r="E4" s="173">
        <f>QUESTÕES!J5</f>
        <v>1.9326762412674725E-12</v>
      </c>
      <c r="F4" s="23">
        <f>QUESTÕES!J6</f>
        <v>3999.9999999999968</v>
      </c>
      <c r="G4" s="23"/>
      <c r="H4" s="23"/>
      <c r="I4" s="23"/>
      <c r="J4" s="23"/>
      <c r="K4" s="23"/>
      <c r="L4" s="24"/>
      <c r="M4" s="4"/>
    </row>
    <row r="5" spans="1:13" ht="15" thickTop="1" thickBot="1" x14ac:dyDescent="0.2">
      <c r="A5" s="10" t="str">
        <f>QUESTÕES!A4</f>
        <v>Farinha de trigo</v>
      </c>
      <c r="B5" s="37" t="s">
        <v>9</v>
      </c>
      <c r="C5" s="51">
        <f t="shared" ref="C5:C10" si="0">D5+E5+F5</f>
        <v>2899.9999999999982</v>
      </c>
      <c r="D5" s="31">
        <f>QUESTÕES!C15*'Consumo de materiais'!$D$4</f>
        <v>499.9999999999992</v>
      </c>
      <c r="E5" s="173">
        <f>QUESTÕES!D15*'Consumo de materiais'!$E$4</f>
        <v>9.6633812063373625E-13</v>
      </c>
      <c r="F5" s="31">
        <f>QUESTÕES!E15*'Consumo de materiais'!$F$4</f>
        <v>2399.9999999999982</v>
      </c>
      <c r="G5" s="15"/>
      <c r="H5" s="15"/>
      <c r="I5" s="15"/>
      <c r="J5" s="15"/>
      <c r="K5" s="15"/>
      <c r="L5" s="16"/>
    </row>
    <row r="6" spans="1:13" ht="15" thickTop="1" thickBot="1" x14ac:dyDescent="0.2">
      <c r="A6" s="10" t="str">
        <f>QUESTÕES!A5</f>
        <v>Ovo</v>
      </c>
      <c r="B6" s="34" t="s">
        <v>10</v>
      </c>
      <c r="C6" s="51">
        <f t="shared" si="0"/>
        <v>8999.9999999999982</v>
      </c>
      <c r="D6" s="31">
        <f>QUESTÕES!C16*'Consumo de materiais'!$D$4</f>
        <v>999.99999999999841</v>
      </c>
      <c r="E6" s="173">
        <f>QUESTÕES!D16*'Consumo de materiais'!$E$4</f>
        <v>5.7980287238024175E-12</v>
      </c>
      <c r="F6" s="31">
        <f>QUESTÕES!E16*'Consumo de materiais'!$F$4</f>
        <v>7999.9999999999936</v>
      </c>
      <c r="G6" s="15"/>
      <c r="H6" s="15"/>
      <c r="I6" s="15"/>
      <c r="J6" s="15"/>
      <c r="K6" s="15"/>
      <c r="L6" s="16"/>
    </row>
    <row r="7" spans="1:13" ht="15" thickTop="1" thickBot="1" x14ac:dyDescent="0.2">
      <c r="A7" s="10" t="str">
        <f>QUESTÕES!A6</f>
        <v>Leite</v>
      </c>
      <c r="B7" s="34" t="s">
        <v>11</v>
      </c>
      <c r="C7" s="51">
        <f t="shared" si="0"/>
        <v>1999.9999999999991</v>
      </c>
      <c r="D7" s="31">
        <f>QUESTÕES!C17*'Consumo de materiais'!$D$4</f>
        <v>399.99999999999937</v>
      </c>
      <c r="E7" s="173">
        <f>QUESTÕES!D17*'Consumo de materiais'!$E$4</f>
        <v>7.7307049650698908E-13</v>
      </c>
      <c r="F7" s="31">
        <f>QUESTÕES!E17*'Consumo de materiais'!$F$4</f>
        <v>1599.9999999999989</v>
      </c>
      <c r="G7" s="15"/>
      <c r="H7" s="15"/>
      <c r="I7" s="15"/>
      <c r="J7" s="15"/>
      <c r="K7" s="15"/>
      <c r="L7" s="16"/>
    </row>
    <row r="8" spans="1:13" ht="15" thickTop="1" thickBot="1" x14ac:dyDescent="0.2">
      <c r="A8" s="10" t="str">
        <f>QUESTÕES!A7</f>
        <v>Queijo muzzarela</v>
      </c>
      <c r="B8" s="34" t="s">
        <v>9</v>
      </c>
      <c r="C8" s="51">
        <f t="shared" si="0"/>
        <v>1999.9999999999982</v>
      </c>
      <c r="D8" s="31">
        <f>QUESTÕES!C18*'Consumo de materiais'!$D$4</f>
        <v>599.99999999999898</v>
      </c>
      <c r="E8" s="173">
        <f>QUESTÕES!D18*'Consumo de materiais'!$E$4</f>
        <v>3.8653524825349454E-13</v>
      </c>
      <c r="F8" s="31">
        <f>QUESTÕES!E18*'Consumo de materiais'!$F$4</f>
        <v>1399.9999999999989</v>
      </c>
      <c r="G8" s="15"/>
      <c r="H8" s="15"/>
      <c r="I8" s="15"/>
      <c r="J8" s="15"/>
      <c r="K8" s="15"/>
      <c r="L8" s="16"/>
    </row>
    <row r="9" spans="1:13" ht="15" thickTop="1" thickBot="1" x14ac:dyDescent="0.2">
      <c r="A9" s="10" t="str">
        <f>QUESTÕES!A8</f>
        <v>Molho de tomate</v>
      </c>
      <c r="B9" s="34" t="s">
        <v>9</v>
      </c>
      <c r="C9" s="51">
        <f t="shared" si="0"/>
        <v>899.99999999999966</v>
      </c>
      <c r="D9" s="31">
        <f>QUESTÕES!C19*'Consumo de materiais'!$D$4</f>
        <v>99.999999999999844</v>
      </c>
      <c r="E9" s="173">
        <f>QUESTÕES!D19*'Consumo de materiais'!$E$4</f>
        <v>3.8653524825349454E-13</v>
      </c>
      <c r="F9" s="31">
        <f>QUESTÕES!E19*'Consumo de materiais'!$F$4</f>
        <v>799.99999999999943</v>
      </c>
      <c r="G9" s="15"/>
      <c r="H9" s="15"/>
      <c r="I9" s="15"/>
      <c r="J9" s="15"/>
      <c r="K9" s="15"/>
      <c r="L9" s="16"/>
    </row>
    <row r="10" spans="1:13" ht="15" thickTop="1" thickBot="1" x14ac:dyDescent="0.2">
      <c r="A10" s="10" t="str">
        <f>QUESTÕES!A9</f>
        <v>Presunto</v>
      </c>
      <c r="B10" s="78" t="s">
        <v>9</v>
      </c>
      <c r="C10" s="51">
        <f t="shared" si="0"/>
        <v>799.99999999999989</v>
      </c>
      <c r="D10" s="31">
        <f>QUESTÕES!C20*'Consumo de materiais'!$D$4</f>
        <v>0</v>
      </c>
      <c r="E10" s="173">
        <f>QUESTÕES!D20*'Consumo de materiais'!$E$4</f>
        <v>4.8316906031686813E-13</v>
      </c>
      <c r="F10" s="31">
        <f>QUESTÕES!E20*'Consumo de materiais'!$F$4</f>
        <v>799.99999999999943</v>
      </c>
      <c r="G10" s="15"/>
      <c r="H10" s="15"/>
      <c r="I10" s="15"/>
      <c r="J10" s="15"/>
      <c r="K10" s="15"/>
      <c r="L10" s="16"/>
    </row>
    <row r="11" spans="1:13" ht="14" thickBot="1" x14ac:dyDescent="0.2">
      <c r="A11" s="10">
        <f>QUESTÕES!A10</f>
        <v>0</v>
      </c>
      <c r="B11" s="25"/>
      <c r="C11" s="29"/>
      <c r="D11" s="31"/>
      <c r="E11" s="27"/>
      <c r="F11" s="15"/>
      <c r="G11" s="15"/>
      <c r="H11" s="15"/>
      <c r="I11" s="15"/>
      <c r="J11" s="15"/>
      <c r="K11" s="15"/>
      <c r="L11" s="16"/>
    </row>
    <row r="12" spans="1:13" ht="14" thickTop="1" x14ac:dyDescent="0.15">
      <c r="A12" s="10"/>
      <c r="B12" s="25"/>
      <c r="C12" s="29"/>
      <c r="D12" s="31"/>
      <c r="E12" s="15"/>
      <c r="F12" s="15"/>
      <c r="G12" s="15"/>
      <c r="H12" s="15"/>
      <c r="I12" s="15"/>
      <c r="J12" s="15"/>
      <c r="K12" s="15"/>
      <c r="L12" s="16"/>
    </row>
    <row r="13" spans="1:13" x14ac:dyDescent="0.15">
      <c r="A13" s="10"/>
      <c r="B13" s="25"/>
      <c r="C13" s="29"/>
      <c r="D13" s="31"/>
      <c r="E13" s="15"/>
      <c r="F13" s="15"/>
      <c r="G13" s="15"/>
      <c r="H13" s="15"/>
      <c r="I13" s="15"/>
      <c r="J13" s="15"/>
      <c r="K13" s="15"/>
      <c r="L13" s="16"/>
    </row>
    <row r="14" spans="1:13" x14ac:dyDescent="0.15">
      <c r="A14" s="10"/>
      <c r="B14" s="25"/>
      <c r="C14" s="29"/>
      <c r="D14" s="31"/>
      <c r="E14" s="15"/>
      <c r="F14" s="15"/>
      <c r="G14" s="15"/>
      <c r="H14" s="15"/>
      <c r="I14" s="15"/>
      <c r="J14" s="15"/>
      <c r="K14" s="15"/>
      <c r="L14" s="16"/>
    </row>
    <row r="15" spans="1:13" x14ac:dyDescent="0.15">
      <c r="A15" s="10"/>
      <c r="B15" s="25"/>
      <c r="C15" s="29"/>
      <c r="D15" s="31"/>
      <c r="E15" s="15"/>
      <c r="F15" s="15"/>
      <c r="G15" s="15"/>
      <c r="H15" s="15"/>
      <c r="I15" s="15"/>
      <c r="J15" s="15"/>
      <c r="K15" s="15"/>
      <c r="L15" s="16"/>
    </row>
    <row r="16" spans="1:13" x14ac:dyDescent="0.15">
      <c r="A16" s="10"/>
      <c r="B16" s="25"/>
      <c r="C16" s="29"/>
      <c r="D16" s="31"/>
      <c r="E16" s="15"/>
      <c r="F16" s="15"/>
      <c r="G16" s="15"/>
      <c r="H16" s="15"/>
      <c r="I16" s="15"/>
      <c r="J16" s="15"/>
      <c r="K16" s="15"/>
      <c r="L16" s="16"/>
    </row>
    <row r="17" spans="1:12" x14ac:dyDescent="0.15">
      <c r="A17" s="10"/>
      <c r="B17" s="25"/>
      <c r="C17" s="29"/>
      <c r="D17" s="31"/>
      <c r="E17" s="15"/>
      <c r="F17" s="15"/>
      <c r="G17" s="15"/>
      <c r="H17" s="15"/>
      <c r="I17" s="15"/>
      <c r="J17" s="15"/>
      <c r="K17" s="15"/>
      <c r="L17" s="16"/>
    </row>
    <row r="18" spans="1:12" x14ac:dyDescent="0.15">
      <c r="A18" s="10"/>
      <c r="B18" s="25"/>
      <c r="C18" s="29"/>
      <c r="D18" s="31"/>
      <c r="E18" s="15"/>
      <c r="F18" s="15"/>
      <c r="G18" s="15"/>
      <c r="H18" s="15"/>
      <c r="I18" s="15"/>
      <c r="J18" s="15"/>
      <c r="K18" s="15"/>
      <c r="L18" s="16"/>
    </row>
    <row r="19" spans="1:12" x14ac:dyDescent="0.15">
      <c r="A19" s="10"/>
      <c r="B19" s="25"/>
      <c r="C19" s="29"/>
      <c r="D19" s="31"/>
      <c r="E19" s="15"/>
      <c r="F19" s="15"/>
      <c r="G19" s="15"/>
      <c r="H19" s="15"/>
      <c r="I19" s="15"/>
      <c r="J19" s="15"/>
      <c r="K19" s="15"/>
      <c r="L19" s="16"/>
    </row>
    <row r="20" spans="1:12" x14ac:dyDescent="0.15">
      <c r="A20" s="10"/>
      <c r="B20" s="25"/>
      <c r="C20" s="29"/>
      <c r="D20" s="31"/>
      <c r="E20" s="15"/>
      <c r="F20" s="15"/>
      <c r="G20" s="15"/>
      <c r="H20" s="15"/>
      <c r="I20" s="15"/>
      <c r="J20" s="15"/>
      <c r="K20" s="15"/>
      <c r="L20" s="16"/>
    </row>
    <row r="21" spans="1:12" x14ac:dyDescent="0.15">
      <c r="A21" s="10"/>
      <c r="B21" s="25"/>
      <c r="C21" s="29"/>
      <c r="D21" s="31"/>
      <c r="E21" s="15"/>
      <c r="F21" s="15"/>
      <c r="G21" s="15"/>
      <c r="H21" s="15"/>
      <c r="I21" s="15"/>
      <c r="J21" s="15"/>
      <c r="K21" s="15"/>
      <c r="L21" s="16"/>
    </row>
    <row r="22" spans="1:12" x14ac:dyDescent="0.15">
      <c r="A22" s="10"/>
      <c r="B22" s="25"/>
      <c r="C22" s="29"/>
      <c r="D22" s="31"/>
      <c r="E22" s="15"/>
      <c r="F22" s="15"/>
      <c r="G22" s="15"/>
      <c r="H22" s="15"/>
      <c r="I22" s="15"/>
      <c r="J22" s="15"/>
      <c r="K22" s="15"/>
      <c r="L22" s="16"/>
    </row>
    <row r="23" spans="1:12" x14ac:dyDescent="0.15">
      <c r="A23" s="10"/>
      <c r="B23" s="25"/>
      <c r="C23" s="29"/>
      <c r="D23" s="31"/>
      <c r="E23" s="15"/>
      <c r="F23" s="15"/>
      <c r="G23" s="15"/>
      <c r="H23" s="15"/>
      <c r="I23" s="15"/>
      <c r="J23" s="15"/>
      <c r="K23" s="15"/>
      <c r="L23" s="16"/>
    </row>
    <row r="24" spans="1:12" x14ac:dyDescent="0.15">
      <c r="A24" s="10"/>
      <c r="B24" s="25"/>
      <c r="C24" s="29"/>
      <c r="D24" s="31"/>
      <c r="E24" s="15"/>
      <c r="F24" s="15"/>
      <c r="G24" s="15"/>
      <c r="H24" s="15"/>
      <c r="I24" s="15"/>
      <c r="J24" s="15"/>
      <c r="K24" s="15"/>
      <c r="L24" s="16"/>
    </row>
    <row r="25" spans="1:12" x14ac:dyDescent="0.15">
      <c r="A25" s="10"/>
      <c r="B25" s="25"/>
      <c r="C25" s="29"/>
      <c r="D25" s="31"/>
      <c r="E25" s="15"/>
      <c r="F25" s="15"/>
      <c r="G25" s="15"/>
      <c r="H25" s="15"/>
      <c r="I25" s="15"/>
      <c r="J25" s="15"/>
      <c r="K25" s="15"/>
      <c r="L25" s="16"/>
    </row>
    <row r="26" spans="1:12" x14ac:dyDescent="0.15">
      <c r="A26" s="10"/>
      <c r="B26" s="25"/>
      <c r="C26" s="29"/>
      <c r="D26" s="31"/>
      <c r="E26" s="15"/>
      <c r="F26" s="15"/>
      <c r="G26" s="15"/>
      <c r="H26" s="15"/>
      <c r="I26" s="15"/>
      <c r="J26" s="15"/>
      <c r="K26" s="15"/>
      <c r="L26" s="16"/>
    </row>
    <row r="27" spans="1:12" x14ac:dyDescent="0.15">
      <c r="A27" s="10"/>
      <c r="B27" s="25"/>
      <c r="C27" s="29"/>
      <c r="D27" s="31"/>
      <c r="E27" s="15"/>
      <c r="F27" s="15"/>
      <c r="G27" s="15"/>
      <c r="H27" s="15"/>
      <c r="I27" s="15"/>
      <c r="J27" s="15"/>
      <c r="K27" s="15"/>
      <c r="L27" s="16"/>
    </row>
    <row r="28" spans="1:12" x14ac:dyDescent="0.15">
      <c r="A28" s="10"/>
      <c r="B28" s="25"/>
      <c r="C28" s="29"/>
      <c r="D28" s="31"/>
      <c r="E28" s="15"/>
      <c r="F28" s="15"/>
      <c r="G28" s="15"/>
      <c r="H28" s="15"/>
      <c r="I28" s="15"/>
      <c r="J28" s="15"/>
      <c r="K28" s="15"/>
      <c r="L28" s="16"/>
    </row>
    <row r="29" spans="1:12" x14ac:dyDescent="0.15">
      <c r="A29" s="10"/>
      <c r="B29" s="25"/>
      <c r="C29" s="29"/>
      <c r="D29" s="31"/>
      <c r="E29" s="15"/>
      <c r="F29" s="15"/>
      <c r="G29" s="15"/>
      <c r="H29" s="15"/>
      <c r="I29" s="15"/>
      <c r="J29" s="15"/>
      <c r="K29" s="15"/>
      <c r="L29" s="16"/>
    </row>
    <row r="30" spans="1:12" x14ac:dyDescent="0.15">
      <c r="A30" s="10"/>
      <c r="B30" s="25"/>
      <c r="C30" s="29"/>
      <c r="D30" s="31"/>
      <c r="E30" s="15"/>
      <c r="F30" s="15"/>
      <c r="G30" s="15"/>
      <c r="H30" s="15"/>
      <c r="I30" s="15"/>
      <c r="J30" s="15"/>
      <c r="K30" s="15"/>
      <c r="L30" s="16"/>
    </row>
    <row r="31" spans="1:12" x14ac:dyDescent="0.15">
      <c r="A31" s="10"/>
      <c r="B31" s="25"/>
      <c r="C31" s="29"/>
      <c r="D31" s="31"/>
      <c r="E31" s="15"/>
      <c r="F31" s="15"/>
      <c r="G31" s="15"/>
      <c r="H31" s="15"/>
      <c r="I31" s="15"/>
      <c r="J31" s="15"/>
      <c r="K31" s="15"/>
      <c r="L31" s="16"/>
    </row>
    <row r="32" spans="1:12" x14ac:dyDescent="0.15">
      <c r="A32" s="10"/>
      <c r="B32" s="25"/>
      <c r="C32" s="29"/>
      <c r="D32" s="31"/>
      <c r="E32" s="15"/>
      <c r="F32" s="15"/>
      <c r="G32" s="15"/>
      <c r="H32" s="15"/>
      <c r="I32" s="15"/>
      <c r="J32" s="15"/>
      <c r="K32" s="15"/>
      <c r="L32" s="16"/>
    </row>
    <row r="33" spans="1:12" x14ac:dyDescent="0.15">
      <c r="A33" s="10"/>
      <c r="B33" s="25"/>
      <c r="C33" s="29"/>
      <c r="D33" s="31"/>
      <c r="E33" s="15"/>
      <c r="F33" s="15"/>
      <c r="G33" s="15"/>
      <c r="H33" s="15"/>
      <c r="I33" s="15"/>
      <c r="J33" s="15"/>
      <c r="K33" s="15"/>
      <c r="L33" s="16"/>
    </row>
    <row r="34" spans="1:12" x14ac:dyDescent="0.15">
      <c r="A34" s="10"/>
      <c r="B34" s="25"/>
      <c r="C34" s="29"/>
      <c r="D34" s="31"/>
      <c r="E34" s="15"/>
      <c r="F34" s="15"/>
      <c r="G34" s="15"/>
      <c r="H34" s="15"/>
      <c r="I34" s="15"/>
      <c r="J34" s="15"/>
      <c r="K34" s="15"/>
      <c r="L34" s="16"/>
    </row>
    <row r="35" spans="1:12" x14ac:dyDescent="0.15">
      <c r="A35" s="10"/>
      <c r="B35" s="25"/>
      <c r="C35" s="29"/>
      <c r="D35" s="31"/>
      <c r="E35" s="15"/>
      <c r="F35" s="15"/>
      <c r="G35" s="15"/>
      <c r="H35" s="15"/>
      <c r="I35" s="15"/>
      <c r="J35" s="15"/>
      <c r="K35" s="15"/>
      <c r="L35" s="16"/>
    </row>
    <row r="36" spans="1:12" x14ac:dyDescent="0.15">
      <c r="A36" s="10"/>
      <c r="B36" s="25"/>
      <c r="C36" s="29"/>
      <c r="D36" s="31"/>
      <c r="E36" s="15"/>
      <c r="F36" s="15"/>
      <c r="G36" s="15"/>
      <c r="H36" s="15"/>
      <c r="I36" s="15"/>
      <c r="J36" s="15"/>
      <c r="K36" s="15"/>
      <c r="L36" s="16"/>
    </row>
    <row r="37" spans="1:12" x14ac:dyDescent="0.15">
      <c r="A37" s="10"/>
      <c r="B37" s="25"/>
      <c r="C37" s="29"/>
      <c r="D37" s="31"/>
      <c r="E37" s="15"/>
      <c r="F37" s="15"/>
      <c r="G37" s="15"/>
      <c r="H37" s="15"/>
      <c r="I37" s="15"/>
      <c r="J37" s="15"/>
      <c r="K37" s="15"/>
      <c r="L37" s="16"/>
    </row>
    <row r="38" spans="1:12" x14ac:dyDescent="0.15">
      <c r="A38" s="10"/>
      <c r="B38" s="25"/>
      <c r="C38" s="29"/>
      <c r="D38" s="31"/>
      <c r="E38" s="15"/>
      <c r="F38" s="15"/>
      <c r="G38" s="15"/>
      <c r="H38" s="15"/>
      <c r="I38" s="15"/>
      <c r="J38" s="15"/>
      <c r="K38" s="15"/>
      <c r="L38" s="16"/>
    </row>
    <row r="39" spans="1:12" x14ac:dyDescent="0.15">
      <c r="A39" s="10"/>
      <c r="B39" s="25"/>
      <c r="C39" s="29"/>
      <c r="D39" s="31"/>
      <c r="E39" s="15"/>
      <c r="F39" s="15"/>
      <c r="G39" s="15"/>
      <c r="H39" s="15"/>
      <c r="I39" s="15"/>
      <c r="J39" s="15"/>
      <c r="K39" s="15"/>
      <c r="L39" s="16"/>
    </row>
    <row r="40" spans="1:12" x14ac:dyDescent="0.15">
      <c r="A40" s="10"/>
      <c r="B40" s="25"/>
      <c r="C40" s="29"/>
      <c r="D40" s="31"/>
      <c r="E40" s="15"/>
      <c r="F40" s="15"/>
      <c r="G40" s="15"/>
      <c r="H40" s="15"/>
      <c r="I40" s="15"/>
      <c r="J40" s="15"/>
      <c r="K40" s="15"/>
      <c r="L40" s="16"/>
    </row>
    <row r="41" spans="1:12" x14ac:dyDescent="0.15">
      <c r="A41" s="10"/>
      <c r="B41" s="25"/>
      <c r="C41" s="29"/>
      <c r="D41" s="31"/>
      <c r="E41" s="15"/>
      <c r="F41" s="15"/>
      <c r="G41" s="15"/>
      <c r="H41" s="15"/>
      <c r="I41" s="15"/>
      <c r="J41" s="15"/>
      <c r="K41" s="15"/>
      <c r="L41" s="16"/>
    </row>
    <row r="42" spans="1:12" x14ac:dyDescent="0.15">
      <c r="A42" s="10"/>
      <c r="B42" s="25"/>
      <c r="C42" s="29"/>
      <c r="D42" s="31"/>
      <c r="E42" s="15"/>
      <c r="F42" s="15"/>
      <c r="G42" s="15"/>
      <c r="H42" s="15"/>
      <c r="I42" s="15"/>
      <c r="J42" s="15"/>
      <c r="K42" s="15"/>
      <c r="L42" s="16"/>
    </row>
    <row r="43" spans="1:12" x14ac:dyDescent="0.15">
      <c r="A43" s="10"/>
      <c r="B43" s="25"/>
      <c r="C43" s="29"/>
      <c r="D43" s="31"/>
      <c r="E43" s="15"/>
      <c r="F43" s="15"/>
      <c r="G43" s="15"/>
      <c r="H43" s="15"/>
      <c r="I43" s="15"/>
      <c r="J43" s="15"/>
      <c r="K43" s="15"/>
      <c r="L43" s="16"/>
    </row>
    <row r="44" spans="1:12" ht="14" thickBot="1" x14ac:dyDescent="0.2">
      <c r="A44" s="12"/>
      <c r="B44" s="26"/>
      <c r="C44" s="30"/>
      <c r="D44" s="32"/>
      <c r="E44" s="17"/>
      <c r="F44" s="17"/>
      <c r="G44" s="17"/>
      <c r="H44" s="17"/>
      <c r="I44" s="17"/>
      <c r="J44" s="17"/>
      <c r="K44" s="17"/>
      <c r="L44" s="18"/>
    </row>
    <row r="57" spans="4:5" x14ac:dyDescent="0.15">
      <c r="D57" s="6"/>
      <c r="E57" s="6"/>
    </row>
    <row r="60" spans="4:5" x14ac:dyDescent="0.15">
      <c r="D60" s="7"/>
      <c r="E60" s="7"/>
    </row>
  </sheetData>
  <phoneticPr fontId="0" type="noConversion"/>
  <pageMargins left="0.75" right="0.75" top="1" bottom="1" header="0.49212598499999999" footer="0.4921259849999999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P62"/>
  <sheetViews>
    <sheetView showZeros="0" zoomScale="180" zoomScaleNormal="180" workbookViewId="0">
      <pane xSplit="3" ySplit="6" topLeftCell="E7" activePane="bottomRight" state="frozen"/>
      <selection pane="topRight" activeCell="D1" sqref="D1"/>
      <selection pane="bottomLeft" activeCell="A7" sqref="A7"/>
      <selection pane="bottomRight" activeCell="F6" sqref="F6"/>
    </sheetView>
  </sheetViews>
  <sheetFormatPr baseColWidth="10" defaultColWidth="9.1640625" defaultRowHeight="13" x14ac:dyDescent="0.15"/>
  <cols>
    <col min="1" max="1" width="22.6640625" style="5" customWidth="1"/>
    <col min="2" max="2" width="8.5" style="5" bestFit="1" customWidth="1"/>
    <col min="3" max="3" width="10.5" style="5" bestFit="1" customWidth="1"/>
    <col min="4" max="4" width="9.33203125" style="5" bestFit="1" customWidth="1"/>
    <col min="5" max="5" width="16.1640625" style="5" customWidth="1"/>
    <col min="6" max="6" width="14.5" style="5" bestFit="1" customWidth="1"/>
    <col min="7" max="7" width="16.6640625" style="5" bestFit="1" customWidth="1"/>
    <col min="8" max="9" width="9.1640625" style="5"/>
    <col min="10" max="10" width="12.83203125" style="5" bestFit="1" customWidth="1"/>
    <col min="11" max="16384" width="9.1640625" style="5"/>
  </cols>
  <sheetData>
    <row r="2" spans="1:16" ht="14" thickBot="1" x14ac:dyDescent="0.2">
      <c r="A2" s="4" t="s">
        <v>23</v>
      </c>
    </row>
    <row r="3" spans="1:16" ht="14" thickBot="1" x14ac:dyDescent="0.2">
      <c r="E3" s="45" t="str">
        <f>'Consumo de materiais'!D3</f>
        <v>Pizza muzzarela</v>
      </c>
      <c r="F3" s="45" t="str">
        <f>'Consumo de materiais'!E3</f>
        <v>Pizza presunto</v>
      </c>
      <c r="G3" s="45" t="str">
        <f>'Consumo de materiais'!F3</f>
        <v>Pizza marguerita</v>
      </c>
      <c r="H3" s="46"/>
      <c r="I3" s="46"/>
      <c r="J3" s="46"/>
      <c r="K3" s="46"/>
      <c r="L3" s="46"/>
      <c r="M3" s="46"/>
      <c r="N3" s="46"/>
      <c r="O3" s="47"/>
    </row>
    <row r="4" spans="1:16" ht="14" thickBot="1" x14ac:dyDescent="0.2">
      <c r="C4" s="5" t="s">
        <v>61</v>
      </c>
      <c r="D4" s="43" t="s">
        <v>24</v>
      </c>
      <c r="E4" s="87">
        <f>SUM(E7:E12)</f>
        <v>6.6999999999999993</v>
      </c>
      <c r="F4" s="87">
        <f>SUM(F7:F12)</f>
        <v>8.75</v>
      </c>
      <c r="G4" s="87">
        <f>SUM(G7:G12)</f>
        <v>8.8000000000000007</v>
      </c>
      <c r="H4" s="39"/>
      <c r="I4" s="39"/>
      <c r="J4" s="39"/>
      <c r="K4" s="39"/>
      <c r="L4" s="39"/>
      <c r="M4" s="39"/>
      <c r="N4" s="39"/>
      <c r="O4" s="40"/>
    </row>
    <row r="5" spans="1:16" ht="14" thickBot="1" x14ac:dyDescent="0.2">
      <c r="C5" s="5" t="s">
        <v>62</v>
      </c>
      <c r="D5" s="44" t="s">
        <v>22</v>
      </c>
      <c r="E5" s="85">
        <f>E4*E6</f>
        <v>6699.9999999999882</v>
      </c>
      <c r="F5" s="85">
        <f>F4*F6</f>
        <v>1.6910917111090384E-11</v>
      </c>
      <c r="G5" s="85">
        <f>G4*G6</f>
        <v>35199.999999999978</v>
      </c>
      <c r="H5" s="41"/>
      <c r="I5" s="41"/>
      <c r="J5" s="41"/>
      <c r="K5" s="41"/>
      <c r="L5" s="41"/>
      <c r="M5" s="41"/>
      <c r="N5" s="41"/>
      <c r="O5" s="42"/>
    </row>
    <row r="6" spans="1:16" ht="14" thickBot="1" x14ac:dyDescent="0.2">
      <c r="A6" s="8" t="s">
        <v>12</v>
      </c>
      <c r="B6" s="9" t="s">
        <v>2</v>
      </c>
      <c r="C6" s="19" t="s">
        <v>60</v>
      </c>
      <c r="D6" s="28" t="s">
        <v>22</v>
      </c>
      <c r="E6" s="45">
        <f>'Consumo de materiais'!D4</f>
        <v>999.99999999999841</v>
      </c>
      <c r="F6" s="174">
        <f>'Consumo de materiais'!E4</f>
        <v>1.9326762412674725E-12</v>
      </c>
      <c r="G6" s="45">
        <f>'Consumo de materiais'!F4</f>
        <v>3999.9999999999968</v>
      </c>
      <c r="H6" s="48"/>
      <c r="I6" s="48"/>
      <c r="J6" s="48"/>
      <c r="K6" s="48"/>
      <c r="L6" s="48"/>
      <c r="M6" s="48"/>
      <c r="N6" s="48"/>
      <c r="O6" s="49"/>
      <c r="P6" s="4"/>
    </row>
    <row r="7" spans="1:16" ht="15" thickTop="1" thickBot="1" x14ac:dyDescent="0.2">
      <c r="A7" s="10" t="str">
        <f>QUESTÕES!A4</f>
        <v>Farinha de trigo</v>
      </c>
      <c r="B7" s="10" t="str">
        <f>QUESTÕES!B4</f>
        <v>kg</v>
      </c>
      <c r="C7" s="38">
        <f>QUESTÕES!C4</f>
        <v>1</v>
      </c>
      <c r="D7" s="51"/>
      <c r="E7" s="54">
        <f>QUESTÕES!C15*'Custo de materiais'!C7</f>
        <v>0.5</v>
      </c>
      <c r="F7" s="54">
        <f>QUESTÕES!D15*'Custo de materiais'!C7</f>
        <v>0.5</v>
      </c>
      <c r="G7" s="54">
        <f>QUESTÕES!E15*'Custo de materiais'!C7</f>
        <v>0.6</v>
      </c>
      <c r="H7" s="55"/>
      <c r="I7" s="55"/>
      <c r="J7" s="55"/>
      <c r="K7" s="55"/>
      <c r="L7" s="55"/>
      <c r="M7" s="55"/>
      <c r="N7" s="55"/>
      <c r="O7" s="56"/>
    </row>
    <row r="8" spans="1:16" ht="14" thickBot="1" x14ac:dyDescent="0.2">
      <c r="A8" s="10" t="str">
        <f>QUESTÕES!A5</f>
        <v>Ovo</v>
      </c>
      <c r="B8" s="10" t="str">
        <f>QUESTÕES!B5</f>
        <v>un.</v>
      </c>
      <c r="C8" s="38">
        <f>QUESTÕES!C5</f>
        <v>0.5</v>
      </c>
      <c r="D8" s="51"/>
      <c r="E8" s="54">
        <f>QUESTÕES!C16*'Custo de materiais'!C8</f>
        <v>0.5</v>
      </c>
      <c r="F8" s="54">
        <f>QUESTÕES!D16*'Custo de materiais'!C8</f>
        <v>1.5</v>
      </c>
      <c r="G8" s="54">
        <f>QUESTÕES!E16*'Custo de materiais'!C8</f>
        <v>1</v>
      </c>
      <c r="H8" s="55"/>
      <c r="I8" s="55"/>
      <c r="J8" s="55"/>
      <c r="K8" s="55"/>
      <c r="L8" s="55"/>
      <c r="M8" s="55"/>
      <c r="N8" s="55"/>
      <c r="O8" s="56"/>
    </row>
    <row r="9" spans="1:16" ht="14" thickBot="1" x14ac:dyDescent="0.2">
      <c r="A9" s="10" t="str">
        <f>QUESTÕES!A6</f>
        <v>Leite</v>
      </c>
      <c r="B9" s="10" t="str">
        <f>QUESTÕES!B6</f>
        <v>L</v>
      </c>
      <c r="C9" s="38">
        <f>QUESTÕES!C6</f>
        <v>1</v>
      </c>
      <c r="D9" s="51"/>
      <c r="E9" s="54">
        <f>QUESTÕES!C17*'Custo de materiais'!C9</f>
        <v>0.4</v>
      </c>
      <c r="F9" s="54">
        <f>QUESTÕES!D17*'Custo de materiais'!C9</f>
        <v>0.4</v>
      </c>
      <c r="G9" s="54">
        <f>QUESTÕES!E17*'Custo de materiais'!C9</f>
        <v>0.4</v>
      </c>
      <c r="H9" s="55"/>
      <c r="I9" s="55"/>
      <c r="J9" s="55"/>
      <c r="K9" s="55"/>
      <c r="L9" s="55"/>
      <c r="M9" s="55"/>
      <c r="N9" s="55"/>
      <c r="O9" s="56"/>
    </row>
    <row r="10" spans="1:16" ht="14" thickBot="1" x14ac:dyDescent="0.2">
      <c r="A10" s="10" t="str">
        <f>QUESTÕES!A7</f>
        <v>Queijo muzzarela</v>
      </c>
      <c r="B10" s="10" t="str">
        <f>QUESTÕES!B7</f>
        <v>kg</v>
      </c>
      <c r="C10" s="38">
        <f>QUESTÕES!C7</f>
        <v>8</v>
      </c>
      <c r="D10" s="51"/>
      <c r="E10" s="54">
        <f>QUESTÕES!C18*'Custo de materiais'!C10</f>
        <v>4.8</v>
      </c>
      <c r="F10" s="54">
        <f>QUESTÕES!D18*'Custo de materiais'!C10</f>
        <v>1.6</v>
      </c>
      <c r="G10" s="54">
        <f>QUESTÕES!E18*'Custo de materiais'!C10</f>
        <v>2.8</v>
      </c>
      <c r="H10" s="55"/>
      <c r="I10" s="55"/>
      <c r="J10" s="55"/>
      <c r="K10" s="55"/>
      <c r="L10" s="55"/>
      <c r="M10" s="55"/>
      <c r="N10" s="55"/>
      <c r="O10" s="56"/>
    </row>
    <row r="11" spans="1:16" ht="14" thickBot="1" x14ac:dyDescent="0.2">
      <c r="A11" s="10" t="str">
        <f>QUESTÕES!A8</f>
        <v>Molho de tomate</v>
      </c>
      <c r="B11" s="10" t="str">
        <f>QUESTÕES!B8</f>
        <v>kg</v>
      </c>
      <c r="C11" s="38">
        <f>QUESTÕES!C8</f>
        <v>5</v>
      </c>
      <c r="D11" s="51"/>
      <c r="E11" s="54">
        <f>QUESTÕES!C19*'Custo de materiais'!C11</f>
        <v>0.5</v>
      </c>
      <c r="F11" s="54">
        <f>QUESTÕES!D19*'Custo de materiais'!C11</f>
        <v>1</v>
      </c>
      <c r="G11" s="54">
        <f>QUESTÕES!E19*'Custo de materiais'!C11</f>
        <v>1</v>
      </c>
      <c r="H11" s="55"/>
      <c r="I11" s="55"/>
      <c r="J11" s="55"/>
      <c r="K11" s="55"/>
      <c r="L11" s="55"/>
      <c r="M11" s="55"/>
      <c r="N11" s="55"/>
      <c r="O11" s="56"/>
    </row>
    <row r="12" spans="1:16" x14ac:dyDescent="0.15">
      <c r="A12" s="10" t="str">
        <f>QUESTÕES!A9</f>
        <v>Presunto</v>
      </c>
      <c r="B12" s="10" t="str">
        <f>QUESTÕES!B9</f>
        <v>kg</v>
      </c>
      <c r="C12" s="38">
        <f>QUESTÕES!C9</f>
        <v>15</v>
      </c>
      <c r="D12" s="51"/>
      <c r="E12" s="54">
        <f>QUESTÕES!C20*'Custo de materiais'!C12</f>
        <v>0</v>
      </c>
      <c r="F12" s="54">
        <f>QUESTÕES!D20*'Custo de materiais'!C12</f>
        <v>3.75</v>
      </c>
      <c r="G12" s="54">
        <f>QUESTÕES!E20*'Custo de materiais'!C12</f>
        <v>3</v>
      </c>
      <c r="H12" s="55"/>
      <c r="I12" s="55"/>
      <c r="J12" s="55"/>
      <c r="K12" s="55"/>
      <c r="L12" s="55"/>
      <c r="M12" s="55"/>
      <c r="N12" s="55"/>
      <c r="O12" s="56"/>
    </row>
    <row r="13" spans="1:16" x14ac:dyDescent="0.15">
      <c r="A13" s="10"/>
      <c r="B13" s="11"/>
      <c r="C13" s="50"/>
      <c r="D13" s="51"/>
      <c r="E13" s="54"/>
      <c r="F13" s="55"/>
      <c r="G13" s="55"/>
      <c r="H13" s="55"/>
      <c r="I13" s="55"/>
      <c r="J13" s="55"/>
      <c r="K13" s="55"/>
      <c r="L13" s="55"/>
      <c r="M13" s="55"/>
      <c r="N13" s="55"/>
      <c r="O13" s="56"/>
    </row>
    <row r="14" spans="1:16" x14ac:dyDescent="0.15">
      <c r="A14" s="10"/>
      <c r="B14" s="11"/>
      <c r="C14" s="50"/>
      <c r="D14" s="51"/>
      <c r="E14" s="54"/>
      <c r="F14" s="55"/>
      <c r="G14" s="55"/>
      <c r="H14" s="55"/>
      <c r="I14" s="55"/>
      <c r="J14" s="55"/>
      <c r="K14" s="55"/>
      <c r="L14" s="55"/>
      <c r="M14" s="55"/>
      <c r="N14" s="55"/>
      <c r="O14" s="56"/>
    </row>
    <row r="15" spans="1:16" x14ac:dyDescent="0.15">
      <c r="A15" s="10"/>
      <c r="B15" s="11"/>
      <c r="C15" s="50"/>
      <c r="D15" s="51"/>
      <c r="E15" s="54"/>
      <c r="F15" s="55"/>
      <c r="G15" s="55"/>
      <c r="H15" s="55"/>
      <c r="I15" s="55"/>
      <c r="J15" s="55"/>
      <c r="K15" s="55"/>
      <c r="L15" s="55"/>
      <c r="M15" s="55"/>
      <c r="N15" s="55"/>
      <c r="O15" s="56"/>
    </row>
    <row r="16" spans="1:16" x14ac:dyDescent="0.15">
      <c r="A16" s="10"/>
      <c r="B16" s="11"/>
      <c r="C16" s="50"/>
      <c r="D16" s="51"/>
      <c r="E16" s="54"/>
      <c r="F16" s="55"/>
      <c r="G16" s="55"/>
      <c r="H16" s="55"/>
      <c r="I16" s="55"/>
      <c r="J16" s="55"/>
      <c r="K16" s="55"/>
      <c r="L16" s="55"/>
      <c r="M16" s="55"/>
      <c r="N16" s="55"/>
      <c r="O16" s="56"/>
    </row>
    <row r="17" spans="1:15" x14ac:dyDescent="0.15">
      <c r="A17" s="10"/>
      <c r="B17" s="11"/>
      <c r="C17" s="50"/>
      <c r="D17" s="51"/>
      <c r="E17" s="54"/>
      <c r="F17" s="55"/>
      <c r="G17" s="55"/>
      <c r="H17" s="55"/>
      <c r="I17" s="55"/>
      <c r="J17" s="55"/>
      <c r="K17" s="55"/>
      <c r="L17" s="55"/>
      <c r="M17" s="55"/>
      <c r="N17" s="55"/>
      <c r="O17" s="56"/>
    </row>
    <row r="18" spans="1:15" x14ac:dyDescent="0.15">
      <c r="A18" s="10"/>
      <c r="B18" s="11"/>
      <c r="C18" s="50"/>
      <c r="D18" s="51"/>
      <c r="E18" s="54"/>
      <c r="F18" s="55"/>
      <c r="G18" s="55"/>
      <c r="H18" s="55"/>
      <c r="I18" s="55"/>
      <c r="J18" s="55"/>
      <c r="K18" s="55"/>
      <c r="L18" s="55"/>
      <c r="M18" s="55"/>
      <c r="N18" s="55"/>
      <c r="O18" s="56"/>
    </row>
    <row r="19" spans="1:15" x14ac:dyDescent="0.15">
      <c r="A19" s="10"/>
      <c r="B19" s="11"/>
      <c r="C19" s="50"/>
      <c r="D19" s="51"/>
      <c r="E19" s="54"/>
      <c r="F19" s="55"/>
      <c r="G19" s="55"/>
      <c r="H19" s="55"/>
      <c r="I19" s="55"/>
      <c r="J19" s="55"/>
      <c r="K19" s="55"/>
      <c r="L19" s="55"/>
      <c r="M19" s="55"/>
      <c r="N19" s="55"/>
      <c r="O19" s="56"/>
    </row>
    <row r="20" spans="1:15" x14ac:dyDescent="0.15">
      <c r="A20" s="10"/>
      <c r="B20" s="11"/>
      <c r="C20" s="50"/>
      <c r="D20" s="51"/>
      <c r="E20" s="54"/>
      <c r="F20" s="55"/>
      <c r="G20" s="55"/>
      <c r="H20" s="55"/>
      <c r="I20" s="55"/>
      <c r="J20" s="55"/>
      <c r="K20" s="55"/>
      <c r="L20" s="55"/>
      <c r="M20" s="55"/>
      <c r="N20" s="55"/>
      <c r="O20" s="56"/>
    </row>
    <row r="21" spans="1:15" x14ac:dyDescent="0.15">
      <c r="A21" s="10"/>
      <c r="B21" s="11"/>
      <c r="C21" s="50"/>
      <c r="D21" s="51"/>
      <c r="E21" s="54"/>
      <c r="F21" s="55"/>
      <c r="G21" s="55"/>
      <c r="H21" s="55"/>
      <c r="I21" s="55"/>
      <c r="J21" s="55"/>
      <c r="K21" s="55"/>
      <c r="L21" s="55"/>
      <c r="M21" s="55"/>
      <c r="N21" s="55"/>
      <c r="O21" s="56"/>
    </row>
    <row r="22" spans="1:15" x14ac:dyDescent="0.15">
      <c r="A22" s="10"/>
      <c r="B22" s="11"/>
      <c r="C22" s="50"/>
      <c r="D22" s="51"/>
      <c r="E22" s="54"/>
      <c r="F22" s="55"/>
      <c r="G22" s="55"/>
      <c r="H22" s="55"/>
      <c r="I22" s="55"/>
      <c r="J22" s="55"/>
      <c r="K22" s="55"/>
      <c r="L22" s="55"/>
      <c r="M22" s="55"/>
      <c r="N22" s="55"/>
      <c r="O22" s="56"/>
    </row>
    <row r="23" spans="1:15" x14ac:dyDescent="0.15">
      <c r="A23" s="10"/>
      <c r="B23" s="11"/>
      <c r="C23" s="50"/>
      <c r="D23" s="51"/>
      <c r="E23" s="54"/>
      <c r="F23" s="55"/>
      <c r="G23" s="55"/>
      <c r="H23" s="55"/>
      <c r="I23" s="55"/>
      <c r="J23" s="55"/>
      <c r="K23" s="55"/>
      <c r="L23" s="55"/>
      <c r="M23" s="55"/>
      <c r="N23" s="55"/>
      <c r="O23" s="56"/>
    </row>
    <row r="24" spans="1:15" x14ac:dyDescent="0.15">
      <c r="A24" s="10"/>
      <c r="B24" s="11"/>
      <c r="C24" s="50"/>
      <c r="D24" s="51"/>
      <c r="E24" s="54"/>
      <c r="F24" s="55"/>
      <c r="G24" s="55"/>
      <c r="H24" s="55"/>
      <c r="I24" s="55"/>
      <c r="J24" s="55"/>
      <c r="K24" s="55"/>
      <c r="L24" s="55"/>
      <c r="M24" s="55"/>
      <c r="N24" s="55"/>
      <c r="O24" s="56"/>
    </row>
    <row r="25" spans="1:15" x14ac:dyDescent="0.15">
      <c r="A25" s="10"/>
      <c r="B25" s="11"/>
      <c r="C25" s="50"/>
      <c r="D25" s="51"/>
      <c r="E25" s="54"/>
      <c r="F25" s="55"/>
      <c r="G25" s="55"/>
      <c r="H25" s="55"/>
      <c r="I25" s="55"/>
      <c r="J25" s="55"/>
      <c r="K25" s="55"/>
      <c r="L25" s="55"/>
      <c r="M25" s="55"/>
      <c r="N25" s="55"/>
      <c r="O25" s="56"/>
    </row>
    <row r="26" spans="1:15" x14ac:dyDescent="0.15">
      <c r="A26" s="10"/>
      <c r="B26" s="11"/>
      <c r="C26" s="50"/>
      <c r="D26" s="51"/>
      <c r="E26" s="54"/>
      <c r="F26" s="55"/>
      <c r="G26" s="55"/>
      <c r="H26" s="55"/>
      <c r="I26" s="55"/>
      <c r="J26" s="55"/>
      <c r="K26" s="55"/>
      <c r="L26" s="55"/>
      <c r="M26" s="55"/>
      <c r="N26" s="55"/>
      <c r="O26" s="56"/>
    </row>
    <row r="27" spans="1:15" x14ac:dyDescent="0.15">
      <c r="A27" s="10"/>
      <c r="B27" s="11"/>
      <c r="C27" s="50"/>
      <c r="D27" s="51"/>
      <c r="E27" s="54"/>
      <c r="F27" s="55"/>
      <c r="G27" s="55"/>
      <c r="H27" s="55"/>
      <c r="I27" s="55"/>
      <c r="J27" s="55"/>
      <c r="K27" s="55"/>
      <c r="L27" s="55"/>
      <c r="M27" s="55"/>
      <c r="N27" s="55"/>
      <c r="O27" s="56"/>
    </row>
    <row r="28" spans="1:15" x14ac:dyDescent="0.15">
      <c r="A28" s="10"/>
      <c r="B28" s="11"/>
      <c r="C28" s="50"/>
      <c r="D28" s="51"/>
      <c r="E28" s="54"/>
      <c r="F28" s="55"/>
      <c r="G28" s="55"/>
      <c r="H28" s="55"/>
      <c r="I28" s="55"/>
      <c r="J28" s="55"/>
      <c r="K28" s="55"/>
      <c r="L28" s="55"/>
      <c r="M28" s="55"/>
      <c r="N28" s="55"/>
      <c r="O28" s="56"/>
    </row>
    <row r="29" spans="1:15" x14ac:dyDescent="0.15">
      <c r="A29" s="10"/>
      <c r="B29" s="11"/>
      <c r="C29" s="50"/>
      <c r="D29" s="51"/>
      <c r="E29" s="54"/>
      <c r="F29" s="55"/>
      <c r="G29" s="55"/>
      <c r="H29" s="55"/>
      <c r="I29" s="55"/>
      <c r="J29" s="55"/>
      <c r="K29" s="55"/>
      <c r="L29" s="55"/>
      <c r="M29" s="55"/>
      <c r="N29" s="55"/>
      <c r="O29" s="56"/>
    </row>
    <row r="30" spans="1:15" x14ac:dyDescent="0.15">
      <c r="A30" s="10"/>
      <c r="B30" s="11"/>
      <c r="C30" s="50"/>
      <c r="D30" s="51"/>
      <c r="E30" s="54"/>
      <c r="F30" s="55"/>
      <c r="G30" s="55"/>
      <c r="H30" s="55"/>
      <c r="I30" s="55"/>
      <c r="J30" s="55"/>
      <c r="K30" s="55"/>
      <c r="L30" s="55"/>
      <c r="M30" s="55"/>
      <c r="N30" s="55"/>
      <c r="O30" s="56"/>
    </row>
    <row r="31" spans="1:15" x14ac:dyDescent="0.15">
      <c r="A31" s="10"/>
      <c r="B31" s="11"/>
      <c r="C31" s="50"/>
      <c r="D31" s="51"/>
      <c r="E31" s="54"/>
      <c r="F31" s="55"/>
      <c r="G31" s="55"/>
      <c r="H31" s="55"/>
      <c r="I31" s="55"/>
      <c r="J31" s="55"/>
      <c r="K31" s="55"/>
      <c r="L31" s="55"/>
      <c r="M31" s="55"/>
      <c r="N31" s="55"/>
      <c r="O31" s="56"/>
    </row>
    <row r="32" spans="1:15" x14ac:dyDescent="0.15">
      <c r="A32" s="10"/>
      <c r="B32" s="11"/>
      <c r="C32" s="50"/>
      <c r="D32" s="51"/>
      <c r="E32" s="54"/>
      <c r="F32" s="55"/>
      <c r="G32" s="55"/>
      <c r="H32" s="55"/>
      <c r="I32" s="55"/>
      <c r="J32" s="55"/>
      <c r="K32" s="55"/>
      <c r="L32" s="55"/>
      <c r="M32" s="55"/>
      <c r="N32" s="55"/>
      <c r="O32" s="56"/>
    </row>
    <row r="33" spans="1:15" x14ac:dyDescent="0.15">
      <c r="A33" s="10"/>
      <c r="B33" s="11"/>
      <c r="C33" s="50"/>
      <c r="D33" s="51"/>
      <c r="E33" s="54"/>
      <c r="F33" s="55"/>
      <c r="G33" s="55"/>
      <c r="H33" s="55"/>
      <c r="I33" s="55"/>
      <c r="J33" s="55"/>
      <c r="K33" s="55"/>
      <c r="L33" s="55"/>
      <c r="M33" s="55"/>
      <c r="N33" s="55"/>
      <c r="O33" s="56"/>
    </row>
    <row r="34" spans="1:15" x14ac:dyDescent="0.15">
      <c r="A34" s="10"/>
      <c r="B34" s="11"/>
      <c r="C34" s="50"/>
      <c r="D34" s="51"/>
      <c r="E34" s="54"/>
      <c r="F34" s="55"/>
      <c r="G34" s="55"/>
      <c r="H34" s="55"/>
      <c r="I34" s="55"/>
      <c r="J34" s="55"/>
      <c r="K34" s="55"/>
      <c r="L34" s="55"/>
      <c r="M34" s="55"/>
      <c r="N34" s="55"/>
      <c r="O34" s="56"/>
    </row>
    <row r="35" spans="1:15" x14ac:dyDescent="0.15">
      <c r="A35" s="10"/>
      <c r="B35" s="11"/>
      <c r="C35" s="50"/>
      <c r="D35" s="51"/>
      <c r="E35" s="54"/>
      <c r="F35" s="55"/>
      <c r="G35" s="55"/>
      <c r="H35" s="55"/>
      <c r="I35" s="55"/>
      <c r="J35" s="55"/>
      <c r="K35" s="55"/>
      <c r="L35" s="55"/>
      <c r="M35" s="55"/>
      <c r="N35" s="55"/>
      <c r="O35" s="56"/>
    </row>
    <row r="36" spans="1:15" x14ac:dyDescent="0.15">
      <c r="A36" s="10"/>
      <c r="B36" s="11"/>
      <c r="C36" s="50"/>
      <c r="D36" s="51"/>
      <c r="E36" s="54"/>
      <c r="F36" s="55"/>
      <c r="G36" s="55"/>
      <c r="H36" s="55"/>
      <c r="I36" s="55"/>
      <c r="J36" s="55"/>
      <c r="K36" s="55"/>
      <c r="L36" s="55"/>
      <c r="M36" s="55"/>
      <c r="N36" s="55"/>
      <c r="O36" s="56"/>
    </row>
    <row r="37" spans="1:15" x14ac:dyDescent="0.15">
      <c r="A37" s="10"/>
      <c r="B37" s="11"/>
      <c r="C37" s="50"/>
      <c r="D37" s="51"/>
      <c r="E37" s="54"/>
      <c r="F37" s="55"/>
      <c r="G37" s="55"/>
      <c r="H37" s="55"/>
      <c r="I37" s="55"/>
      <c r="J37" s="55"/>
      <c r="K37" s="55"/>
      <c r="L37" s="55"/>
      <c r="M37" s="55"/>
      <c r="N37" s="55"/>
      <c r="O37" s="56"/>
    </row>
    <row r="38" spans="1:15" x14ac:dyDescent="0.15">
      <c r="A38" s="10"/>
      <c r="B38" s="11"/>
      <c r="C38" s="50"/>
      <c r="D38" s="51"/>
      <c r="E38" s="54"/>
      <c r="F38" s="55"/>
      <c r="G38" s="55"/>
      <c r="H38" s="55"/>
      <c r="I38" s="55"/>
      <c r="J38" s="55"/>
      <c r="K38" s="55"/>
      <c r="L38" s="55"/>
      <c r="M38" s="55"/>
      <c r="N38" s="55"/>
      <c r="O38" s="56"/>
    </row>
    <row r="39" spans="1:15" x14ac:dyDescent="0.15">
      <c r="A39" s="10"/>
      <c r="B39" s="11"/>
      <c r="C39" s="50"/>
      <c r="D39" s="51"/>
      <c r="E39" s="54"/>
      <c r="F39" s="55"/>
      <c r="G39" s="55"/>
      <c r="H39" s="55"/>
      <c r="I39" s="55"/>
      <c r="J39" s="55"/>
      <c r="K39" s="55"/>
      <c r="L39" s="55"/>
      <c r="M39" s="55"/>
      <c r="N39" s="55"/>
      <c r="O39" s="56"/>
    </row>
    <row r="40" spans="1:15" x14ac:dyDescent="0.15">
      <c r="A40" s="10"/>
      <c r="B40" s="11"/>
      <c r="C40" s="50"/>
      <c r="D40" s="51"/>
      <c r="E40" s="54"/>
      <c r="F40" s="55"/>
      <c r="G40" s="55"/>
      <c r="H40" s="55"/>
      <c r="I40" s="55"/>
      <c r="J40" s="55"/>
      <c r="K40" s="55"/>
      <c r="L40" s="55"/>
      <c r="M40" s="55"/>
      <c r="N40" s="55"/>
      <c r="O40" s="56"/>
    </row>
    <row r="41" spans="1:15" x14ac:dyDescent="0.15">
      <c r="A41" s="10"/>
      <c r="B41" s="11"/>
      <c r="C41" s="50"/>
      <c r="D41" s="51"/>
      <c r="E41" s="54"/>
      <c r="F41" s="55"/>
      <c r="G41" s="55"/>
      <c r="H41" s="55"/>
      <c r="I41" s="55"/>
      <c r="J41" s="55"/>
      <c r="K41" s="55"/>
      <c r="L41" s="55"/>
      <c r="M41" s="55"/>
      <c r="N41" s="55"/>
      <c r="O41" s="56"/>
    </row>
    <row r="42" spans="1:15" x14ac:dyDescent="0.15">
      <c r="A42" s="10"/>
      <c r="B42" s="11"/>
      <c r="C42" s="50"/>
      <c r="D42" s="51"/>
      <c r="E42" s="54"/>
      <c r="F42" s="55"/>
      <c r="G42" s="55"/>
      <c r="H42" s="55"/>
      <c r="I42" s="55"/>
      <c r="J42" s="55"/>
      <c r="K42" s="55"/>
      <c r="L42" s="55"/>
      <c r="M42" s="55"/>
      <c r="N42" s="55"/>
      <c r="O42" s="56"/>
    </row>
    <row r="43" spans="1:15" x14ac:dyDescent="0.15">
      <c r="A43" s="10"/>
      <c r="B43" s="11"/>
      <c r="C43" s="50"/>
      <c r="D43" s="51"/>
      <c r="E43" s="54"/>
      <c r="F43" s="55"/>
      <c r="G43" s="55"/>
      <c r="H43" s="55"/>
      <c r="I43" s="55"/>
      <c r="J43" s="55"/>
      <c r="K43" s="55"/>
      <c r="L43" s="55"/>
      <c r="M43" s="55"/>
      <c r="N43" s="55"/>
      <c r="O43" s="56"/>
    </row>
    <row r="44" spans="1:15" x14ac:dyDescent="0.15">
      <c r="A44" s="10"/>
      <c r="B44" s="11"/>
      <c r="C44" s="50"/>
      <c r="D44" s="51"/>
      <c r="E44" s="54"/>
      <c r="F44" s="55"/>
      <c r="G44" s="55"/>
      <c r="H44" s="55"/>
      <c r="I44" s="55"/>
      <c r="J44" s="55"/>
      <c r="K44" s="55"/>
      <c r="L44" s="55"/>
      <c r="M44" s="55"/>
      <c r="N44" s="55"/>
      <c r="O44" s="56"/>
    </row>
    <row r="45" spans="1:15" x14ac:dyDescent="0.15">
      <c r="A45" s="10"/>
      <c r="B45" s="11"/>
      <c r="C45" s="50"/>
      <c r="D45" s="51"/>
      <c r="E45" s="54"/>
      <c r="F45" s="55"/>
      <c r="G45" s="55"/>
      <c r="H45" s="55"/>
      <c r="I45" s="55"/>
      <c r="J45" s="55"/>
      <c r="K45" s="55"/>
      <c r="L45" s="55"/>
      <c r="M45" s="55"/>
      <c r="N45" s="55"/>
      <c r="O45" s="56"/>
    </row>
    <row r="46" spans="1:15" ht="14" thickBot="1" x14ac:dyDescent="0.2">
      <c r="A46" s="12"/>
      <c r="B46" s="13"/>
      <c r="C46" s="52"/>
      <c r="D46" s="53"/>
      <c r="E46" s="57"/>
      <c r="F46" s="58"/>
      <c r="G46" s="58"/>
      <c r="H46" s="58"/>
      <c r="I46" s="58"/>
      <c r="J46" s="58"/>
      <c r="K46" s="58"/>
      <c r="L46" s="58"/>
      <c r="M46" s="58"/>
      <c r="N46" s="58"/>
      <c r="O46" s="59"/>
    </row>
    <row r="59" spans="5:7" x14ac:dyDescent="0.15">
      <c r="E59" s="6"/>
      <c r="F59" s="6"/>
      <c r="G59" s="6"/>
    </row>
    <row r="62" spans="5:7" x14ac:dyDescent="0.15">
      <c r="E62" s="7"/>
      <c r="F62" s="7"/>
      <c r="G62" s="7"/>
    </row>
  </sheetData>
  <phoneticPr fontId="0" type="noConversion"/>
  <pageMargins left="0.75" right="0.75" top="1" bottom="1" header="0.49212598499999999" footer="0.49212598499999999"/>
  <pageSetup orientation="portrait" horizontalDpi="4294967293" verticalDpi="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9"/>
  <sheetViews>
    <sheetView showZeros="0" zoomScale="187" zoomScaleNormal="150" workbookViewId="0">
      <pane xSplit="1" ySplit="3" topLeftCell="K4" activePane="bottomRight" state="frozen"/>
      <selection pane="topRight" activeCell="B1" sqref="B1"/>
      <selection pane="bottomLeft" activeCell="A3" sqref="A3"/>
      <selection pane="bottomRight" activeCell="S17" sqref="S17"/>
    </sheetView>
  </sheetViews>
  <sheetFormatPr baseColWidth="10" defaultColWidth="9.1640625" defaultRowHeight="13" x14ac:dyDescent="0.15"/>
  <cols>
    <col min="1" max="1" width="17.5" style="5" customWidth="1"/>
    <col min="2" max="2" width="8.33203125" style="5" bestFit="1" customWidth="1"/>
    <col min="3" max="3" width="11.1640625" style="5" customWidth="1"/>
    <col min="4" max="4" width="12.5" style="5" bestFit="1" customWidth="1"/>
    <col min="5" max="5" width="11.1640625" style="5" bestFit="1" customWidth="1"/>
    <col min="6" max="6" width="12.1640625" style="5" customWidth="1"/>
    <col min="7" max="7" width="14" style="5" bestFit="1" customWidth="1"/>
    <col min="8" max="8" width="14" style="5" customWidth="1"/>
    <col min="9" max="9" width="16.1640625" style="5" bestFit="1" customWidth="1"/>
    <col min="10" max="10" width="16.1640625" style="5" customWidth="1"/>
    <col min="11" max="11" width="13.6640625" style="5" bestFit="1" customWidth="1"/>
    <col min="12" max="12" width="13.5" style="5" bestFit="1" customWidth="1"/>
    <col min="13" max="16384" width="9.1640625" style="5"/>
  </cols>
  <sheetData>
    <row r="1" spans="1:19" ht="13" customHeight="1" x14ac:dyDescent="0.15">
      <c r="M1" s="178" t="s">
        <v>158</v>
      </c>
      <c r="N1" s="178"/>
      <c r="O1" s="178"/>
      <c r="P1" s="178"/>
      <c r="Q1" s="178"/>
      <c r="R1" s="178"/>
    </row>
    <row r="2" spans="1:19" ht="14" thickBot="1" x14ac:dyDescent="0.2">
      <c r="M2" s="178"/>
      <c r="N2" s="178" t="s">
        <v>160</v>
      </c>
      <c r="O2" s="178"/>
      <c r="P2" s="178"/>
      <c r="Q2" s="178"/>
      <c r="R2" s="178"/>
    </row>
    <row r="3" spans="1:19" ht="37" thickBot="1" x14ac:dyDescent="0.2">
      <c r="A3" s="62" t="s">
        <v>25</v>
      </c>
      <c r="B3" s="124" t="s">
        <v>13</v>
      </c>
      <c r="C3" s="124" t="s">
        <v>21</v>
      </c>
      <c r="D3" s="125" t="s">
        <v>17</v>
      </c>
      <c r="E3" s="125" t="s">
        <v>26</v>
      </c>
      <c r="F3" s="125" t="s">
        <v>27</v>
      </c>
      <c r="G3" s="125" t="s">
        <v>58</v>
      </c>
      <c r="H3" s="125" t="s">
        <v>59</v>
      </c>
      <c r="I3" s="125" t="s">
        <v>16</v>
      </c>
      <c r="J3" s="125" t="s">
        <v>29</v>
      </c>
      <c r="K3" s="125" t="s">
        <v>28</v>
      </c>
      <c r="L3" s="126" t="s">
        <v>30</v>
      </c>
      <c r="M3" s="179" t="s">
        <v>159</v>
      </c>
      <c r="N3" s="181" t="s">
        <v>161</v>
      </c>
      <c r="O3" s="184" t="s">
        <v>162</v>
      </c>
      <c r="P3" s="183" t="s">
        <v>163</v>
      </c>
      <c r="Q3" s="179" t="s">
        <v>164</v>
      </c>
      <c r="R3" s="179"/>
      <c r="S3" s="180"/>
    </row>
    <row r="4" spans="1:19" x14ac:dyDescent="0.15">
      <c r="A4" s="10" t="str">
        <f>QUESTÕES!F4</f>
        <v>Pizza muzzarela</v>
      </c>
      <c r="B4" s="127">
        <f>QUESTÕES!H4</f>
        <v>10</v>
      </c>
      <c r="C4" s="127">
        <f>QUESTÕES!J4</f>
        <v>999.99999999999841</v>
      </c>
      <c r="D4" s="128">
        <f>C4*B4</f>
        <v>9999.9999999999836</v>
      </c>
      <c r="E4" s="94">
        <v>0.18</v>
      </c>
      <c r="F4" s="129">
        <f>D4*0.18</f>
        <v>1799.999999999997</v>
      </c>
      <c r="G4" s="94">
        <f>H4*C4</f>
        <v>6699.9999999999882</v>
      </c>
      <c r="H4" s="130">
        <f>'Custo de materiais'!E4</f>
        <v>6.6999999999999993</v>
      </c>
      <c r="I4" s="131">
        <f>B4*(0.82)-H4</f>
        <v>1.5</v>
      </c>
      <c r="J4" s="132">
        <f>I4/B4</f>
        <v>0.15</v>
      </c>
      <c r="K4" s="133">
        <f>I4*C4</f>
        <v>1499.9999999999977</v>
      </c>
      <c r="L4" s="134">
        <f>K4/$K$15</f>
        <v>6.7996373526745174E-2</v>
      </c>
      <c r="M4" s="88">
        <f>D4/$D$15</f>
        <v>0.12820512820512805</v>
      </c>
      <c r="N4" s="182">
        <f>QUESTÕES!$H$28*Margem!M4/Margem!C4</f>
        <v>1.9230769230769238</v>
      </c>
      <c r="O4" s="182">
        <f>((E4)*B4)+N4+H4</f>
        <v>10.423076923076923</v>
      </c>
      <c r="P4" s="61">
        <f>B4-O4</f>
        <v>-0.42307692307692335</v>
      </c>
      <c r="Q4" s="87">
        <f>P4*C4</f>
        <v>-423.0769230769227</v>
      </c>
    </row>
    <row r="5" spans="1:19" x14ac:dyDescent="0.15">
      <c r="A5" s="10" t="str">
        <f>QUESTÕES!F5</f>
        <v>Pizza presunto</v>
      </c>
      <c r="B5" s="127">
        <f>QUESTÕES!H5</f>
        <v>19</v>
      </c>
      <c r="C5" s="127">
        <f>QUESTÕES!J5</f>
        <v>1.9326762412674725E-12</v>
      </c>
      <c r="D5" s="128">
        <f>C5*B5</f>
        <v>3.6720848584081978E-11</v>
      </c>
      <c r="E5" s="94">
        <v>0.18</v>
      </c>
      <c r="F5" s="129">
        <f>D5*0.18</f>
        <v>6.609752745134756E-12</v>
      </c>
      <c r="G5" s="94">
        <f>H5*C5</f>
        <v>1.6910917111090384E-11</v>
      </c>
      <c r="H5" s="130">
        <f>'Custo de materiais'!F4</f>
        <v>8.75</v>
      </c>
      <c r="I5" s="131">
        <f>B5*(0.82)-H5</f>
        <v>6.8299999999999983</v>
      </c>
      <c r="J5" s="132">
        <f>I5/B5</f>
        <v>0.35947368421052622</v>
      </c>
      <c r="K5" s="133">
        <f>I5*C5</f>
        <v>1.3200178727856834E-11</v>
      </c>
      <c r="L5" s="134">
        <f>K5/$K$15</f>
        <v>5.9837618893276701E-16</v>
      </c>
      <c r="M5" s="88">
        <f t="shared" ref="M5:M6" si="0">D5/$D$15</f>
        <v>4.7078011005233334E-16</v>
      </c>
      <c r="N5" s="182">
        <f>QUESTÕES!$H$28*Margem!M5/Margem!C5</f>
        <v>3.6538461538461564</v>
      </c>
      <c r="O5" s="182">
        <f t="shared" ref="O5:O6" si="1">((E5)*B5)+N5+H5</f>
        <v>15.823846153846157</v>
      </c>
      <c r="P5" s="61">
        <f t="shared" ref="P5:P6" si="2">B5-O5</f>
        <v>3.1761538461538432</v>
      </c>
      <c r="Q5" s="87">
        <f t="shared" ref="Q5:Q6" si="3">P5*C5</f>
        <v>6.138477077071836E-12</v>
      </c>
    </row>
    <row r="6" spans="1:19" x14ac:dyDescent="0.15">
      <c r="A6" s="10" t="str">
        <f>QUESTÕES!F6</f>
        <v>Pizza marguerita</v>
      </c>
      <c r="B6" s="127">
        <f>QUESTÕES!H6</f>
        <v>17</v>
      </c>
      <c r="C6" s="127">
        <f>QUESTÕES!J6</f>
        <v>3999.9999999999968</v>
      </c>
      <c r="D6" s="128">
        <f>C6*B6</f>
        <v>67999.999999999942</v>
      </c>
      <c r="E6" s="94">
        <v>0.18</v>
      </c>
      <c r="F6" s="129">
        <f>D6*0.18</f>
        <v>12239.999999999989</v>
      </c>
      <c r="G6" s="94">
        <f>H6*C6</f>
        <v>35199.999999999978</v>
      </c>
      <c r="H6" s="130">
        <f>'Custo de materiais'!G4</f>
        <v>8.8000000000000007</v>
      </c>
      <c r="I6" s="131">
        <f>B6*(0.82)-H6</f>
        <v>5.1399999999999988</v>
      </c>
      <c r="J6" s="132">
        <f>I6/B6</f>
        <v>0.30235294117647049</v>
      </c>
      <c r="K6" s="133">
        <f>I6*C6</f>
        <v>20559.999999999978</v>
      </c>
      <c r="L6" s="134">
        <f>K6/$K$15</f>
        <v>0.93200362647325419</v>
      </c>
      <c r="M6" s="88">
        <f t="shared" si="0"/>
        <v>0.87179487179487158</v>
      </c>
      <c r="N6" s="182">
        <f>QUESTÕES!$H$28*Margem!M6/Margem!C6</f>
        <v>3.2692307692307714</v>
      </c>
      <c r="O6" s="182">
        <f t="shared" si="1"/>
        <v>15.129230769230773</v>
      </c>
      <c r="P6" s="61">
        <f t="shared" si="2"/>
        <v>1.870769230769227</v>
      </c>
      <c r="Q6" s="87">
        <f t="shared" si="3"/>
        <v>7483.0769230769019</v>
      </c>
    </row>
    <row r="7" spans="1:19" x14ac:dyDescent="0.15">
      <c r="A7" s="10"/>
      <c r="B7" s="135"/>
      <c r="C7" s="136"/>
      <c r="D7" s="128"/>
      <c r="E7" s="137"/>
      <c r="F7" s="138"/>
      <c r="G7" s="133"/>
      <c r="H7" s="133"/>
      <c r="I7" s="133"/>
      <c r="J7" s="132"/>
      <c r="K7" s="133"/>
      <c r="L7" s="134"/>
      <c r="O7" s="182"/>
      <c r="Q7" s="185">
        <f>SUM(Q4:Q6)</f>
        <v>7059.9999999999854</v>
      </c>
    </row>
    <row r="8" spans="1:19" x14ac:dyDescent="0.15">
      <c r="A8" s="10"/>
      <c r="B8" s="135"/>
      <c r="C8" s="136"/>
      <c r="D8" s="128"/>
      <c r="E8" s="137"/>
      <c r="F8" s="138"/>
      <c r="G8" s="133"/>
      <c r="H8" s="133"/>
      <c r="I8" s="133"/>
      <c r="J8" s="132"/>
      <c r="K8" s="133"/>
      <c r="L8" s="134"/>
    </row>
    <row r="9" spans="1:19" x14ac:dyDescent="0.15">
      <c r="A9" s="10"/>
      <c r="B9" s="135"/>
      <c r="C9" s="136"/>
      <c r="D9" s="128"/>
      <c r="E9" s="137"/>
      <c r="F9" s="138"/>
      <c r="G9" s="133"/>
      <c r="H9" s="133"/>
      <c r="I9" s="133"/>
      <c r="J9" s="132"/>
      <c r="K9" s="133"/>
      <c r="L9" s="134"/>
    </row>
    <row r="10" spans="1:19" x14ac:dyDescent="0.15">
      <c r="A10" s="10"/>
      <c r="B10" s="135"/>
      <c r="C10" s="136"/>
      <c r="D10" s="128"/>
      <c r="E10" s="137"/>
      <c r="F10" s="138"/>
      <c r="G10" s="133"/>
      <c r="H10" s="133"/>
      <c r="I10" s="133"/>
      <c r="J10" s="132"/>
      <c r="K10" s="133"/>
      <c r="L10" s="134"/>
    </row>
    <row r="11" spans="1:19" x14ac:dyDescent="0.15">
      <c r="A11" s="10"/>
      <c r="B11" s="135"/>
      <c r="C11" s="136"/>
      <c r="D11" s="128"/>
      <c r="E11" s="137"/>
      <c r="F11" s="138"/>
      <c r="G11" s="133"/>
      <c r="H11" s="133"/>
      <c r="I11" s="133"/>
      <c r="J11" s="132"/>
      <c r="K11" s="133"/>
      <c r="L11" s="134"/>
    </row>
    <row r="12" spans="1:19" x14ac:dyDescent="0.15">
      <c r="A12" s="10"/>
      <c r="B12" s="135"/>
      <c r="C12" s="136"/>
      <c r="D12" s="128"/>
      <c r="E12" s="137"/>
      <c r="F12" s="138"/>
      <c r="G12" s="133"/>
      <c r="H12" s="133"/>
      <c r="I12" s="133"/>
      <c r="J12" s="132"/>
      <c r="K12" s="133"/>
      <c r="L12" s="134"/>
    </row>
    <row r="13" spans="1:19" x14ac:dyDescent="0.15">
      <c r="A13" s="10"/>
      <c r="B13" s="135"/>
      <c r="C13" s="136"/>
      <c r="D13" s="128"/>
      <c r="E13" s="137"/>
      <c r="F13" s="138"/>
      <c r="G13" s="133"/>
      <c r="H13" s="133"/>
      <c r="I13" s="133"/>
      <c r="J13" s="132"/>
      <c r="K13" s="133"/>
      <c r="L13" s="134"/>
    </row>
    <row r="14" spans="1:19" ht="14" thickBot="1" x14ac:dyDescent="0.2">
      <c r="A14" s="12"/>
      <c r="B14" s="135"/>
      <c r="C14" s="136"/>
      <c r="D14" s="128"/>
      <c r="E14" s="137"/>
      <c r="F14" s="138"/>
      <c r="G14" s="139"/>
      <c r="H14" s="139"/>
      <c r="I14" s="139"/>
      <c r="J14" s="140"/>
      <c r="K14" s="133"/>
      <c r="L14" s="141"/>
    </row>
    <row r="15" spans="1:19" x14ac:dyDescent="0.15">
      <c r="B15" s="94"/>
      <c r="C15" s="130">
        <f>SUM(C4:C6)</f>
        <v>4999.9999999999973</v>
      </c>
      <c r="D15" s="130">
        <f>SUM(D4:D6)</f>
        <v>77999.999999999956</v>
      </c>
      <c r="E15" s="130"/>
      <c r="F15" s="130">
        <f>SUM(F4:F6)</f>
        <v>14039.999999999993</v>
      </c>
      <c r="G15" s="130">
        <f>SUM(G4:G6)</f>
        <v>41899.999999999985</v>
      </c>
      <c r="H15" s="94"/>
      <c r="I15" s="94"/>
      <c r="J15" s="94"/>
      <c r="K15" s="186">
        <f>SUM(K4:K6)</f>
        <v>22059.999999999989</v>
      </c>
      <c r="L15" s="142">
        <f>SUM(L4:L6)</f>
        <v>1</v>
      </c>
      <c r="M15" s="142">
        <f>SUM(M4:M6)</f>
        <v>1</v>
      </c>
    </row>
    <row r="16" spans="1:19" x14ac:dyDescent="0.15">
      <c r="E16" s="79"/>
      <c r="F16" s="80"/>
      <c r="J16" s="187" t="s">
        <v>165</v>
      </c>
      <c r="K16" s="61">
        <f>QUESTÕES!H28</f>
        <v>15000</v>
      </c>
    </row>
    <row r="17" spans="4:20" x14ac:dyDescent="0.15">
      <c r="G17" s="61"/>
      <c r="H17" s="61"/>
      <c r="I17" s="61"/>
      <c r="J17" s="188" t="s">
        <v>68</v>
      </c>
      <c r="K17" s="61">
        <f>K15-K16</f>
        <v>7059.9999999999891</v>
      </c>
      <c r="L17" s="61"/>
      <c r="M17" s="61"/>
      <c r="N17" s="61"/>
      <c r="O17" s="61"/>
      <c r="P17" s="61"/>
      <c r="Q17" s="61"/>
      <c r="R17" s="61"/>
      <c r="S17" s="61"/>
      <c r="T17" s="61"/>
    </row>
    <row r="19" spans="4:20" x14ac:dyDescent="0.15">
      <c r="D19" s="5">
        <f>D15/C15</f>
        <v>15.6</v>
      </c>
    </row>
  </sheetData>
  <phoneticPr fontId="0" type="noConversion"/>
  <pageMargins left="0.75" right="0.75" top="1" bottom="1" header="0.49212598499999999" footer="0.4921259849999999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H55"/>
  <sheetViews>
    <sheetView topLeftCell="E17" zoomScale="150" zoomScaleNormal="150" workbookViewId="0">
      <selection activeCell="P34" sqref="P34"/>
    </sheetView>
  </sheetViews>
  <sheetFormatPr baseColWidth="10" defaultColWidth="9.1640625" defaultRowHeight="13" x14ac:dyDescent="0.15"/>
  <cols>
    <col min="1" max="1" width="9" style="5" customWidth="1"/>
    <col min="2" max="2" width="20" style="5" bestFit="1" customWidth="1"/>
    <col min="3" max="4" width="11.1640625" style="5" bestFit="1" customWidth="1"/>
    <col min="5" max="5" width="14" style="5" bestFit="1" customWidth="1"/>
    <col min="6" max="6" width="12.33203125" style="5" bestFit="1" customWidth="1"/>
    <col min="7" max="7" width="12.1640625" style="5" bestFit="1" customWidth="1"/>
    <col min="8" max="8" width="10.1640625" style="5" bestFit="1" customWidth="1"/>
    <col min="9" max="9" width="10.6640625" style="5" customWidth="1"/>
    <col min="10" max="10" width="11.83203125" style="5" customWidth="1"/>
    <col min="11" max="11" width="10.1640625" style="5" bestFit="1" customWidth="1"/>
    <col min="12" max="17" width="9.83203125" style="5" bestFit="1" customWidth="1"/>
    <col min="18" max="19" width="10.1640625" style="5" bestFit="1" customWidth="1"/>
    <col min="20" max="137" width="9.1640625" style="5"/>
    <col min="138" max="138" width="10.1640625" style="5" bestFit="1" customWidth="1"/>
    <col min="139" max="16384" width="9.1640625" style="5"/>
  </cols>
  <sheetData>
    <row r="1" spans="2:15" ht="14" customHeight="1" thickBot="1" x14ac:dyDescent="0.2">
      <c r="C1" s="94" t="s">
        <v>85</v>
      </c>
      <c r="H1" s="198" t="s">
        <v>157</v>
      </c>
      <c r="I1" s="198"/>
      <c r="J1" s="198"/>
      <c r="K1" s="198"/>
      <c r="L1" s="199" t="s">
        <v>169</v>
      </c>
      <c r="M1" s="199"/>
      <c r="N1" s="199"/>
      <c r="O1" s="199"/>
    </row>
    <row r="2" spans="2:15" ht="14" thickBot="1" x14ac:dyDescent="0.2">
      <c r="B2" s="193" t="s">
        <v>34</v>
      </c>
      <c r="C2" s="194"/>
      <c r="D2" s="195"/>
      <c r="H2" s="198"/>
      <c r="I2" s="198"/>
      <c r="J2" s="198"/>
      <c r="K2" s="198"/>
      <c r="L2" s="199"/>
      <c r="M2" s="199"/>
      <c r="N2" s="199"/>
      <c r="O2" s="199"/>
    </row>
    <row r="3" spans="2:15" ht="19" thickBot="1" x14ac:dyDescent="0.2">
      <c r="B3" s="67" t="s">
        <v>17</v>
      </c>
      <c r="C3" s="105">
        <f>Margem!D15</f>
        <v>77999.999999999956</v>
      </c>
      <c r="D3" s="68">
        <f>C3/$C$3</f>
        <v>1</v>
      </c>
      <c r="E3" s="61">
        <f>C10/D6</f>
        <v>53037.17135086131</v>
      </c>
      <c r="G3"/>
      <c r="H3" s="91" t="s">
        <v>95</v>
      </c>
      <c r="I3"/>
      <c r="J3"/>
    </row>
    <row r="4" spans="2:15" ht="14" thickBot="1" x14ac:dyDescent="0.2">
      <c r="B4" s="64" t="s">
        <v>32</v>
      </c>
      <c r="C4" s="61">
        <f>Margem!F15</f>
        <v>14039.999999999993</v>
      </c>
      <c r="D4" s="68">
        <f>C4/$C$3</f>
        <v>0.18000000000000002</v>
      </c>
      <c r="G4" s="1">
        <f>C3*12</f>
        <v>935999.99999999953</v>
      </c>
      <c r="H4" s="92" t="s">
        <v>91</v>
      </c>
      <c r="I4"/>
      <c r="J4"/>
    </row>
    <row r="5" spans="2:15" ht="14" thickBot="1" x14ac:dyDescent="0.2">
      <c r="B5" s="65" t="s">
        <v>33</v>
      </c>
      <c r="C5" s="60">
        <f>Margem!G15</f>
        <v>41899.999999999985</v>
      </c>
      <c r="D5" s="68">
        <f>C5/$C$3</f>
        <v>0.53717948717948727</v>
      </c>
      <c r="E5" s="123">
        <f>D5+D4</f>
        <v>0.71717948717948732</v>
      </c>
      <c r="F5" s="61">
        <f>G5/G4</f>
        <v>0.18</v>
      </c>
      <c r="G5" s="1">
        <f>C4*12</f>
        <v>168479.99999999991</v>
      </c>
      <c r="H5" s="92" t="s">
        <v>90</v>
      </c>
      <c r="J5"/>
    </row>
    <row r="6" spans="2:15" ht="14" thickBot="1" x14ac:dyDescent="0.2">
      <c r="B6" s="66" t="s">
        <v>14</v>
      </c>
      <c r="C6" s="69">
        <f>C3-C4-C5</f>
        <v>22059.999999999978</v>
      </c>
      <c r="D6" s="68">
        <f>C6/$C$3</f>
        <v>0.28282051282051268</v>
      </c>
      <c r="G6" s="1">
        <f>G4-G5</f>
        <v>767519.99999999965</v>
      </c>
      <c r="H6" s="92" t="s">
        <v>79</v>
      </c>
      <c r="I6"/>
      <c r="J6"/>
    </row>
    <row r="7" spans="2:15" ht="14" thickBot="1" x14ac:dyDescent="0.2">
      <c r="G7" s="1">
        <f>D22</f>
        <v>694799.99999999977</v>
      </c>
      <c r="H7" s="92" t="s">
        <v>119</v>
      </c>
      <c r="I7"/>
      <c r="J7"/>
    </row>
    <row r="8" spans="2:15" ht="14" thickBot="1" x14ac:dyDescent="0.2">
      <c r="B8" s="193" t="s">
        <v>40</v>
      </c>
      <c r="C8" s="194"/>
      <c r="D8" s="195"/>
      <c r="G8"/>
      <c r="H8" s="92" t="s">
        <v>96</v>
      </c>
      <c r="I8"/>
      <c r="J8"/>
    </row>
    <row r="9" spans="2:15" ht="14" thickBot="1" x14ac:dyDescent="0.2">
      <c r="B9" s="74" t="s">
        <v>14</v>
      </c>
      <c r="C9" s="70">
        <f>C6</f>
        <v>22059.999999999978</v>
      </c>
      <c r="D9" s="68">
        <f>C9/$C$3</f>
        <v>0.28282051282051268</v>
      </c>
      <c r="G9" s="1">
        <f>G6-G7</f>
        <v>72719.999999999884</v>
      </c>
      <c r="H9" s="92" t="s">
        <v>70</v>
      </c>
      <c r="I9"/>
      <c r="J9"/>
    </row>
    <row r="10" spans="2:15" ht="14" thickBot="1" x14ac:dyDescent="0.2">
      <c r="B10" s="75" t="s">
        <v>31</v>
      </c>
      <c r="C10" s="63">
        <f>[2]QUESTÕES!H28</f>
        <v>15000</v>
      </c>
      <c r="D10" s="68">
        <f>C10/$C$3</f>
        <v>0.1923076923076924</v>
      </c>
      <c r="G10">
        <v>0</v>
      </c>
      <c r="H10" s="92" t="s">
        <v>71</v>
      </c>
      <c r="I10"/>
      <c r="J10"/>
    </row>
    <row r="11" spans="2:15" ht="14" thickBot="1" x14ac:dyDescent="0.2">
      <c r="B11" s="76" t="s">
        <v>88</v>
      </c>
      <c r="C11" s="73">
        <f>C9-C10</f>
        <v>7059.9999999999782</v>
      </c>
      <c r="D11" s="68">
        <f>C11/$C$3</f>
        <v>9.051282051282028E-2</v>
      </c>
      <c r="E11" s="61">
        <f>C11*12</f>
        <v>84719.999999999738</v>
      </c>
      <c r="G11">
        <v>0</v>
      </c>
      <c r="H11" s="92" t="s">
        <v>80</v>
      </c>
      <c r="I11"/>
      <c r="J11"/>
    </row>
    <row r="12" spans="2:15" x14ac:dyDescent="0.15">
      <c r="G12">
        <v>0</v>
      </c>
      <c r="H12" s="92" t="s">
        <v>72</v>
      </c>
      <c r="I12"/>
      <c r="J12"/>
    </row>
    <row r="13" spans="2:15" x14ac:dyDescent="0.15">
      <c r="B13" s="106" t="s">
        <v>97</v>
      </c>
      <c r="C13" s="87">
        <v>120000</v>
      </c>
      <c r="F13" s="5" t="s">
        <v>120</v>
      </c>
      <c r="G13">
        <v>0</v>
      </c>
      <c r="H13" s="92" t="s">
        <v>81</v>
      </c>
      <c r="I13"/>
      <c r="J13"/>
    </row>
    <row r="14" spans="2:15" x14ac:dyDescent="0.15">
      <c r="B14" s="5" t="s">
        <v>84</v>
      </c>
      <c r="C14" s="5">
        <v>10</v>
      </c>
      <c r="F14" s="5" t="s">
        <v>121</v>
      </c>
      <c r="G14" s="1">
        <f>G9-G10</f>
        <v>72719.999999999884</v>
      </c>
      <c r="H14" s="93" t="s">
        <v>98</v>
      </c>
      <c r="I14"/>
      <c r="J14"/>
      <c r="N14" s="92"/>
    </row>
    <row r="15" spans="2:15" ht="14" thickBot="1" x14ac:dyDescent="0.2">
      <c r="G15" s="1">
        <f>D21</f>
        <v>12000</v>
      </c>
      <c r="H15" s="93" t="s">
        <v>99</v>
      </c>
      <c r="I15"/>
      <c r="J15"/>
      <c r="N15" s="92"/>
    </row>
    <row r="16" spans="2:15" ht="14" thickBot="1" x14ac:dyDescent="0.2">
      <c r="E16" s="146" t="s">
        <v>128</v>
      </c>
      <c r="G16" s="1">
        <f>G14+G15</f>
        <v>84719.999999999884</v>
      </c>
      <c r="H16" s="93" t="s">
        <v>73</v>
      </c>
      <c r="I16"/>
      <c r="J16"/>
      <c r="L16" s="88"/>
    </row>
    <row r="17" spans="2:122" x14ac:dyDescent="0.15">
      <c r="B17" s="107" t="s">
        <v>75</v>
      </c>
      <c r="C17" s="108" t="s">
        <v>100</v>
      </c>
      <c r="D17" s="143" t="s">
        <v>101</v>
      </c>
      <c r="E17" s="147" t="s">
        <v>122</v>
      </c>
      <c r="G17"/>
      <c r="I17"/>
      <c r="J17"/>
      <c r="N17" s="92"/>
    </row>
    <row r="18" spans="2:122" x14ac:dyDescent="0.15">
      <c r="B18" s="109" t="s">
        <v>76</v>
      </c>
      <c r="C18" s="110">
        <f>C5</f>
        <v>41899.999999999985</v>
      </c>
      <c r="D18" s="144"/>
      <c r="E18" s="147" t="s">
        <v>123</v>
      </c>
      <c r="F18"/>
      <c r="G18"/>
      <c r="H18" s="93"/>
      <c r="I18"/>
      <c r="J18"/>
    </row>
    <row r="19" spans="2:122" x14ac:dyDescent="0.15">
      <c r="B19" s="109" t="s">
        <v>77</v>
      </c>
      <c r="C19" s="110">
        <f>C10</f>
        <v>15000</v>
      </c>
      <c r="D19" s="144"/>
      <c r="E19" s="147" t="s">
        <v>124</v>
      </c>
      <c r="F19"/>
      <c r="G19" s="1">
        <f>D21</f>
        <v>12000</v>
      </c>
      <c r="H19" s="92" t="s">
        <v>83</v>
      </c>
      <c r="I19"/>
      <c r="J19"/>
    </row>
    <row r="20" spans="2:122" x14ac:dyDescent="0.15">
      <c r="B20" s="109"/>
      <c r="C20" s="110">
        <f>C18+C19</f>
        <v>56899.999999999985</v>
      </c>
      <c r="D20" s="145">
        <f>C20*12</f>
        <v>682799.99999999977</v>
      </c>
      <c r="E20" s="147" t="s">
        <v>125</v>
      </c>
      <c r="G20" s="1">
        <f>G16-G19</f>
        <v>72719.999999999884</v>
      </c>
      <c r="H20" s="92" t="s">
        <v>102</v>
      </c>
      <c r="I20"/>
      <c r="J20"/>
    </row>
    <row r="21" spans="2:122" ht="14" thickBot="1" x14ac:dyDescent="0.2">
      <c r="B21" s="109" t="s">
        <v>78</v>
      </c>
      <c r="C21" s="102"/>
      <c r="D21" s="145">
        <f>C13/C14</f>
        <v>12000</v>
      </c>
      <c r="E21" s="148" t="s">
        <v>126</v>
      </c>
      <c r="G21" s="1">
        <f>G20*0.3</f>
        <v>21815.999999999964</v>
      </c>
      <c r="H21" s="92" t="s">
        <v>86</v>
      </c>
      <c r="I21"/>
      <c r="J21"/>
    </row>
    <row r="22" spans="2:122" ht="14" thickBot="1" x14ac:dyDescent="0.2">
      <c r="B22" s="111" t="s">
        <v>75</v>
      </c>
      <c r="C22" s="112">
        <f>(C5+C10)</f>
        <v>56899.999999999985</v>
      </c>
      <c r="D22" s="113">
        <f>D20+D21</f>
        <v>694799.99999999977</v>
      </c>
      <c r="G22" s="1">
        <f>G16-G21</f>
        <v>62903.99999999992</v>
      </c>
      <c r="H22" s="92" t="s">
        <v>127</v>
      </c>
      <c r="I22"/>
      <c r="J22"/>
      <c r="L22" s="114" t="s">
        <v>82</v>
      </c>
    </row>
    <row r="23" spans="2:122" x14ac:dyDescent="0.15">
      <c r="G23" s="61">
        <f>D21</f>
        <v>12000</v>
      </c>
      <c r="H23" s="5" t="s">
        <v>92</v>
      </c>
      <c r="I23"/>
      <c r="J23"/>
    </row>
    <row r="24" spans="2:122" x14ac:dyDescent="0.15">
      <c r="F24" s="61"/>
      <c r="G24" s="61">
        <f>G22-G23</f>
        <v>50903.99999999992</v>
      </c>
      <c r="H24" s="92" t="s">
        <v>103</v>
      </c>
    </row>
    <row r="25" spans="2:122" x14ac:dyDescent="0.15">
      <c r="G25" s="3">
        <f>G24/C13</f>
        <v>0.42419999999999936</v>
      </c>
      <c r="H25" s="92" t="s">
        <v>104</v>
      </c>
    </row>
    <row r="26" spans="2:122" x14ac:dyDescent="0.15">
      <c r="B26" s="95" t="s">
        <v>94</v>
      </c>
      <c r="C26" s="95"/>
      <c r="D26" s="95"/>
      <c r="E26" s="95"/>
      <c r="F26" s="95"/>
    </row>
    <row r="27" spans="2:122" ht="18" x14ac:dyDescent="0.2">
      <c r="B27" s="95" t="s">
        <v>89</v>
      </c>
      <c r="C27" s="95"/>
      <c r="D27" s="95"/>
      <c r="E27" s="95"/>
      <c r="F27" s="95"/>
      <c r="G27" s="99" t="s">
        <v>93</v>
      </c>
      <c r="H27" s="99"/>
      <c r="I27" s="99"/>
      <c r="J27" s="99"/>
      <c r="K27" s="99"/>
    </row>
    <row r="28" spans="2:122" x14ac:dyDescent="0.15">
      <c r="B28" s="115" t="s">
        <v>105</v>
      </c>
      <c r="C28" s="95"/>
      <c r="D28" s="95"/>
      <c r="E28" s="95"/>
      <c r="F28" s="95"/>
    </row>
    <row r="29" spans="2:122" x14ac:dyDescent="0.15">
      <c r="G29" s="94">
        <v>0</v>
      </c>
      <c r="H29" s="94">
        <v>1</v>
      </c>
      <c r="I29" s="94">
        <v>2</v>
      </c>
      <c r="J29" s="94">
        <v>3</v>
      </c>
      <c r="K29" s="94">
        <v>4</v>
      </c>
      <c r="L29" s="94">
        <v>5</v>
      </c>
      <c r="M29" s="94">
        <v>6</v>
      </c>
      <c r="N29" s="94">
        <v>7</v>
      </c>
      <c r="O29" s="94">
        <v>8</v>
      </c>
      <c r="P29" s="94">
        <v>9</v>
      </c>
      <c r="Q29" s="94">
        <v>10</v>
      </c>
    </row>
    <row r="30" spans="2:122" x14ac:dyDescent="0.15">
      <c r="B30" s="115" t="s">
        <v>106</v>
      </c>
      <c r="C30" s="95"/>
      <c r="D30" s="95"/>
      <c r="G30" s="87">
        <f>-C13</f>
        <v>-120000</v>
      </c>
      <c r="H30" s="61">
        <f>G16</f>
        <v>84719.999999999884</v>
      </c>
      <c r="I30" s="61">
        <f>H30</f>
        <v>84719.999999999884</v>
      </c>
      <c r="J30" s="61">
        <f>I30</f>
        <v>84719.999999999884</v>
      </c>
      <c r="K30" s="61">
        <f t="shared" ref="K30:Q30" si="0">J30</f>
        <v>84719.999999999884</v>
      </c>
      <c r="L30" s="61">
        <f t="shared" si="0"/>
        <v>84719.999999999884</v>
      </c>
      <c r="M30" s="61">
        <f t="shared" si="0"/>
        <v>84719.999999999884</v>
      </c>
      <c r="N30" s="61">
        <f t="shared" si="0"/>
        <v>84719.999999999884</v>
      </c>
      <c r="O30" s="61">
        <f t="shared" si="0"/>
        <v>84719.999999999884</v>
      </c>
      <c r="P30" s="61">
        <f t="shared" si="0"/>
        <v>84719.999999999884</v>
      </c>
      <c r="Q30" s="61">
        <f t="shared" si="0"/>
        <v>84719.999999999884</v>
      </c>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row>
    <row r="32" spans="2:122" x14ac:dyDescent="0.15">
      <c r="G32" s="94" t="s">
        <v>87</v>
      </c>
      <c r="I32" s="116" t="s">
        <v>107</v>
      </c>
      <c r="J32" s="95"/>
      <c r="K32" s="95"/>
      <c r="L32" s="95"/>
      <c r="M32" s="95"/>
      <c r="N32" s="95"/>
      <c r="O32" s="95"/>
      <c r="P32" s="95"/>
      <c r="Q32" s="95"/>
      <c r="R32" s="95"/>
      <c r="S32" s="95"/>
      <c r="T32" s="95"/>
      <c r="U32" s="95"/>
    </row>
    <row r="33" spans="1:138" x14ac:dyDescent="0.15">
      <c r="A33" s="200" t="s">
        <v>116</v>
      </c>
      <c r="B33" s="200"/>
      <c r="C33" s="200"/>
      <c r="D33" s="200"/>
      <c r="E33" s="200"/>
      <c r="F33" s="200"/>
      <c r="G33" s="175">
        <f>IRR(G30:Q30)</f>
        <v>0.70255010657359174</v>
      </c>
      <c r="I33" s="202" t="s">
        <v>74</v>
      </c>
      <c r="J33" s="203"/>
      <c r="K33" s="203"/>
      <c r="L33" s="203"/>
      <c r="M33" s="203"/>
      <c r="N33" s="203"/>
      <c r="O33" s="203"/>
      <c r="P33" s="203"/>
      <c r="Q33" s="203"/>
      <c r="R33" s="203"/>
      <c r="S33" s="203"/>
      <c r="T33" s="203"/>
      <c r="U33" s="203"/>
    </row>
    <row r="34" spans="1:138" x14ac:dyDescent="0.15">
      <c r="A34" s="200"/>
      <c r="B34" s="200"/>
      <c r="C34" s="200"/>
      <c r="D34" s="200"/>
      <c r="E34" s="200"/>
      <c r="F34" s="200"/>
      <c r="I34" s="117" t="s">
        <v>108</v>
      </c>
      <c r="J34" s="118"/>
      <c r="K34" s="118"/>
      <c r="L34" s="118"/>
      <c r="M34" s="118"/>
      <c r="N34" s="118"/>
      <c r="O34" s="118"/>
      <c r="P34" s="118"/>
      <c r="Q34" s="95"/>
      <c r="R34" s="95"/>
      <c r="S34" s="95"/>
      <c r="T34" s="95"/>
      <c r="U34" s="95"/>
    </row>
    <row r="35" spans="1:138" x14ac:dyDescent="0.15">
      <c r="A35" s="200"/>
      <c r="B35" s="200"/>
      <c r="C35" s="200"/>
      <c r="D35" s="200"/>
      <c r="E35" s="200"/>
      <c r="F35" s="200"/>
    </row>
    <row r="36" spans="1:138" x14ac:dyDescent="0.15">
      <c r="A36" s="200"/>
      <c r="B36" s="200"/>
      <c r="C36" s="200"/>
      <c r="D36" s="200"/>
      <c r="E36" s="200"/>
      <c r="F36" s="200"/>
    </row>
    <row r="37" spans="1:138" x14ac:dyDescent="0.15">
      <c r="A37" s="200"/>
      <c r="B37" s="200"/>
      <c r="C37" s="200"/>
      <c r="D37" s="200"/>
      <c r="E37" s="200"/>
      <c r="F37" s="200"/>
      <c r="G37" s="200" t="s">
        <v>109</v>
      </c>
      <c r="H37" s="200"/>
      <c r="I37" s="200"/>
      <c r="J37" s="200"/>
      <c r="K37" s="200"/>
      <c r="L37" s="200"/>
      <c r="M37" s="200"/>
      <c r="N37" s="200"/>
      <c r="O37" s="200"/>
      <c r="P37" s="200"/>
    </row>
    <row r="38" spans="1:138" x14ac:dyDescent="0.15">
      <c r="A38" s="200"/>
      <c r="B38" s="200"/>
      <c r="C38" s="200"/>
      <c r="D38" s="200"/>
      <c r="E38" s="200"/>
      <c r="F38" s="200"/>
      <c r="G38" s="200"/>
      <c r="H38" s="200"/>
      <c r="I38" s="200"/>
      <c r="J38" s="200"/>
      <c r="K38" s="200"/>
      <c r="L38" s="200"/>
      <c r="M38" s="200"/>
      <c r="N38" s="200"/>
      <c r="O38" s="200"/>
      <c r="P38" s="200"/>
    </row>
    <row r="39" spans="1:138" x14ac:dyDescent="0.15">
      <c r="A39" s="200"/>
      <c r="B39" s="200"/>
      <c r="C39" s="200"/>
      <c r="D39" s="200"/>
      <c r="E39" s="200"/>
      <c r="F39" s="200"/>
      <c r="G39" s="200"/>
      <c r="H39" s="200"/>
      <c r="I39" s="200"/>
      <c r="J39" s="200"/>
      <c r="K39" s="200"/>
      <c r="L39" s="200"/>
      <c r="M39" s="200"/>
      <c r="N39" s="200"/>
      <c r="O39" s="200"/>
      <c r="P39" s="200"/>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row>
    <row r="40" spans="1:138" ht="25" customHeight="1" x14ac:dyDescent="0.15">
      <c r="A40" s="200"/>
      <c r="B40" s="200"/>
      <c r="C40" s="200"/>
      <c r="D40" s="200"/>
      <c r="E40" s="200"/>
      <c r="F40" s="200"/>
      <c r="G40" s="200"/>
      <c r="H40" s="200"/>
      <c r="I40" s="200"/>
      <c r="J40" s="200"/>
      <c r="K40" s="200"/>
      <c r="L40" s="200"/>
      <c r="M40" s="200"/>
      <c r="N40" s="200"/>
      <c r="O40" s="200"/>
      <c r="P40" s="200"/>
    </row>
    <row r="41" spans="1:138" x14ac:dyDescent="0.15">
      <c r="A41" s="200"/>
      <c r="B41" s="200"/>
      <c r="C41" s="200"/>
      <c r="D41" s="200"/>
      <c r="E41" s="200"/>
      <c r="F41" s="200"/>
      <c r="G41" s="94"/>
    </row>
    <row r="42" spans="1:138" x14ac:dyDescent="0.15">
      <c r="A42" s="200"/>
      <c r="B42" s="200"/>
      <c r="C42" s="200"/>
      <c r="D42" s="200"/>
      <c r="E42" s="200"/>
      <c r="F42" s="200"/>
      <c r="G42" s="96"/>
    </row>
    <row r="43" spans="1:138" ht="16" customHeight="1" x14ac:dyDescent="0.15">
      <c r="A43" s="200"/>
      <c r="B43" s="200"/>
      <c r="C43" s="200"/>
      <c r="D43" s="200"/>
      <c r="E43" s="200"/>
      <c r="F43" s="200"/>
      <c r="G43" s="197" t="s">
        <v>110</v>
      </c>
      <c r="H43" s="197"/>
      <c r="I43" s="197"/>
      <c r="J43" s="197"/>
      <c r="K43" s="197"/>
      <c r="L43" s="197"/>
      <c r="M43" s="197"/>
    </row>
    <row r="44" spans="1:138" ht="16" customHeight="1" x14ac:dyDescent="0.15">
      <c r="A44" s="200"/>
      <c r="B44" s="200"/>
      <c r="C44" s="200"/>
      <c r="D44" s="200"/>
      <c r="E44" s="200"/>
      <c r="F44" s="200"/>
      <c r="G44" s="197" t="s">
        <v>111</v>
      </c>
      <c r="H44" s="197"/>
      <c r="I44" s="197"/>
      <c r="J44" s="197"/>
      <c r="K44" s="119">
        <f>G24</f>
        <v>50903.99999999992</v>
      </c>
      <c r="L44" s="120"/>
      <c r="M44" s="120"/>
    </row>
    <row r="45" spans="1:138" ht="16" customHeight="1" x14ac:dyDescent="0.15">
      <c r="A45" s="200"/>
      <c r="B45" s="200"/>
      <c r="C45" s="200"/>
      <c r="D45" s="200"/>
      <c r="E45" s="200"/>
      <c r="F45" s="200"/>
      <c r="G45" s="197" t="s">
        <v>112</v>
      </c>
      <c r="H45" s="197"/>
      <c r="I45" s="197"/>
      <c r="J45" s="197"/>
      <c r="K45" s="119">
        <f>G21</f>
        <v>21815.999999999964</v>
      </c>
      <c r="L45" s="120"/>
      <c r="M45" s="120"/>
    </row>
    <row r="46" spans="1:138" ht="16" customHeight="1" x14ac:dyDescent="0.15">
      <c r="A46" s="200"/>
      <c r="B46" s="200"/>
      <c r="C46" s="200"/>
      <c r="D46" s="200"/>
      <c r="E46" s="200"/>
      <c r="F46" s="200"/>
      <c r="G46" s="197" t="s">
        <v>113</v>
      </c>
      <c r="H46" s="197"/>
      <c r="I46" s="197"/>
      <c r="J46" s="197"/>
      <c r="K46" s="119">
        <f>G19</f>
        <v>12000</v>
      </c>
      <c r="L46" s="120"/>
      <c r="M46" s="120"/>
      <c r="T46"/>
      <c r="U46"/>
    </row>
    <row r="47" spans="1:138" ht="16" customHeight="1" x14ac:dyDescent="0.15">
      <c r="A47" s="200"/>
      <c r="B47" s="200"/>
      <c r="C47" s="200"/>
      <c r="D47" s="200"/>
      <c r="E47" s="200"/>
      <c r="F47" s="200"/>
      <c r="G47" s="197" t="s">
        <v>114</v>
      </c>
      <c r="H47" s="197"/>
      <c r="I47" s="197"/>
      <c r="J47" s="197"/>
      <c r="K47" s="119">
        <f>K44+K45+K46</f>
        <v>84719.999999999884</v>
      </c>
      <c r="L47" s="120"/>
      <c r="M47" s="120"/>
    </row>
    <row r="48" spans="1:138" ht="16" customHeight="1" x14ac:dyDescent="0.15">
      <c r="A48" s="200"/>
      <c r="B48" s="200"/>
      <c r="C48" s="200"/>
      <c r="D48" s="200"/>
      <c r="E48" s="200"/>
      <c r="F48" s="200"/>
      <c r="K48" s="120"/>
      <c r="L48" s="120"/>
      <c r="M48" s="120"/>
    </row>
    <row r="49" spans="1:11" x14ac:dyDescent="0.15">
      <c r="A49" s="200"/>
      <c r="B49" s="200"/>
      <c r="C49" s="200"/>
      <c r="D49" s="200"/>
      <c r="E49" s="200"/>
      <c r="F49" s="200"/>
    </row>
    <row r="50" spans="1:11" x14ac:dyDescent="0.15">
      <c r="A50" s="200"/>
      <c r="B50" s="200"/>
      <c r="C50" s="200"/>
      <c r="D50" s="200"/>
      <c r="E50" s="200"/>
      <c r="F50" s="200"/>
    </row>
    <row r="51" spans="1:11" x14ac:dyDescent="0.15">
      <c r="A51" s="200"/>
      <c r="B51" s="200"/>
      <c r="C51" s="200"/>
      <c r="D51" s="200"/>
      <c r="E51" s="200"/>
      <c r="F51" s="200"/>
    </row>
    <row r="52" spans="1:11" x14ac:dyDescent="0.15">
      <c r="A52" s="200"/>
      <c r="B52" s="200"/>
      <c r="C52" s="200"/>
      <c r="D52" s="200"/>
      <c r="E52" s="200"/>
      <c r="F52" s="200"/>
    </row>
    <row r="53" spans="1:11" x14ac:dyDescent="0.15">
      <c r="A53" s="200"/>
      <c r="B53" s="200"/>
      <c r="C53" s="200"/>
      <c r="D53" s="200"/>
      <c r="E53" s="200"/>
      <c r="F53" s="200"/>
    </row>
    <row r="54" spans="1:11" x14ac:dyDescent="0.15">
      <c r="A54" s="5" t="s">
        <v>117</v>
      </c>
    </row>
    <row r="55" spans="1:11" ht="14" x14ac:dyDescent="0.15">
      <c r="A55" s="201" t="s">
        <v>118</v>
      </c>
      <c r="B55" s="201"/>
      <c r="C55" s="201"/>
      <c r="D55" s="201"/>
      <c r="E55" s="201"/>
      <c r="F55" s="201"/>
      <c r="G55" s="201"/>
      <c r="H55" s="201"/>
      <c r="I55" s="201"/>
      <c r="J55" s="201"/>
      <c r="K55" s="201"/>
    </row>
  </sheetData>
  <mergeCells count="13">
    <mergeCell ref="G46:J46"/>
    <mergeCell ref="H1:K2"/>
    <mergeCell ref="L1:O2"/>
    <mergeCell ref="A33:F53"/>
    <mergeCell ref="A55:K55"/>
    <mergeCell ref="G47:J47"/>
    <mergeCell ref="B2:D2"/>
    <mergeCell ref="B8:D8"/>
    <mergeCell ref="I33:U33"/>
    <mergeCell ref="G37:P40"/>
    <mergeCell ref="G43:M43"/>
    <mergeCell ref="G44:J44"/>
    <mergeCell ref="G45:J45"/>
  </mergeCells>
  <phoneticPr fontId="0" type="noConversion"/>
  <pageMargins left="0.75" right="0.75" top="1" bottom="1" header="0.49212598499999999" footer="0.49212598499999999"/>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2"/>
  <sheetViews>
    <sheetView zoomScale="180" zoomScaleNormal="180" workbookViewId="0">
      <selection activeCell="F6" sqref="F6"/>
    </sheetView>
  </sheetViews>
  <sheetFormatPr baseColWidth="10" defaultColWidth="8.83203125" defaultRowHeight="13" x14ac:dyDescent="0.15"/>
  <cols>
    <col min="1" max="1" width="9.33203125" bestFit="1" customWidth="1"/>
    <col min="2" max="2" width="10.33203125" bestFit="1" customWidth="1"/>
    <col min="3" max="3" width="9.33203125" bestFit="1" customWidth="1"/>
  </cols>
  <sheetData>
    <row r="1" spans="1:5" x14ac:dyDescent="0.15">
      <c r="A1" t="s">
        <v>37</v>
      </c>
      <c r="B1" s="1">
        <f>Resultado!C3/10</f>
        <v>7799.9999999999955</v>
      </c>
    </row>
    <row r="2" spans="1:5" x14ac:dyDescent="0.15">
      <c r="A2" t="s">
        <v>14</v>
      </c>
      <c r="B2" s="2">
        <f>Resultado!$D$6</f>
        <v>0.28282051282051268</v>
      </c>
    </row>
    <row r="3" spans="1:5" x14ac:dyDescent="0.15">
      <c r="A3" t="s">
        <v>35</v>
      </c>
      <c r="B3" s="1">
        <f>Resultado!C10</f>
        <v>15000</v>
      </c>
    </row>
    <row r="4" spans="1:5" x14ac:dyDescent="0.15">
      <c r="A4" t="s">
        <v>38</v>
      </c>
      <c r="B4" s="3">
        <f>Resultado!$D$5+Resultado!$D$4</f>
        <v>0.71717948717948732</v>
      </c>
    </row>
    <row r="9" spans="1:5" x14ac:dyDescent="0.15">
      <c r="A9" t="s">
        <v>36</v>
      </c>
      <c r="B9" t="s">
        <v>35</v>
      </c>
      <c r="C9" t="s">
        <v>38</v>
      </c>
      <c r="D9" t="s">
        <v>39</v>
      </c>
      <c r="E9" t="s">
        <v>68</v>
      </c>
    </row>
    <row r="10" spans="1:5" x14ac:dyDescent="0.15">
      <c r="A10" s="71">
        <v>0</v>
      </c>
      <c r="B10" s="71">
        <f t="shared" ref="B10:B21" si="0">$B$3</f>
        <v>15000</v>
      </c>
      <c r="C10" s="71">
        <f t="shared" ref="C10:C15" si="1">A10*$B$4</f>
        <v>0</v>
      </c>
      <c r="D10" s="72">
        <f t="shared" ref="D10:D15" si="2">C10+B10</f>
        <v>15000</v>
      </c>
      <c r="E10" s="72">
        <f>A10-D10</f>
        <v>-15000</v>
      </c>
    </row>
    <row r="11" spans="1:5" x14ac:dyDescent="0.15">
      <c r="A11" s="71">
        <f t="shared" ref="A11:A21" si="3">A10+$B$1</f>
        <v>7799.9999999999955</v>
      </c>
      <c r="B11" s="71">
        <f t="shared" si="0"/>
        <v>15000</v>
      </c>
      <c r="C11" s="71">
        <f>A11*$B$4</f>
        <v>5593.9999999999982</v>
      </c>
      <c r="D11" s="72">
        <f t="shared" si="2"/>
        <v>20594</v>
      </c>
      <c r="E11" s="72">
        <f t="shared" ref="E11:E21" si="4">A11-D11</f>
        <v>-12794.000000000004</v>
      </c>
    </row>
    <row r="12" spans="1:5" x14ac:dyDescent="0.15">
      <c r="A12" s="71">
        <f t="shared" si="3"/>
        <v>15599.999999999991</v>
      </c>
      <c r="B12" s="71">
        <f t="shared" si="0"/>
        <v>15000</v>
      </c>
      <c r="C12" s="71">
        <f t="shared" si="1"/>
        <v>11187.999999999996</v>
      </c>
      <c r="D12" s="72">
        <f t="shared" si="2"/>
        <v>26187.999999999996</v>
      </c>
      <c r="E12" s="72">
        <f t="shared" si="4"/>
        <v>-10588.000000000005</v>
      </c>
    </row>
    <row r="13" spans="1:5" x14ac:dyDescent="0.15">
      <c r="A13" s="71">
        <f t="shared" si="3"/>
        <v>23399.999999999985</v>
      </c>
      <c r="B13" s="71">
        <f t="shared" si="0"/>
        <v>15000</v>
      </c>
      <c r="C13" s="71">
        <f t="shared" si="1"/>
        <v>16781.999999999993</v>
      </c>
      <c r="D13" s="72">
        <f t="shared" si="2"/>
        <v>31781.999999999993</v>
      </c>
      <c r="E13" s="72">
        <f t="shared" si="4"/>
        <v>-8382.0000000000073</v>
      </c>
    </row>
    <row r="14" spans="1:5" x14ac:dyDescent="0.15">
      <c r="A14" s="71">
        <f t="shared" si="3"/>
        <v>31199.999999999982</v>
      </c>
      <c r="B14" s="71">
        <f t="shared" si="0"/>
        <v>15000</v>
      </c>
      <c r="C14" s="71">
        <f t="shared" si="1"/>
        <v>22375.999999999993</v>
      </c>
      <c r="D14" s="72">
        <f t="shared" si="2"/>
        <v>37375.999999999993</v>
      </c>
      <c r="E14" s="72">
        <f t="shared" si="4"/>
        <v>-6176.0000000000109</v>
      </c>
    </row>
    <row r="15" spans="1:5" x14ac:dyDescent="0.15">
      <c r="A15" s="71">
        <f t="shared" si="3"/>
        <v>38999.999999999978</v>
      </c>
      <c r="B15" s="71">
        <f t="shared" si="0"/>
        <v>15000</v>
      </c>
      <c r="C15" s="71">
        <f t="shared" si="1"/>
        <v>27969.999999999989</v>
      </c>
      <c r="D15" s="72">
        <f t="shared" si="2"/>
        <v>42969.999999999985</v>
      </c>
      <c r="E15" s="72">
        <f t="shared" si="4"/>
        <v>-3970.0000000000073</v>
      </c>
    </row>
    <row r="16" spans="1:5" x14ac:dyDescent="0.15">
      <c r="A16" s="71">
        <f t="shared" si="3"/>
        <v>46799.999999999971</v>
      </c>
      <c r="B16" s="71">
        <f t="shared" si="0"/>
        <v>15000</v>
      </c>
      <c r="C16" s="71">
        <f t="shared" ref="C16:C21" si="5">A16*$B$4</f>
        <v>33563.999999999985</v>
      </c>
      <c r="D16" s="72">
        <f t="shared" ref="D16:D21" si="6">C16+B16</f>
        <v>48563.999999999985</v>
      </c>
      <c r="E16" s="72">
        <f t="shared" si="4"/>
        <v>-1764.0000000000146</v>
      </c>
    </row>
    <row r="17" spans="1:5" x14ac:dyDescent="0.15">
      <c r="A17" s="71">
        <f t="shared" si="3"/>
        <v>54599.999999999964</v>
      </c>
      <c r="B17" s="71">
        <f t="shared" si="0"/>
        <v>15000</v>
      </c>
      <c r="C17" s="71">
        <f t="shared" si="5"/>
        <v>39157.999999999978</v>
      </c>
      <c r="D17" s="72">
        <f t="shared" si="6"/>
        <v>54157.999999999978</v>
      </c>
      <c r="E17" s="72">
        <f t="shared" si="4"/>
        <v>441.99999999998545</v>
      </c>
    </row>
    <row r="18" spans="1:5" x14ac:dyDescent="0.15">
      <c r="A18" s="71">
        <f t="shared" si="3"/>
        <v>62399.999999999956</v>
      </c>
      <c r="B18" s="71">
        <f t="shared" si="0"/>
        <v>15000</v>
      </c>
      <c r="C18" s="71">
        <f t="shared" si="5"/>
        <v>44751.999999999978</v>
      </c>
      <c r="D18" s="72">
        <f t="shared" si="6"/>
        <v>59751.999999999978</v>
      </c>
      <c r="E18" s="72">
        <f t="shared" si="4"/>
        <v>2647.9999999999782</v>
      </c>
    </row>
    <row r="19" spans="1:5" x14ac:dyDescent="0.15">
      <c r="A19" s="71">
        <f t="shared" si="3"/>
        <v>70199.999999999956</v>
      </c>
      <c r="B19" s="71">
        <f t="shared" si="0"/>
        <v>15000</v>
      </c>
      <c r="C19" s="71">
        <f t="shared" si="5"/>
        <v>50345.999999999978</v>
      </c>
      <c r="D19" s="72">
        <f t="shared" si="6"/>
        <v>65345.999999999978</v>
      </c>
      <c r="E19" s="72">
        <f t="shared" si="4"/>
        <v>4853.9999999999782</v>
      </c>
    </row>
    <row r="20" spans="1:5" x14ac:dyDescent="0.15">
      <c r="A20" s="71">
        <f t="shared" si="3"/>
        <v>77999.999999999956</v>
      </c>
      <c r="B20" s="71">
        <f t="shared" si="0"/>
        <v>15000</v>
      </c>
      <c r="C20" s="71">
        <f t="shared" si="5"/>
        <v>55939.999999999978</v>
      </c>
      <c r="D20" s="72">
        <f t="shared" si="6"/>
        <v>70939.999999999971</v>
      </c>
      <c r="E20" s="72">
        <f t="shared" si="4"/>
        <v>7059.9999999999854</v>
      </c>
    </row>
    <row r="21" spans="1:5" x14ac:dyDescent="0.15">
      <c r="A21" s="71">
        <f t="shared" si="3"/>
        <v>85799.999999999956</v>
      </c>
      <c r="B21" s="71">
        <f t="shared" si="0"/>
        <v>15000</v>
      </c>
      <c r="C21" s="71">
        <f t="shared" si="5"/>
        <v>61533.999999999978</v>
      </c>
      <c r="D21" s="72">
        <f t="shared" si="6"/>
        <v>76533.999999999971</v>
      </c>
      <c r="E21" s="72">
        <f t="shared" si="4"/>
        <v>9265.9999999999854</v>
      </c>
    </row>
    <row r="22" spans="1:5" x14ac:dyDescent="0.15">
      <c r="A22" s="71"/>
      <c r="B22" s="71"/>
      <c r="C22" s="71"/>
      <c r="D22" s="72"/>
    </row>
    <row r="23" spans="1:5" x14ac:dyDescent="0.15">
      <c r="A23" s="71"/>
      <c r="B23" s="71"/>
      <c r="C23" s="71"/>
      <c r="D23" s="72"/>
    </row>
    <row r="24" spans="1:5" x14ac:dyDescent="0.15">
      <c r="A24" s="71"/>
      <c r="B24" s="71"/>
      <c r="C24" s="176" t="s">
        <v>155</v>
      </c>
      <c r="D24" s="72">
        <f>B10/B2</f>
        <v>53037.17135086131</v>
      </c>
      <c r="E24" s="177" t="s">
        <v>156</v>
      </c>
    </row>
    <row r="25" spans="1:5" x14ac:dyDescent="0.15">
      <c r="A25" s="71"/>
      <c r="B25" s="71"/>
      <c r="C25" s="71"/>
      <c r="D25" s="72"/>
    </row>
    <row r="26" spans="1:5" x14ac:dyDescent="0.15">
      <c r="A26" s="71"/>
      <c r="B26" s="71"/>
      <c r="C26" s="71"/>
      <c r="D26" s="72"/>
    </row>
    <row r="27" spans="1:5" x14ac:dyDescent="0.15">
      <c r="A27" s="71"/>
      <c r="B27" s="71"/>
      <c r="C27" s="71"/>
      <c r="D27" s="72"/>
    </row>
    <row r="28" spans="1:5" x14ac:dyDescent="0.15">
      <c r="A28" s="71"/>
      <c r="B28" s="71"/>
      <c r="C28" s="71"/>
      <c r="D28" s="72"/>
    </row>
    <row r="29" spans="1:5" x14ac:dyDescent="0.15">
      <c r="A29" s="71"/>
      <c r="B29" s="71"/>
      <c r="C29" s="71"/>
      <c r="D29" s="72"/>
    </row>
    <row r="30" spans="1:5" x14ac:dyDescent="0.15">
      <c r="A30" s="71"/>
      <c r="B30" s="71"/>
      <c r="C30" s="71"/>
      <c r="D30" s="72"/>
    </row>
    <row r="31" spans="1:5" x14ac:dyDescent="0.15">
      <c r="A31" s="71"/>
      <c r="B31" s="71"/>
      <c r="C31" s="71"/>
      <c r="D31" s="72"/>
    </row>
    <row r="32" spans="1:5" x14ac:dyDescent="0.15">
      <c r="A32" s="71"/>
      <c r="B32" s="71"/>
      <c r="C32" s="71"/>
      <c r="D32" s="72"/>
    </row>
    <row r="33" spans="1:4" x14ac:dyDescent="0.15">
      <c r="A33" s="71"/>
      <c r="B33" s="71"/>
      <c r="C33" s="71"/>
      <c r="D33" s="72"/>
    </row>
    <row r="34" spans="1:4" x14ac:dyDescent="0.15">
      <c r="A34" s="71"/>
      <c r="B34" s="71"/>
      <c r="C34" s="71"/>
      <c r="D34" s="72"/>
    </row>
    <row r="35" spans="1:4" x14ac:dyDescent="0.15">
      <c r="A35" s="71"/>
      <c r="B35" s="71"/>
      <c r="C35" s="71"/>
      <c r="D35" s="72"/>
    </row>
    <row r="36" spans="1:4" x14ac:dyDescent="0.15">
      <c r="A36" s="71"/>
      <c r="B36" s="71"/>
      <c r="C36" s="71"/>
      <c r="D36" s="72"/>
    </row>
    <row r="37" spans="1:4" x14ac:dyDescent="0.15">
      <c r="A37" s="71"/>
      <c r="B37" s="71"/>
      <c r="C37" s="71"/>
      <c r="D37" s="72"/>
    </row>
    <row r="38" spans="1:4" x14ac:dyDescent="0.15">
      <c r="A38" s="71"/>
      <c r="B38" s="71"/>
      <c r="C38" s="71"/>
      <c r="D38" s="72"/>
    </row>
    <row r="39" spans="1:4" x14ac:dyDescent="0.15">
      <c r="A39" s="71"/>
      <c r="B39" s="71"/>
      <c r="C39" s="71"/>
      <c r="D39" s="72"/>
    </row>
    <row r="40" spans="1:4" x14ac:dyDescent="0.15">
      <c r="A40" s="71"/>
      <c r="B40" s="71"/>
      <c r="C40" s="71"/>
      <c r="D40" s="72"/>
    </row>
    <row r="41" spans="1:4" x14ac:dyDescent="0.15">
      <c r="A41" s="71"/>
      <c r="B41" s="71"/>
      <c r="C41" s="71"/>
      <c r="D41" s="72"/>
    </row>
    <row r="42" spans="1:4" x14ac:dyDescent="0.15">
      <c r="A42" s="71"/>
      <c r="B42" s="71"/>
      <c r="C42" s="71"/>
      <c r="D42" s="72"/>
    </row>
  </sheetData>
  <phoneticPr fontId="0" type="noConversion"/>
  <pageMargins left="0.75" right="0.75" top="1" bottom="1" header="0.49212598499999999" footer="0.49212598499999999"/>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G6"/>
  <sheetViews>
    <sheetView tabSelected="1" zoomScale="187" workbookViewId="0">
      <selection activeCell="F12" sqref="F12"/>
    </sheetView>
  </sheetViews>
  <sheetFormatPr baseColWidth="10" defaultRowHeight="13" x14ac:dyDescent="0.15"/>
  <sheetData>
    <row r="2" spans="3:7" ht="28" x14ac:dyDescent="0.15">
      <c r="C2" s="177"/>
      <c r="D2" s="189" t="s">
        <v>170</v>
      </c>
      <c r="E2" s="190" t="s">
        <v>171</v>
      </c>
      <c r="F2" s="189" t="s">
        <v>172</v>
      </c>
      <c r="G2" s="189" t="s">
        <v>173</v>
      </c>
    </row>
    <row r="3" spans="3:7" x14ac:dyDescent="0.15">
      <c r="C3" s="177" t="s">
        <v>174</v>
      </c>
      <c r="D3" s="191">
        <v>65976</v>
      </c>
      <c r="E3" s="191">
        <v>37783.199999999997</v>
      </c>
      <c r="F3" s="204">
        <v>0.31485999999999997</v>
      </c>
      <c r="G3" s="192">
        <v>0.54</v>
      </c>
    </row>
    <row r="4" spans="3:7" x14ac:dyDescent="0.15">
      <c r="C4" s="177" t="s">
        <v>175</v>
      </c>
      <c r="D4" s="191">
        <f>Resultado!G16</f>
        <v>84719.999999999884</v>
      </c>
      <c r="E4" s="191">
        <f>Resultado!G24</f>
        <v>50903.99999999992</v>
      </c>
      <c r="F4" s="204">
        <f>Resultado!G25</f>
        <v>0.42419999999999936</v>
      </c>
      <c r="G4" s="192">
        <f>Resultado!G33</f>
        <v>0.70255010657359174</v>
      </c>
    </row>
    <row r="5" spans="3:7" x14ac:dyDescent="0.15">
      <c r="C5" s="177" t="s">
        <v>176</v>
      </c>
      <c r="D5" s="177"/>
      <c r="E5" s="177"/>
      <c r="F5" s="177"/>
      <c r="G5" s="177"/>
    </row>
    <row r="6" spans="3:7" x14ac:dyDescent="0.15">
      <c r="C6" s="177" t="s">
        <v>177</v>
      </c>
      <c r="D6" s="177"/>
      <c r="E6" s="177"/>
      <c r="F6" s="177"/>
      <c r="G6" s="17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Sensitivity Report 1</vt:lpstr>
      <vt:lpstr>Sensitivity Report 2</vt:lpstr>
      <vt:lpstr>QUESTÕES</vt:lpstr>
      <vt:lpstr>Consumo de materiais</vt:lpstr>
      <vt:lpstr>Custo de materiais</vt:lpstr>
      <vt:lpstr>Margem</vt:lpstr>
      <vt:lpstr>Resultado</vt:lpstr>
      <vt:lpstr>PED</vt:lpstr>
      <vt:lpstr>ANÁLISE</vt:lpstr>
      <vt:lpstr>QUESTÕES!Print_Area</vt:lpstr>
    </vt:vector>
  </TitlesOfParts>
  <Company>Infoco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Dadidi</dc:creator>
  <cp:lastModifiedBy>Microsoft Office User</cp:lastModifiedBy>
  <cp:lastPrinted>2003-06-22T21:40:26Z</cp:lastPrinted>
  <dcterms:created xsi:type="dcterms:W3CDTF">2001-05-29T17:43:00Z</dcterms:created>
  <dcterms:modified xsi:type="dcterms:W3CDTF">2023-04-11T15:00:57Z</dcterms:modified>
</cp:coreProperties>
</file>