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1/PRO 3363/PROVAS/"/>
    </mc:Choice>
  </mc:AlternateContent>
  <xr:revisionPtr revIDLastSave="0" documentId="13_ncr:1_{758762EE-3AC1-D248-BDFA-2459A7EAB976}" xr6:coauthVersionLast="45" xr6:coauthVersionMax="45" xr10:uidLastSave="{00000000-0000-0000-0000-000000000000}"/>
  <bookViews>
    <workbookView xWindow="0" yWindow="0" windowWidth="28800" windowHeight="18000" activeTab="6" xr2:uid="{B8D02B2C-FED2-CC43-AF5F-A4B699059375}"/>
  </bookViews>
  <sheets>
    <sheet name="DADOS" sheetId="1" r:id="rId1"/>
    <sheet name="Questao1" sheetId="2" r:id="rId2"/>
    <sheet name="Questão2" sheetId="3" r:id="rId3"/>
    <sheet name="Questão3" sheetId="4" r:id="rId4"/>
    <sheet name="Questão4" sheetId="5" r:id="rId5"/>
    <sheet name="Questao5" sheetId="7" r:id="rId6"/>
    <sheet name="datas" sheetId="6" r:id="rId7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7" l="1"/>
  <c r="D28" i="7" s="1"/>
  <c r="D23" i="7"/>
  <c r="E14" i="7"/>
  <c r="C13" i="7"/>
  <c r="F5" i="7"/>
  <c r="D5" i="7"/>
  <c r="D4" i="7"/>
  <c r="C6" i="2"/>
  <c r="E16" i="7" l="1"/>
  <c r="C12" i="3" l="1"/>
  <c r="C40" i="3" l="1"/>
  <c r="C5" i="2" l="1"/>
  <c r="D5" i="2"/>
  <c r="E29" i="5" l="1"/>
  <c r="F21" i="5"/>
  <c r="F20" i="5"/>
  <c r="C4" i="4"/>
  <c r="C14" i="3"/>
  <c r="F15" i="5" s="1"/>
  <c r="C13" i="3"/>
  <c r="C11" i="3" s="1"/>
  <c r="C24" i="3" s="1"/>
  <c r="C34" i="3" s="1"/>
  <c r="C19" i="3"/>
  <c r="C20" i="3"/>
  <c r="C10" i="3" l="1"/>
  <c r="F3" i="5"/>
  <c r="G3" i="5" s="1"/>
  <c r="G21" i="5"/>
  <c r="H21" i="5" s="1"/>
  <c r="I21" i="5" s="1"/>
  <c r="J21" i="5" s="1"/>
  <c r="K21" i="5" s="1"/>
  <c r="L21" i="5" s="1"/>
  <c r="M21" i="5" s="1"/>
  <c r="N21" i="5" s="1"/>
  <c r="O21" i="5" s="1"/>
  <c r="G20" i="5"/>
  <c r="H20" i="5" s="1"/>
  <c r="I20" i="5" s="1"/>
  <c r="J20" i="5" s="1"/>
  <c r="K20" i="5" s="1"/>
  <c r="L20" i="5" s="1"/>
  <c r="M20" i="5" s="1"/>
  <c r="N20" i="5" s="1"/>
  <c r="O20" i="5" s="1"/>
  <c r="G15" i="5"/>
  <c r="H15" i="5" s="1"/>
  <c r="I15" i="5" s="1"/>
  <c r="J15" i="5" s="1"/>
  <c r="K15" i="5" s="1"/>
  <c r="L15" i="5" s="1"/>
  <c r="M15" i="5" s="1"/>
  <c r="N15" i="5" s="1"/>
  <c r="O15" i="5" s="1"/>
  <c r="H3" i="5" l="1"/>
  <c r="G4" i="5"/>
  <c r="F4" i="5"/>
  <c r="I3" i="5" l="1"/>
  <c r="H4" i="5"/>
  <c r="E31" i="5" l="1"/>
  <c r="E41" i="5" s="1"/>
  <c r="J3" i="5"/>
  <c r="I4" i="5"/>
  <c r="K3" i="5" l="1"/>
  <c r="J4" i="5"/>
  <c r="L3" i="5" l="1"/>
  <c r="K4" i="5"/>
  <c r="M3" i="5" l="1"/>
  <c r="L4" i="5"/>
  <c r="N3" i="5" l="1"/>
  <c r="M4" i="5"/>
  <c r="O3" i="5" l="1"/>
  <c r="N4" i="5"/>
  <c r="P3" i="5" l="1"/>
  <c r="O4" i="5"/>
  <c r="D6" i="2" l="1"/>
  <c r="D4" i="2"/>
  <c r="D13" i="2" s="1"/>
  <c r="F13" i="5"/>
  <c r="C4" i="2"/>
  <c r="F14" i="5" l="1"/>
  <c r="G14" i="5" s="1"/>
  <c r="H14" i="5" s="1"/>
  <c r="I14" i="5" s="1"/>
  <c r="J14" i="5" s="1"/>
  <c r="K14" i="5" s="1"/>
  <c r="L14" i="5" s="1"/>
  <c r="M14" i="5" s="1"/>
  <c r="N14" i="5" s="1"/>
  <c r="O14" i="5" s="1"/>
  <c r="E6" i="2"/>
  <c r="C23" i="1" s="1"/>
  <c r="C8" i="2"/>
  <c r="C7" i="2"/>
  <c r="C13" i="2"/>
  <c r="F7" i="5"/>
  <c r="G7" i="5" s="1"/>
  <c r="H7" i="5" s="1"/>
  <c r="I7" i="5" s="1"/>
  <c r="J7" i="5" s="1"/>
  <c r="K7" i="5" s="1"/>
  <c r="L7" i="5" s="1"/>
  <c r="M7" i="5" s="1"/>
  <c r="N7" i="5" s="1"/>
  <c r="O7" i="5" s="1"/>
  <c r="C6" i="3"/>
  <c r="G13" i="5"/>
  <c r="H13" i="5" s="1"/>
  <c r="I13" i="5" s="1"/>
  <c r="J13" i="5" s="1"/>
  <c r="K13" i="5" s="1"/>
  <c r="L13" i="5" s="1"/>
  <c r="M13" i="5" s="1"/>
  <c r="N13" i="5" s="1"/>
  <c r="O13" i="5" s="1"/>
  <c r="D8" i="2"/>
  <c r="D7" i="2"/>
  <c r="F12" i="5" l="1"/>
  <c r="C9" i="2"/>
  <c r="C14" i="2" s="1"/>
  <c r="C10" i="2"/>
  <c r="C11" i="2" s="1"/>
  <c r="D6" i="7" s="1"/>
  <c r="C15" i="2"/>
  <c r="C5" i="3"/>
  <c r="C4" i="3" s="1"/>
  <c r="E13" i="2"/>
  <c r="F5" i="5" s="1"/>
  <c r="F6" i="5"/>
  <c r="G6" i="5" s="1"/>
  <c r="H6" i="5" s="1"/>
  <c r="I6" i="5" s="1"/>
  <c r="J6" i="5" s="1"/>
  <c r="K6" i="5" s="1"/>
  <c r="L6" i="5" s="1"/>
  <c r="M6" i="5" s="1"/>
  <c r="N6" i="5" s="1"/>
  <c r="O6" i="5" s="1"/>
  <c r="D9" i="2"/>
  <c r="D14" i="2" s="1"/>
  <c r="D15" i="2" s="1"/>
  <c r="F11" i="5"/>
  <c r="G11" i="5" s="1"/>
  <c r="H11" i="5" s="1"/>
  <c r="I11" i="5" s="1"/>
  <c r="J11" i="5" s="1"/>
  <c r="K11" i="5" s="1"/>
  <c r="L11" i="5" s="1"/>
  <c r="M11" i="5" s="1"/>
  <c r="N11" i="5" s="1"/>
  <c r="O11" i="5" s="1"/>
  <c r="G12" i="5"/>
  <c r="H12" i="5" s="1"/>
  <c r="I12" i="5" s="1"/>
  <c r="J12" i="5" s="1"/>
  <c r="K12" i="5" s="1"/>
  <c r="L12" i="5" s="1"/>
  <c r="M12" i="5" s="1"/>
  <c r="N12" i="5" s="1"/>
  <c r="O12" i="5" s="1"/>
  <c r="D10" i="2"/>
  <c r="D11" i="2" s="1"/>
  <c r="F6" i="7" s="1"/>
  <c r="F7" i="7" s="1"/>
  <c r="F9" i="7" s="1"/>
  <c r="D7" i="7" l="1"/>
  <c r="D9" i="7" s="1"/>
  <c r="E14" i="2"/>
  <c r="C18" i="3"/>
  <c r="C17" i="3" s="1"/>
  <c r="C7" i="3"/>
  <c r="D7" i="3" s="1"/>
  <c r="F25" i="5"/>
  <c r="G25" i="5" s="1"/>
  <c r="H25" i="5" s="1"/>
  <c r="I25" i="5" s="1"/>
  <c r="J25" i="5" s="1"/>
  <c r="K25" i="5" s="1"/>
  <c r="L25" i="5" s="1"/>
  <c r="M25" i="5" s="1"/>
  <c r="N25" i="5" s="1"/>
  <c r="O25" i="5" s="1"/>
  <c r="F19" i="5"/>
  <c r="F8" i="5"/>
  <c r="G5" i="5"/>
  <c r="H5" i="5" s="1"/>
  <c r="I5" i="5" s="1"/>
  <c r="J5" i="5" s="1"/>
  <c r="K5" i="5" s="1"/>
  <c r="L5" i="5" s="1"/>
  <c r="M5" i="5" s="1"/>
  <c r="N5" i="5" s="1"/>
  <c r="O5" i="5" s="1"/>
  <c r="E15" i="2"/>
  <c r="C16" i="2" s="1"/>
  <c r="E15" i="7" l="1"/>
  <c r="E17" i="7" s="1"/>
  <c r="E19" i="7" s="1"/>
  <c r="D18" i="3"/>
  <c r="D16" i="2"/>
  <c r="C8" i="3"/>
  <c r="F9" i="5"/>
  <c r="F16" i="5" s="1"/>
  <c r="G8" i="5"/>
  <c r="H8" i="5" s="1"/>
  <c r="I8" i="5" s="1"/>
  <c r="J8" i="5" s="1"/>
  <c r="K8" i="5" s="1"/>
  <c r="L8" i="5" s="1"/>
  <c r="M8" i="5" s="1"/>
  <c r="N8" i="5" s="1"/>
  <c r="O8" i="5" s="1"/>
  <c r="F18" i="5"/>
  <c r="G18" i="5" s="1"/>
  <c r="H18" i="5" s="1"/>
  <c r="I18" i="5" s="1"/>
  <c r="J18" i="5" s="1"/>
  <c r="K18" i="5" s="1"/>
  <c r="L18" i="5" s="1"/>
  <c r="M18" i="5" s="1"/>
  <c r="N18" i="5" s="1"/>
  <c r="O18" i="5" s="1"/>
  <c r="G19" i="5"/>
  <c r="H19" i="5" s="1"/>
  <c r="I19" i="5" s="1"/>
  <c r="J19" i="5" s="1"/>
  <c r="K19" i="5" s="1"/>
  <c r="L19" i="5" s="1"/>
  <c r="M19" i="5" s="1"/>
  <c r="N19" i="5" s="1"/>
  <c r="O19" i="5" s="1"/>
  <c r="C15" i="3" l="1"/>
  <c r="C22" i="3" s="1"/>
  <c r="F23" i="5"/>
  <c r="G16" i="5"/>
  <c r="G9" i="5"/>
  <c r="H9" i="5" s="1"/>
  <c r="I9" i="5" s="1"/>
  <c r="J9" i="5" s="1"/>
  <c r="K9" i="5" s="1"/>
  <c r="L9" i="5" s="1"/>
  <c r="M9" i="5" s="1"/>
  <c r="N9" i="5" s="1"/>
  <c r="O9" i="5" s="1"/>
  <c r="C26" i="3" l="1"/>
  <c r="C28" i="3"/>
  <c r="C30" i="3" s="1"/>
  <c r="E26" i="3"/>
  <c r="F27" i="5"/>
  <c r="H16" i="5"/>
  <c r="I16" i="5" s="1"/>
  <c r="J16" i="5" s="1"/>
  <c r="K16" i="5" s="1"/>
  <c r="L16" i="5" s="1"/>
  <c r="M16" i="5" s="1"/>
  <c r="N16" i="5" s="1"/>
  <c r="O16" i="5" s="1"/>
  <c r="C32" i="3" l="1"/>
  <c r="C36" i="3" s="1"/>
  <c r="C42" i="3" s="1"/>
  <c r="G23" i="5"/>
  <c r="R41" i="5" l="1"/>
  <c r="V41" i="5"/>
  <c r="Z41" i="5"/>
  <c r="AD41" i="5"/>
  <c r="AH41" i="5"/>
  <c r="AL41" i="5"/>
  <c r="AP41" i="5"/>
  <c r="AT41" i="5"/>
  <c r="AX41" i="5"/>
  <c r="BB41" i="5"/>
  <c r="BF41" i="5"/>
  <c r="BJ41" i="5"/>
  <c r="BN41" i="5"/>
  <c r="BR41" i="5"/>
  <c r="BV41" i="5"/>
  <c r="BZ41" i="5"/>
  <c r="CD41" i="5"/>
  <c r="CH41" i="5"/>
  <c r="CL41" i="5"/>
  <c r="CP41" i="5"/>
  <c r="CT41" i="5"/>
  <c r="CX41" i="5"/>
  <c r="DB41" i="5"/>
  <c r="DF41" i="5"/>
  <c r="DJ41" i="5"/>
  <c r="DN41" i="5"/>
  <c r="J41" i="5"/>
  <c r="N41" i="5"/>
  <c r="S41" i="5"/>
  <c r="AA41" i="5"/>
  <c r="AM41" i="5"/>
  <c r="AY41" i="5"/>
  <c r="BG41" i="5"/>
  <c r="BS41" i="5"/>
  <c r="CE41" i="5"/>
  <c r="CM41" i="5"/>
  <c r="CY41" i="5"/>
  <c r="DK41" i="5"/>
  <c r="K41" i="5"/>
  <c r="C38" i="3"/>
  <c r="P41" i="5"/>
  <c r="T41" i="5"/>
  <c r="X41" i="5"/>
  <c r="AB41" i="5"/>
  <c r="AF41" i="5"/>
  <c r="AJ41" i="5"/>
  <c r="AN41" i="5"/>
  <c r="AR41" i="5"/>
  <c r="AV41" i="5"/>
  <c r="AZ41" i="5"/>
  <c r="BD41" i="5"/>
  <c r="BH41" i="5"/>
  <c r="BL41" i="5"/>
  <c r="BP41" i="5"/>
  <c r="BT41" i="5"/>
  <c r="BX41" i="5"/>
  <c r="CB41" i="5"/>
  <c r="CF41" i="5"/>
  <c r="CJ41" i="5"/>
  <c r="CN41" i="5"/>
  <c r="CR41" i="5"/>
  <c r="CV41" i="5"/>
  <c r="CZ41" i="5"/>
  <c r="DD41" i="5"/>
  <c r="DH41" i="5"/>
  <c r="DL41" i="5"/>
  <c r="DP41" i="5"/>
  <c r="H41" i="5"/>
  <c r="L41" i="5"/>
  <c r="F41" i="5"/>
  <c r="Q41" i="5"/>
  <c r="U41" i="5"/>
  <c r="Y41" i="5"/>
  <c r="AC41" i="5"/>
  <c r="AG41" i="5"/>
  <c r="AK41" i="5"/>
  <c r="AO41" i="5"/>
  <c r="AS41" i="5"/>
  <c r="AW41" i="5"/>
  <c r="BA41" i="5"/>
  <c r="BE41" i="5"/>
  <c r="BI41" i="5"/>
  <c r="BM41" i="5"/>
  <c r="BQ41" i="5"/>
  <c r="BU41" i="5"/>
  <c r="BY41" i="5"/>
  <c r="CC41" i="5"/>
  <c r="CG41" i="5"/>
  <c r="CK41" i="5"/>
  <c r="CO41" i="5"/>
  <c r="CS41" i="5"/>
  <c r="CW41" i="5"/>
  <c r="DA41" i="5"/>
  <c r="DE41" i="5"/>
  <c r="DI41" i="5"/>
  <c r="DM41" i="5"/>
  <c r="DQ41" i="5"/>
  <c r="I41" i="5"/>
  <c r="M41" i="5"/>
  <c r="W41" i="5"/>
  <c r="AE41" i="5"/>
  <c r="AI41" i="5"/>
  <c r="AQ41" i="5"/>
  <c r="AU41" i="5"/>
  <c r="BC41" i="5"/>
  <c r="BK41" i="5"/>
  <c r="BO41" i="5"/>
  <c r="BW41" i="5"/>
  <c r="CA41" i="5"/>
  <c r="CI41" i="5"/>
  <c r="CQ41" i="5"/>
  <c r="CU41" i="5"/>
  <c r="DC41" i="5"/>
  <c r="DG41" i="5"/>
  <c r="DO41" i="5"/>
  <c r="G41" i="5"/>
  <c r="O41" i="5"/>
  <c r="C5" i="4"/>
  <c r="C7" i="4" s="1"/>
  <c r="F31" i="5"/>
  <c r="G27" i="5"/>
  <c r="G31" i="5" s="1"/>
  <c r="H23" i="5"/>
  <c r="E45" i="5" l="1"/>
  <c r="H27" i="5"/>
  <c r="H31" i="5" s="1"/>
  <c r="I23" i="5"/>
  <c r="J23" i="5" l="1"/>
  <c r="I27" i="5"/>
  <c r="I31" i="5" s="1"/>
  <c r="K23" i="5" l="1"/>
  <c r="J27" i="5"/>
  <c r="J31" i="5" s="1"/>
  <c r="K27" i="5" l="1"/>
  <c r="K31" i="5" s="1"/>
  <c r="L23" i="5"/>
  <c r="M23" i="5" l="1"/>
  <c r="L27" i="5"/>
  <c r="L31" i="5" s="1"/>
  <c r="M27" i="5" l="1"/>
  <c r="M31" i="5" s="1"/>
  <c r="N23" i="5"/>
  <c r="N27" i="5" l="1"/>
  <c r="N31" i="5" s="1"/>
  <c r="O23" i="5"/>
  <c r="O27" i="5" s="1"/>
  <c r="O31" i="5" s="1"/>
  <c r="E33" i="5" s="1"/>
  <c r="E38" i="5" l="1"/>
  <c r="P31" i="5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  <c r="AL31" i="5" s="1"/>
  <c r="AM31" i="5" s="1"/>
  <c r="AN31" i="5" s="1"/>
  <c r="AO31" i="5" s="1"/>
  <c r="AP31" i="5" s="1"/>
  <c r="AQ31" i="5" s="1"/>
  <c r="AR31" i="5" s="1"/>
  <c r="AS31" i="5" s="1"/>
  <c r="AT31" i="5" s="1"/>
  <c r="AU31" i="5" s="1"/>
  <c r="AV31" i="5" s="1"/>
  <c r="AW31" i="5" s="1"/>
  <c r="AX31" i="5" s="1"/>
  <c r="AY31" i="5" s="1"/>
  <c r="AZ31" i="5" s="1"/>
  <c r="BA31" i="5" s="1"/>
  <c r="BB31" i="5" s="1"/>
  <c r="BC31" i="5" s="1"/>
  <c r="BD31" i="5" s="1"/>
  <c r="BE31" i="5" s="1"/>
  <c r="BF31" i="5" s="1"/>
  <c r="BG31" i="5" s="1"/>
  <c r="BH31" i="5" s="1"/>
  <c r="BI31" i="5" s="1"/>
  <c r="BJ31" i="5" s="1"/>
  <c r="BK31" i="5" s="1"/>
  <c r="BL31" i="5" s="1"/>
  <c r="BM31" i="5" s="1"/>
  <c r="BN31" i="5" s="1"/>
  <c r="BO31" i="5" s="1"/>
  <c r="BP31" i="5" s="1"/>
  <c r="BQ31" i="5" s="1"/>
  <c r="BR31" i="5" s="1"/>
  <c r="BS31" i="5" s="1"/>
  <c r="BT31" i="5" s="1"/>
  <c r="BU31" i="5" s="1"/>
  <c r="BV31" i="5" s="1"/>
  <c r="BW31" i="5" s="1"/>
  <c r="BX31" i="5" s="1"/>
  <c r="BY31" i="5" s="1"/>
  <c r="BZ31" i="5" s="1"/>
  <c r="CA31" i="5" s="1"/>
  <c r="CB31" i="5" s="1"/>
  <c r="CC31" i="5" s="1"/>
  <c r="CD31" i="5" s="1"/>
  <c r="CE31" i="5" s="1"/>
  <c r="CF31" i="5" s="1"/>
  <c r="CG31" i="5" s="1"/>
  <c r="CH31" i="5" s="1"/>
  <c r="CI31" i="5" s="1"/>
  <c r="CJ31" i="5" s="1"/>
  <c r="CK31" i="5" s="1"/>
  <c r="CL31" i="5" s="1"/>
  <c r="CM31" i="5" s="1"/>
  <c r="CN31" i="5" s="1"/>
  <c r="CO31" i="5" s="1"/>
  <c r="CP31" i="5" s="1"/>
  <c r="CQ31" i="5" s="1"/>
  <c r="CR31" i="5" s="1"/>
  <c r="CS31" i="5" s="1"/>
  <c r="CT31" i="5" s="1"/>
  <c r="CU31" i="5" s="1"/>
  <c r="CV31" i="5" s="1"/>
  <c r="CW31" i="5" s="1"/>
  <c r="CX31" i="5" s="1"/>
  <c r="CY31" i="5" s="1"/>
  <c r="CZ31" i="5" s="1"/>
  <c r="DA31" i="5" s="1"/>
  <c r="DB31" i="5" s="1"/>
  <c r="DC31" i="5" s="1"/>
  <c r="DD31" i="5" s="1"/>
  <c r="DE31" i="5" s="1"/>
  <c r="DF31" i="5" s="1"/>
  <c r="DG31" i="5" s="1"/>
  <c r="DH31" i="5" s="1"/>
  <c r="DI31" i="5" s="1"/>
  <c r="DJ31" i="5" s="1"/>
  <c r="DK31" i="5" s="1"/>
  <c r="DL31" i="5" s="1"/>
  <c r="DM31" i="5" s="1"/>
  <c r="DN31" i="5" s="1"/>
  <c r="DO31" i="5" s="1"/>
  <c r="DP31" i="5" s="1"/>
  <c r="DQ31" i="5" s="1"/>
  <c r="DR31" i="5" s="1"/>
  <c r="DS31" i="5" s="1"/>
  <c r="DT31" i="5" s="1"/>
  <c r="DU31" i="5" s="1"/>
  <c r="DV31" i="5" s="1"/>
  <c r="DW31" i="5" s="1"/>
  <c r="DX31" i="5" s="1"/>
  <c r="DY31" i="5" s="1"/>
  <c r="DZ31" i="5" s="1"/>
  <c r="EA31" i="5" s="1"/>
  <c r="EB31" i="5" s="1"/>
  <c r="EC31" i="5" s="1"/>
  <c r="ED31" i="5" s="1"/>
  <c r="EE31" i="5" s="1"/>
  <c r="EF31" i="5" s="1"/>
  <c r="EG31" i="5" s="1"/>
  <c r="EH31" i="5" s="1"/>
  <c r="EI31" i="5" s="1"/>
  <c r="EJ31" i="5" s="1"/>
  <c r="EK31" i="5" s="1"/>
  <c r="EL31" i="5" s="1"/>
  <c r="EM31" i="5" s="1"/>
  <c r="EN31" i="5" s="1"/>
  <c r="EO31" i="5" s="1"/>
  <c r="EP31" i="5" s="1"/>
  <c r="EQ31" i="5" s="1"/>
  <c r="ER31" i="5" s="1"/>
  <c r="ES31" i="5" s="1"/>
  <c r="ET31" i="5" s="1"/>
  <c r="EU31" i="5" s="1"/>
  <c r="EV31" i="5" s="1"/>
  <c r="EW31" i="5" s="1"/>
  <c r="EX31" i="5" s="1"/>
  <c r="EY31" i="5" s="1"/>
  <c r="EZ31" i="5" s="1"/>
  <c r="FA31" i="5" s="1"/>
  <c r="FB31" i="5" s="1"/>
  <c r="FC31" i="5" s="1"/>
  <c r="FD31" i="5" s="1"/>
  <c r="FE31" i="5" s="1"/>
  <c r="FF31" i="5" s="1"/>
  <c r="FG31" i="5" s="1"/>
  <c r="FH31" i="5" s="1"/>
</calcChain>
</file>

<file path=xl/sharedStrings.xml><?xml version="1.0" encoding="utf-8"?>
<sst xmlns="http://schemas.openxmlformats.org/spreadsheetml/2006/main" count="137" uniqueCount="118">
  <si>
    <t>P1 PRO3363 Economia de Empresas</t>
  </si>
  <si>
    <t>Preço Unidade A</t>
  </si>
  <si>
    <t>Preço Unidade B</t>
  </si>
  <si>
    <t>Impostos sobre Receita</t>
  </si>
  <si>
    <t>Comissões de venda</t>
  </si>
  <si>
    <t>Impostos sobre Lucro Tributável</t>
  </si>
  <si>
    <t>Custos Diretos Unidade A</t>
  </si>
  <si>
    <t>Custos Diretos Unidade B</t>
  </si>
  <si>
    <t>Custos Indiretos de Fabricação (CIF) por ano</t>
  </si>
  <si>
    <t>Unidades do Avião A Vendida por ano</t>
  </si>
  <si>
    <t>Unidades do Avião B Vendida por ano</t>
  </si>
  <si>
    <t>Despesa fixa anual</t>
  </si>
  <si>
    <t>Publicidade</t>
  </si>
  <si>
    <t>Custo de Oportunidade do Capital (% ao ano)</t>
  </si>
  <si>
    <t>Avião A</t>
  </si>
  <si>
    <t>Avião B</t>
  </si>
  <si>
    <t>Preço</t>
  </si>
  <si>
    <t>Quantidade Vendida</t>
  </si>
  <si>
    <t>MCU</t>
  </si>
  <si>
    <t>MCT</t>
  </si>
  <si>
    <t>MCU %</t>
  </si>
  <si>
    <t>MCT %</t>
  </si>
  <si>
    <t>Conforme apresentado na Tabela acima, o produto "Avião A" possui margem de contribuição unitária inferior ao do produto "Avião B". Entretanto, como o Avião B, no caso em tela, é menos vendido, sua margem de contribuição total é inferior que aquela do Avião A.
Dessa forma, se houvesse condições de mercado para tal, faria sentido que a empressa investisse no Avião B para aumentar suas vendas, mas da forma que o problema está apresentado, pode-se dizer que o Avião A traz um retorno superior.</t>
  </si>
  <si>
    <t>Demonstração do Resultado no Exercício - DRE (Ano 0)</t>
  </si>
  <si>
    <t>R$ - Mil</t>
  </si>
  <si>
    <t>Ano 0</t>
  </si>
  <si>
    <t>Receita Venda do Avião B</t>
  </si>
  <si>
    <t>Receita Venda do Avião A</t>
  </si>
  <si>
    <t>(+) Receita Bruta</t>
  </si>
  <si>
    <t>(-) Impostos sobre a Receita</t>
  </si>
  <si>
    <t>(=) Receita Líquida</t>
  </si>
  <si>
    <t>(-) Custos dos Produtos Vendidos</t>
  </si>
  <si>
    <t>Custos Diretos</t>
  </si>
  <si>
    <t>Custo Direto do Avião A</t>
  </si>
  <si>
    <t>Custos Indiretos</t>
  </si>
  <si>
    <t>(=) Lucro Bruto</t>
  </si>
  <si>
    <t>(-) Despesas Comerciais e Administrativas</t>
  </si>
  <si>
    <t>Comissões de Vendas</t>
  </si>
  <si>
    <t>Despesa Fixa Anual</t>
  </si>
  <si>
    <t>Equipe de Vendas / Publicidade</t>
  </si>
  <si>
    <t>(=) Lucro Operacional</t>
  </si>
  <si>
    <t>Taxa de Retorno Contábil</t>
  </si>
  <si>
    <t>Taxa de Retorno Contábil (%)</t>
  </si>
  <si>
    <t>(-) Fluxo de Investimentos</t>
  </si>
  <si>
    <t>Fluxo de Caixa Livre</t>
  </si>
  <si>
    <t>Reversão da Depreciação (Despesa Não Caixa)</t>
  </si>
  <si>
    <t>TIR</t>
  </si>
  <si>
    <t>Fluxo de Caixa (10 Anos)</t>
  </si>
  <si>
    <t>Custo do Investimento (R$)</t>
  </si>
  <si>
    <t>Resposta:</t>
  </si>
  <si>
    <t>Com base na Taxa de Retorno Contábil em tela, pode-se verificar facilmente que, de acordo com esse indicador, se trata de uma empresa saudável e, sob o ponto de vista econômico e financeiro, considerando o Custo de Oportunidade apresentado, trata-se de uma empresa muito rentável</t>
  </si>
  <si>
    <t>Cálculo da Taxa de Retorno Contábil</t>
  </si>
  <si>
    <t>Cálculo das Margens de Contribuição Unitária e Total</t>
  </si>
  <si>
    <t>Llcontábil</t>
  </si>
  <si>
    <t>por definicão no instante zero só investimento</t>
  </si>
  <si>
    <t>DVV (C.VENDA) 5%</t>
  </si>
  <si>
    <t>IMPOSTOS SOBRE REC 20%</t>
  </si>
  <si>
    <t>DEPRECIAÇÕES</t>
  </si>
  <si>
    <t>EBITDA</t>
  </si>
  <si>
    <t>(=) Lucro Operacional LÍQUIDO</t>
  </si>
  <si>
    <t>LUCRO ANTES DE IR E CS - LUCRO TRIBUTÁVEL = LOL</t>
  </si>
  <si>
    <t>PROVISAO PARA IR</t>
  </si>
  <si>
    <t>DEPRECIACAO</t>
  </si>
  <si>
    <t>LUCRO FINAL DEPOIS DE IR E DEP - LUCRO CONTÁBIL</t>
  </si>
  <si>
    <t>TAXA DE RETORNO CONTÁBIL - TRC</t>
  </si>
  <si>
    <t>LLCONTÁBIL</t>
  </si>
  <si>
    <t>custo direto unit total</t>
  </si>
  <si>
    <t>CUSTO DIRETO TOTAL</t>
  </si>
  <si>
    <t>RECEITA TOTAL</t>
  </si>
  <si>
    <t>TOTAIS</t>
  </si>
  <si>
    <t>A</t>
  </si>
  <si>
    <t>Investimento Inicial</t>
  </si>
  <si>
    <t>IMPOSTOS POR DENTRO</t>
  </si>
  <si>
    <t>CUSTO DIRETO</t>
  </si>
  <si>
    <t>PREÇO?</t>
  </si>
  <si>
    <t>B</t>
  </si>
  <si>
    <t>MARK UP</t>
  </si>
  <si>
    <t>MARGEM CONT</t>
  </si>
  <si>
    <t>EBITDA - IR</t>
  </si>
  <si>
    <t>valores em ($1000)</t>
  </si>
  <si>
    <t>RESULTADO CONTÁBIL</t>
  </si>
  <si>
    <t>LUCRO ECONÔMICO</t>
  </si>
  <si>
    <t>LUCRO ECONOMICO É SEMPRE MENOR QUE O LUCRO CONTÁBIL</t>
  </si>
  <si>
    <t>PROF FEA</t>
  </si>
  <si>
    <t>DEP COMO CUSTO VARIÁVEL</t>
  </si>
  <si>
    <t>Custo Direto do Avião B</t>
  </si>
  <si>
    <t>TRC</t>
  </si>
  <si>
    <t>P = C +(I.P)</t>
  </si>
  <si>
    <t>P = C + (,25P)+ (,43P)</t>
  </si>
  <si>
    <t>ICM</t>
  </si>
  <si>
    <t>M</t>
  </si>
  <si>
    <t>CT</t>
  </si>
  <si>
    <t>1/(1-SOMAi)</t>
  </si>
  <si>
    <t>na MC(%) eu tiro os impostos</t>
  </si>
  <si>
    <t>quando fazer mk adiciona os impostos</t>
  </si>
  <si>
    <t>perene</t>
  </si>
  <si>
    <t>Depreciação contábil (R$)/ano</t>
  </si>
  <si>
    <t>(-) Despesas Comerciais e Administrativas + dep</t>
  </si>
  <si>
    <t xml:space="preserve">CUSTO DE OPORTUNIDADE DO CAPITAL </t>
  </si>
  <si>
    <t>tir=</t>
  </si>
  <si>
    <t>inclui dep</t>
  </si>
  <si>
    <t>valuation</t>
  </si>
  <si>
    <t>Vpl</t>
  </si>
  <si>
    <t>dias de apresentação</t>
  </si>
  <si>
    <t>grupos</t>
  </si>
  <si>
    <t>quem quer trocar</t>
  </si>
  <si>
    <t>8,1 , 6, 3, 24</t>
  </si>
  <si>
    <t>26, 4, 27, 7, 20</t>
  </si>
  <si>
    <t>15, 21, 29,14, 12</t>
  </si>
  <si>
    <t>19, 16, 25, 18, 5</t>
  </si>
  <si>
    <t>23, 11,13, 22, 2</t>
  </si>
  <si>
    <t>28, 30, 10, 9, 17</t>
  </si>
  <si>
    <t>Grupos</t>
  </si>
  <si>
    <t>grupo/aula</t>
  </si>
  <si>
    <t>DIAS DE AULA</t>
  </si>
  <si>
    <t>ATENDIMENTO PARA DISCUTIR SEMINÁRIOS E P1</t>
  </si>
  <si>
    <t xml:space="preserve">custo direto unit 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</si>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</sst>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#,##0.00_);[Red]\(&quot;R$&quot;#,##0.00\)"/>
    <numFmt numFmtId="43" formatCode="_(* #,##0.00_);_(* \(#,##0.00\);_(* &quot;-&quot;??_);_(@_)"/>
    <numFmt numFmtId="164" formatCode="&quot;R$&quot;\ #,##0.00"/>
    <numFmt numFmtId="165" formatCode="&quot;R$&quot;\ #,##0"/>
    <numFmt numFmtId="166" formatCode="0.0%"/>
    <numFmt numFmtId="167" formatCode="_(* #,##0_);_(* \(#,##0\);_(* &quot;-&quot;??_);_(@_)"/>
    <numFmt numFmtId="168" formatCode="0.00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5" fillId="2" borderId="0" xfId="2" applyFont="1" applyFill="1" applyAlignment="1">
      <alignment vertical="center"/>
    </xf>
    <xf numFmtId="0" fontId="6" fillId="3" borderId="1" xfId="3" applyFont="1" applyFill="1" applyBorder="1" applyAlignment="1">
      <alignment horizontal="center" vertical="center"/>
    </xf>
    <xf numFmtId="17" fontId="6" fillId="3" borderId="2" xfId="3" applyNumberFormat="1" applyFont="1" applyFill="1" applyBorder="1" applyAlignment="1">
      <alignment horizontal="center" vertical="center"/>
    </xf>
    <xf numFmtId="0" fontId="2" fillId="0" borderId="0" xfId="0" applyFont="1"/>
    <xf numFmtId="167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17" fontId="6" fillId="3" borderId="4" xfId="3" applyNumberFormat="1" applyFont="1" applyFill="1" applyBorder="1" applyAlignment="1">
      <alignment horizontal="center" vertical="center"/>
    </xf>
    <xf numFmtId="0" fontId="2" fillId="0" borderId="5" xfId="0" applyFont="1" applyBorder="1"/>
    <xf numFmtId="167" fontId="2" fillId="0" borderId="6" xfId="0" applyNumberFormat="1" applyFont="1" applyBorder="1"/>
    <xf numFmtId="0" fontId="0" fillId="0" borderId="7" xfId="0" applyBorder="1" applyAlignment="1">
      <alignment horizontal="left" indent="1"/>
    </xf>
    <xf numFmtId="167" fontId="7" fillId="0" borderId="8" xfId="0" applyNumberFormat="1" applyFont="1" applyBorder="1" applyAlignment="1">
      <alignment vertical="center"/>
    </xf>
    <xf numFmtId="0" fontId="2" fillId="0" borderId="7" xfId="0" applyFont="1" applyBorder="1"/>
    <xf numFmtId="167" fontId="2" fillId="0" borderId="8" xfId="0" applyNumberFormat="1" applyFont="1" applyBorder="1"/>
    <xf numFmtId="0" fontId="2" fillId="0" borderId="9" xfId="0" applyFont="1" applyBorder="1"/>
    <xf numFmtId="167" fontId="2" fillId="0" borderId="10" xfId="0" applyNumberFormat="1" applyFont="1" applyBorder="1"/>
    <xf numFmtId="0" fontId="8" fillId="0" borderId="7" xfId="0" applyFont="1" applyBorder="1" applyAlignment="1">
      <alignment horizontal="left" indent="1"/>
    </xf>
    <xf numFmtId="167" fontId="8" fillId="0" borderId="8" xfId="0" applyNumberFormat="1" applyFont="1" applyBorder="1"/>
    <xf numFmtId="0" fontId="0" fillId="0" borderId="7" xfId="0" applyBorder="1" applyAlignment="1">
      <alignment horizontal="left" indent="2"/>
    </xf>
    <xf numFmtId="167" fontId="0" fillId="0" borderId="8" xfId="0" applyNumberFormat="1" applyFont="1" applyBorder="1"/>
    <xf numFmtId="0" fontId="0" fillId="0" borderId="9" xfId="0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0" fillId="0" borderId="5" xfId="0" applyBorder="1"/>
    <xf numFmtId="164" fontId="0" fillId="0" borderId="6" xfId="0" applyNumberFormat="1" applyBorder="1"/>
    <xf numFmtId="0" fontId="0" fillId="0" borderId="9" xfId="0" applyBorder="1"/>
    <xf numFmtId="164" fontId="0" fillId="0" borderId="10" xfId="0" applyNumberFormat="1" applyBorder="1"/>
    <xf numFmtId="168" fontId="2" fillId="0" borderId="4" xfId="1" applyNumberFormat="1" applyFont="1" applyBorder="1"/>
    <xf numFmtId="0" fontId="5" fillId="0" borderId="0" xfId="2" applyFont="1" applyFill="1" applyAlignment="1">
      <alignment vertical="center"/>
    </xf>
    <xf numFmtId="0" fontId="0" fillId="0" borderId="0" xfId="0" applyBorder="1" applyAlignment="1">
      <alignment horizontal="left" indent="1"/>
    </xf>
    <xf numFmtId="167" fontId="0" fillId="0" borderId="0" xfId="0" applyNumberFormat="1" applyFont="1" applyBorder="1"/>
    <xf numFmtId="167" fontId="2" fillId="0" borderId="11" xfId="0" applyNumberFormat="1" applyFont="1" applyBorder="1"/>
    <xf numFmtId="167" fontId="8" fillId="0" borderId="0" xfId="0" applyNumberFormat="1" applyFont="1" applyBorder="1"/>
    <xf numFmtId="167" fontId="0" fillId="0" borderId="0" xfId="0" applyNumberFormat="1" applyBorder="1"/>
    <xf numFmtId="167" fontId="0" fillId="0" borderId="8" xfId="0" applyNumberFormat="1" applyBorder="1"/>
    <xf numFmtId="167" fontId="2" fillId="0" borderId="12" xfId="0" applyNumberFormat="1" applyFont="1" applyBorder="1"/>
    <xf numFmtId="0" fontId="0" fillId="0" borderId="1" xfId="0" applyBorder="1" applyAlignment="1">
      <alignment horizontal="left"/>
    </xf>
    <xf numFmtId="167" fontId="0" fillId="0" borderId="2" xfId="0" applyNumberFormat="1" applyFont="1" applyBorder="1"/>
    <xf numFmtId="0" fontId="0" fillId="0" borderId="2" xfId="0" applyBorder="1"/>
    <xf numFmtId="0" fontId="0" fillId="0" borderId="4" xfId="0" applyBorder="1"/>
    <xf numFmtId="167" fontId="0" fillId="0" borderId="12" xfId="0" applyNumberFormat="1" applyBorder="1"/>
    <xf numFmtId="0" fontId="2" fillId="0" borderId="1" xfId="0" applyFont="1" applyFill="1" applyBorder="1"/>
    <xf numFmtId="167" fontId="2" fillId="0" borderId="0" xfId="0" applyNumberFormat="1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/>
    <xf numFmtId="0" fontId="0" fillId="0" borderId="0" xfId="0" applyFill="1" applyBorder="1"/>
    <xf numFmtId="167" fontId="2" fillId="0" borderId="2" xfId="0" applyNumberFormat="1" applyFont="1" applyFill="1" applyBorder="1"/>
    <xf numFmtId="166" fontId="2" fillId="0" borderId="4" xfId="1" applyNumberFormat="1" applyFont="1" applyFill="1" applyBorder="1"/>
    <xf numFmtId="0" fontId="9" fillId="0" borderId="1" xfId="3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3" xfId="0" applyFont="1" applyBorder="1"/>
    <xf numFmtId="9" fontId="2" fillId="0" borderId="3" xfId="0" applyNumberFormat="1" applyFont="1" applyBorder="1"/>
    <xf numFmtId="164" fontId="10" fillId="0" borderId="4" xfId="0" applyNumberFormat="1" applyFont="1" applyBorder="1"/>
    <xf numFmtId="0" fontId="10" fillId="0" borderId="0" xfId="0" applyFont="1"/>
    <xf numFmtId="164" fontId="10" fillId="0" borderId="3" xfId="0" applyNumberFormat="1" applyFont="1" applyBorder="1"/>
    <xf numFmtId="9" fontId="10" fillId="0" borderId="3" xfId="0" applyNumberFormat="1" applyFont="1" applyFill="1" applyBorder="1"/>
    <xf numFmtId="9" fontId="10" fillId="0" borderId="3" xfId="0" applyNumberFormat="1" applyFont="1" applyBorder="1"/>
    <xf numFmtId="165" fontId="10" fillId="0" borderId="3" xfId="0" applyNumberFormat="1" applyFont="1" applyBorder="1"/>
    <xf numFmtId="164" fontId="10" fillId="0" borderId="3" xfId="0" applyNumberFormat="1" applyFont="1" applyFill="1" applyBorder="1"/>
    <xf numFmtId="167" fontId="0" fillId="0" borderId="12" xfId="0" applyNumberFormat="1" applyFont="1" applyBorder="1"/>
    <xf numFmtId="167" fontId="0" fillId="0" borderId="10" xfId="0" applyNumberFormat="1" applyBorder="1"/>
    <xf numFmtId="167" fontId="7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3" xfId="0" applyFill="1" applyBorder="1"/>
    <xf numFmtId="0" fontId="0" fillId="3" borderId="15" xfId="0" applyFill="1" applyBorder="1"/>
    <xf numFmtId="0" fontId="0" fillId="3" borderId="14" xfId="0" applyFill="1" applyBorder="1"/>
    <xf numFmtId="10" fontId="0" fillId="0" borderId="3" xfId="0" applyNumberFormat="1" applyBorder="1" applyAlignment="1">
      <alignment horizontal="center"/>
    </xf>
    <xf numFmtId="0" fontId="0" fillId="3" borderId="3" xfId="0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4" borderId="0" xfId="0" applyFill="1"/>
    <xf numFmtId="43" fontId="0" fillId="4" borderId="0" xfId="4" applyFont="1" applyFill="1"/>
    <xf numFmtId="10" fontId="0" fillId="0" borderId="0" xfId="1" applyNumberFormat="1" applyFont="1"/>
    <xf numFmtId="167" fontId="2" fillId="4" borderId="2" xfId="0" applyNumberFormat="1" applyFont="1" applyFill="1" applyBorder="1"/>
    <xf numFmtId="2" fontId="0" fillId="0" borderId="0" xfId="0" applyNumberFormat="1"/>
    <xf numFmtId="0" fontId="0" fillId="3" borderId="8" xfId="0" applyFill="1" applyBorder="1"/>
    <xf numFmtId="10" fontId="0" fillId="4" borderId="3" xfId="0" applyNumberFormat="1" applyFill="1" applyBorder="1" applyAlignment="1">
      <alignment horizontal="center"/>
    </xf>
    <xf numFmtId="43" fontId="0" fillId="0" borderId="0" xfId="4" applyFont="1"/>
    <xf numFmtId="0" fontId="2" fillId="0" borderId="0" xfId="0" applyFont="1" applyBorder="1"/>
    <xf numFmtId="0" fontId="2" fillId="0" borderId="12" xfId="0" applyFont="1" applyBorder="1"/>
    <xf numFmtId="0" fontId="2" fillId="0" borderId="11" xfId="0" applyFont="1" applyBorder="1"/>
    <xf numFmtId="0" fontId="8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12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/>
    <xf numFmtId="0" fontId="9" fillId="0" borderId="2" xfId="3" applyFont="1" applyFill="1" applyBorder="1" applyAlignment="1">
      <alignment horizontal="center" vertical="center"/>
    </xf>
    <xf numFmtId="43" fontId="0" fillId="0" borderId="0" xfId="0" applyNumberFormat="1"/>
    <xf numFmtId="0" fontId="0" fillId="0" borderId="0" xfId="0" applyFill="1"/>
    <xf numFmtId="167" fontId="2" fillId="0" borderId="2" xfId="0" applyNumberFormat="1" applyFont="1" applyBorder="1"/>
    <xf numFmtId="167" fontId="2" fillId="3" borderId="10" xfId="0" applyNumberFormat="1" applyFont="1" applyFill="1" applyBorder="1"/>
    <xf numFmtId="0" fontId="2" fillId="0" borderId="0" xfId="0" applyFont="1" applyFill="1" applyBorder="1"/>
    <xf numFmtId="0" fontId="0" fillId="0" borderId="16" xfId="0" applyBorder="1" applyAlignment="1"/>
    <xf numFmtId="167" fontId="0" fillId="0" borderId="17" xfId="0" applyNumberFormat="1" applyBorder="1" applyAlignment="1"/>
    <xf numFmtId="0" fontId="0" fillId="0" borderId="16" xfId="0" applyBorder="1"/>
    <xf numFmtId="167" fontId="0" fillId="0" borderId="17" xfId="0" applyNumberFormat="1" applyBorder="1"/>
    <xf numFmtId="0" fontId="9" fillId="3" borderId="12" xfId="3" applyFont="1" applyFill="1" applyBorder="1" applyAlignment="1">
      <alignment horizontal="left" vertical="center"/>
    </xf>
    <xf numFmtId="167" fontId="2" fillId="0" borderId="17" xfId="0" applyNumberFormat="1" applyFont="1" applyBorder="1"/>
    <xf numFmtId="167" fontId="2" fillId="0" borderId="11" xfId="0" applyNumberFormat="1" applyFont="1" applyFill="1" applyBorder="1"/>
    <xf numFmtId="167" fontId="0" fillId="4" borderId="17" xfId="0" applyNumberFormat="1" applyFill="1" applyBorder="1"/>
    <xf numFmtId="10" fontId="2" fillId="4" borderId="17" xfId="1" applyNumberFormat="1" applyFont="1" applyFill="1" applyBorder="1"/>
    <xf numFmtId="0" fontId="0" fillId="0" borderId="18" xfId="0" applyBorder="1"/>
    <xf numFmtId="167" fontId="2" fillId="0" borderId="18" xfId="0" applyNumberFormat="1" applyFont="1" applyBorder="1"/>
    <xf numFmtId="167" fontId="0" fillId="0" borderId="18" xfId="0" applyNumberFormat="1" applyBorder="1"/>
    <xf numFmtId="1" fontId="0" fillId="0" borderId="3" xfId="0" applyNumberFormat="1" applyBorder="1" applyAlignment="1">
      <alignment horizontal="center"/>
    </xf>
    <xf numFmtId="1" fontId="0" fillId="0" borderId="3" xfId="4" applyNumberFormat="1" applyFont="1" applyBorder="1" applyAlignment="1">
      <alignment horizontal="center"/>
    </xf>
    <xf numFmtId="1" fontId="0" fillId="0" borderId="0" xfId="4" applyNumberFormat="1" applyFon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4" borderId="0" xfId="1" applyNumberFormat="1" applyFont="1" applyFill="1" applyBorder="1" applyAlignment="1">
      <alignment horizontal="center"/>
    </xf>
    <xf numFmtId="1" fontId="0" fillId="0" borderId="0" xfId="4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3" xfId="1" applyFont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9" fontId="0" fillId="0" borderId="0" xfId="0" applyNumberFormat="1"/>
    <xf numFmtId="165" fontId="0" fillId="0" borderId="0" xfId="0" applyNumberFormat="1"/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/>
    <xf numFmtId="166" fontId="2" fillId="0" borderId="0" xfId="1" applyNumberFormat="1" applyFont="1" applyFill="1" applyBorder="1"/>
    <xf numFmtId="0" fontId="0" fillId="0" borderId="0" xfId="0" quotePrefix="1"/>
    <xf numFmtId="43" fontId="10" fillId="0" borderId="3" xfId="4" applyFont="1" applyBorder="1"/>
    <xf numFmtId="10" fontId="0" fillId="0" borderId="0" xfId="0" applyNumberFormat="1"/>
    <xf numFmtId="9" fontId="0" fillId="0" borderId="0" xfId="0" applyNumberFormat="1" applyFill="1" applyBorder="1"/>
    <xf numFmtId="8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0" xfId="1" applyFont="1"/>
    <xf numFmtId="0" fontId="11" fillId="0" borderId="19" xfId="0" applyFont="1" applyBorder="1" applyAlignment="1">
      <alignment horizontal="center"/>
    </xf>
    <xf numFmtId="16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" fontId="0" fillId="0" borderId="19" xfId="0" applyNumberFormat="1" applyBorder="1" applyAlignment="1">
      <alignment horizontal="center"/>
    </xf>
  </cellXfs>
  <cellStyles count="5">
    <cellStyle name="Comma" xfId="4" builtinId="3"/>
    <cellStyle name="Normal" xfId="0" builtinId="0"/>
    <cellStyle name="Normal 2" xfId="3" xr:uid="{3DE98FA1-909A-3245-A87B-BB76F9D9D7B2}"/>
    <cellStyle name="Normal 3" xfId="2" xr:uid="{4EEFC55A-7339-B547-8398-6AB5C075B67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E6B1-D0A3-134E-91CA-CA6406EFCC2B}">
  <dimension ref="B2:E30"/>
  <sheetViews>
    <sheetView showGridLines="0" topLeftCell="A12" zoomScale="150" zoomScaleNormal="120" workbookViewId="0">
      <selection activeCell="E23" sqref="E23"/>
    </sheetView>
  </sheetViews>
  <sheetFormatPr baseColWidth="10" defaultRowHeight="16" x14ac:dyDescent="0.2"/>
  <cols>
    <col min="2" max="2" width="37.6640625" bestFit="1" customWidth="1"/>
    <col min="3" max="3" width="18.1640625" bestFit="1" customWidth="1"/>
    <col min="4" max="4" width="21" bestFit="1" customWidth="1"/>
    <col min="7" max="7" width="11" bestFit="1" customWidth="1"/>
    <col min="8" max="8" width="12.83203125" bestFit="1" customWidth="1"/>
    <col min="9" max="9" width="14" customWidth="1"/>
    <col min="10" max="10" width="12.83203125" customWidth="1"/>
  </cols>
  <sheetData>
    <row r="2" spans="2:3" x14ac:dyDescent="0.2">
      <c r="B2" s="5" t="s">
        <v>0</v>
      </c>
    </row>
    <row r="3" spans="2:3" x14ac:dyDescent="0.2">
      <c r="B3" s="5"/>
    </row>
    <row r="4" spans="2:3" x14ac:dyDescent="0.2">
      <c r="B4" s="5"/>
    </row>
    <row r="5" spans="2:3" x14ac:dyDescent="0.2">
      <c r="C5" t="s">
        <v>79</v>
      </c>
    </row>
    <row r="6" spans="2:3" x14ac:dyDescent="0.2">
      <c r="B6" s="52" t="s">
        <v>71</v>
      </c>
      <c r="C6" s="57">
        <v>1500000000</v>
      </c>
    </row>
    <row r="7" spans="2:3" x14ac:dyDescent="0.2">
      <c r="B7" s="53"/>
      <c r="C7" s="5"/>
    </row>
    <row r="8" spans="2:3" x14ac:dyDescent="0.2">
      <c r="B8" s="53"/>
      <c r="C8" s="5"/>
    </row>
    <row r="9" spans="2:3" x14ac:dyDescent="0.2">
      <c r="B9" s="52" t="s">
        <v>9</v>
      </c>
      <c r="C9" s="55">
        <v>26</v>
      </c>
    </row>
    <row r="10" spans="2:3" x14ac:dyDescent="0.2">
      <c r="B10" s="52" t="s">
        <v>10</v>
      </c>
      <c r="C10" s="55">
        <v>16</v>
      </c>
    </row>
    <row r="11" spans="2:3" x14ac:dyDescent="0.2">
      <c r="B11" s="53"/>
      <c r="C11" s="58">
        <v>0.5</v>
      </c>
    </row>
    <row r="12" spans="2:3" x14ac:dyDescent="0.2">
      <c r="B12" s="52" t="s">
        <v>1</v>
      </c>
      <c r="C12" s="59">
        <v>15000000</v>
      </c>
    </row>
    <row r="13" spans="2:3" x14ac:dyDescent="0.2">
      <c r="B13" s="52" t="s">
        <v>2</v>
      </c>
      <c r="C13" s="59">
        <v>10000000</v>
      </c>
    </row>
    <row r="14" spans="2:3" x14ac:dyDescent="0.2">
      <c r="B14" s="53"/>
      <c r="C14" s="5"/>
    </row>
    <row r="15" spans="2:3" x14ac:dyDescent="0.2">
      <c r="B15" s="54" t="s">
        <v>4</v>
      </c>
      <c r="C15" s="60">
        <v>0.05</v>
      </c>
    </row>
    <row r="16" spans="2:3" x14ac:dyDescent="0.2">
      <c r="B16" s="53"/>
      <c r="C16" s="5"/>
    </row>
    <row r="17" spans="2:5" x14ac:dyDescent="0.2">
      <c r="B17" s="52" t="s">
        <v>3</v>
      </c>
      <c r="C17" s="61">
        <v>0.2</v>
      </c>
    </row>
    <row r="18" spans="2:5" x14ac:dyDescent="0.2">
      <c r="B18" s="52" t="s">
        <v>5</v>
      </c>
      <c r="C18" s="61">
        <v>0.3</v>
      </c>
    </row>
    <row r="19" spans="2:5" x14ac:dyDescent="0.2">
      <c r="B19" s="53"/>
      <c r="C19" s="5"/>
    </row>
    <row r="20" spans="2:5" x14ac:dyDescent="0.2">
      <c r="B20" s="52" t="s">
        <v>6</v>
      </c>
      <c r="C20" s="62">
        <v>4800000</v>
      </c>
    </row>
    <row r="21" spans="2:5" x14ac:dyDescent="0.2">
      <c r="B21" s="52" t="s">
        <v>7</v>
      </c>
      <c r="C21" s="62">
        <v>2200000</v>
      </c>
    </row>
    <row r="22" spans="2:5" x14ac:dyDescent="0.2">
      <c r="B22" s="53"/>
      <c r="C22" s="5"/>
    </row>
    <row r="23" spans="2:5" x14ac:dyDescent="0.2">
      <c r="B23" s="52" t="s">
        <v>96</v>
      </c>
      <c r="C23" s="132">
        <f>D23*Questao1!E6</f>
        <v>16000000</v>
      </c>
      <c r="D23" s="150">
        <v>0.1</v>
      </c>
      <c r="E23" t="s">
        <v>117</v>
      </c>
    </row>
    <row r="24" spans="2:5" x14ac:dyDescent="0.2">
      <c r="B24" s="53"/>
      <c r="C24" s="5"/>
    </row>
    <row r="25" spans="2:5" x14ac:dyDescent="0.2">
      <c r="B25" s="52" t="s">
        <v>8</v>
      </c>
      <c r="C25" s="59">
        <v>10000000</v>
      </c>
    </row>
    <row r="26" spans="2:5" x14ac:dyDescent="0.2">
      <c r="B26" s="53"/>
      <c r="C26" s="5"/>
    </row>
    <row r="27" spans="2:5" x14ac:dyDescent="0.2">
      <c r="B27" s="52" t="s">
        <v>11</v>
      </c>
      <c r="C27" s="63">
        <v>15000000</v>
      </c>
    </row>
    <row r="28" spans="2:5" x14ac:dyDescent="0.2">
      <c r="B28" s="52" t="s">
        <v>12</v>
      </c>
      <c r="C28" s="63">
        <v>2000000</v>
      </c>
      <c r="D28" s="82"/>
    </row>
    <row r="29" spans="2:5" x14ac:dyDescent="0.2">
      <c r="B29" s="53"/>
      <c r="C29" s="5"/>
    </row>
    <row r="30" spans="2:5" x14ac:dyDescent="0.2">
      <c r="B30" s="52" t="s">
        <v>13</v>
      </c>
      <c r="C30" s="56">
        <v>0.06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EA60-A3AE-3A47-871E-4DB89E629044}">
  <dimension ref="B1:F28"/>
  <sheetViews>
    <sheetView showGridLines="0" topLeftCell="B1" zoomScale="140" zoomScaleNormal="140" workbookViewId="0">
      <selection activeCell="E6" sqref="E6"/>
    </sheetView>
  </sheetViews>
  <sheetFormatPr baseColWidth="10" defaultRowHeight="16" x14ac:dyDescent="0.2"/>
  <cols>
    <col min="2" max="2" width="23.83203125" customWidth="1"/>
    <col min="3" max="3" width="16.5" bestFit="1" customWidth="1"/>
    <col min="4" max="4" width="15.33203125" bestFit="1" customWidth="1"/>
    <col min="5" max="5" width="18.83203125" customWidth="1"/>
    <col min="6" max="6" width="14.5" bestFit="1" customWidth="1"/>
  </cols>
  <sheetData>
    <row r="1" spans="2:6" s="2" customFormat="1" ht="32" customHeight="1" x14ac:dyDescent="0.2">
      <c r="B1" s="2" t="s">
        <v>52</v>
      </c>
    </row>
    <row r="3" spans="2:6" x14ac:dyDescent="0.2">
      <c r="C3" s="67" t="s">
        <v>14</v>
      </c>
      <c r="D3" s="68" t="s">
        <v>15</v>
      </c>
      <c r="E3" s="1" t="s">
        <v>69</v>
      </c>
    </row>
    <row r="4" spans="2:6" x14ac:dyDescent="0.2">
      <c r="B4" s="69" t="s">
        <v>16</v>
      </c>
      <c r="C4" s="116">
        <f>DADOS!C12</f>
        <v>15000000</v>
      </c>
      <c r="D4" s="116">
        <f>DADOS!C13</f>
        <v>10000000</v>
      </c>
    </row>
    <row r="5" spans="2:6" x14ac:dyDescent="0.2">
      <c r="B5" s="71" t="s">
        <v>17</v>
      </c>
      <c r="C5" s="116">
        <f>DADOS!C9</f>
        <v>26</v>
      </c>
      <c r="D5" s="116">
        <f>DADOS!C10</f>
        <v>16</v>
      </c>
    </row>
    <row r="6" spans="2:6" x14ac:dyDescent="0.2">
      <c r="B6" s="71" t="s">
        <v>116</v>
      </c>
      <c r="C6" s="117">
        <f>DADOS!C20</f>
        <v>4800000</v>
      </c>
      <c r="D6" s="117">
        <f>DADOS!C21</f>
        <v>2200000</v>
      </c>
      <c r="E6" s="88">
        <f>(C5*C6)+(D6*D5)</f>
        <v>160000000</v>
      </c>
    </row>
    <row r="7" spans="2:6" x14ac:dyDescent="0.2">
      <c r="B7" s="70" t="s">
        <v>55</v>
      </c>
      <c r="C7" s="117">
        <f>DADOS!$C$15*Questao1!C4</f>
        <v>750000</v>
      </c>
      <c r="D7" s="117">
        <f>DADOS!$C$15*Questao1!D4</f>
        <v>500000</v>
      </c>
    </row>
    <row r="8" spans="2:6" x14ac:dyDescent="0.2">
      <c r="B8" s="86" t="s">
        <v>56</v>
      </c>
      <c r="C8" s="118">
        <f>C4*DADOS!$C$17</f>
        <v>3000000</v>
      </c>
      <c r="D8" s="118">
        <f>D4*DADOS!$C$17</f>
        <v>2000000</v>
      </c>
    </row>
    <row r="9" spans="2:6" x14ac:dyDescent="0.2">
      <c r="B9" s="86" t="s">
        <v>66</v>
      </c>
      <c r="C9" s="118">
        <f>C6+C7+C8</f>
        <v>8550000</v>
      </c>
      <c r="D9" s="118">
        <f>D6+D7+D8</f>
        <v>4700000</v>
      </c>
    </row>
    <row r="10" spans="2:6" x14ac:dyDescent="0.2">
      <c r="B10" s="69" t="s">
        <v>18</v>
      </c>
      <c r="C10" s="117">
        <f>C4-C6-C7-C8</f>
        <v>6450000</v>
      </c>
      <c r="D10" s="117">
        <f>D4-D6-D7-D8</f>
        <v>5300000</v>
      </c>
      <c r="E10" s="100"/>
    </row>
    <row r="11" spans="2:6" x14ac:dyDescent="0.2">
      <c r="B11" s="70" t="s">
        <v>20</v>
      </c>
      <c r="C11" s="123">
        <f>C10/C4</f>
        <v>0.43</v>
      </c>
      <c r="D11" s="124">
        <f>D10/D4</f>
        <v>0.53</v>
      </c>
    </row>
    <row r="12" spans="2:6" x14ac:dyDescent="0.2">
      <c r="B12" s="86"/>
      <c r="C12" s="119"/>
      <c r="D12" s="120"/>
    </row>
    <row r="13" spans="2:6" x14ac:dyDescent="0.2">
      <c r="B13" s="86" t="s">
        <v>68</v>
      </c>
      <c r="C13" s="121">
        <f>C4*C5</f>
        <v>390000000</v>
      </c>
      <c r="D13" s="121">
        <f>D4*D5</f>
        <v>160000000</v>
      </c>
      <c r="E13" s="99">
        <f>C13+D13</f>
        <v>550000000</v>
      </c>
    </row>
    <row r="14" spans="2:6" x14ac:dyDescent="0.2">
      <c r="B14" s="86" t="s">
        <v>67</v>
      </c>
      <c r="C14" s="122">
        <f>C9*C5</f>
        <v>222300000</v>
      </c>
      <c r="D14" s="122">
        <f>D9*D5</f>
        <v>75200000</v>
      </c>
      <c r="E14" s="99">
        <f>C14+D14</f>
        <v>297500000</v>
      </c>
      <c r="F14" s="99"/>
    </row>
    <row r="15" spans="2:6" x14ac:dyDescent="0.2">
      <c r="B15" s="73" t="s">
        <v>19</v>
      </c>
      <c r="C15" s="117">
        <f>C13-C14</f>
        <v>167700000</v>
      </c>
      <c r="D15" s="117">
        <f>D13-D14</f>
        <v>84800000</v>
      </c>
      <c r="E15" s="99">
        <f>C15+D15</f>
        <v>252500000</v>
      </c>
    </row>
    <row r="16" spans="2:6" x14ac:dyDescent="0.2">
      <c r="B16" s="73" t="s">
        <v>21</v>
      </c>
      <c r="C16" s="87">
        <f>C15/E15</f>
        <v>0.66415841584158419</v>
      </c>
      <c r="D16" s="72">
        <f>D15/E15</f>
        <v>0.33584158415841586</v>
      </c>
    </row>
    <row r="17" spans="2:6" ht="16" customHeight="1" x14ac:dyDescent="0.2"/>
    <row r="18" spans="2:6" ht="16" customHeight="1" x14ac:dyDescent="0.2">
      <c r="E18" s="74"/>
      <c r="F18" s="75"/>
    </row>
    <row r="19" spans="2:6" ht="16" customHeight="1" x14ac:dyDescent="0.2">
      <c r="B19" s="51" t="s">
        <v>49</v>
      </c>
      <c r="E19" s="77"/>
      <c r="F19" s="78"/>
    </row>
    <row r="20" spans="2:6" ht="16" customHeight="1" x14ac:dyDescent="0.2">
      <c r="B20" s="136" t="s">
        <v>22</v>
      </c>
      <c r="C20" s="137"/>
      <c r="D20" s="137"/>
      <c r="E20" s="137"/>
      <c r="F20" s="138"/>
    </row>
    <row r="21" spans="2:6" ht="16" customHeight="1" x14ac:dyDescent="0.2">
      <c r="B21" s="136"/>
      <c r="C21" s="137"/>
      <c r="D21" s="137"/>
      <c r="E21" s="137"/>
      <c r="F21" s="138"/>
    </row>
    <row r="22" spans="2:6" ht="16" customHeight="1" x14ac:dyDescent="0.2">
      <c r="B22" s="136"/>
      <c r="C22" s="137"/>
      <c r="D22" s="137"/>
      <c r="E22" s="137"/>
      <c r="F22" s="138"/>
    </row>
    <row r="23" spans="2:6" ht="16" customHeight="1" x14ac:dyDescent="0.2">
      <c r="B23" s="136"/>
      <c r="C23" s="137"/>
      <c r="D23" s="137"/>
      <c r="E23" s="137"/>
      <c r="F23" s="138"/>
    </row>
    <row r="24" spans="2:6" ht="16" customHeight="1" x14ac:dyDescent="0.2">
      <c r="B24" s="136"/>
      <c r="C24" s="137"/>
      <c r="D24" s="137"/>
      <c r="E24" s="137"/>
      <c r="F24" s="138"/>
    </row>
    <row r="25" spans="2:6" ht="16" customHeight="1" x14ac:dyDescent="0.2">
      <c r="B25" s="136"/>
      <c r="C25" s="137"/>
      <c r="D25" s="137"/>
      <c r="E25" s="137"/>
      <c r="F25" s="138"/>
    </row>
    <row r="26" spans="2:6" ht="16" customHeight="1" x14ac:dyDescent="0.2">
      <c r="B26" s="136"/>
      <c r="C26" s="137"/>
      <c r="D26" s="137"/>
      <c r="E26" s="137"/>
      <c r="F26" s="138"/>
    </row>
    <row r="27" spans="2:6" ht="17" x14ac:dyDescent="0.2">
      <c r="B27" s="76"/>
      <c r="C27" s="77"/>
      <c r="D27" s="77"/>
    </row>
    <row r="28" spans="2:6" ht="17" x14ac:dyDescent="0.2">
      <c r="B28" s="79"/>
      <c r="C28" s="80"/>
      <c r="D28" s="80"/>
    </row>
  </sheetData>
  <mergeCells count="1">
    <mergeCell ref="B20:F2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4562-3AAA-FC46-95CA-519104798C0E}">
  <dimension ref="A1:XFD44"/>
  <sheetViews>
    <sheetView showGridLines="0" topLeftCell="A16" zoomScaleNormal="140" workbookViewId="0">
      <selection activeCell="C43" sqref="C43"/>
    </sheetView>
  </sheetViews>
  <sheetFormatPr baseColWidth="10" defaultRowHeight="16" x14ac:dyDescent="0.2"/>
  <cols>
    <col min="1" max="1" width="3.1640625" customWidth="1"/>
    <col min="2" max="2" width="68" customWidth="1"/>
    <col min="3" max="3" width="16.33203125" customWidth="1"/>
  </cols>
  <sheetData>
    <row r="1" spans="1:16384" ht="32" customHeight="1" x14ac:dyDescent="0.2">
      <c r="A1" s="2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3" spans="1:16384" x14ac:dyDescent="0.2">
      <c r="B3" s="3" t="s">
        <v>24</v>
      </c>
      <c r="C3" s="9" t="s">
        <v>25</v>
      </c>
    </row>
    <row r="4" spans="1:16384" x14ac:dyDescent="0.2">
      <c r="B4" s="10" t="s">
        <v>28</v>
      </c>
      <c r="C4" s="11">
        <f>SUM(C5:C6)</f>
        <v>550000000</v>
      </c>
    </row>
    <row r="5" spans="1:16384" x14ac:dyDescent="0.2">
      <c r="B5" s="12" t="s">
        <v>27</v>
      </c>
      <c r="C5" s="13">
        <f>Questao1!C13</f>
        <v>390000000</v>
      </c>
    </row>
    <row r="6" spans="1:16384" x14ac:dyDescent="0.2">
      <c r="B6" s="12" t="s">
        <v>26</v>
      </c>
      <c r="C6" s="13">
        <f>Questao1!D13</f>
        <v>160000000</v>
      </c>
    </row>
    <row r="7" spans="1:16384" x14ac:dyDescent="0.2">
      <c r="B7" s="14" t="s">
        <v>29</v>
      </c>
      <c r="C7" s="15">
        <f>-C4*DADOS!C17</f>
        <v>-110000000</v>
      </c>
      <c r="D7">
        <f>C7/C4</f>
        <v>-0.2</v>
      </c>
    </row>
    <row r="8" spans="1:16384" x14ac:dyDescent="0.2">
      <c r="B8" s="16" t="s">
        <v>30</v>
      </c>
      <c r="C8" s="17">
        <f>C4+C7</f>
        <v>440000000</v>
      </c>
    </row>
    <row r="9" spans="1:16384" x14ac:dyDescent="0.2">
      <c r="C9" s="6"/>
      <c r="D9" s="46"/>
      <c r="E9" s="46"/>
      <c r="F9" s="46"/>
      <c r="G9" s="46"/>
    </row>
    <row r="10" spans="1:16384" x14ac:dyDescent="0.2">
      <c r="B10" s="10" t="s">
        <v>31</v>
      </c>
      <c r="C10" s="32">
        <f>C11+C14</f>
        <v>170000000</v>
      </c>
      <c r="D10" s="46"/>
      <c r="E10" s="46"/>
      <c r="F10" s="46"/>
      <c r="G10" s="46"/>
    </row>
    <row r="11" spans="1:16384" x14ac:dyDescent="0.2">
      <c r="B11" s="18" t="s">
        <v>32</v>
      </c>
      <c r="C11" s="33">
        <f>SUM(C12:C13)</f>
        <v>160000000</v>
      </c>
      <c r="D11" s="46" t="s">
        <v>100</v>
      </c>
      <c r="E11" s="46"/>
      <c r="F11" s="46"/>
      <c r="G11" s="46"/>
    </row>
    <row r="12" spans="1:16384" x14ac:dyDescent="0.2">
      <c r="B12" s="20" t="s">
        <v>33</v>
      </c>
      <c r="C12" s="31">
        <f>DADOS!C20*DADOS!C9</f>
        <v>124800000</v>
      </c>
      <c r="D12" s="46"/>
      <c r="E12" s="46"/>
      <c r="F12" s="46"/>
      <c r="G12" s="46"/>
    </row>
    <row r="13" spans="1:16384" x14ac:dyDescent="0.2">
      <c r="B13" s="20" t="s">
        <v>85</v>
      </c>
      <c r="C13" s="31">
        <f>DADOS!C21*DADOS!C10</f>
        <v>35200000</v>
      </c>
      <c r="D13" s="46"/>
      <c r="E13" s="46"/>
      <c r="F13" s="46"/>
      <c r="G13" s="46"/>
    </row>
    <row r="14" spans="1:16384" x14ac:dyDescent="0.2">
      <c r="B14" s="18" t="s">
        <v>34</v>
      </c>
      <c r="C14" s="33">
        <f>DADOS!C25</f>
        <v>10000000</v>
      </c>
      <c r="D14" s="46"/>
      <c r="E14" s="46"/>
      <c r="F14" s="46"/>
      <c r="G14" s="46"/>
    </row>
    <row r="15" spans="1:16384" x14ac:dyDescent="0.2">
      <c r="B15" s="16" t="s">
        <v>35</v>
      </c>
      <c r="C15" s="36">
        <f>C8-C10</f>
        <v>270000000</v>
      </c>
      <c r="D15" s="46"/>
      <c r="E15" s="46"/>
      <c r="F15" s="46"/>
      <c r="G15" s="46"/>
    </row>
    <row r="16" spans="1:16384" x14ac:dyDescent="0.2">
      <c r="D16" s="46"/>
      <c r="E16" s="46"/>
      <c r="F16" s="46"/>
      <c r="G16" s="46"/>
    </row>
    <row r="17" spans="2:7" x14ac:dyDescent="0.2">
      <c r="B17" s="10" t="s">
        <v>97</v>
      </c>
      <c r="C17" s="110">
        <f>C18+C19+C20+C24</f>
        <v>60500000</v>
      </c>
      <c r="D17" s="46"/>
      <c r="E17" s="46"/>
      <c r="F17" s="46"/>
      <c r="G17" s="46"/>
    </row>
    <row r="18" spans="2:7" x14ac:dyDescent="0.2">
      <c r="B18" s="12" t="s">
        <v>37</v>
      </c>
      <c r="C18" s="31">
        <f>DADOS!C15*Questão2!C4</f>
        <v>27500000</v>
      </c>
      <c r="D18" s="46">
        <f>C18/C4</f>
        <v>0.05</v>
      </c>
      <c r="E18" s="46"/>
      <c r="F18" s="46"/>
      <c r="G18" s="46"/>
    </row>
    <row r="19" spans="2:7" x14ac:dyDescent="0.2">
      <c r="B19" s="12" t="s">
        <v>38</v>
      </c>
      <c r="C19" s="31">
        <f>DADOS!C27</f>
        <v>15000000</v>
      </c>
      <c r="D19" s="46"/>
      <c r="E19" s="46"/>
      <c r="F19" s="46"/>
      <c r="G19" s="46"/>
    </row>
    <row r="20" spans="2:7" x14ac:dyDescent="0.2">
      <c r="B20" s="22" t="s">
        <v>39</v>
      </c>
      <c r="C20" s="64">
        <f>DADOS!C28</f>
        <v>2000000</v>
      </c>
      <c r="D20" s="46"/>
      <c r="E20" s="46"/>
      <c r="F20" s="46"/>
      <c r="G20" s="46"/>
    </row>
    <row r="21" spans="2:7" x14ac:dyDescent="0.2">
      <c r="C21" s="6"/>
      <c r="D21" s="46"/>
      <c r="E21" s="46"/>
      <c r="F21" s="46"/>
      <c r="G21" s="46"/>
    </row>
    <row r="22" spans="2:7" x14ac:dyDescent="0.2">
      <c r="B22" s="23" t="s">
        <v>59</v>
      </c>
      <c r="C22" s="101">
        <f>C15-C17</f>
        <v>209500000</v>
      </c>
      <c r="D22" s="46"/>
      <c r="E22" s="46"/>
      <c r="F22" s="46"/>
      <c r="G22" s="46"/>
    </row>
    <row r="23" spans="2:7" x14ac:dyDescent="0.2">
      <c r="C23" s="6"/>
      <c r="D23" s="46"/>
      <c r="E23" s="46"/>
      <c r="F23" s="46"/>
      <c r="G23" s="46"/>
    </row>
    <row r="24" spans="2:7" x14ac:dyDescent="0.2">
      <c r="B24" s="8" t="s">
        <v>57</v>
      </c>
      <c r="C24" s="38">
        <f>D24*C11</f>
        <v>16000000</v>
      </c>
      <c r="D24" s="134">
        <v>0.1</v>
      </c>
      <c r="E24" s="46"/>
      <c r="F24" s="46"/>
      <c r="G24" s="46"/>
    </row>
    <row r="25" spans="2:7" ht="17" thickBot="1" x14ac:dyDescent="0.25">
      <c r="D25" s="46"/>
      <c r="E25" s="43"/>
      <c r="F25" s="46"/>
      <c r="G25" s="46"/>
    </row>
    <row r="26" spans="2:7" ht="17" thickBot="1" x14ac:dyDescent="0.25">
      <c r="B26" s="104" t="s">
        <v>58</v>
      </c>
      <c r="C26" s="105">
        <f>C22+C24</f>
        <v>225500000</v>
      </c>
      <c r="D26" s="103"/>
      <c r="E26" s="130">
        <f>C26/DADOS!C6</f>
        <v>0.15033333333333335</v>
      </c>
      <c r="F26" s="46"/>
      <c r="G26" s="46"/>
    </row>
    <row r="27" spans="2:7" ht="17" thickBot="1" x14ac:dyDescent="0.25">
      <c r="D27" s="44"/>
      <c r="E27" s="45"/>
      <c r="F27" s="46"/>
      <c r="G27" s="46"/>
    </row>
    <row r="28" spans="2:7" ht="17" thickBot="1" x14ac:dyDescent="0.25">
      <c r="B28" s="106" t="s">
        <v>60</v>
      </c>
      <c r="C28" s="107">
        <f>C22-C24</f>
        <v>193500000</v>
      </c>
      <c r="D28" s="103"/>
      <c r="E28" s="43"/>
      <c r="F28" s="46"/>
      <c r="G28" s="46"/>
    </row>
    <row r="29" spans="2:7" ht="17" thickBot="1" x14ac:dyDescent="0.25">
      <c r="D29" s="46"/>
      <c r="E29" s="43"/>
      <c r="F29" s="46"/>
      <c r="G29" s="46"/>
    </row>
    <row r="30" spans="2:7" ht="17" thickBot="1" x14ac:dyDescent="0.25">
      <c r="B30" s="106" t="s">
        <v>61</v>
      </c>
      <c r="C30" s="107">
        <f>C28*DADOS!C18</f>
        <v>58050000</v>
      </c>
      <c r="D30" s="108"/>
      <c r="E30" s="102"/>
    </row>
    <row r="31" spans="2:7" ht="17" thickBot="1" x14ac:dyDescent="0.25"/>
    <row r="32" spans="2:7" ht="17" thickBot="1" x14ac:dyDescent="0.25">
      <c r="B32" s="106" t="s">
        <v>78</v>
      </c>
      <c r="C32" s="109">
        <f>C26-C30</f>
        <v>167450000</v>
      </c>
    </row>
    <row r="33" spans="2:5" ht="17" thickBot="1" x14ac:dyDescent="0.25">
      <c r="C33" s="6"/>
    </row>
    <row r="34" spans="2:5" ht="17" thickBot="1" x14ac:dyDescent="0.25">
      <c r="B34" s="106" t="s">
        <v>62</v>
      </c>
      <c r="C34" s="109">
        <f>C24</f>
        <v>16000000</v>
      </c>
    </row>
    <row r="35" spans="2:5" ht="17" thickBot="1" x14ac:dyDescent="0.25"/>
    <row r="36" spans="2:5" ht="17" thickBot="1" x14ac:dyDescent="0.25">
      <c r="B36" s="106" t="s">
        <v>63</v>
      </c>
      <c r="C36" s="111">
        <f>C32-C34</f>
        <v>151450000</v>
      </c>
      <c r="D36" t="s">
        <v>80</v>
      </c>
    </row>
    <row r="37" spans="2:5" ht="17" thickBot="1" x14ac:dyDescent="0.25"/>
    <row r="38" spans="2:5" ht="17" thickBot="1" x14ac:dyDescent="0.25">
      <c r="B38" s="106" t="s">
        <v>64</v>
      </c>
      <c r="C38" s="112">
        <f>C36/DADOS!C6</f>
        <v>0.10096666666666666</v>
      </c>
      <c r="D38" t="s">
        <v>86</v>
      </c>
      <c r="E38" t="s">
        <v>95</v>
      </c>
    </row>
    <row r="40" spans="2:5" x14ac:dyDescent="0.2">
      <c r="B40" t="s">
        <v>98</v>
      </c>
      <c r="C40">
        <f>DADOS!C30*DADOS!C6</f>
        <v>90000000</v>
      </c>
    </row>
    <row r="42" spans="2:5" x14ac:dyDescent="0.2">
      <c r="B42" t="s">
        <v>81</v>
      </c>
      <c r="C42" s="129">
        <f>C36-C40</f>
        <v>61450000</v>
      </c>
    </row>
    <row r="44" spans="2:5" x14ac:dyDescent="0.2">
      <c r="B44" t="s">
        <v>82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34DDC-502E-A941-BFCE-273F108E5D20}">
  <dimension ref="B1:E22"/>
  <sheetViews>
    <sheetView showGridLines="0" workbookViewId="0">
      <selection activeCell="C10" sqref="C10"/>
    </sheetView>
  </sheetViews>
  <sheetFormatPr baseColWidth="10" defaultRowHeight="16" x14ac:dyDescent="0.2"/>
  <cols>
    <col min="2" max="2" width="25.1640625" bestFit="1" customWidth="1"/>
    <col min="3" max="3" width="18" bestFit="1" customWidth="1"/>
  </cols>
  <sheetData>
    <row r="1" spans="2:5" s="2" customFormat="1" ht="28" customHeight="1" x14ac:dyDescent="0.2">
      <c r="B1" s="2" t="s">
        <v>51</v>
      </c>
    </row>
    <row r="2" spans="2:5" ht="18" customHeight="1" x14ac:dyDescent="0.2"/>
    <row r="3" spans="2:5" x14ac:dyDescent="0.2">
      <c r="B3" s="139" t="s">
        <v>41</v>
      </c>
      <c r="C3" s="140"/>
    </row>
    <row r="4" spans="2:5" x14ac:dyDescent="0.2">
      <c r="B4" s="24" t="s">
        <v>48</v>
      </c>
      <c r="C4" s="25">
        <f>DADOS!C6</f>
        <v>1500000000</v>
      </c>
    </row>
    <row r="5" spans="2:5" x14ac:dyDescent="0.2">
      <c r="B5" s="26" t="s">
        <v>65</v>
      </c>
      <c r="C5" s="27">
        <f>Questão2!C36</f>
        <v>151450000</v>
      </c>
      <c r="D5" t="s">
        <v>53</v>
      </c>
    </row>
    <row r="7" spans="2:5" x14ac:dyDescent="0.2">
      <c r="B7" s="7" t="s">
        <v>42</v>
      </c>
      <c r="C7" s="28">
        <f>C5/C4</f>
        <v>0.10096666666666666</v>
      </c>
      <c r="E7" s="83"/>
    </row>
    <row r="8" spans="2:5" x14ac:dyDescent="0.2">
      <c r="C8" s="81"/>
    </row>
    <row r="9" spans="2:5" x14ac:dyDescent="0.2">
      <c r="C9" s="150"/>
    </row>
    <row r="10" spans="2:5" x14ac:dyDescent="0.2">
      <c r="B10" s="5" t="s">
        <v>49</v>
      </c>
    </row>
    <row r="11" spans="2:5" x14ac:dyDescent="0.2">
      <c r="B11" s="141" t="s">
        <v>50</v>
      </c>
      <c r="C11" s="142"/>
      <c r="D11" s="142"/>
      <c r="E11" s="143"/>
    </row>
    <row r="12" spans="2:5" x14ac:dyDescent="0.2">
      <c r="B12" s="144"/>
      <c r="C12" s="145"/>
      <c r="D12" s="145"/>
      <c r="E12" s="146"/>
    </row>
    <row r="13" spans="2:5" x14ac:dyDescent="0.2">
      <c r="B13" s="144"/>
      <c r="C13" s="145"/>
      <c r="D13" s="145"/>
      <c r="E13" s="146"/>
    </row>
    <row r="14" spans="2:5" x14ac:dyDescent="0.2">
      <c r="B14" s="144"/>
      <c r="C14" s="145"/>
      <c r="D14" s="145"/>
      <c r="E14" s="146"/>
    </row>
    <row r="15" spans="2:5" x14ac:dyDescent="0.2">
      <c r="B15" s="144"/>
      <c r="C15" s="145"/>
      <c r="D15" s="145"/>
      <c r="E15" s="146"/>
    </row>
    <row r="16" spans="2:5" x14ac:dyDescent="0.2">
      <c r="B16" s="144"/>
      <c r="C16" s="145"/>
      <c r="D16" s="145"/>
      <c r="E16" s="146"/>
    </row>
    <row r="17" spans="2:5" x14ac:dyDescent="0.2">
      <c r="B17" s="144"/>
      <c r="C17" s="145"/>
      <c r="D17" s="145"/>
      <c r="E17" s="146"/>
    </row>
    <row r="18" spans="2:5" x14ac:dyDescent="0.2">
      <c r="B18" s="147"/>
      <c r="C18" s="148"/>
      <c r="D18" s="148"/>
      <c r="E18" s="149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</sheetData>
  <mergeCells count="2">
    <mergeCell ref="B3:C3"/>
    <mergeCell ref="B11:E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250A-85AB-0C42-BA5F-29F6B48FCE37}">
  <dimension ref="C1:FH45"/>
  <sheetViews>
    <sheetView showGridLines="0" topLeftCell="C17" workbookViewId="0">
      <selection activeCell="I41" sqref="I41"/>
    </sheetView>
  </sheetViews>
  <sheetFormatPr baseColWidth="10" defaultRowHeight="16" x14ac:dyDescent="0.2"/>
  <cols>
    <col min="1" max="2" width="3.33203125" customWidth="1"/>
    <col min="3" max="3" width="40.33203125" bestFit="1" customWidth="1"/>
    <col min="4" max="4" width="19.5" customWidth="1"/>
    <col min="5" max="5" width="18.1640625" bestFit="1" customWidth="1"/>
    <col min="6" max="6" width="21.1640625" bestFit="1" customWidth="1"/>
    <col min="7" max="7" width="15" bestFit="1" customWidth="1"/>
    <col min="8" max="12" width="14" bestFit="1" customWidth="1"/>
    <col min="13" max="15" width="15" bestFit="1" customWidth="1"/>
  </cols>
  <sheetData>
    <row r="1" spans="3:16" s="2" customFormat="1" ht="28" customHeight="1" x14ac:dyDescent="0.2">
      <c r="C1" s="2" t="s">
        <v>47</v>
      </c>
    </row>
    <row r="2" spans="3:16" s="29" customFormat="1" ht="28" customHeight="1" x14ac:dyDescent="0.2"/>
    <row r="3" spans="3:16" hidden="1" x14ac:dyDescent="0.2">
      <c r="E3">
        <v>0</v>
      </c>
      <c r="F3">
        <f>E3+1</f>
        <v>1</v>
      </c>
      <c r="G3">
        <f t="shared" ref="G3:P3" si="0">F3+1</f>
        <v>2</v>
      </c>
      <c r="H3">
        <f t="shared" si="0"/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</row>
    <row r="4" spans="3:16" x14ac:dyDescent="0.2">
      <c r="C4" s="3" t="s">
        <v>24</v>
      </c>
      <c r="D4" s="4"/>
      <c r="E4" s="4" t="s">
        <v>25</v>
      </c>
      <c r="F4" s="4" t="str">
        <f t="shared" ref="F4:O4" si="1">"Ano "&amp;F3</f>
        <v>Ano 1</v>
      </c>
      <c r="G4" s="4" t="str">
        <f t="shared" si="1"/>
        <v>Ano 2</v>
      </c>
      <c r="H4" s="4" t="str">
        <f t="shared" si="1"/>
        <v>Ano 3</v>
      </c>
      <c r="I4" s="4" t="str">
        <f t="shared" si="1"/>
        <v>Ano 4</v>
      </c>
      <c r="J4" s="4" t="str">
        <f t="shared" si="1"/>
        <v>Ano 5</v>
      </c>
      <c r="K4" s="4" t="str">
        <f t="shared" si="1"/>
        <v>Ano 6</v>
      </c>
      <c r="L4" s="4" t="str">
        <f t="shared" si="1"/>
        <v>Ano 7</v>
      </c>
      <c r="M4" s="4" t="str">
        <f t="shared" si="1"/>
        <v>Ano 8</v>
      </c>
      <c r="N4" s="4" t="str">
        <f t="shared" si="1"/>
        <v>Ano 9</v>
      </c>
      <c r="O4" s="9" t="str">
        <f t="shared" si="1"/>
        <v>Ano 10</v>
      </c>
    </row>
    <row r="5" spans="3:16" x14ac:dyDescent="0.2">
      <c r="C5" s="14" t="s">
        <v>28</v>
      </c>
      <c r="D5" s="89"/>
      <c r="E5" s="50"/>
      <c r="F5" s="50">
        <f>Questao1!E13</f>
        <v>550000000</v>
      </c>
      <c r="G5" s="50">
        <f t="shared" ref="G5:O5" si="2">F5</f>
        <v>550000000</v>
      </c>
      <c r="H5" s="50">
        <f t="shared" si="2"/>
        <v>550000000</v>
      </c>
      <c r="I5" s="50">
        <f t="shared" si="2"/>
        <v>550000000</v>
      </c>
      <c r="J5" s="50">
        <f t="shared" si="2"/>
        <v>550000000</v>
      </c>
      <c r="K5" s="50">
        <f t="shared" si="2"/>
        <v>550000000</v>
      </c>
      <c r="L5" s="50">
        <f t="shared" si="2"/>
        <v>550000000</v>
      </c>
      <c r="M5" s="50">
        <f t="shared" si="2"/>
        <v>550000000</v>
      </c>
      <c r="N5" s="50">
        <f t="shared" si="2"/>
        <v>550000000</v>
      </c>
      <c r="O5" s="15">
        <f t="shared" si="2"/>
        <v>550000000</v>
      </c>
    </row>
    <row r="6" spans="3:16" x14ac:dyDescent="0.2">
      <c r="C6" s="12" t="s">
        <v>27</v>
      </c>
      <c r="D6" s="30"/>
      <c r="E6" s="66"/>
      <c r="F6" s="31">
        <f>Questao1!C13</f>
        <v>390000000</v>
      </c>
      <c r="G6" s="31">
        <f t="shared" ref="G6:O9" si="3">F6</f>
        <v>390000000</v>
      </c>
      <c r="H6" s="31">
        <f t="shared" si="3"/>
        <v>390000000</v>
      </c>
      <c r="I6" s="31">
        <f t="shared" si="3"/>
        <v>390000000</v>
      </c>
      <c r="J6" s="31">
        <f t="shared" si="3"/>
        <v>390000000</v>
      </c>
      <c r="K6" s="31">
        <f t="shared" si="3"/>
        <v>390000000</v>
      </c>
      <c r="L6" s="31">
        <f t="shared" si="3"/>
        <v>390000000</v>
      </c>
      <c r="M6" s="31">
        <f t="shared" si="3"/>
        <v>390000000</v>
      </c>
      <c r="N6" s="31">
        <f t="shared" si="3"/>
        <v>390000000</v>
      </c>
      <c r="O6" s="21">
        <f t="shared" si="3"/>
        <v>390000000</v>
      </c>
    </row>
    <row r="7" spans="3:16" x14ac:dyDescent="0.2">
      <c r="C7" s="12" t="s">
        <v>26</v>
      </c>
      <c r="D7" s="30"/>
      <c r="E7" s="66"/>
      <c r="F7" s="31">
        <f>Questao1!D13</f>
        <v>160000000</v>
      </c>
      <c r="G7" s="31">
        <f t="shared" si="3"/>
        <v>160000000</v>
      </c>
      <c r="H7" s="31">
        <f t="shared" si="3"/>
        <v>160000000</v>
      </c>
      <c r="I7" s="31">
        <f t="shared" si="3"/>
        <v>160000000</v>
      </c>
      <c r="J7" s="31">
        <f t="shared" si="3"/>
        <v>160000000</v>
      </c>
      <c r="K7" s="31">
        <f t="shared" si="3"/>
        <v>160000000</v>
      </c>
      <c r="L7" s="31">
        <f t="shared" si="3"/>
        <v>160000000</v>
      </c>
      <c r="M7" s="31">
        <f t="shared" si="3"/>
        <v>160000000</v>
      </c>
      <c r="N7" s="31">
        <f t="shared" si="3"/>
        <v>160000000</v>
      </c>
      <c r="O7" s="21">
        <f t="shared" si="3"/>
        <v>160000000</v>
      </c>
    </row>
    <row r="8" spans="3:16" x14ac:dyDescent="0.2">
      <c r="C8" s="14" t="s">
        <v>29</v>
      </c>
      <c r="D8" s="89"/>
      <c r="E8" s="50"/>
      <c r="F8" s="50">
        <f>DADOS!C17*Questão4!F5</f>
        <v>110000000</v>
      </c>
      <c r="G8" s="50">
        <f t="shared" si="3"/>
        <v>110000000</v>
      </c>
      <c r="H8" s="50">
        <f t="shared" si="3"/>
        <v>110000000</v>
      </c>
      <c r="I8" s="50">
        <f t="shared" si="3"/>
        <v>110000000</v>
      </c>
      <c r="J8" s="50">
        <f t="shared" si="3"/>
        <v>110000000</v>
      </c>
      <c r="K8" s="50">
        <f t="shared" si="3"/>
        <v>110000000</v>
      </c>
      <c r="L8" s="50">
        <f t="shared" si="3"/>
        <v>110000000</v>
      </c>
      <c r="M8" s="50">
        <f t="shared" si="3"/>
        <v>110000000</v>
      </c>
      <c r="N8" s="50">
        <f t="shared" si="3"/>
        <v>110000000</v>
      </c>
      <c r="O8" s="15">
        <f t="shared" si="3"/>
        <v>110000000</v>
      </c>
    </row>
    <row r="9" spans="3:16" x14ac:dyDescent="0.2">
      <c r="C9" s="16" t="s">
        <v>30</v>
      </c>
      <c r="D9" s="90"/>
      <c r="E9" s="36"/>
      <c r="F9" s="36">
        <f>F5-F8</f>
        <v>440000000</v>
      </c>
      <c r="G9" s="36">
        <f t="shared" si="3"/>
        <v>440000000</v>
      </c>
      <c r="H9" s="36">
        <f t="shared" si="3"/>
        <v>440000000</v>
      </c>
      <c r="I9" s="36">
        <f t="shared" si="3"/>
        <v>440000000</v>
      </c>
      <c r="J9" s="36">
        <f t="shared" si="3"/>
        <v>440000000</v>
      </c>
      <c r="K9" s="36">
        <f t="shared" si="3"/>
        <v>440000000</v>
      </c>
      <c r="L9" s="36">
        <f t="shared" si="3"/>
        <v>440000000</v>
      </c>
      <c r="M9" s="36">
        <f t="shared" si="3"/>
        <v>440000000</v>
      </c>
      <c r="N9" s="36">
        <f t="shared" si="3"/>
        <v>440000000</v>
      </c>
      <c r="O9" s="17">
        <f t="shared" si="3"/>
        <v>440000000</v>
      </c>
    </row>
    <row r="10" spans="3:16" x14ac:dyDescent="0.2">
      <c r="E10" s="6"/>
    </row>
    <row r="11" spans="3:16" x14ac:dyDescent="0.2">
      <c r="C11" s="10" t="s">
        <v>31</v>
      </c>
      <c r="D11" s="91"/>
      <c r="E11" s="32"/>
      <c r="F11" s="32">
        <f>F12+F15</f>
        <v>170000000</v>
      </c>
      <c r="G11" s="32">
        <f t="shared" ref="G11:O13" si="4">F11</f>
        <v>170000000</v>
      </c>
      <c r="H11" s="32">
        <f t="shared" si="4"/>
        <v>170000000</v>
      </c>
      <c r="I11" s="32">
        <f t="shared" si="4"/>
        <v>170000000</v>
      </c>
      <c r="J11" s="32">
        <f t="shared" si="4"/>
        <v>170000000</v>
      </c>
      <c r="K11" s="32">
        <f t="shared" si="4"/>
        <v>170000000</v>
      </c>
      <c r="L11" s="32">
        <f t="shared" si="4"/>
        <v>170000000</v>
      </c>
      <c r="M11" s="32">
        <f t="shared" si="4"/>
        <v>170000000</v>
      </c>
      <c r="N11" s="32">
        <f t="shared" si="4"/>
        <v>170000000</v>
      </c>
      <c r="O11" s="11">
        <f t="shared" si="4"/>
        <v>170000000</v>
      </c>
    </row>
    <row r="12" spans="3:16" x14ac:dyDescent="0.2">
      <c r="C12" s="18" t="s">
        <v>32</v>
      </c>
      <c r="D12" s="92"/>
      <c r="E12" s="33"/>
      <c r="F12" s="33">
        <f>F13+F14</f>
        <v>160000000</v>
      </c>
      <c r="G12" s="33">
        <f t="shared" si="4"/>
        <v>160000000</v>
      </c>
      <c r="H12" s="33">
        <f t="shared" si="4"/>
        <v>160000000</v>
      </c>
      <c r="I12" s="33">
        <f t="shared" si="4"/>
        <v>160000000</v>
      </c>
      <c r="J12" s="33">
        <f t="shared" si="4"/>
        <v>160000000</v>
      </c>
      <c r="K12" s="33">
        <f t="shared" si="4"/>
        <v>160000000</v>
      </c>
      <c r="L12" s="33">
        <f t="shared" si="4"/>
        <v>160000000</v>
      </c>
      <c r="M12" s="33">
        <f t="shared" si="4"/>
        <v>160000000</v>
      </c>
      <c r="N12" s="33">
        <f t="shared" si="4"/>
        <v>160000000</v>
      </c>
      <c r="O12" s="19">
        <f t="shared" si="4"/>
        <v>160000000</v>
      </c>
    </row>
    <row r="13" spans="3:16" x14ac:dyDescent="0.2">
      <c r="C13" s="20" t="s">
        <v>33</v>
      </c>
      <c r="D13" s="93"/>
      <c r="E13" s="31"/>
      <c r="F13" s="31">
        <f>Questao1!C5*Questao1!C6</f>
        <v>124800000</v>
      </c>
      <c r="G13" s="31">
        <f t="shared" si="4"/>
        <v>124800000</v>
      </c>
      <c r="H13" s="31">
        <f t="shared" si="4"/>
        <v>124800000</v>
      </c>
      <c r="I13" s="31">
        <f t="shared" si="4"/>
        <v>124800000</v>
      </c>
      <c r="J13" s="31">
        <f t="shared" si="4"/>
        <v>124800000</v>
      </c>
      <c r="K13" s="31">
        <f t="shared" si="4"/>
        <v>124800000</v>
      </c>
      <c r="L13" s="31">
        <f t="shared" si="4"/>
        <v>124800000</v>
      </c>
      <c r="M13" s="31">
        <f t="shared" si="4"/>
        <v>124800000</v>
      </c>
      <c r="N13" s="31">
        <f t="shared" si="4"/>
        <v>124800000</v>
      </c>
      <c r="O13" s="21">
        <f t="shared" si="4"/>
        <v>124800000</v>
      </c>
    </row>
    <row r="14" spans="3:16" x14ac:dyDescent="0.2">
      <c r="C14" s="20" t="s">
        <v>33</v>
      </c>
      <c r="D14" s="93"/>
      <c r="E14" s="31"/>
      <c r="F14" s="34">
        <f>Questao1!D5*Questao1!D6</f>
        <v>35200000</v>
      </c>
      <c r="G14" s="34">
        <f t="shared" ref="G14:O16" si="5">F14</f>
        <v>35200000</v>
      </c>
      <c r="H14" s="34">
        <f t="shared" si="5"/>
        <v>35200000</v>
      </c>
      <c r="I14" s="34">
        <f t="shared" si="5"/>
        <v>35200000</v>
      </c>
      <c r="J14" s="34">
        <f t="shared" si="5"/>
        <v>35200000</v>
      </c>
      <c r="K14" s="34">
        <f t="shared" si="5"/>
        <v>35200000</v>
      </c>
      <c r="L14" s="34">
        <f t="shared" si="5"/>
        <v>35200000</v>
      </c>
      <c r="M14" s="34">
        <f t="shared" si="5"/>
        <v>35200000</v>
      </c>
      <c r="N14" s="34">
        <f t="shared" si="5"/>
        <v>35200000</v>
      </c>
      <c r="O14" s="35">
        <f t="shared" si="5"/>
        <v>35200000</v>
      </c>
    </row>
    <row r="15" spans="3:16" x14ac:dyDescent="0.2">
      <c r="C15" s="18" t="s">
        <v>34</v>
      </c>
      <c r="D15" s="92"/>
      <c r="E15" s="33"/>
      <c r="F15" s="33">
        <f>Questão2!C14</f>
        <v>10000000</v>
      </c>
      <c r="G15" s="33">
        <f t="shared" si="5"/>
        <v>10000000</v>
      </c>
      <c r="H15" s="33">
        <f t="shared" si="5"/>
        <v>10000000</v>
      </c>
      <c r="I15" s="33">
        <f t="shared" si="5"/>
        <v>10000000</v>
      </c>
      <c r="J15" s="33">
        <f t="shared" si="5"/>
        <v>10000000</v>
      </c>
      <c r="K15" s="33">
        <f t="shared" si="5"/>
        <v>10000000</v>
      </c>
      <c r="L15" s="33">
        <f t="shared" si="5"/>
        <v>10000000</v>
      </c>
      <c r="M15" s="33">
        <f t="shared" si="5"/>
        <v>10000000</v>
      </c>
      <c r="N15" s="33">
        <f t="shared" si="5"/>
        <v>10000000</v>
      </c>
      <c r="O15" s="19">
        <f t="shared" si="5"/>
        <v>10000000</v>
      </c>
    </row>
    <row r="16" spans="3:16" x14ac:dyDescent="0.2">
      <c r="C16" s="16" t="s">
        <v>35</v>
      </c>
      <c r="D16" s="90"/>
      <c r="E16" s="36"/>
      <c r="F16" s="36">
        <f>F9-F11</f>
        <v>270000000</v>
      </c>
      <c r="G16" s="36">
        <f>F16</f>
        <v>270000000</v>
      </c>
      <c r="H16" s="36">
        <f t="shared" si="5"/>
        <v>270000000</v>
      </c>
      <c r="I16" s="36">
        <f t="shared" si="5"/>
        <v>270000000</v>
      </c>
      <c r="J16" s="36">
        <f t="shared" si="5"/>
        <v>270000000</v>
      </c>
      <c r="K16" s="36">
        <f t="shared" si="5"/>
        <v>270000000</v>
      </c>
      <c r="L16" s="36">
        <f t="shared" si="5"/>
        <v>270000000</v>
      </c>
      <c r="M16" s="36">
        <f t="shared" si="5"/>
        <v>270000000</v>
      </c>
      <c r="N16" s="36">
        <f t="shared" si="5"/>
        <v>270000000</v>
      </c>
      <c r="O16" s="17">
        <f t="shared" si="5"/>
        <v>270000000</v>
      </c>
    </row>
    <row r="18" spans="3:164" x14ac:dyDescent="0.2">
      <c r="C18" s="10" t="s">
        <v>36</v>
      </c>
      <c r="D18" s="91"/>
      <c r="E18" s="32"/>
      <c r="F18" s="32">
        <f>SUM(F19:F21)</f>
        <v>44500000</v>
      </c>
      <c r="G18" s="32">
        <f t="shared" ref="G18:O18" si="6">F18</f>
        <v>44500000</v>
      </c>
      <c r="H18" s="32">
        <f t="shared" si="6"/>
        <v>44500000</v>
      </c>
      <c r="I18" s="32">
        <f t="shared" si="6"/>
        <v>44500000</v>
      </c>
      <c r="J18" s="32">
        <f t="shared" si="6"/>
        <v>44500000</v>
      </c>
      <c r="K18" s="32">
        <f t="shared" si="6"/>
        <v>44500000</v>
      </c>
      <c r="L18" s="32">
        <f t="shared" si="6"/>
        <v>44500000</v>
      </c>
      <c r="M18" s="32">
        <f t="shared" si="6"/>
        <v>44500000</v>
      </c>
      <c r="N18" s="32">
        <f t="shared" si="6"/>
        <v>44500000</v>
      </c>
      <c r="O18" s="11">
        <f t="shared" si="6"/>
        <v>44500000</v>
      </c>
    </row>
    <row r="19" spans="3:164" x14ac:dyDescent="0.2">
      <c r="C19" s="12" t="s">
        <v>37</v>
      </c>
      <c r="D19" s="30"/>
      <c r="E19" s="31"/>
      <c r="F19" s="34">
        <f>F5*DADOS!C15</f>
        <v>27500000</v>
      </c>
      <c r="G19" s="34">
        <f t="shared" ref="G19:O19" si="7">F19</f>
        <v>27500000</v>
      </c>
      <c r="H19" s="34">
        <f t="shared" si="7"/>
        <v>27500000</v>
      </c>
      <c r="I19" s="34">
        <f t="shared" si="7"/>
        <v>27500000</v>
      </c>
      <c r="J19" s="34">
        <f t="shared" si="7"/>
        <v>27500000</v>
      </c>
      <c r="K19" s="34">
        <f t="shared" si="7"/>
        <v>27500000</v>
      </c>
      <c r="L19" s="34">
        <f t="shared" si="7"/>
        <v>27500000</v>
      </c>
      <c r="M19" s="34">
        <f t="shared" si="7"/>
        <v>27500000</v>
      </c>
      <c r="N19" s="34">
        <f t="shared" si="7"/>
        <v>27500000</v>
      </c>
      <c r="O19" s="35">
        <f t="shared" si="7"/>
        <v>27500000</v>
      </c>
    </row>
    <row r="20" spans="3:164" x14ac:dyDescent="0.2">
      <c r="C20" s="12" t="s">
        <v>38</v>
      </c>
      <c r="D20" s="30"/>
      <c r="E20" s="31"/>
      <c r="F20" s="34">
        <f>DADOS!C27</f>
        <v>15000000</v>
      </c>
      <c r="G20" s="34">
        <f t="shared" ref="G20:O20" si="8">F20</f>
        <v>15000000</v>
      </c>
      <c r="H20" s="34">
        <f t="shared" si="8"/>
        <v>15000000</v>
      </c>
      <c r="I20" s="34">
        <f t="shared" si="8"/>
        <v>15000000</v>
      </c>
      <c r="J20" s="34">
        <f t="shared" si="8"/>
        <v>15000000</v>
      </c>
      <c r="K20" s="34">
        <f t="shared" si="8"/>
        <v>15000000</v>
      </c>
      <c r="L20" s="34">
        <f t="shared" si="8"/>
        <v>15000000</v>
      </c>
      <c r="M20" s="34">
        <f t="shared" si="8"/>
        <v>15000000</v>
      </c>
      <c r="N20" s="34">
        <f t="shared" si="8"/>
        <v>15000000</v>
      </c>
      <c r="O20" s="35">
        <f t="shared" si="8"/>
        <v>15000000</v>
      </c>
    </row>
    <row r="21" spans="3:164" x14ac:dyDescent="0.2">
      <c r="C21" s="22" t="s">
        <v>39</v>
      </c>
      <c r="D21" s="94"/>
      <c r="E21" s="64"/>
      <c r="F21" s="41">
        <f>DADOS!C28</f>
        <v>2000000</v>
      </c>
      <c r="G21" s="41">
        <f t="shared" ref="G21:O21" si="9">F21</f>
        <v>2000000</v>
      </c>
      <c r="H21" s="41">
        <f t="shared" si="9"/>
        <v>2000000</v>
      </c>
      <c r="I21" s="41">
        <f t="shared" si="9"/>
        <v>2000000</v>
      </c>
      <c r="J21" s="41">
        <f t="shared" si="9"/>
        <v>2000000</v>
      </c>
      <c r="K21" s="41">
        <f t="shared" si="9"/>
        <v>2000000</v>
      </c>
      <c r="L21" s="41">
        <f t="shared" si="9"/>
        <v>2000000</v>
      </c>
      <c r="M21" s="41">
        <f t="shared" si="9"/>
        <v>2000000</v>
      </c>
      <c r="N21" s="41">
        <f t="shared" si="9"/>
        <v>2000000</v>
      </c>
      <c r="O21" s="65">
        <f t="shared" si="9"/>
        <v>2000000</v>
      </c>
    </row>
    <row r="22" spans="3:164" x14ac:dyDescent="0.2">
      <c r="C22" s="30"/>
      <c r="D22" s="30"/>
      <c r="E22" s="31"/>
    </row>
    <row r="23" spans="3:164" x14ac:dyDescent="0.2">
      <c r="C23" s="23" t="s">
        <v>40</v>
      </c>
      <c r="D23" s="96"/>
      <c r="E23" s="84">
        <v>0</v>
      </c>
      <c r="F23" s="84">
        <f>F16-F18</f>
        <v>225500000</v>
      </c>
      <c r="G23" s="84">
        <f>F23</f>
        <v>225500000</v>
      </c>
      <c r="H23" s="84">
        <f t="shared" ref="H23:O23" si="10">G23</f>
        <v>225500000</v>
      </c>
      <c r="I23" s="84">
        <f t="shared" si="10"/>
        <v>225500000</v>
      </c>
      <c r="J23" s="84">
        <f t="shared" si="10"/>
        <v>225500000</v>
      </c>
      <c r="K23" s="84">
        <f t="shared" si="10"/>
        <v>225500000</v>
      </c>
      <c r="L23" s="84">
        <f t="shared" si="10"/>
        <v>225500000</v>
      </c>
      <c r="M23" s="84">
        <f t="shared" si="10"/>
        <v>225500000</v>
      </c>
      <c r="N23" s="84">
        <f t="shared" si="10"/>
        <v>225500000</v>
      </c>
      <c r="O23" s="84">
        <f t="shared" si="10"/>
        <v>225500000</v>
      </c>
    </row>
    <row r="24" spans="3:164" x14ac:dyDescent="0.2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3:164" x14ac:dyDescent="0.2">
      <c r="C25" s="37" t="s">
        <v>45</v>
      </c>
      <c r="D25" s="95"/>
      <c r="E25" s="38"/>
      <c r="F25" s="38">
        <f>DADOS!C23</f>
        <v>16000000</v>
      </c>
      <c r="G25" s="38">
        <f>F25</f>
        <v>16000000</v>
      </c>
      <c r="H25" s="38">
        <f t="shared" ref="H25:O25" si="11">G25</f>
        <v>16000000</v>
      </c>
      <c r="I25" s="38">
        <f t="shared" si="11"/>
        <v>16000000</v>
      </c>
      <c r="J25" s="38">
        <f t="shared" si="11"/>
        <v>16000000</v>
      </c>
      <c r="K25" s="38">
        <f t="shared" si="11"/>
        <v>16000000</v>
      </c>
      <c r="L25" s="38">
        <f t="shared" si="11"/>
        <v>16000000</v>
      </c>
      <c r="M25" s="38">
        <f t="shared" si="11"/>
        <v>16000000</v>
      </c>
      <c r="N25" s="38">
        <f t="shared" si="11"/>
        <v>16000000</v>
      </c>
      <c r="O25" s="38">
        <f t="shared" si="11"/>
        <v>16000000</v>
      </c>
    </row>
    <row r="26" spans="3:164" ht="17" thickBot="1" x14ac:dyDescent="0.25">
      <c r="E26" s="6"/>
    </row>
    <row r="27" spans="3:164" ht="17" thickBot="1" x14ac:dyDescent="0.25">
      <c r="C27" s="106" t="s">
        <v>58</v>
      </c>
      <c r="D27" s="113"/>
      <c r="E27" s="114"/>
      <c r="F27" s="115">
        <f>F23+F25</f>
        <v>241500000</v>
      </c>
      <c r="G27" s="115">
        <f t="shared" ref="G27:N27" si="12">G23+G25</f>
        <v>241500000</v>
      </c>
      <c r="H27" s="115">
        <f t="shared" si="12"/>
        <v>241500000</v>
      </c>
      <c r="I27" s="115">
        <f t="shared" si="12"/>
        <v>241500000</v>
      </c>
      <c r="J27" s="115">
        <f t="shared" si="12"/>
        <v>241500000</v>
      </c>
      <c r="K27" s="115">
        <f t="shared" si="12"/>
        <v>241500000</v>
      </c>
      <c r="L27" s="115">
        <f t="shared" si="12"/>
        <v>241500000</v>
      </c>
      <c r="M27" s="115">
        <f t="shared" si="12"/>
        <v>241500000</v>
      </c>
      <c r="N27" s="115">
        <f t="shared" si="12"/>
        <v>241500000</v>
      </c>
      <c r="O27" s="107">
        <f>O23+O25</f>
        <v>241500000</v>
      </c>
    </row>
    <row r="28" spans="3:164" x14ac:dyDescent="0.2">
      <c r="E28" s="6"/>
    </row>
    <row r="29" spans="3:164" x14ac:dyDescent="0.2">
      <c r="C29" s="42" t="s">
        <v>43</v>
      </c>
      <c r="D29" s="97"/>
      <c r="E29" s="47">
        <f>-DADOS!C6</f>
        <v>-1500000000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>
        <v>0</v>
      </c>
    </row>
    <row r="30" spans="3:164" x14ac:dyDescent="0.2">
      <c r="C30" s="44"/>
      <c r="D30" s="44"/>
      <c r="E30" s="45"/>
    </row>
    <row r="31" spans="3:164" x14ac:dyDescent="0.2">
      <c r="C31" s="42" t="s">
        <v>44</v>
      </c>
      <c r="D31" s="97"/>
      <c r="E31" s="47">
        <f>E23+E29</f>
        <v>-1500000000</v>
      </c>
      <c r="F31" s="47">
        <f>F27</f>
        <v>241500000</v>
      </c>
      <c r="G31" s="47">
        <f t="shared" ref="G31:N31" si="13">G27</f>
        <v>241500000</v>
      </c>
      <c r="H31" s="47">
        <f t="shared" si="13"/>
        <v>241500000</v>
      </c>
      <c r="I31" s="47">
        <f t="shared" si="13"/>
        <v>241500000</v>
      </c>
      <c r="J31" s="47">
        <f t="shared" si="13"/>
        <v>241500000</v>
      </c>
      <c r="K31" s="47">
        <f t="shared" si="13"/>
        <v>241500000</v>
      </c>
      <c r="L31" s="47">
        <f t="shared" si="13"/>
        <v>241500000</v>
      </c>
      <c r="M31" s="47">
        <f t="shared" si="13"/>
        <v>241500000</v>
      </c>
      <c r="N31" s="47">
        <f t="shared" si="13"/>
        <v>241500000</v>
      </c>
      <c r="O31" s="47">
        <f>$O$27</f>
        <v>241500000</v>
      </c>
      <c r="P31" s="129">
        <f>O31</f>
        <v>241500000</v>
      </c>
      <c r="Q31" s="129">
        <f t="shared" ref="Q31:CB31" si="14">P31</f>
        <v>241500000</v>
      </c>
      <c r="R31" s="129">
        <f t="shared" si="14"/>
        <v>241500000</v>
      </c>
      <c r="S31" s="129">
        <f t="shared" si="14"/>
        <v>241500000</v>
      </c>
      <c r="T31" s="129">
        <f t="shared" si="14"/>
        <v>241500000</v>
      </c>
      <c r="U31" s="129">
        <f t="shared" si="14"/>
        <v>241500000</v>
      </c>
      <c r="V31" s="129">
        <f t="shared" si="14"/>
        <v>241500000</v>
      </c>
      <c r="W31" s="129">
        <f t="shared" si="14"/>
        <v>241500000</v>
      </c>
      <c r="X31" s="129">
        <f t="shared" si="14"/>
        <v>241500000</v>
      </c>
      <c r="Y31" s="129">
        <f t="shared" si="14"/>
        <v>241500000</v>
      </c>
      <c r="Z31" s="129">
        <f t="shared" si="14"/>
        <v>241500000</v>
      </c>
      <c r="AA31" s="129">
        <f t="shared" si="14"/>
        <v>241500000</v>
      </c>
      <c r="AB31" s="129">
        <f t="shared" si="14"/>
        <v>241500000</v>
      </c>
      <c r="AC31" s="129">
        <f t="shared" si="14"/>
        <v>241500000</v>
      </c>
      <c r="AD31" s="129">
        <f t="shared" si="14"/>
        <v>241500000</v>
      </c>
      <c r="AE31" s="129">
        <f t="shared" si="14"/>
        <v>241500000</v>
      </c>
      <c r="AF31" s="129">
        <f t="shared" si="14"/>
        <v>241500000</v>
      </c>
      <c r="AG31" s="129">
        <f t="shared" si="14"/>
        <v>241500000</v>
      </c>
      <c r="AH31" s="129">
        <f t="shared" si="14"/>
        <v>241500000</v>
      </c>
      <c r="AI31" s="129">
        <f t="shared" si="14"/>
        <v>241500000</v>
      </c>
      <c r="AJ31" s="129">
        <f t="shared" si="14"/>
        <v>241500000</v>
      </c>
      <c r="AK31" s="129">
        <f t="shared" si="14"/>
        <v>241500000</v>
      </c>
      <c r="AL31" s="129">
        <f t="shared" si="14"/>
        <v>241500000</v>
      </c>
      <c r="AM31" s="129">
        <f t="shared" si="14"/>
        <v>241500000</v>
      </c>
      <c r="AN31" s="129">
        <f t="shared" si="14"/>
        <v>241500000</v>
      </c>
      <c r="AO31" s="129">
        <f t="shared" si="14"/>
        <v>241500000</v>
      </c>
      <c r="AP31" s="129">
        <f t="shared" si="14"/>
        <v>241500000</v>
      </c>
      <c r="AQ31" s="129">
        <f t="shared" si="14"/>
        <v>241500000</v>
      </c>
      <c r="AR31" s="129">
        <f t="shared" si="14"/>
        <v>241500000</v>
      </c>
      <c r="AS31" s="129">
        <f t="shared" si="14"/>
        <v>241500000</v>
      </c>
      <c r="AT31" s="129">
        <f t="shared" si="14"/>
        <v>241500000</v>
      </c>
      <c r="AU31" s="129">
        <f t="shared" si="14"/>
        <v>241500000</v>
      </c>
      <c r="AV31" s="129">
        <f t="shared" si="14"/>
        <v>241500000</v>
      </c>
      <c r="AW31" s="129">
        <f t="shared" si="14"/>
        <v>241500000</v>
      </c>
      <c r="AX31" s="129">
        <f t="shared" si="14"/>
        <v>241500000</v>
      </c>
      <c r="AY31" s="129">
        <f t="shared" si="14"/>
        <v>241500000</v>
      </c>
      <c r="AZ31" s="129">
        <f t="shared" si="14"/>
        <v>241500000</v>
      </c>
      <c r="BA31" s="129">
        <f t="shared" si="14"/>
        <v>241500000</v>
      </c>
      <c r="BB31" s="129">
        <f t="shared" si="14"/>
        <v>241500000</v>
      </c>
      <c r="BC31" s="129">
        <f t="shared" si="14"/>
        <v>241500000</v>
      </c>
      <c r="BD31" s="129">
        <f t="shared" si="14"/>
        <v>241500000</v>
      </c>
      <c r="BE31" s="129">
        <f t="shared" si="14"/>
        <v>241500000</v>
      </c>
      <c r="BF31" s="129">
        <f t="shared" si="14"/>
        <v>241500000</v>
      </c>
      <c r="BG31" s="129">
        <f t="shared" si="14"/>
        <v>241500000</v>
      </c>
      <c r="BH31" s="129">
        <f t="shared" si="14"/>
        <v>241500000</v>
      </c>
      <c r="BI31" s="129">
        <f t="shared" si="14"/>
        <v>241500000</v>
      </c>
      <c r="BJ31" s="129">
        <f t="shared" si="14"/>
        <v>241500000</v>
      </c>
      <c r="BK31" s="129">
        <f t="shared" si="14"/>
        <v>241500000</v>
      </c>
      <c r="BL31" s="129">
        <f t="shared" si="14"/>
        <v>241500000</v>
      </c>
      <c r="BM31" s="129">
        <f t="shared" si="14"/>
        <v>241500000</v>
      </c>
      <c r="BN31" s="129">
        <f t="shared" si="14"/>
        <v>241500000</v>
      </c>
      <c r="BO31" s="129">
        <f t="shared" si="14"/>
        <v>241500000</v>
      </c>
      <c r="BP31" s="129">
        <f t="shared" si="14"/>
        <v>241500000</v>
      </c>
      <c r="BQ31" s="129">
        <f t="shared" si="14"/>
        <v>241500000</v>
      </c>
      <c r="BR31" s="129">
        <f t="shared" si="14"/>
        <v>241500000</v>
      </c>
      <c r="BS31" s="129">
        <f t="shared" si="14"/>
        <v>241500000</v>
      </c>
      <c r="BT31" s="129">
        <f t="shared" si="14"/>
        <v>241500000</v>
      </c>
      <c r="BU31" s="129">
        <f t="shared" si="14"/>
        <v>241500000</v>
      </c>
      <c r="BV31" s="129">
        <f t="shared" si="14"/>
        <v>241500000</v>
      </c>
      <c r="BW31" s="129">
        <f t="shared" si="14"/>
        <v>241500000</v>
      </c>
      <c r="BX31" s="129">
        <f t="shared" si="14"/>
        <v>241500000</v>
      </c>
      <c r="BY31" s="129">
        <f t="shared" si="14"/>
        <v>241500000</v>
      </c>
      <c r="BZ31" s="129">
        <f t="shared" si="14"/>
        <v>241500000</v>
      </c>
      <c r="CA31" s="129">
        <f t="shared" si="14"/>
        <v>241500000</v>
      </c>
      <c r="CB31" s="129">
        <f t="shared" si="14"/>
        <v>241500000</v>
      </c>
      <c r="CC31" s="129">
        <f t="shared" ref="CC31:EN31" si="15">CB31</f>
        <v>241500000</v>
      </c>
      <c r="CD31" s="129">
        <f t="shared" si="15"/>
        <v>241500000</v>
      </c>
      <c r="CE31" s="129">
        <f t="shared" si="15"/>
        <v>241500000</v>
      </c>
      <c r="CF31" s="129">
        <f t="shared" si="15"/>
        <v>241500000</v>
      </c>
      <c r="CG31" s="129">
        <f t="shared" si="15"/>
        <v>241500000</v>
      </c>
      <c r="CH31" s="129">
        <f t="shared" si="15"/>
        <v>241500000</v>
      </c>
      <c r="CI31" s="129">
        <f t="shared" si="15"/>
        <v>241500000</v>
      </c>
      <c r="CJ31" s="129">
        <f t="shared" si="15"/>
        <v>241500000</v>
      </c>
      <c r="CK31" s="129">
        <f t="shared" si="15"/>
        <v>241500000</v>
      </c>
      <c r="CL31" s="129">
        <f t="shared" si="15"/>
        <v>241500000</v>
      </c>
      <c r="CM31" s="129">
        <f t="shared" si="15"/>
        <v>241500000</v>
      </c>
      <c r="CN31" s="129">
        <f t="shared" si="15"/>
        <v>241500000</v>
      </c>
      <c r="CO31" s="129">
        <f t="shared" si="15"/>
        <v>241500000</v>
      </c>
      <c r="CP31" s="129">
        <f t="shared" si="15"/>
        <v>241500000</v>
      </c>
      <c r="CQ31" s="129">
        <f t="shared" si="15"/>
        <v>241500000</v>
      </c>
      <c r="CR31" s="129">
        <f t="shared" si="15"/>
        <v>241500000</v>
      </c>
      <c r="CS31" s="129">
        <f t="shared" si="15"/>
        <v>241500000</v>
      </c>
      <c r="CT31" s="129">
        <f t="shared" si="15"/>
        <v>241500000</v>
      </c>
      <c r="CU31" s="129">
        <f t="shared" si="15"/>
        <v>241500000</v>
      </c>
      <c r="CV31" s="129">
        <f t="shared" si="15"/>
        <v>241500000</v>
      </c>
      <c r="CW31" s="129">
        <f t="shared" si="15"/>
        <v>241500000</v>
      </c>
      <c r="CX31" s="129">
        <f t="shared" si="15"/>
        <v>241500000</v>
      </c>
      <c r="CY31" s="129">
        <f t="shared" si="15"/>
        <v>241500000</v>
      </c>
      <c r="CZ31" s="129">
        <f t="shared" si="15"/>
        <v>241500000</v>
      </c>
      <c r="DA31" s="129">
        <f t="shared" si="15"/>
        <v>241500000</v>
      </c>
      <c r="DB31" s="129">
        <f t="shared" si="15"/>
        <v>241500000</v>
      </c>
      <c r="DC31" s="129">
        <f t="shared" si="15"/>
        <v>241500000</v>
      </c>
      <c r="DD31" s="129">
        <f t="shared" si="15"/>
        <v>241500000</v>
      </c>
      <c r="DE31" s="129">
        <f t="shared" si="15"/>
        <v>241500000</v>
      </c>
      <c r="DF31" s="129">
        <f t="shared" si="15"/>
        <v>241500000</v>
      </c>
      <c r="DG31" s="129">
        <f t="shared" si="15"/>
        <v>241500000</v>
      </c>
      <c r="DH31" s="129">
        <f t="shared" si="15"/>
        <v>241500000</v>
      </c>
      <c r="DI31" s="129">
        <f t="shared" si="15"/>
        <v>241500000</v>
      </c>
      <c r="DJ31" s="129">
        <f t="shared" si="15"/>
        <v>241500000</v>
      </c>
      <c r="DK31" s="129">
        <f t="shared" si="15"/>
        <v>241500000</v>
      </c>
      <c r="DL31" s="129">
        <f t="shared" si="15"/>
        <v>241500000</v>
      </c>
      <c r="DM31" s="129">
        <f t="shared" si="15"/>
        <v>241500000</v>
      </c>
      <c r="DN31" s="129">
        <f t="shared" si="15"/>
        <v>241500000</v>
      </c>
      <c r="DO31" s="129">
        <f t="shared" si="15"/>
        <v>241500000</v>
      </c>
      <c r="DP31" s="129">
        <f t="shared" si="15"/>
        <v>241500000</v>
      </c>
      <c r="DQ31" s="129">
        <f t="shared" si="15"/>
        <v>241500000</v>
      </c>
      <c r="DR31" s="129">
        <f t="shared" si="15"/>
        <v>241500000</v>
      </c>
      <c r="DS31" s="129">
        <f t="shared" si="15"/>
        <v>241500000</v>
      </c>
      <c r="DT31" s="129">
        <f t="shared" si="15"/>
        <v>241500000</v>
      </c>
      <c r="DU31" s="129">
        <f t="shared" si="15"/>
        <v>241500000</v>
      </c>
      <c r="DV31" s="129">
        <f t="shared" si="15"/>
        <v>241500000</v>
      </c>
      <c r="DW31" s="129">
        <f t="shared" si="15"/>
        <v>241500000</v>
      </c>
      <c r="DX31" s="129">
        <f t="shared" si="15"/>
        <v>241500000</v>
      </c>
      <c r="DY31" s="129">
        <f t="shared" si="15"/>
        <v>241500000</v>
      </c>
      <c r="DZ31" s="129">
        <f t="shared" si="15"/>
        <v>241500000</v>
      </c>
      <c r="EA31" s="129">
        <f t="shared" si="15"/>
        <v>241500000</v>
      </c>
      <c r="EB31" s="129">
        <f t="shared" si="15"/>
        <v>241500000</v>
      </c>
      <c r="EC31" s="129">
        <f t="shared" si="15"/>
        <v>241500000</v>
      </c>
      <c r="ED31" s="129">
        <f t="shared" si="15"/>
        <v>241500000</v>
      </c>
      <c r="EE31" s="129">
        <f t="shared" si="15"/>
        <v>241500000</v>
      </c>
      <c r="EF31" s="129">
        <f t="shared" si="15"/>
        <v>241500000</v>
      </c>
      <c r="EG31" s="129">
        <f t="shared" si="15"/>
        <v>241500000</v>
      </c>
      <c r="EH31" s="129">
        <f t="shared" si="15"/>
        <v>241500000</v>
      </c>
      <c r="EI31" s="129">
        <f t="shared" si="15"/>
        <v>241500000</v>
      </c>
      <c r="EJ31" s="129">
        <f t="shared" si="15"/>
        <v>241500000</v>
      </c>
      <c r="EK31" s="129">
        <f t="shared" si="15"/>
        <v>241500000</v>
      </c>
      <c r="EL31" s="129">
        <f t="shared" si="15"/>
        <v>241500000</v>
      </c>
      <c r="EM31" s="129">
        <f t="shared" si="15"/>
        <v>241500000</v>
      </c>
      <c r="EN31" s="129">
        <f t="shared" si="15"/>
        <v>241500000</v>
      </c>
      <c r="EO31" s="129">
        <f t="shared" ref="EO31:FH31" si="16">EN31</f>
        <v>241500000</v>
      </c>
      <c r="EP31" s="129">
        <f t="shared" si="16"/>
        <v>241500000</v>
      </c>
      <c r="EQ31" s="129">
        <f t="shared" si="16"/>
        <v>241500000</v>
      </c>
      <c r="ER31" s="129">
        <f t="shared" si="16"/>
        <v>241500000</v>
      </c>
      <c r="ES31" s="129">
        <f t="shared" si="16"/>
        <v>241500000</v>
      </c>
      <c r="ET31" s="129">
        <f t="shared" si="16"/>
        <v>241500000</v>
      </c>
      <c r="EU31" s="129">
        <f t="shared" si="16"/>
        <v>241500000</v>
      </c>
      <c r="EV31" s="129">
        <f t="shared" si="16"/>
        <v>241500000</v>
      </c>
      <c r="EW31" s="129">
        <f t="shared" si="16"/>
        <v>241500000</v>
      </c>
      <c r="EX31" s="129">
        <f t="shared" si="16"/>
        <v>241500000</v>
      </c>
      <c r="EY31" s="129">
        <f t="shared" si="16"/>
        <v>241500000</v>
      </c>
      <c r="EZ31" s="129">
        <f t="shared" si="16"/>
        <v>241500000</v>
      </c>
      <c r="FA31" s="129">
        <f t="shared" si="16"/>
        <v>241500000</v>
      </c>
      <c r="FB31" s="129">
        <f t="shared" si="16"/>
        <v>241500000</v>
      </c>
      <c r="FC31" s="129">
        <f t="shared" si="16"/>
        <v>241500000</v>
      </c>
      <c r="FD31" s="129">
        <f t="shared" si="16"/>
        <v>241500000</v>
      </c>
      <c r="FE31" s="129">
        <f t="shared" si="16"/>
        <v>241500000</v>
      </c>
      <c r="FF31" s="129">
        <f t="shared" si="16"/>
        <v>241500000</v>
      </c>
      <c r="FG31" s="129">
        <f t="shared" si="16"/>
        <v>241500000</v>
      </c>
      <c r="FH31" s="129">
        <f t="shared" si="16"/>
        <v>241500000</v>
      </c>
    </row>
    <row r="32" spans="3:164" x14ac:dyDescent="0.2">
      <c r="C32" s="46"/>
      <c r="D32" s="46"/>
      <c r="E32" s="43"/>
    </row>
    <row r="33" spans="3:121" x14ac:dyDescent="0.2">
      <c r="C33" s="49" t="s">
        <v>46</v>
      </c>
      <c r="D33" s="98"/>
      <c r="E33" s="48">
        <f>IRR(E31:O31)</f>
        <v>9.7497619175073824E-2</v>
      </c>
    </row>
    <row r="35" spans="3:121" x14ac:dyDescent="0.2">
      <c r="E35" s="81"/>
    </row>
    <row r="36" spans="3:121" x14ac:dyDescent="0.2">
      <c r="E36" t="s">
        <v>54</v>
      </c>
    </row>
    <row r="38" spans="3:121" x14ac:dyDescent="0.2">
      <c r="D38" t="s">
        <v>101</v>
      </c>
      <c r="E38" s="135">
        <f>NPV(6%,F31,G31,H31:O31)</f>
        <v>1777461022.9166491</v>
      </c>
    </row>
    <row r="39" spans="3:121" x14ac:dyDescent="0.2">
      <c r="D39" t="s">
        <v>102</v>
      </c>
    </row>
    <row r="41" spans="3:121" x14ac:dyDescent="0.2">
      <c r="E41" s="129">
        <f>E31</f>
        <v>-1500000000</v>
      </c>
      <c r="F41" s="88">
        <f>Questão2!$C$36</f>
        <v>151450000</v>
      </c>
      <c r="G41" s="88">
        <f>Questão2!$C$36</f>
        <v>151450000</v>
      </c>
      <c r="H41" s="88">
        <f>Questão2!$C$36</f>
        <v>151450000</v>
      </c>
      <c r="I41" s="88">
        <f>Questão2!$C$36</f>
        <v>151450000</v>
      </c>
      <c r="J41" s="88">
        <f>Questão2!$C$36</f>
        <v>151450000</v>
      </c>
      <c r="K41" s="88">
        <f>Questão2!$C$36</f>
        <v>151450000</v>
      </c>
      <c r="L41" s="88">
        <f>Questão2!$C$36</f>
        <v>151450000</v>
      </c>
      <c r="M41" s="88">
        <f>Questão2!$C$36</f>
        <v>151450000</v>
      </c>
      <c r="N41" s="88">
        <f>Questão2!$C$36</f>
        <v>151450000</v>
      </c>
      <c r="O41" s="88">
        <f>Questão2!$C$36</f>
        <v>151450000</v>
      </c>
      <c r="P41" s="88">
        <f>Questão2!$C$36</f>
        <v>151450000</v>
      </c>
      <c r="Q41" s="88">
        <f>Questão2!$C$36</f>
        <v>151450000</v>
      </c>
      <c r="R41" s="88">
        <f>Questão2!$C$36</f>
        <v>151450000</v>
      </c>
      <c r="S41" s="88">
        <f>Questão2!$C$36</f>
        <v>151450000</v>
      </c>
      <c r="T41" s="88">
        <f>Questão2!$C$36</f>
        <v>151450000</v>
      </c>
      <c r="U41" s="88">
        <f>Questão2!$C$36</f>
        <v>151450000</v>
      </c>
      <c r="V41" s="88">
        <f>Questão2!$C$36</f>
        <v>151450000</v>
      </c>
      <c r="W41" s="88">
        <f>Questão2!$C$36</f>
        <v>151450000</v>
      </c>
      <c r="X41" s="88">
        <f>Questão2!$C$36</f>
        <v>151450000</v>
      </c>
      <c r="Y41" s="88">
        <f>Questão2!$C$36</f>
        <v>151450000</v>
      </c>
      <c r="Z41" s="88">
        <f>Questão2!$C$36</f>
        <v>151450000</v>
      </c>
      <c r="AA41" s="88">
        <f>Questão2!$C$36</f>
        <v>151450000</v>
      </c>
      <c r="AB41" s="88">
        <f>Questão2!$C$36</f>
        <v>151450000</v>
      </c>
      <c r="AC41" s="88">
        <f>Questão2!$C$36</f>
        <v>151450000</v>
      </c>
      <c r="AD41" s="88">
        <f>Questão2!$C$36</f>
        <v>151450000</v>
      </c>
      <c r="AE41" s="88">
        <f>Questão2!$C$36</f>
        <v>151450000</v>
      </c>
      <c r="AF41" s="88">
        <f>Questão2!$C$36</f>
        <v>151450000</v>
      </c>
      <c r="AG41" s="88">
        <f>Questão2!$C$36</f>
        <v>151450000</v>
      </c>
      <c r="AH41" s="88">
        <f>Questão2!$C$36</f>
        <v>151450000</v>
      </c>
      <c r="AI41" s="88">
        <f>Questão2!$C$36</f>
        <v>151450000</v>
      </c>
      <c r="AJ41" s="88">
        <f>Questão2!$C$36</f>
        <v>151450000</v>
      </c>
      <c r="AK41" s="88">
        <f>Questão2!$C$36</f>
        <v>151450000</v>
      </c>
      <c r="AL41" s="88">
        <f>Questão2!$C$36</f>
        <v>151450000</v>
      </c>
      <c r="AM41" s="88">
        <f>Questão2!$C$36</f>
        <v>151450000</v>
      </c>
      <c r="AN41" s="88">
        <f>Questão2!$C$36</f>
        <v>151450000</v>
      </c>
      <c r="AO41" s="88">
        <f>Questão2!$C$36</f>
        <v>151450000</v>
      </c>
      <c r="AP41" s="88">
        <f>Questão2!$C$36</f>
        <v>151450000</v>
      </c>
      <c r="AQ41" s="88">
        <f>Questão2!$C$36</f>
        <v>151450000</v>
      </c>
      <c r="AR41" s="88">
        <f>Questão2!$C$36</f>
        <v>151450000</v>
      </c>
      <c r="AS41" s="88">
        <f>Questão2!$C$36</f>
        <v>151450000</v>
      </c>
      <c r="AT41" s="88">
        <f>Questão2!$C$36</f>
        <v>151450000</v>
      </c>
      <c r="AU41" s="88">
        <f>Questão2!$C$36</f>
        <v>151450000</v>
      </c>
      <c r="AV41" s="88">
        <f>Questão2!$C$36</f>
        <v>151450000</v>
      </c>
      <c r="AW41" s="88">
        <f>Questão2!$C$36</f>
        <v>151450000</v>
      </c>
      <c r="AX41" s="88">
        <f>Questão2!$C$36</f>
        <v>151450000</v>
      </c>
      <c r="AY41" s="88">
        <f>Questão2!$C$36</f>
        <v>151450000</v>
      </c>
      <c r="AZ41" s="88">
        <f>Questão2!$C$36</f>
        <v>151450000</v>
      </c>
      <c r="BA41" s="88">
        <f>Questão2!$C$36</f>
        <v>151450000</v>
      </c>
      <c r="BB41" s="88">
        <f>Questão2!$C$36</f>
        <v>151450000</v>
      </c>
      <c r="BC41" s="88">
        <f>Questão2!$C$36</f>
        <v>151450000</v>
      </c>
      <c r="BD41" s="88">
        <f>Questão2!$C$36</f>
        <v>151450000</v>
      </c>
      <c r="BE41" s="88">
        <f>Questão2!$C$36</f>
        <v>151450000</v>
      </c>
      <c r="BF41" s="88">
        <f>Questão2!$C$36</f>
        <v>151450000</v>
      </c>
      <c r="BG41" s="88">
        <f>Questão2!$C$36</f>
        <v>151450000</v>
      </c>
      <c r="BH41" s="88">
        <f>Questão2!$C$36</f>
        <v>151450000</v>
      </c>
      <c r="BI41" s="88">
        <f>Questão2!$C$36</f>
        <v>151450000</v>
      </c>
      <c r="BJ41" s="88">
        <f>Questão2!$C$36</f>
        <v>151450000</v>
      </c>
      <c r="BK41" s="88">
        <f>Questão2!$C$36</f>
        <v>151450000</v>
      </c>
      <c r="BL41" s="88">
        <f>Questão2!$C$36</f>
        <v>151450000</v>
      </c>
      <c r="BM41" s="88">
        <f>Questão2!$C$36</f>
        <v>151450000</v>
      </c>
      <c r="BN41" s="88">
        <f>Questão2!$C$36</f>
        <v>151450000</v>
      </c>
      <c r="BO41" s="88">
        <f>Questão2!$C$36</f>
        <v>151450000</v>
      </c>
      <c r="BP41" s="88">
        <f>Questão2!$C$36</f>
        <v>151450000</v>
      </c>
      <c r="BQ41" s="88">
        <f>Questão2!$C$36</f>
        <v>151450000</v>
      </c>
      <c r="BR41" s="88">
        <f>Questão2!$C$36</f>
        <v>151450000</v>
      </c>
      <c r="BS41" s="88">
        <f>Questão2!$C$36</f>
        <v>151450000</v>
      </c>
      <c r="BT41" s="88">
        <f>Questão2!$C$36</f>
        <v>151450000</v>
      </c>
      <c r="BU41" s="88">
        <f>Questão2!$C$36</f>
        <v>151450000</v>
      </c>
      <c r="BV41" s="88">
        <f>Questão2!$C$36</f>
        <v>151450000</v>
      </c>
      <c r="BW41" s="88">
        <f>Questão2!$C$36</f>
        <v>151450000</v>
      </c>
      <c r="BX41" s="88">
        <f>Questão2!$C$36</f>
        <v>151450000</v>
      </c>
      <c r="BY41" s="88">
        <f>Questão2!$C$36</f>
        <v>151450000</v>
      </c>
      <c r="BZ41" s="88">
        <f>Questão2!$C$36</f>
        <v>151450000</v>
      </c>
      <c r="CA41" s="88">
        <f>Questão2!$C$36</f>
        <v>151450000</v>
      </c>
      <c r="CB41" s="88">
        <f>Questão2!$C$36</f>
        <v>151450000</v>
      </c>
      <c r="CC41" s="88">
        <f>Questão2!$C$36</f>
        <v>151450000</v>
      </c>
      <c r="CD41" s="88">
        <f>Questão2!$C$36</f>
        <v>151450000</v>
      </c>
      <c r="CE41" s="88">
        <f>Questão2!$C$36</f>
        <v>151450000</v>
      </c>
      <c r="CF41" s="88">
        <f>Questão2!$C$36</f>
        <v>151450000</v>
      </c>
      <c r="CG41" s="88">
        <f>Questão2!$C$36</f>
        <v>151450000</v>
      </c>
      <c r="CH41" s="88">
        <f>Questão2!$C$36</f>
        <v>151450000</v>
      </c>
      <c r="CI41" s="88">
        <f>Questão2!$C$36</f>
        <v>151450000</v>
      </c>
      <c r="CJ41" s="88">
        <f>Questão2!$C$36</f>
        <v>151450000</v>
      </c>
      <c r="CK41" s="88">
        <f>Questão2!$C$36</f>
        <v>151450000</v>
      </c>
      <c r="CL41" s="88">
        <f>Questão2!$C$36</f>
        <v>151450000</v>
      </c>
      <c r="CM41" s="88">
        <f>Questão2!$C$36</f>
        <v>151450000</v>
      </c>
      <c r="CN41" s="88">
        <f>Questão2!$C$36</f>
        <v>151450000</v>
      </c>
      <c r="CO41" s="88">
        <f>Questão2!$C$36</f>
        <v>151450000</v>
      </c>
      <c r="CP41" s="88">
        <f>Questão2!$C$36</f>
        <v>151450000</v>
      </c>
      <c r="CQ41" s="88">
        <f>Questão2!$C$36</f>
        <v>151450000</v>
      </c>
      <c r="CR41" s="88">
        <f>Questão2!$C$36</f>
        <v>151450000</v>
      </c>
      <c r="CS41" s="88">
        <f>Questão2!$C$36</f>
        <v>151450000</v>
      </c>
      <c r="CT41" s="88">
        <f>Questão2!$C$36</f>
        <v>151450000</v>
      </c>
      <c r="CU41" s="88">
        <f>Questão2!$C$36</f>
        <v>151450000</v>
      </c>
      <c r="CV41" s="88">
        <f>Questão2!$C$36</f>
        <v>151450000</v>
      </c>
      <c r="CW41" s="88">
        <f>Questão2!$C$36</f>
        <v>151450000</v>
      </c>
      <c r="CX41" s="88">
        <f>Questão2!$C$36</f>
        <v>151450000</v>
      </c>
      <c r="CY41" s="88">
        <f>Questão2!$C$36</f>
        <v>151450000</v>
      </c>
      <c r="CZ41" s="88">
        <f>Questão2!$C$36</f>
        <v>151450000</v>
      </c>
      <c r="DA41" s="88">
        <f>Questão2!$C$36</f>
        <v>151450000</v>
      </c>
      <c r="DB41" s="88">
        <f>Questão2!$C$36</f>
        <v>151450000</v>
      </c>
      <c r="DC41" s="88">
        <f>Questão2!$C$36</f>
        <v>151450000</v>
      </c>
      <c r="DD41" s="88">
        <f>Questão2!$C$36</f>
        <v>151450000</v>
      </c>
      <c r="DE41" s="88">
        <f>Questão2!$C$36</f>
        <v>151450000</v>
      </c>
      <c r="DF41" s="88">
        <f>Questão2!$C$36</f>
        <v>151450000</v>
      </c>
      <c r="DG41" s="88">
        <f>Questão2!$C$36</f>
        <v>151450000</v>
      </c>
      <c r="DH41" s="88">
        <f>Questão2!$C$36</f>
        <v>151450000</v>
      </c>
      <c r="DI41" s="88">
        <f>Questão2!$C$36</f>
        <v>151450000</v>
      </c>
      <c r="DJ41" s="88">
        <f>Questão2!$C$36</f>
        <v>151450000</v>
      </c>
      <c r="DK41" s="88">
        <f>Questão2!$C$36</f>
        <v>151450000</v>
      </c>
      <c r="DL41" s="88">
        <f>Questão2!$C$36</f>
        <v>151450000</v>
      </c>
      <c r="DM41" s="88">
        <f>Questão2!$C$36</f>
        <v>151450000</v>
      </c>
      <c r="DN41" s="88">
        <f>Questão2!$C$36</f>
        <v>151450000</v>
      </c>
      <c r="DO41" s="88">
        <f>Questão2!$C$36</f>
        <v>151450000</v>
      </c>
      <c r="DP41" s="88">
        <f>Questão2!$C$36</f>
        <v>151450000</v>
      </c>
      <c r="DQ41" s="88">
        <f>Questão2!$C$36</f>
        <v>151450000</v>
      </c>
    </row>
    <row r="44" spans="3:121" x14ac:dyDescent="0.2">
      <c r="E44" t="s">
        <v>99</v>
      </c>
    </row>
    <row r="45" spans="3:121" x14ac:dyDescent="0.2">
      <c r="E45" s="133">
        <f>IRR(E41:DP41)</f>
        <v>0.1009650809690672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3436-9C80-764C-8AAA-77A2F5766353}">
  <dimension ref="A1:F28"/>
  <sheetViews>
    <sheetView workbookViewId="0">
      <selection activeCell="I21" sqref="I21"/>
    </sheetView>
  </sheetViews>
  <sheetFormatPr baseColWidth="10" defaultRowHeight="16" x14ac:dyDescent="0.2"/>
  <cols>
    <col min="4" max="4" width="12.83203125" bestFit="1" customWidth="1"/>
    <col min="5" max="5" width="14.1640625" customWidth="1"/>
    <col min="6" max="6" width="12.83203125" bestFit="1" customWidth="1"/>
  </cols>
  <sheetData>
    <row r="1" spans="1:6" x14ac:dyDescent="0.2">
      <c r="B1" t="s">
        <v>76</v>
      </c>
    </row>
    <row r="2" spans="1:6" x14ac:dyDescent="0.2">
      <c r="D2" s="1" t="s">
        <v>70</v>
      </c>
      <c r="F2" t="s">
        <v>75</v>
      </c>
    </row>
    <row r="3" spans="1:6" x14ac:dyDescent="0.2">
      <c r="D3" s="1"/>
    </row>
    <row r="4" spans="1:6" x14ac:dyDescent="0.2">
      <c r="B4" t="s">
        <v>72</v>
      </c>
      <c r="D4" s="127">
        <f>DADOS!C15+DADOS!C17</f>
        <v>0.25</v>
      </c>
    </row>
    <row r="5" spans="1:6" x14ac:dyDescent="0.2">
      <c r="B5" t="s">
        <v>73</v>
      </c>
      <c r="D5" s="128">
        <f>DADOS!C20</f>
        <v>4800000</v>
      </c>
      <c r="F5" s="126">
        <f>DADOS!C21</f>
        <v>2200000</v>
      </c>
    </row>
    <row r="6" spans="1:6" x14ac:dyDescent="0.2">
      <c r="B6" t="s">
        <v>77</v>
      </c>
      <c r="D6" s="127">
        <f>Questao1!C11</f>
        <v>0.43</v>
      </c>
      <c r="F6" s="125">
        <f>Questao1!D11</f>
        <v>0.53</v>
      </c>
    </row>
    <row r="7" spans="1:6" x14ac:dyDescent="0.2">
      <c r="B7" t="s">
        <v>74</v>
      </c>
      <c r="D7" s="128">
        <f>D5/(1-(D6+D4))</f>
        <v>14999999.999999996</v>
      </c>
      <c r="F7" s="126">
        <f>F5/(1-(F6+D4))</f>
        <v>10000000.000000002</v>
      </c>
    </row>
    <row r="8" spans="1:6" x14ac:dyDescent="0.2">
      <c r="C8" s="85"/>
    </row>
    <row r="9" spans="1:6" x14ac:dyDescent="0.2">
      <c r="B9" s="81" t="s">
        <v>76</v>
      </c>
      <c r="D9" s="88">
        <f>D7/D5</f>
        <v>3.1249999999999991</v>
      </c>
      <c r="F9" s="88">
        <f>F7/F5</f>
        <v>4.5454545454545459</v>
      </c>
    </row>
    <row r="11" spans="1:6" x14ac:dyDescent="0.2">
      <c r="C11" t="s">
        <v>87</v>
      </c>
      <c r="E11" s="131" t="s">
        <v>92</v>
      </c>
    </row>
    <row r="12" spans="1:6" x14ac:dyDescent="0.2">
      <c r="C12" t="s">
        <v>88</v>
      </c>
    </row>
    <row r="13" spans="1:6" x14ac:dyDescent="0.2">
      <c r="C13">
        <f>4800+(0.25*15000)+(0.43*15000)</f>
        <v>15000</v>
      </c>
    </row>
    <row r="14" spans="1:6" x14ac:dyDescent="0.2">
      <c r="C14" s="81"/>
      <c r="E14">
        <f>D4*C13</f>
        <v>3750</v>
      </c>
      <c r="F14" t="s">
        <v>89</v>
      </c>
    </row>
    <row r="15" spans="1:6" x14ac:dyDescent="0.2">
      <c r="E15" s="126">
        <f>D6*D7</f>
        <v>6449999.9999999981</v>
      </c>
      <c r="F15" t="s">
        <v>90</v>
      </c>
    </row>
    <row r="16" spans="1:6" x14ac:dyDescent="0.2">
      <c r="A16" t="s">
        <v>93</v>
      </c>
      <c r="E16" s="126">
        <f>D5</f>
        <v>4800000</v>
      </c>
    </row>
    <row r="17" spans="1:6" x14ac:dyDescent="0.2">
      <c r="A17" t="s">
        <v>94</v>
      </c>
      <c r="E17">
        <f>SUM(E14:E16)</f>
        <v>11253749.999999998</v>
      </c>
      <c r="F17" t="s">
        <v>91</v>
      </c>
    </row>
    <row r="19" spans="1:6" x14ac:dyDescent="0.2">
      <c r="E19">
        <f>C13/E17</f>
        <v>1.332889036987671E-3</v>
      </c>
    </row>
    <row r="20" spans="1:6" x14ac:dyDescent="0.2">
      <c r="A20" t="s">
        <v>83</v>
      </c>
      <c r="B20" t="s">
        <v>84</v>
      </c>
    </row>
    <row r="23" spans="1:6" x14ac:dyDescent="0.2">
      <c r="D23">
        <f>1/(1-0.68)</f>
        <v>3.1250000000000004</v>
      </c>
    </row>
    <row r="26" spans="1:6" x14ac:dyDescent="0.2">
      <c r="D26">
        <f>13.75%</f>
        <v>0.13750000000000001</v>
      </c>
    </row>
    <row r="27" spans="1:6" x14ac:dyDescent="0.2">
      <c r="D27" s="125">
        <v>0.08</v>
      </c>
    </row>
    <row r="28" spans="1:6" x14ac:dyDescent="0.2">
      <c r="D28">
        <f>(1+D26)/(1+D27)</f>
        <v>1.0532407407407407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4312-144A-D44A-95DB-1B00273EDB6C}">
  <dimension ref="B5:E21"/>
  <sheetViews>
    <sheetView tabSelected="1" workbookViewId="0">
      <selection activeCell="H22" sqref="H22"/>
    </sheetView>
  </sheetViews>
  <sheetFormatPr baseColWidth="10" defaultRowHeight="16" x14ac:dyDescent="0.2"/>
  <cols>
    <col min="4" max="4" width="15.5" customWidth="1"/>
    <col min="5" max="5" width="13.6640625" customWidth="1"/>
  </cols>
  <sheetData>
    <row r="5" spans="2:5" x14ac:dyDescent="0.2">
      <c r="B5" s="153" t="s">
        <v>103</v>
      </c>
      <c r="C5" s="154"/>
      <c r="D5" s="151" t="s">
        <v>104</v>
      </c>
      <c r="E5" s="151" t="s">
        <v>105</v>
      </c>
    </row>
    <row r="6" spans="2:5" x14ac:dyDescent="0.2">
      <c r="B6" s="151">
        <v>1</v>
      </c>
      <c r="C6" s="152">
        <v>45092</v>
      </c>
      <c r="D6" s="151" t="s">
        <v>106</v>
      </c>
      <c r="E6" s="151">
        <v>18</v>
      </c>
    </row>
    <row r="7" spans="2:5" x14ac:dyDescent="0.2">
      <c r="B7" s="151">
        <v>2</v>
      </c>
      <c r="C7" s="152">
        <v>45096</v>
      </c>
      <c r="D7" s="151" t="s">
        <v>107</v>
      </c>
      <c r="E7" s="151"/>
    </row>
    <row r="8" spans="2:5" x14ac:dyDescent="0.2">
      <c r="B8" s="151">
        <v>3</v>
      </c>
      <c r="C8" s="152">
        <v>45099</v>
      </c>
      <c r="D8" s="151" t="s">
        <v>108</v>
      </c>
      <c r="E8" s="151"/>
    </row>
    <row r="9" spans="2:5" x14ac:dyDescent="0.2">
      <c r="B9" s="151">
        <v>4</v>
      </c>
      <c r="C9" s="152">
        <v>45103</v>
      </c>
      <c r="D9" s="151" t="s">
        <v>109</v>
      </c>
      <c r="E9" s="151"/>
    </row>
    <row r="10" spans="2:5" x14ac:dyDescent="0.2">
      <c r="B10" s="151">
        <v>5</v>
      </c>
      <c r="C10" s="152">
        <v>45106</v>
      </c>
      <c r="D10" s="151" t="s">
        <v>110</v>
      </c>
      <c r="E10" s="151"/>
    </row>
    <row r="11" spans="2:5" x14ac:dyDescent="0.2">
      <c r="B11" s="151">
        <v>6</v>
      </c>
      <c r="C11" s="152">
        <v>45110</v>
      </c>
      <c r="D11" s="151" t="s">
        <v>111</v>
      </c>
      <c r="E11" s="151">
        <v>11</v>
      </c>
    </row>
    <row r="12" spans="2:5" x14ac:dyDescent="0.2">
      <c r="B12" s="151"/>
      <c r="C12" s="151"/>
      <c r="D12" s="151"/>
      <c r="E12" s="151"/>
    </row>
    <row r="13" spans="2:5" x14ac:dyDescent="0.2">
      <c r="B13" s="151" t="s">
        <v>112</v>
      </c>
      <c r="C13" s="151">
        <v>30</v>
      </c>
      <c r="D13" s="151"/>
      <c r="E13" s="151"/>
    </row>
    <row r="14" spans="2:5" x14ac:dyDescent="0.2">
      <c r="B14" s="151" t="s">
        <v>113</v>
      </c>
      <c r="C14" s="151">
        <v>5</v>
      </c>
      <c r="D14" s="151"/>
      <c r="E14" s="151"/>
    </row>
    <row r="17" spans="2:4" x14ac:dyDescent="0.2">
      <c r="B17" s="158" t="s">
        <v>114</v>
      </c>
      <c r="C17" s="159"/>
      <c r="D17" s="155"/>
    </row>
    <row r="18" spans="2:4" x14ac:dyDescent="0.2">
      <c r="B18" s="157">
        <v>1</v>
      </c>
      <c r="C18" s="160">
        <v>45075</v>
      </c>
      <c r="D18" s="156" t="s">
        <v>115</v>
      </c>
    </row>
    <row r="19" spans="2:4" x14ac:dyDescent="0.2">
      <c r="B19" s="157">
        <v>2</v>
      </c>
      <c r="C19" s="160">
        <v>45078</v>
      </c>
      <c r="D19" s="156"/>
    </row>
    <row r="20" spans="2:4" x14ac:dyDescent="0.2">
      <c r="B20" s="157">
        <v>3</v>
      </c>
      <c r="C20" s="160">
        <v>45082</v>
      </c>
      <c r="D20" s="156"/>
    </row>
    <row r="21" spans="2:4" x14ac:dyDescent="0.2">
      <c r="B21" s="157">
        <v>4</v>
      </c>
      <c r="C21" s="160">
        <v>45089</v>
      </c>
      <c r="D21" s="156"/>
    </row>
  </sheetData>
  <mergeCells count="3">
    <mergeCell ref="B5:C5"/>
    <mergeCell ref="D18:D21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DADOS</vt:lpstr>
      <vt:lpstr>Questao1</vt:lpstr>
      <vt:lpstr>Questão2</vt:lpstr>
      <vt:lpstr>Questão3</vt:lpstr>
      <vt:lpstr>Questão4</vt:lpstr>
      <vt:lpstr>Questao5</vt:lpstr>
      <vt:lpstr>datas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Kok</dc:creator>
  <cp:lastModifiedBy>Microsoft Office User</cp:lastModifiedBy>
  <dcterms:created xsi:type="dcterms:W3CDTF">2020-05-29T12:22:20Z</dcterms:created>
  <dcterms:modified xsi:type="dcterms:W3CDTF">2023-05-29T12:15:45Z</dcterms:modified>
</cp:coreProperties>
</file>