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00" tabRatio="945" activeTab="7"/>
  </bookViews>
  <sheets>
    <sheet name="Questões" sheetId="1" r:id="rId1"/>
    <sheet name="(1) Ex 1 - Custeio Direto" sheetId="2" r:id="rId2"/>
    <sheet name="(2) Ex 1 - Custeio por Absorção" sheetId="3" r:id="rId3"/>
    <sheet name="(3) Ex 1 - Custeio ABC Fábrica" sheetId="4" r:id="rId4"/>
    <sheet name="(4) Ex 1 - Custeio ABC - Empres" sheetId="5" r:id="rId5"/>
    <sheet name="(5) eX 1 - Custeio Pleno" sheetId="6" r:id="rId6"/>
    <sheet name="EX.1 ABC" sheetId="7" r:id="rId7"/>
    <sheet name="EX.2 ABC" sheetId="8" r:id="rId8"/>
  </sheets>
  <definedNames/>
  <calcPr fullCalcOnLoad="1"/>
</workbook>
</file>

<file path=xl/sharedStrings.xml><?xml version="1.0" encoding="utf-8"?>
<sst xmlns="http://schemas.openxmlformats.org/spreadsheetml/2006/main" count="377" uniqueCount="201">
  <si>
    <t>A</t>
  </si>
  <si>
    <t>B</t>
  </si>
  <si>
    <t>No. de lotes inspec</t>
  </si>
  <si>
    <t>No. de horas máquina</t>
  </si>
  <si>
    <t>Material direto [$/u]</t>
  </si>
  <si>
    <t>MOD [$/u]</t>
  </si>
  <si>
    <t>Prod./mês [u]</t>
  </si>
  <si>
    <t>Preço</t>
  </si>
  <si>
    <t>Preço [$/u]</t>
  </si>
  <si>
    <t>Análise de Resultados</t>
  </si>
  <si>
    <t>Tradicional</t>
  </si>
  <si>
    <t>Material</t>
  </si>
  <si>
    <t>MOD</t>
  </si>
  <si>
    <t>CIF rateados</t>
  </si>
  <si>
    <t xml:space="preserve">MODT </t>
  </si>
  <si>
    <t>CIFT</t>
  </si>
  <si>
    <t>$</t>
  </si>
  <si>
    <t>%</t>
  </si>
  <si>
    <t>ABC</t>
  </si>
  <si>
    <t>LT</t>
  </si>
  <si>
    <t>mcu</t>
  </si>
  <si>
    <t>MCT</t>
  </si>
  <si>
    <t>Marg lucro u</t>
  </si>
  <si>
    <t>RT</t>
  </si>
  <si>
    <t>Somente atividades</t>
  </si>
  <si>
    <t>1. Inspecionar</t>
  </si>
  <si>
    <t>3. Controlar Estoques</t>
  </si>
  <si>
    <t>4. Processar Máquinas</t>
  </si>
  <si>
    <t>5. Eng. Indl.</t>
  </si>
  <si>
    <t>1 e 4 serão atribuidas aos produtos</t>
  </si>
  <si>
    <r>
      <t xml:space="preserve">As outros comporão o </t>
    </r>
    <r>
      <rPr>
        <i/>
        <sz val="10"/>
        <rFont val="Arial"/>
        <family val="2"/>
      </rPr>
      <t>overhead</t>
    </r>
  </si>
  <si>
    <t>1. Inspecionar total</t>
  </si>
  <si>
    <t>1. Inspecionar unit.</t>
  </si>
  <si>
    <t>4. Máquinas total</t>
  </si>
  <si>
    <t>4. Máquinas unit.</t>
  </si>
  <si>
    <t>cdu</t>
  </si>
  <si>
    <t>ctu</t>
  </si>
  <si>
    <t>cdu1</t>
  </si>
  <si>
    <t>cdu2</t>
  </si>
  <si>
    <t xml:space="preserve"> </t>
  </si>
  <si>
    <t>OVERHEAD</t>
  </si>
  <si>
    <t>RESULTANTE</t>
  </si>
  <si>
    <t>lucro</t>
  </si>
  <si>
    <t>Emitir faturas</t>
  </si>
  <si>
    <t>Despachar produtos</t>
  </si>
  <si>
    <t>Pagar Fornec</t>
  </si>
  <si>
    <t>Receber Duplicatas</t>
  </si>
  <si>
    <t>No. faturas</t>
  </si>
  <si>
    <t>No. de embarques</t>
  </si>
  <si>
    <t>No. cheques</t>
  </si>
  <si>
    <t>No. de duplicatas</t>
  </si>
  <si>
    <t>ABC ampliado</t>
  </si>
  <si>
    <t>mcu 2</t>
  </si>
  <si>
    <t>MCT 2</t>
  </si>
  <si>
    <t>Emitir unit.</t>
  </si>
  <si>
    <t>Despachar unit.</t>
  </si>
  <si>
    <t>Pagar unit.</t>
  </si>
  <si>
    <t>Reveber duplic</t>
  </si>
  <si>
    <t>Receb unit</t>
  </si>
  <si>
    <t>cdu3</t>
  </si>
  <si>
    <t>mcu3</t>
  </si>
  <si>
    <t>overhead result</t>
  </si>
  <si>
    <t>1. 2 3 total</t>
  </si>
  <si>
    <t>1.2.3.unit.</t>
  </si>
  <si>
    <t xml:space="preserve">  resultante (Eng Indl)</t>
  </si>
  <si>
    <t>total</t>
  </si>
  <si>
    <t>mcu [R$/u.]</t>
  </si>
  <si>
    <t>MCT [R$/mês]</t>
  </si>
  <si>
    <t xml:space="preserve">custeio </t>
  </si>
  <si>
    <t>direto</t>
  </si>
  <si>
    <t>custeio</t>
  </si>
  <si>
    <t>absorção</t>
  </si>
  <si>
    <t>ml [R$/u.]</t>
  </si>
  <si>
    <t>MLT [R$/mês]</t>
  </si>
  <si>
    <t>. CIF - TOTAL</t>
  </si>
  <si>
    <t xml:space="preserve">2. Armazenar </t>
  </si>
  <si>
    <t>mc</t>
  </si>
  <si>
    <t xml:space="preserve"> ABC</t>
  </si>
  <si>
    <t>ampliado</t>
  </si>
  <si>
    <t>ABSORÇÃO</t>
  </si>
  <si>
    <t xml:space="preserve">ABSORÇÃO </t>
  </si>
  <si>
    <t>AMPLIADO</t>
  </si>
  <si>
    <t>cf rateado</t>
  </si>
  <si>
    <t>CIT</t>
  </si>
  <si>
    <t>cut</t>
  </si>
  <si>
    <t>ml</t>
  </si>
  <si>
    <t>full costing</t>
  </si>
  <si>
    <t>A ) Determinada empresa dedica-se à fabricação de dois produtos, com as seguintes características de custos unitários:</t>
  </si>
  <si>
    <t>Material Direto [$/u]</t>
  </si>
  <si>
    <t>Mão-de-Obra Direta[$/u]</t>
  </si>
  <si>
    <t>Produção-mês [u]</t>
  </si>
  <si>
    <t>PREÇO [$/u]</t>
  </si>
  <si>
    <t>Através de entrevistas, análises de dados da contabilidade, verificou-se que os custos indiretos referiam-se às seguintes atividades:</t>
  </si>
  <si>
    <t>Pede-se :</t>
  </si>
  <si>
    <t>Considere que a mesma empresa deseja adotar conceitos de ABC em seu sentido mais amplo, isto é, rastreando também as despesas. Através de entrevistas e consultando registros, conseguiu identificar as seguintes atividades e seus respectivos gastos:</t>
  </si>
  <si>
    <t>`</t>
  </si>
  <si>
    <t>Os custos indiretos de fabricação (CIF) totalizam $ 500.000 por período.</t>
  </si>
  <si>
    <t>O levantamento dos direcionadores (atividades aos objetos de custeio) revelou o seguinte:</t>
  </si>
  <si>
    <t>(já foram aplicados, portanto, os direcionadores dos recursos às atividades)</t>
  </si>
  <si>
    <t>1. Inspecionar armazéns ($/mês)</t>
  </si>
  <si>
    <t>2. Armazenar materiais ($/mês)</t>
  </si>
  <si>
    <t>3. Controlar Estoques ($/mês)</t>
  </si>
  <si>
    <t>4. Processar máquinas  ($/mês)</t>
  </si>
  <si>
    <t>5. Engenharia Indl.  ($/mês)</t>
  </si>
  <si>
    <t xml:space="preserve">(Questão 1) Calcular  o custo e a margem de contribuição de cada produto pelos métodos: custeio direto,  sistema tradicional (rateio à base de custo total de MOD), e pelo custeio baseado em atividades (ABC na fábrica). </t>
  </si>
  <si>
    <t>2. Despachar Produtos ($/mês)</t>
  </si>
  <si>
    <t>3. Pagar Fornecedores ($/mês)</t>
  </si>
  <si>
    <t>1. Emitir Faturas  ($/mês)</t>
  </si>
  <si>
    <t>4. Receber Duplicatas ($/mês)</t>
  </si>
  <si>
    <t>O levantamento dos direcionadores destas atividades aos objetos de custeio revelou o seguinte:</t>
  </si>
  <si>
    <t xml:space="preserve">a.) No. De lotes inspecionados e armazenados </t>
  </si>
  <si>
    <t>b.) No. De horas-máquinas</t>
  </si>
  <si>
    <t>a.) No. de faturas</t>
  </si>
  <si>
    <t>b.) No. de embarques</t>
  </si>
  <si>
    <t>c.) No. de cheques emitidos</t>
  </si>
  <si>
    <t>d.) No de duplicatas emitidas</t>
  </si>
  <si>
    <t>EXE 1 - ABC</t>
  </si>
  <si>
    <t>Margem de contribuição unitária [$/u]</t>
  </si>
  <si>
    <t>Margem de contribuição total  [$/mês]</t>
  </si>
  <si>
    <t>CUSTEIO DIRETO</t>
  </si>
  <si>
    <t>RESULTADO DA FÁBRICA</t>
  </si>
  <si>
    <t>Custos Indiretos de Fabricação [$/mês]</t>
  </si>
  <si>
    <t>FÁBRICA</t>
  </si>
  <si>
    <t>Custos Indiretos de Fabricação CIF [$/mês]</t>
  </si>
  <si>
    <t>Rateio dos CIF (base de rateio = custo total da mão de obra direta)</t>
  </si>
  <si>
    <t>Custo total da mão de obra direta</t>
  </si>
  <si>
    <t xml:space="preserve">Rateio dos CIF </t>
  </si>
  <si>
    <t>Custo rateado do CIF x produto</t>
  </si>
  <si>
    <t>Cálculo do lucro unitário x produto</t>
  </si>
  <si>
    <t>custo unitário total = custo médio = cdu + CIFrat</t>
  </si>
  <si>
    <t>Cálculo do lucro total x produto (fábrica)</t>
  </si>
  <si>
    <t>Custos Diretos Unitários cdu [$/u]</t>
  </si>
  <si>
    <t>CUSTEIO POR ABSORÇÃO</t>
  </si>
  <si>
    <t xml:space="preserve">Lucro da Fábrica [$/mês] </t>
  </si>
  <si>
    <t>DIRECIONADORES (OBJETOS DE CUSTEIO)</t>
  </si>
  <si>
    <t>CUSTEIO POR ATIVIDADES - ABC (FÁBRICA)</t>
  </si>
  <si>
    <t>APROPRIAÇÃO DOS CUSTOS DAS ATIVIDADES</t>
  </si>
  <si>
    <t>NOS OBJETOS DE CUSTEIO</t>
  </si>
  <si>
    <t>1. Inspecionar armazéns ($/u)</t>
  </si>
  <si>
    <t>2. Armazenar materiais  ($/u)</t>
  </si>
  <si>
    <t>3. Controlar Estoques ($/u)</t>
  </si>
  <si>
    <t>4. Processar máquinas   ($/u)</t>
  </si>
  <si>
    <t>5. Engenharia Indl.   ($/u)</t>
  </si>
  <si>
    <t xml:space="preserve">Produção [u/mês] </t>
  </si>
  <si>
    <t>não foi apropriado por não existir um direcionador adequado</t>
  </si>
  <si>
    <t>RESULTADOS DO ABC (FÁBRICA)</t>
  </si>
  <si>
    <t>DIRECIONADOR UTILIZADO</t>
  </si>
  <si>
    <t>(a)</t>
  </si>
  <si>
    <t>(b)</t>
  </si>
  <si>
    <t>Custo da atividade de (5) engenharia industrial</t>
  </si>
  <si>
    <t>Custos ABC Unitários Fábrica [$/u]</t>
  </si>
  <si>
    <t>Custos Unitários Fábrica [$/u]</t>
  </si>
  <si>
    <t>CUSTEIO POR ATIVIDADES - ABC EMPRESA</t>
  </si>
  <si>
    <t>CUSTO DAS ATIVIDADES ADMINISTRAÇÃO [$/mês]</t>
  </si>
  <si>
    <t>CUSTO DAS ATIVIDADES FÁBRICA [$/mês]</t>
  </si>
  <si>
    <t>RESULTADO DA EMPRESA</t>
  </si>
  <si>
    <t xml:space="preserve">(Questão 2) Calcular  o custo e a margem de contribuição de cada produto pelos métodos:  sistema tradicional pleno (rateio à base de custo total de MOD), e pelo custeio baseado em atividades. </t>
  </si>
  <si>
    <t>Rateio dos CIF + ADM (base de rateio = custo total da mão de obra direta)</t>
  </si>
  <si>
    <t>Custos CIF + ADM [$/mês]</t>
  </si>
  <si>
    <t xml:space="preserve">Lucro da EMPRESA [$/mês] </t>
  </si>
  <si>
    <t>APRESENTE OS RESULTADOS AQUI, DA SEGUINTE FORMA:</t>
  </si>
  <si>
    <t>Energia elétrica</t>
  </si>
  <si>
    <t>Manuseio Materiais</t>
  </si>
  <si>
    <t>Setips</t>
  </si>
  <si>
    <t>Inspeção</t>
  </si>
  <si>
    <t>formação de preços</t>
  </si>
  <si>
    <t>impostos</t>
  </si>
  <si>
    <t>Horas-máquina disp.</t>
  </si>
  <si>
    <t>margem</t>
  </si>
  <si>
    <t>comissão</t>
  </si>
  <si>
    <t>Atividades</t>
  </si>
  <si>
    <t>Drivers</t>
  </si>
  <si>
    <t>Capacidade</t>
  </si>
  <si>
    <t>Custo</t>
  </si>
  <si>
    <t xml:space="preserve">P final trad = </t>
  </si>
  <si>
    <t>Fonecer ee</t>
  </si>
  <si>
    <t>KWh</t>
  </si>
  <si>
    <t xml:space="preserve">P final ABC = </t>
  </si>
  <si>
    <t>Manusear</t>
  </si>
  <si>
    <t>Movi</t>
  </si>
  <si>
    <t>Setups</t>
  </si>
  <si>
    <t>setups</t>
  </si>
  <si>
    <t>inspeções</t>
  </si>
  <si>
    <t>Custo direto mat.</t>
  </si>
  <si>
    <t>$ 1000\</t>
  </si>
  <si>
    <t>Custo direto mod.</t>
  </si>
  <si>
    <t>cdm</t>
  </si>
  <si>
    <t>Horas-máquina</t>
  </si>
  <si>
    <t>mod</t>
  </si>
  <si>
    <t>despesas</t>
  </si>
  <si>
    <t>overhead</t>
  </si>
  <si>
    <t>eeletrica</t>
  </si>
  <si>
    <t>ociosidade</t>
  </si>
  <si>
    <t>N. mov</t>
  </si>
  <si>
    <t>manusear</t>
  </si>
  <si>
    <t>N. setups</t>
  </si>
  <si>
    <t>set ups</t>
  </si>
  <si>
    <t>N. inspeções</t>
  </si>
  <si>
    <t>inspeçoes</t>
  </si>
  <si>
    <t>Unidades</t>
  </si>
  <si>
    <t>sub total</t>
  </si>
</sst>
</file>

<file path=xl/styles.xml><?xml version="1.0" encoding="utf-8"?>
<styleSheet xmlns="http://schemas.openxmlformats.org/spreadsheetml/2006/main">
  <numFmts count="4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_)"/>
    <numFmt numFmtId="190" formatCode="_(* #,##0.0_);_(* \(#,##0.0\);_(* &quot;-&quot;?_);_(@_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"/>
  </numFmts>
  <fonts count="45">
    <font>
      <sz val="10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0" fillId="0" borderId="0" xfId="57" applyFont="1" applyBorder="1" applyAlignment="1">
      <alignment/>
    </xf>
    <xf numFmtId="179" fontId="0" fillId="0" borderId="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9" fontId="0" fillId="0" borderId="14" xfId="57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179" fontId="0" fillId="33" borderId="0" xfId="42" applyNumberFormat="1" applyFont="1" applyFill="1" applyBorder="1" applyAlignment="1">
      <alignment/>
    </xf>
    <xf numFmtId="179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79" fontId="0" fillId="34" borderId="0" xfId="0" applyNumberForma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9" fontId="0" fillId="0" borderId="0" xfId="57" applyFont="1" applyAlignment="1">
      <alignment/>
    </xf>
    <xf numFmtId="179" fontId="0" fillId="0" borderId="0" xfId="42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0" fillId="0" borderId="13" xfId="0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9" fontId="0" fillId="0" borderId="0" xfId="57" applyFont="1" applyFill="1" applyBorder="1" applyAlignment="1">
      <alignment horizontal="center"/>
    </xf>
    <xf numFmtId="9" fontId="0" fillId="0" borderId="14" xfId="57" applyFont="1" applyFill="1" applyBorder="1" applyAlignment="1">
      <alignment horizontal="center"/>
    </xf>
    <xf numFmtId="2" fontId="0" fillId="0" borderId="0" xfId="57" applyNumberFormat="1" applyFont="1" applyFill="1" applyBorder="1" applyAlignment="1">
      <alignment horizontal="center"/>
    </xf>
    <xf numFmtId="2" fontId="0" fillId="0" borderId="14" xfId="57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9" fontId="0" fillId="35" borderId="0" xfId="57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42" applyNumberFormat="1" applyFont="1" applyFill="1" applyBorder="1" applyAlignment="1">
      <alignment horizontal="center"/>
    </xf>
    <xf numFmtId="1" fontId="0" fillId="0" borderId="0" xfId="57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9" fontId="0" fillId="36" borderId="0" xfId="57" applyFont="1" applyFill="1" applyBorder="1" applyAlignment="1">
      <alignment horizontal="center"/>
    </xf>
    <xf numFmtId="9" fontId="0" fillId="36" borderId="14" xfId="57" applyFont="1" applyFill="1" applyBorder="1" applyAlignment="1">
      <alignment horizontal="center"/>
    </xf>
    <xf numFmtId="179" fontId="0" fillId="0" borderId="16" xfId="0" applyNumberFormat="1" applyBorder="1" applyAlignment="1">
      <alignment/>
    </xf>
    <xf numFmtId="9" fontId="0" fillId="36" borderId="0" xfId="57" applyFont="1" applyFill="1" applyBorder="1" applyAlignment="1">
      <alignment/>
    </xf>
    <xf numFmtId="9" fontId="0" fillId="36" borderId="14" xfId="57" applyFont="1" applyFill="1" applyBorder="1" applyAlignment="1">
      <alignment/>
    </xf>
    <xf numFmtId="43" fontId="0" fillId="0" borderId="0" xfId="42" applyFont="1" applyAlignment="1">
      <alignment/>
    </xf>
    <xf numFmtId="37" fontId="0" fillId="0" borderId="0" xfId="42" applyNumberFormat="1" applyFont="1" applyAlignment="1">
      <alignment horizontal="left" indent="3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34" borderId="0" xfId="0" applyFont="1" applyFill="1" applyAlignment="1">
      <alignment horizontal="right"/>
    </xf>
    <xf numFmtId="41" fontId="0" fillId="0" borderId="0" xfId="42" applyNumberFormat="1" applyFont="1" applyAlignment="1">
      <alignment/>
    </xf>
    <xf numFmtId="37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34" borderId="0" xfId="57" applyFont="1" applyFill="1" applyAlignment="1">
      <alignment/>
    </xf>
    <xf numFmtId="178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9" fontId="0" fillId="0" borderId="0" xfId="57" applyFont="1" applyAlignment="1">
      <alignment horizontal="left"/>
    </xf>
    <xf numFmtId="9" fontId="0" fillId="0" borderId="0" xfId="0" applyNumberFormat="1" applyAlignment="1">
      <alignment horizontal="left"/>
    </xf>
    <xf numFmtId="3" fontId="0" fillId="0" borderId="0" xfId="42" applyNumberFormat="1" applyFont="1" applyAlignment="1">
      <alignment horizontal="center"/>
    </xf>
    <xf numFmtId="9" fontId="0" fillId="34" borderId="0" xfId="57" applyFont="1" applyFill="1" applyAlignment="1">
      <alignment horizontal="left"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9" fontId="6" fillId="0" borderId="0" xfId="57" applyFont="1" applyFill="1" applyBorder="1" applyAlignment="1">
      <alignment horizontal="center"/>
    </xf>
    <xf numFmtId="9" fontId="6" fillId="0" borderId="14" xfId="57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9" fontId="6" fillId="0" borderId="0" xfId="57" applyFont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9" fontId="6" fillId="0" borderId="0" xfId="0" applyNumberFormat="1" applyFont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9" fontId="6" fillId="0" borderId="15" xfId="42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179" fontId="6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178" fontId="0" fillId="0" borderId="0" xfId="4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0" xfId="42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37" borderId="0" xfId="0" applyNumberFormat="1" applyFont="1" applyFill="1" applyAlignment="1">
      <alignment horizontal="center"/>
    </xf>
    <xf numFmtId="17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9" fontId="0" fillId="0" borderId="0" xfId="57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9" fontId="0" fillId="0" borderId="0" xfId="57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7" fontId="0" fillId="0" borderId="0" xfId="42" applyNumberFormat="1" applyFont="1" applyFill="1" applyBorder="1" applyAlignment="1">
      <alignment horizontal="left" indent="3"/>
    </xf>
    <xf numFmtId="4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/>
    </xf>
    <xf numFmtId="3" fontId="0" fillId="0" borderId="0" xfId="42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42" applyNumberFormat="1" applyFont="1" applyAlignment="1">
      <alignment horizontal="center"/>
    </xf>
    <xf numFmtId="9" fontId="6" fillId="0" borderId="0" xfId="57" applyFont="1" applyAlignment="1">
      <alignment horizontal="center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9" fontId="6" fillId="0" borderId="0" xfId="57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9" fontId="6" fillId="38" borderId="16" xfId="57" applyFont="1" applyFill="1" applyBorder="1" applyAlignment="1">
      <alignment horizontal="center"/>
    </xf>
    <xf numFmtId="179" fontId="6" fillId="0" borderId="16" xfId="0" applyNumberFormat="1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4" fontId="6" fillId="0" borderId="13" xfId="0" applyNumberFormat="1" applyFont="1" applyBorder="1" applyAlignment="1">
      <alignment horizontal="center"/>
    </xf>
    <xf numFmtId="3" fontId="6" fillId="0" borderId="13" xfId="42" applyNumberFormat="1" applyFont="1" applyBorder="1" applyAlignment="1">
      <alignment horizontal="center"/>
    </xf>
    <xf numFmtId="9" fontId="6" fillId="0" borderId="14" xfId="57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9" fontId="6" fillId="38" borderId="14" xfId="57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4" fontId="6" fillId="34" borderId="13" xfId="0" applyNumberFormat="1" applyFont="1" applyFill="1" applyBorder="1" applyAlignment="1">
      <alignment horizontal="center"/>
    </xf>
    <xf numFmtId="9" fontId="6" fillId="34" borderId="0" xfId="57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9" fontId="6" fillId="34" borderId="14" xfId="57" applyFont="1" applyFill="1" applyBorder="1" applyAlignment="1">
      <alignment horizontal="center"/>
    </xf>
    <xf numFmtId="0" fontId="6" fillId="34" borderId="22" xfId="0" applyFont="1" applyFill="1" applyBorder="1" applyAlignment="1">
      <alignment/>
    </xf>
    <xf numFmtId="3" fontId="6" fillId="34" borderId="15" xfId="0" applyNumberFormat="1" applyFont="1" applyFill="1" applyBorder="1" applyAlignment="1">
      <alignment horizontal="center"/>
    </xf>
    <xf numFmtId="9" fontId="6" fillId="34" borderId="16" xfId="57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 horizontal="center"/>
    </xf>
    <xf numFmtId="9" fontId="6" fillId="34" borderId="19" xfId="57" applyFont="1" applyFill="1" applyBorder="1" applyAlignment="1">
      <alignment horizontal="center"/>
    </xf>
    <xf numFmtId="0" fontId="7" fillId="34" borderId="21" xfId="0" applyFont="1" applyFill="1" applyBorder="1" applyAlignment="1">
      <alignment horizontal="left"/>
    </xf>
    <xf numFmtId="2" fontId="6" fillId="34" borderId="13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right"/>
    </xf>
    <xf numFmtId="0" fontId="7" fillId="34" borderId="22" xfId="0" applyFont="1" applyFill="1" applyBorder="1" applyAlignment="1">
      <alignment horizontal="left"/>
    </xf>
    <xf numFmtId="179" fontId="6" fillId="34" borderId="15" xfId="42" applyNumberFormat="1" applyFont="1" applyFill="1" applyBorder="1" applyAlignment="1">
      <alignment horizontal="center"/>
    </xf>
    <xf numFmtId="3" fontId="6" fillId="34" borderId="16" xfId="42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179" fontId="6" fillId="34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42" applyNumberFormat="1" applyFont="1" applyFill="1" applyBorder="1" applyAlignment="1">
      <alignment horizontal="center"/>
    </xf>
    <xf numFmtId="4" fontId="6" fillId="0" borderId="0" xfId="42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" fillId="0" borderId="21" xfId="0" applyFont="1" applyFill="1" applyBorder="1" applyAlignment="1">
      <alignment/>
    </xf>
    <xf numFmtId="2" fontId="7" fillId="0" borderId="13" xfId="0" applyNumberFormat="1" applyFont="1" applyFill="1" applyBorder="1" applyAlignment="1">
      <alignment horizontal="center"/>
    </xf>
    <xf numFmtId="9" fontId="7" fillId="0" borderId="0" xfId="57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9" fontId="7" fillId="0" borderId="14" xfId="57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34" borderId="0" xfId="0" applyNumberFormat="1" applyFont="1" applyFill="1" applyAlignment="1">
      <alignment horizontal="center"/>
    </xf>
    <xf numFmtId="3" fontId="6" fillId="37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2" fillId="34" borderId="23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/>
    </xf>
    <xf numFmtId="9" fontId="0" fillId="0" borderId="23" xfId="57" applyFont="1" applyBorder="1" applyAlignment="1">
      <alignment/>
    </xf>
    <xf numFmtId="9" fontId="0" fillId="34" borderId="23" xfId="57" applyFont="1" applyFill="1" applyBorder="1" applyAlignment="1">
      <alignment/>
    </xf>
    <xf numFmtId="3" fontId="0" fillId="0" borderId="23" xfId="0" applyNumberFormat="1" applyBorder="1" applyAlignment="1">
      <alignment/>
    </xf>
    <xf numFmtId="2" fontId="0" fillId="0" borderId="23" xfId="0" applyNumberFormat="1" applyBorder="1" applyAlignment="1">
      <alignment horizontal="center"/>
    </xf>
    <xf numFmtId="9" fontId="0" fillId="0" borderId="23" xfId="57" applyFont="1" applyBorder="1" applyAlignment="1">
      <alignment horizontal="center"/>
    </xf>
    <xf numFmtId="179" fontId="0" fillId="0" borderId="23" xfId="42" applyNumberFormat="1" applyFont="1" applyBorder="1" applyAlignment="1">
      <alignment/>
    </xf>
    <xf numFmtId="9" fontId="0" fillId="0" borderId="23" xfId="57" applyFont="1" applyBorder="1" applyAlignment="1">
      <alignment/>
    </xf>
    <xf numFmtId="43" fontId="0" fillId="0" borderId="23" xfId="42" applyFont="1" applyBorder="1" applyAlignment="1">
      <alignment horizontal="center"/>
    </xf>
    <xf numFmtId="0" fontId="1" fillId="0" borderId="23" xfId="0" applyFont="1" applyBorder="1" applyAlignment="1">
      <alignment/>
    </xf>
    <xf numFmtId="3" fontId="7" fillId="39" borderId="0" xfId="42" applyNumberFormat="1" applyFont="1" applyFill="1" applyBorder="1" applyAlignment="1">
      <alignment horizontal="center"/>
    </xf>
    <xf numFmtId="3" fontId="6" fillId="39" borderId="13" xfId="42" applyNumberFormat="1" applyFont="1" applyFill="1" applyBorder="1" applyAlignment="1">
      <alignment horizontal="center"/>
    </xf>
    <xf numFmtId="3" fontId="6" fillId="39" borderId="0" xfId="0" applyNumberFormat="1" applyFont="1" applyFill="1" applyBorder="1" applyAlignment="1">
      <alignment horizontal="center"/>
    </xf>
    <xf numFmtId="4" fontId="6" fillId="39" borderId="13" xfId="0" applyNumberFormat="1" applyFont="1" applyFill="1" applyBorder="1" applyAlignment="1">
      <alignment horizontal="center"/>
    </xf>
    <xf numFmtId="4" fontId="6" fillId="39" borderId="0" xfId="0" applyNumberFormat="1" applyFont="1" applyFill="1" applyBorder="1" applyAlignment="1">
      <alignment horizontal="center"/>
    </xf>
    <xf numFmtId="9" fontId="6" fillId="39" borderId="0" xfId="57" applyFont="1" applyFill="1" applyAlignment="1">
      <alignment horizontal="center"/>
    </xf>
    <xf numFmtId="9" fontId="6" fillId="39" borderId="14" xfId="57" applyFont="1" applyFill="1" applyBorder="1" applyAlignment="1">
      <alignment horizontal="center"/>
    </xf>
    <xf numFmtId="9" fontId="6" fillId="39" borderId="19" xfId="57" applyFont="1" applyFill="1" applyBorder="1" applyAlignment="1">
      <alignment horizontal="center"/>
    </xf>
    <xf numFmtId="9" fontId="6" fillId="39" borderId="16" xfId="57" applyFont="1" applyFill="1" applyBorder="1" applyAlignment="1">
      <alignment horizontal="center"/>
    </xf>
    <xf numFmtId="9" fontId="0" fillId="39" borderId="23" xfId="57" applyFont="1" applyFill="1" applyBorder="1" applyAlignment="1">
      <alignment/>
    </xf>
    <xf numFmtId="9" fontId="0" fillId="39" borderId="23" xfId="57" applyFont="1" applyFill="1" applyBorder="1" applyAlignment="1">
      <alignment/>
    </xf>
    <xf numFmtId="9" fontId="0" fillId="39" borderId="23" xfId="57" applyFont="1" applyFill="1" applyBorder="1" applyAlignment="1">
      <alignment horizontal="center"/>
    </xf>
    <xf numFmtId="9" fontId="6" fillId="0" borderId="16" xfId="57" applyFont="1" applyFill="1" applyBorder="1" applyAlignment="1">
      <alignment horizontal="center"/>
    </xf>
    <xf numFmtId="9" fontId="6" fillId="40" borderId="19" xfId="57" applyFont="1" applyFill="1" applyBorder="1" applyAlignment="1">
      <alignment horizontal="center"/>
    </xf>
    <xf numFmtId="9" fontId="0" fillId="40" borderId="23" xfId="57" applyFont="1" applyFill="1" applyBorder="1" applyAlignment="1">
      <alignment horizontal="center"/>
    </xf>
    <xf numFmtId="9" fontId="44" fillId="40" borderId="23" xfId="57" applyFont="1" applyFill="1" applyBorder="1" applyAlignment="1">
      <alignment horizontal="center"/>
    </xf>
    <xf numFmtId="0" fontId="2" fillId="40" borderId="23" xfId="0" applyFont="1" applyFill="1" applyBorder="1" applyAlignment="1">
      <alignment horizontal="right"/>
    </xf>
    <xf numFmtId="0" fontId="0" fillId="40" borderId="23" xfId="0" applyFill="1" applyBorder="1" applyAlignment="1">
      <alignment horizontal="right"/>
    </xf>
    <xf numFmtId="43" fontId="0" fillId="40" borderId="23" xfId="0" applyNumberFormat="1" applyFill="1" applyBorder="1" applyAlignment="1">
      <alignment horizontal="center"/>
    </xf>
    <xf numFmtId="0" fontId="0" fillId="40" borderId="23" xfId="0" applyFill="1" applyBorder="1" applyAlignment="1">
      <alignment/>
    </xf>
    <xf numFmtId="3" fontId="0" fillId="40" borderId="23" xfId="0" applyNumberFormat="1" applyFill="1" applyBorder="1" applyAlignment="1">
      <alignment/>
    </xf>
    <xf numFmtId="0" fontId="2" fillId="34" borderId="23" xfId="0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37" fontId="0" fillId="0" borderId="0" xfId="42" applyNumberFormat="1" applyFont="1" applyBorder="1" applyAlignment="1">
      <alignment horizontal="center"/>
    </xf>
    <xf numFmtId="37" fontId="0" fillId="0" borderId="14" xfId="42" applyNumberFormat="1" applyFont="1" applyBorder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200" zoomScaleNormal="200" zoomScalePageLayoutView="0" workbookViewId="0" topLeftCell="D41">
      <selection activeCell="F50" sqref="F50"/>
    </sheetView>
  </sheetViews>
  <sheetFormatPr defaultColWidth="9.140625" defaultRowHeight="12.75"/>
  <cols>
    <col min="1" max="1" width="34.140625" style="72" customWidth="1"/>
    <col min="2" max="2" width="9.140625" style="72" customWidth="1"/>
    <col min="3" max="3" width="9.8515625" style="72" bestFit="1" customWidth="1"/>
    <col min="4" max="4" width="9.28125" style="72" bestFit="1" customWidth="1"/>
    <col min="5" max="5" width="15.421875" style="72" customWidth="1"/>
    <col min="6" max="6" width="14.421875" style="72" customWidth="1"/>
    <col min="7" max="7" width="11.28125" style="72" bestFit="1" customWidth="1"/>
    <col min="8" max="8" width="9.140625" style="72" customWidth="1"/>
    <col min="9" max="9" width="11.28125" style="72" bestFit="1" customWidth="1"/>
    <col min="10" max="16384" width="9.140625" style="72" customWidth="1"/>
  </cols>
  <sheetData>
    <row r="1" ht="19.5">
      <c r="A1" s="75" t="s">
        <v>116</v>
      </c>
    </row>
    <row r="2" ht="15.75">
      <c r="A2" s="72" t="s">
        <v>87</v>
      </c>
    </row>
    <row r="3" spans="3:5" ht="15.75">
      <c r="C3" s="73" t="s">
        <v>0</v>
      </c>
      <c r="D3" s="73"/>
      <c r="E3" s="73" t="s">
        <v>1</v>
      </c>
    </row>
    <row r="4" spans="1:5" ht="15.75">
      <c r="A4" s="72" t="s">
        <v>88</v>
      </c>
      <c r="C4" s="73">
        <v>20</v>
      </c>
      <c r="D4" s="73"/>
      <c r="E4" s="73">
        <v>25</v>
      </c>
    </row>
    <row r="5" spans="1:5" ht="15.75">
      <c r="A5" s="72" t="s">
        <v>89</v>
      </c>
      <c r="C5" s="73">
        <v>10</v>
      </c>
      <c r="D5" s="73"/>
      <c r="E5" s="73">
        <v>6</v>
      </c>
    </row>
    <row r="6" spans="1:5" ht="15.75">
      <c r="A6" s="72" t="s">
        <v>90</v>
      </c>
      <c r="C6" s="74">
        <v>12000</v>
      </c>
      <c r="D6" s="73"/>
      <c r="E6" s="74">
        <v>4000</v>
      </c>
    </row>
    <row r="7" spans="1:5" ht="15.75">
      <c r="A7" s="72" t="s">
        <v>91</v>
      </c>
      <c r="C7" s="73">
        <v>80</v>
      </c>
      <c r="D7" s="73"/>
      <c r="E7" s="73">
        <v>95</v>
      </c>
    </row>
    <row r="9" ht="15.75">
      <c r="A9" s="72" t="s">
        <v>96</v>
      </c>
    </row>
    <row r="10" ht="15.75">
      <c r="A10" s="72" t="s">
        <v>92</v>
      </c>
    </row>
    <row r="11" ht="15.75">
      <c r="A11" s="72" t="s">
        <v>98</v>
      </c>
    </row>
    <row r="12" spans="1:3" ht="15.75">
      <c r="A12" s="72" t="s">
        <v>99</v>
      </c>
      <c r="C12" s="70">
        <v>60000</v>
      </c>
    </row>
    <row r="13" spans="1:3" ht="15.75">
      <c r="A13" s="72" t="s">
        <v>100</v>
      </c>
      <c r="C13" s="70">
        <v>50000</v>
      </c>
    </row>
    <row r="14" spans="1:3" ht="15.75">
      <c r="A14" s="72" t="s">
        <v>101</v>
      </c>
      <c r="C14" s="70">
        <v>40000</v>
      </c>
    </row>
    <row r="15" spans="1:3" ht="15.75">
      <c r="A15" s="72" t="s">
        <v>102</v>
      </c>
      <c r="C15" s="70">
        <v>150000</v>
      </c>
    </row>
    <row r="16" spans="1:3" ht="15.75">
      <c r="A16" s="72" t="s">
        <v>103</v>
      </c>
      <c r="C16" s="70">
        <v>200000</v>
      </c>
    </row>
    <row r="17" ht="15.75">
      <c r="C17" s="70">
        <f>SUM(C12:C16)</f>
        <v>500000</v>
      </c>
    </row>
    <row r="18" ht="15.75">
      <c r="A18" s="72" t="s">
        <v>97</v>
      </c>
    </row>
    <row r="19" spans="4:6" ht="15.75">
      <c r="D19" s="73" t="s">
        <v>0</v>
      </c>
      <c r="E19" s="73"/>
      <c r="F19" s="73" t="s">
        <v>1</v>
      </c>
    </row>
    <row r="20" spans="1:6" ht="15.75">
      <c r="A20" s="72" t="s">
        <v>110</v>
      </c>
      <c r="D20" s="73">
        <v>5</v>
      </c>
      <c r="E20" s="73"/>
      <c r="F20" s="73">
        <v>10</v>
      </c>
    </row>
    <row r="21" spans="1:6" ht="15.75">
      <c r="A21" s="72" t="s">
        <v>111</v>
      </c>
      <c r="D21" s="74">
        <v>4000</v>
      </c>
      <c r="E21" s="73"/>
      <c r="F21" s="74">
        <v>6000</v>
      </c>
    </row>
    <row r="22" spans="4:6" ht="15.75">
      <c r="D22" s="73"/>
      <c r="E22" s="73"/>
      <c r="F22" s="73"/>
    </row>
    <row r="23" ht="15.75">
      <c r="A23" s="72" t="s">
        <v>93</v>
      </c>
    </row>
    <row r="24" ht="15.75">
      <c r="A24" s="72" t="s">
        <v>104</v>
      </c>
    </row>
    <row r="26" ht="15.75">
      <c r="A26" s="72" t="s">
        <v>94</v>
      </c>
    </row>
    <row r="28" spans="1:3" ht="15.75">
      <c r="A28" s="72" t="s">
        <v>107</v>
      </c>
      <c r="C28" s="70">
        <v>15000</v>
      </c>
    </row>
    <row r="29" spans="1:3" ht="15.75">
      <c r="A29" s="72" t="s">
        <v>105</v>
      </c>
      <c r="C29" s="70">
        <v>35000</v>
      </c>
    </row>
    <row r="30" spans="1:3" ht="15.75">
      <c r="A30" s="72" t="s">
        <v>106</v>
      </c>
      <c r="C30" s="70">
        <v>9750</v>
      </c>
    </row>
    <row r="31" spans="1:3" ht="15.75">
      <c r="A31" s="72" t="s">
        <v>108</v>
      </c>
      <c r="C31" s="70">
        <v>30000</v>
      </c>
    </row>
    <row r="32" ht="15.75">
      <c r="C32" s="70">
        <f>SUM(C28:C31)</f>
        <v>89750</v>
      </c>
    </row>
    <row r="33" ht="15.75">
      <c r="A33" s="72" t="s">
        <v>109</v>
      </c>
    </row>
    <row r="34" spans="3:4" ht="15.75">
      <c r="C34" s="73" t="s">
        <v>0</v>
      </c>
      <c r="D34" s="73" t="s">
        <v>1</v>
      </c>
    </row>
    <row r="35" spans="1:4" ht="15.75">
      <c r="A35" s="72" t="s">
        <v>112</v>
      </c>
      <c r="C35" s="73">
        <v>8</v>
      </c>
      <c r="D35" s="73">
        <v>12</v>
      </c>
    </row>
    <row r="36" spans="1:4" ht="15.75">
      <c r="A36" s="72" t="s">
        <v>113</v>
      </c>
      <c r="C36" s="73">
        <v>8</v>
      </c>
      <c r="D36" s="73">
        <v>12</v>
      </c>
    </row>
    <row r="37" spans="1:4" ht="15.75">
      <c r="A37" s="72" t="s">
        <v>114</v>
      </c>
      <c r="C37" s="73">
        <v>50</v>
      </c>
      <c r="D37" s="73">
        <v>100</v>
      </c>
    </row>
    <row r="38" spans="1:4" ht="15.75">
      <c r="A38" s="72" t="s">
        <v>115</v>
      </c>
      <c r="B38" s="72" t="s">
        <v>95</v>
      </c>
      <c r="C38" s="73">
        <v>8</v>
      </c>
      <c r="D38" s="73">
        <v>12</v>
      </c>
    </row>
    <row r="40" ht="15.75">
      <c r="A40" s="72" t="s">
        <v>156</v>
      </c>
    </row>
    <row r="41" ht="15.75">
      <c r="A41" s="72" t="s">
        <v>160</v>
      </c>
    </row>
    <row r="42" spans="4:12" ht="15.75">
      <c r="D42"/>
      <c r="E42" s="192"/>
      <c r="F42" s="192"/>
      <c r="G42" s="227" t="s">
        <v>0</v>
      </c>
      <c r="H42" s="227"/>
      <c r="I42" s="227" t="s">
        <v>1</v>
      </c>
      <c r="J42" s="227"/>
      <c r="K42" s="193" t="s">
        <v>65</v>
      </c>
      <c r="L42" s="192"/>
    </row>
    <row r="43" spans="4:12" ht="15.75">
      <c r="D43"/>
      <c r="E43" s="194" t="s">
        <v>68</v>
      </c>
      <c r="F43" s="195" t="s">
        <v>66</v>
      </c>
      <c r="G43" s="196">
        <f>'(1) Ex 1 - Custeio Direto'!C10</f>
        <v>50</v>
      </c>
      <c r="H43" s="196">
        <f>'(1) Ex 1 - Custeio Direto'!D10</f>
        <v>0.625</v>
      </c>
      <c r="I43" s="196">
        <f>'(1) Ex 1 - Custeio Direto'!E10</f>
        <v>64</v>
      </c>
      <c r="J43" s="215">
        <f>'(1) Ex 1 - Custeio Direto'!F10</f>
        <v>0.6736842105263158</v>
      </c>
      <c r="K43" s="192"/>
      <c r="L43" s="192"/>
    </row>
    <row r="44" spans="4:12" ht="15.75">
      <c r="D44"/>
      <c r="E44" s="194" t="s">
        <v>69</v>
      </c>
      <c r="F44" s="195" t="s">
        <v>67</v>
      </c>
      <c r="G44" s="199">
        <f>'(1) Ex 1 - Custeio Direto'!C12</f>
        <v>600000</v>
      </c>
      <c r="H44" s="198">
        <f>G44/K44</f>
        <v>0.7009345794392523</v>
      </c>
      <c r="I44" s="199">
        <f>'(1) Ex 1 - Custeio Direto'!E12</f>
        <v>256000</v>
      </c>
      <c r="J44" s="197">
        <f>I44/K44</f>
        <v>0.29906542056074764</v>
      </c>
      <c r="K44" s="199">
        <f>G44+I44</f>
        <v>856000</v>
      </c>
      <c r="L44" s="192"/>
    </row>
    <row r="45" spans="4:12" ht="15.75">
      <c r="D45"/>
      <c r="E45" s="192"/>
      <c r="F45" s="192"/>
      <c r="G45" s="192"/>
      <c r="H45" s="192"/>
      <c r="I45" s="192"/>
      <c r="J45" s="192"/>
      <c r="K45" s="192"/>
      <c r="L45" s="192"/>
    </row>
    <row r="46" spans="4:12" ht="15.75">
      <c r="D46"/>
      <c r="E46" s="194" t="s">
        <v>70</v>
      </c>
      <c r="F46" s="195" t="s">
        <v>72</v>
      </c>
      <c r="G46" s="200">
        <f>'(2) Ex 1 - Custeio por Absorção'!C18</f>
        <v>15.277777777777771</v>
      </c>
      <c r="H46" s="201">
        <f>'(2) Ex 1 - Custeio por Absorção'!D18</f>
        <v>0.19097222222222215</v>
      </c>
      <c r="I46" s="200">
        <f>'(2) Ex 1 - Custeio por Absorção'!E18</f>
        <v>43.16666666666667</v>
      </c>
      <c r="J46" s="217">
        <f>'(2) Ex 1 - Custeio por Absorção'!F18</f>
        <v>0.4543859649122807</v>
      </c>
      <c r="K46" s="192"/>
      <c r="L46" s="192"/>
    </row>
    <row r="47" spans="4:12" ht="15.75">
      <c r="D47"/>
      <c r="E47" s="194" t="s">
        <v>71</v>
      </c>
      <c r="F47" s="195" t="s">
        <v>73</v>
      </c>
      <c r="G47" s="202">
        <f>'(2) Ex 1 - Custeio por Absorção'!C19</f>
        <v>183333.33333333326</v>
      </c>
      <c r="H47" s="216">
        <f>G47/K47</f>
        <v>0.5149812734082395</v>
      </c>
      <c r="I47" s="202">
        <f>'(2) Ex 1 - Custeio por Absorção'!E19</f>
        <v>172666.6666666667</v>
      </c>
      <c r="J47" s="203">
        <f>'(2) Ex 1 - Custeio por Absorção'!F19</f>
        <v>0.48501872659176043</v>
      </c>
      <c r="K47" s="199">
        <f>G47+I47</f>
        <v>355999.99999999994</v>
      </c>
      <c r="L47" s="192"/>
    </row>
    <row r="48" spans="4:12" ht="15.75">
      <c r="D48"/>
      <c r="E48" s="192"/>
      <c r="F48" s="192"/>
      <c r="G48" s="193"/>
      <c r="H48" s="193"/>
      <c r="I48" s="193"/>
      <c r="J48" s="193"/>
      <c r="K48" s="192"/>
      <c r="L48" s="192"/>
    </row>
    <row r="49" spans="4:12" ht="15.75">
      <c r="D49"/>
      <c r="E49" s="194" t="s">
        <v>70</v>
      </c>
      <c r="F49" s="195" t="s">
        <v>66</v>
      </c>
      <c r="G49" s="204">
        <f>'(3) Ex 1 - Custeio ABC Fábrica'!C33</f>
        <v>40.833333333333336</v>
      </c>
      <c r="H49" s="217">
        <f>'(3) Ex 1 - Custeio ABC Fábrica'!D33</f>
        <v>0.5104166666666667</v>
      </c>
      <c r="I49" s="204">
        <f>'(3) Ex 1 - Custeio ABC Fábrica'!E33</f>
        <v>16.5</v>
      </c>
      <c r="J49" s="201">
        <f>'(3) Ex 1 - Custeio ABC Fábrica'!F33</f>
        <v>0.1736842105263158</v>
      </c>
      <c r="K49" s="192"/>
      <c r="L49" s="192"/>
    </row>
    <row r="50" spans="4:12" ht="15.75">
      <c r="D50"/>
      <c r="E50" s="194" t="s">
        <v>18</v>
      </c>
      <c r="F50" s="195" t="s">
        <v>67</v>
      </c>
      <c r="G50" s="204">
        <f>'(3) Ex 1 - Custeio ABC Fábrica'!C34</f>
        <v>490000</v>
      </c>
      <c r="H50" s="217">
        <f>'(3) Ex 1 - Custeio ABC Fábrica'!D34</f>
        <v>0.8812949640287769</v>
      </c>
      <c r="I50" s="204">
        <f>'(3) Ex 1 - Custeio ABC Fábrica'!E34</f>
        <v>66000</v>
      </c>
      <c r="J50" s="201">
        <f>'(3) Ex 1 - Custeio ABC Fábrica'!F34</f>
        <v>0.11870503597122302</v>
      </c>
      <c r="K50" s="199">
        <f>G50+I50</f>
        <v>556000</v>
      </c>
      <c r="L50" s="192"/>
    </row>
    <row r="51" spans="4:12" ht="15.75">
      <c r="D51"/>
      <c r="E51" s="192"/>
      <c r="F51" s="192"/>
      <c r="G51" s="193"/>
      <c r="H51" s="193"/>
      <c r="I51" s="193"/>
      <c r="J51" s="193"/>
      <c r="K51" s="192"/>
      <c r="L51" s="192"/>
    </row>
    <row r="52" spans="4:12" ht="15.75">
      <c r="D52"/>
      <c r="E52" s="222" t="s">
        <v>77</v>
      </c>
      <c r="F52" s="223" t="s">
        <v>66</v>
      </c>
      <c r="G52" s="224">
        <f>'(4) Ex 1 - Custeio ABC - Empres'!C35</f>
        <v>37.895833333333336</v>
      </c>
      <c r="H52" s="220">
        <f>'(4) Ex 1 - Custeio ABC - Empres'!D35</f>
        <v>0.4736979166666667</v>
      </c>
      <c r="I52" s="224">
        <f>'(4) Ex 1 - Custeio ABC - Empres'!E35</f>
        <v>2.875</v>
      </c>
      <c r="J52" s="220">
        <f>'(4) Ex 1 - Custeio ABC - Empres'!F35</f>
        <v>0.030263157894736843</v>
      </c>
      <c r="K52" s="225"/>
      <c r="L52" s="192"/>
    </row>
    <row r="53" spans="4:12" ht="15.75">
      <c r="D53"/>
      <c r="E53" s="222" t="s">
        <v>51</v>
      </c>
      <c r="F53" s="223" t="s">
        <v>67</v>
      </c>
      <c r="G53" s="224">
        <f>'(4) Ex 1 - Custeio ABC - Empres'!C36</f>
        <v>454750</v>
      </c>
      <c r="H53" s="220">
        <f>'(4) Ex 1 - Custeio ABC - Empres'!D36</f>
        <v>0.9753351206434316</v>
      </c>
      <c r="I53" s="224">
        <f>'(4) Ex 1 - Custeio ABC - Empres'!E36</f>
        <v>11500</v>
      </c>
      <c r="J53" s="220">
        <f>'(4) Ex 1 - Custeio ABC - Empres'!F36</f>
        <v>0.024664879356568366</v>
      </c>
      <c r="K53" s="226">
        <f>G53+I53</f>
        <v>466250</v>
      </c>
      <c r="L53" s="192"/>
    </row>
    <row r="54" spans="4:12" ht="15.75">
      <c r="D54"/>
      <c r="E54" s="192"/>
      <c r="F54" s="192"/>
      <c r="G54" s="193"/>
      <c r="H54" s="193"/>
      <c r="I54" s="193"/>
      <c r="J54" s="193"/>
      <c r="K54" s="192"/>
      <c r="L54" s="192"/>
    </row>
    <row r="55" spans="4:12" ht="15.75">
      <c r="D55"/>
      <c r="E55" s="194" t="s">
        <v>79</v>
      </c>
      <c r="F55" s="195" t="s">
        <v>72</v>
      </c>
      <c r="G55" s="204">
        <f>'(5) eX 1 - Custeio Pleno'!C18</f>
        <v>9.045138888888886</v>
      </c>
      <c r="H55" s="201">
        <f>'(5) eX 1 - Custeio Pleno'!D18</f>
        <v>0.11306423611111108</v>
      </c>
      <c r="I55" s="201">
        <f>'(5) eX 1 - Custeio Pleno'!E18</f>
        <v>39.427083333333336</v>
      </c>
      <c r="J55" s="221">
        <f>'(5) eX 1 - Custeio Pleno'!F18</f>
        <v>0.41502192982456143</v>
      </c>
      <c r="K55" s="192"/>
      <c r="L55" s="205" t="s">
        <v>86</v>
      </c>
    </row>
    <row r="56" spans="4:12" ht="15.75">
      <c r="D56"/>
      <c r="E56" s="194" t="s">
        <v>78</v>
      </c>
      <c r="F56" s="195" t="s">
        <v>73</v>
      </c>
      <c r="G56" s="204">
        <f>'(5) eX 1 - Custeio Pleno'!C19</f>
        <v>108541.66666666663</v>
      </c>
      <c r="H56" s="201">
        <f>'(5) eX 1 - Custeio Pleno'!D19</f>
        <v>0.4076682316118934</v>
      </c>
      <c r="I56" s="204">
        <f>'(5) eX 1 - Custeio Pleno'!E19</f>
        <v>157708.33333333334</v>
      </c>
      <c r="J56" s="220">
        <f>'(5) eX 1 - Custeio Pleno'!F19</f>
        <v>0.5923317683881064</v>
      </c>
      <c r="K56" s="199">
        <f>G56+I56</f>
        <v>266250</v>
      </c>
      <c r="L56" s="192"/>
    </row>
    <row r="57" spans="7:10" ht="15.75">
      <c r="G57" s="73"/>
      <c r="H57" s="73"/>
      <c r="I57" s="73"/>
      <c r="J57" s="73"/>
    </row>
    <row r="58" spans="7:10" ht="15.75">
      <c r="G58" s="73"/>
      <c r="H58" s="73"/>
      <c r="I58" s="73"/>
      <c r="J58" s="73"/>
    </row>
  </sheetData>
  <sheetProtection/>
  <mergeCells count="2">
    <mergeCell ref="G42:H42"/>
    <mergeCell ref="I42:J42"/>
  </mergeCells>
  <printOptions/>
  <pageMargins left="0.787401575" right="0.787401575" top="0.984251969" bottom="0.984251969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"/>
  <sheetViews>
    <sheetView zoomScale="125" zoomScaleNormal="125" zoomScalePageLayoutView="0" workbookViewId="0" topLeftCell="A1">
      <selection activeCell="C16" sqref="C16"/>
    </sheetView>
  </sheetViews>
  <sheetFormatPr defaultColWidth="8.8515625" defaultRowHeight="12.75"/>
  <cols>
    <col min="1" max="1" width="22.421875" style="0" customWidth="1"/>
    <col min="2" max="2" width="52.140625" style="0" bestFit="1" customWidth="1"/>
    <col min="3" max="3" width="13.140625" style="0" bestFit="1" customWidth="1"/>
    <col min="4" max="4" width="10.7109375" style="0" customWidth="1"/>
    <col min="5" max="5" width="14.8515625" style="0" customWidth="1"/>
    <col min="6" max="6" width="11.28125" style="0" customWidth="1"/>
    <col min="7" max="7" width="13.140625" style="0" bestFit="1" customWidth="1"/>
    <col min="8" max="8" width="11.28125" style="0" bestFit="1" customWidth="1"/>
    <col min="9" max="9" width="9.8515625" style="0" bestFit="1" customWidth="1"/>
    <col min="10" max="10" width="14.7109375" style="0" bestFit="1" customWidth="1"/>
    <col min="11" max="11" width="10.421875" style="0" bestFit="1" customWidth="1"/>
  </cols>
  <sheetData>
    <row r="1" ht="25.5" thickBot="1">
      <c r="B1" s="109" t="s">
        <v>119</v>
      </c>
    </row>
    <row r="2" spans="2:8" ht="18">
      <c r="B2" s="101"/>
      <c r="C2" s="231" t="s">
        <v>0</v>
      </c>
      <c r="D2" s="232"/>
      <c r="E2" s="232" t="s">
        <v>1</v>
      </c>
      <c r="F2" s="235"/>
      <c r="G2" s="236" t="s">
        <v>122</v>
      </c>
      <c r="H2" s="237"/>
    </row>
    <row r="3" spans="2:8" ht="18">
      <c r="B3" s="102"/>
      <c r="C3" s="94" t="s">
        <v>16</v>
      </c>
      <c r="D3" s="88" t="s">
        <v>17</v>
      </c>
      <c r="E3" s="88" t="s">
        <v>16</v>
      </c>
      <c r="F3" s="95" t="s">
        <v>17</v>
      </c>
      <c r="G3" s="12"/>
      <c r="H3" s="28"/>
    </row>
    <row r="4" spans="2:8" ht="18">
      <c r="B4" s="103" t="s">
        <v>7</v>
      </c>
      <c r="C4" s="96">
        <f>Questões!C7</f>
        <v>80</v>
      </c>
      <c r="D4" s="82"/>
      <c r="E4" s="82">
        <f>Questões!E7</f>
        <v>95</v>
      </c>
      <c r="F4" s="97"/>
      <c r="G4" s="12"/>
      <c r="H4" s="28"/>
    </row>
    <row r="5" spans="2:8" ht="18">
      <c r="B5" s="102"/>
      <c r="C5" s="94"/>
      <c r="D5" s="88"/>
      <c r="E5" s="88"/>
      <c r="F5" s="95"/>
      <c r="G5" s="12"/>
      <c r="H5" s="28"/>
    </row>
    <row r="6" spans="2:8" ht="18">
      <c r="B6" s="103" t="s">
        <v>131</v>
      </c>
      <c r="C6" s="96">
        <f>C7+C8</f>
        <v>30</v>
      </c>
      <c r="D6" s="83">
        <f>C6/C4</f>
        <v>0.375</v>
      </c>
      <c r="E6" s="82">
        <f>E7+E8</f>
        <v>31</v>
      </c>
      <c r="F6" s="84">
        <f>E6/E4</f>
        <v>0.3263157894736842</v>
      </c>
      <c r="G6" s="12"/>
      <c r="H6" s="28"/>
    </row>
    <row r="7" spans="2:8" ht="18">
      <c r="B7" s="104" t="s">
        <v>88</v>
      </c>
      <c r="C7" s="96">
        <f>Questões!C4</f>
        <v>20</v>
      </c>
      <c r="D7" s="83">
        <f>C7/C4</f>
        <v>0.25</v>
      </c>
      <c r="E7" s="82">
        <f>Questões!E4</f>
        <v>25</v>
      </c>
      <c r="F7" s="84">
        <f>E7/E4</f>
        <v>0.2631578947368421</v>
      </c>
      <c r="G7" s="12"/>
      <c r="H7" s="28"/>
    </row>
    <row r="8" spans="2:8" ht="18">
      <c r="B8" s="104" t="s">
        <v>89</v>
      </c>
      <c r="C8" s="96">
        <f>Questões!C5</f>
        <v>10</v>
      </c>
      <c r="D8" s="83">
        <f>C8/C4</f>
        <v>0.125</v>
      </c>
      <c r="E8" s="82">
        <f>Questões!E5</f>
        <v>6</v>
      </c>
      <c r="F8" s="84">
        <f>E8/E4</f>
        <v>0.06315789473684211</v>
      </c>
      <c r="G8" s="12"/>
      <c r="H8" s="28"/>
    </row>
    <row r="9" spans="2:8" ht="12.75">
      <c r="B9" s="105"/>
      <c r="C9" s="98"/>
      <c r="D9" s="91"/>
      <c r="E9" s="91"/>
      <c r="F9" s="99"/>
      <c r="G9" s="12"/>
      <c r="H9" s="28"/>
    </row>
    <row r="10" spans="2:8" ht="18">
      <c r="B10" s="163" t="s">
        <v>117</v>
      </c>
      <c r="C10" s="164">
        <f>C4-C6</f>
        <v>50</v>
      </c>
      <c r="D10" s="155">
        <f>C10/C4</f>
        <v>0.625</v>
      </c>
      <c r="E10" s="164">
        <f>E4-E6</f>
        <v>64</v>
      </c>
      <c r="F10" s="152">
        <f>E10/E4</f>
        <v>0.6736842105263158</v>
      </c>
      <c r="G10" s="12"/>
      <c r="H10" s="28"/>
    </row>
    <row r="11" spans="2:8" ht="18">
      <c r="B11" s="165"/>
      <c r="C11" s="164"/>
      <c r="D11" s="155"/>
      <c r="E11" s="85"/>
      <c r="F11" s="157"/>
      <c r="G11" s="12"/>
      <c r="H11" s="28"/>
    </row>
    <row r="12" spans="2:8" ht="18.75" thickBot="1">
      <c r="B12" s="166" t="s">
        <v>118</v>
      </c>
      <c r="C12" s="167">
        <f>C10*Questões!C6</f>
        <v>600000</v>
      </c>
      <c r="D12" s="144">
        <f>C12/G12</f>
        <v>0.7009345794392523</v>
      </c>
      <c r="E12" s="168">
        <f>E10*Questões!E6</f>
        <v>256000</v>
      </c>
      <c r="F12" s="162">
        <f>E12/G12</f>
        <v>0.29906542056074764</v>
      </c>
      <c r="G12" s="108">
        <f>C12+E12</f>
        <v>856000</v>
      </c>
      <c r="H12" s="29"/>
    </row>
    <row r="13" spans="2:6" ht="12.75">
      <c r="B13" s="76"/>
      <c r="C13" s="47"/>
      <c r="D13" s="37"/>
      <c r="E13" s="47"/>
      <c r="F13" s="37"/>
    </row>
    <row r="14" spans="2:6" ht="18">
      <c r="B14" s="92" t="s">
        <v>120</v>
      </c>
      <c r="C14" s="115">
        <f>C15-C16</f>
        <v>356000</v>
      </c>
      <c r="D14" s="37"/>
      <c r="E14" s="47"/>
      <c r="F14" s="37"/>
    </row>
    <row r="15" spans="2:6" ht="18.75" thickBot="1">
      <c r="B15" s="107" t="s">
        <v>118</v>
      </c>
      <c r="C15" s="206">
        <f>G12</f>
        <v>856000</v>
      </c>
      <c r="D15" s="37"/>
      <c r="E15" s="47"/>
      <c r="F15" s="37"/>
    </row>
    <row r="16" spans="2:6" ht="18">
      <c r="B16" s="112" t="s">
        <v>121</v>
      </c>
      <c r="C16" s="113">
        <f>Questões!C17</f>
        <v>500000</v>
      </c>
      <c r="D16" s="37"/>
      <c r="E16" s="47"/>
      <c r="F16" s="37"/>
    </row>
    <row r="17" spans="2:6" ht="12.75">
      <c r="B17" s="76"/>
      <c r="C17" s="47"/>
      <c r="D17" s="37"/>
      <c r="E17" s="47"/>
      <c r="F17" s="37"/>
    </row>
    <row r="18" spans="2:6" ht="12.75">
      <c r="B18" s="76"/>
      <c r="C18" s="47"/>
      <c r="D18" s="37"/>
      <c r="E18" s="47"/>
      <c r="F18" s="37"/>
    </row>
    <row r="19" spans="1:14" ht="12.7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2.7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2.7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2.7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2.75">
      <c r="A26" s="89"/>
      <c r="B26" s="89"/>
      <c r="C26" s="91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</row>
    <row r="27" spans="1:14" ht="12.75">
      <c r="A27" s="89"/>
      <c r="B27" s="89"/>
      <c r="C27" s="91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4" ht="12.75">
      <c r="A28" s="89"/>
      <c r="B28" s="89"/>
      <c r="C28" s="91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</row>
    <row r="29" spans="1:14" ht="12.75">
      <c r="A29" s="89"/>
      <c r="B29" s="89"/>
      <c r="C29" s="91"/>
      <c r="D29" s="89"/>
      <c r="E29" s="89"/>
      <c r="F29" s="89"/>
      <c r="G29" s="89"/>
      <c r="H29" s="89"/>
      <c r="I29" s="89"/>
      <c r="J29" s="117"/>
      <c r="K29" s="89"/>
      <c r="L29" s="89"/>
      <c r="M29" s="89"/>
      <c r="N29" s="89"/>
    </row>
    <row r="30" spans="1:14" ht="12.75">
      <c r="A30" s="89"/>
      <c r="B30" s="89"/>
      <c r="C30" s="91"/>
      <c r="D30" s="89"/>
      <c r="E30" s="89"/>
      <c r="F30" s="36"/>
      <c r="G30" s="46"/>
      <c r="H30" s="45"/>
      <c r="I30" s="37"/>
      <c r="J30" s="116"/>
      <c r="K30" s="89"/>
      <c r="L30" s="89"/>
      <c r="M30" s="89"/>
      <c r="N30" s="89"/>
    </row>
    <row r="31" spans="1:14" ht="12.75">
      <c r="A31" s="89"/>
      <c r="B31" s="89"/>
      <c r="C31" s="91"/>
      <c r="D31" s="89"/>
      <c r="E31" s="89"/>
      <c r="F31" s="36"/>
      <c r="G31" s="37"/>
      <c r="H31" s="36"/>
      <c r="I31" s="37"/>
      <c r="J31" s="89"/>
      <c r="K31" s="89"/>
      <c r="L31" s="89"/>
      <c r="M31" s="89"/>
      <c r="N31" s="89"/>
    </row>
    <row r="32" spans="1:14" ht="12.75">
      <c r="A32" s="89"/>
      <c r="B32" s="89"/>
      <c r="C32" s="37"/>
      <c r="D32" s="89"/>
      <c r="E32" s="89"/>
      <c r="F32" s="36"/>
      <c r="G32" s="37"/>
      <c r="H32" s="36"/>
      <c r="I32" s="37"/>
      <c r="J32" s="89"/>
      <c r="K32" s="89"/>
      <c r="L32" s="89"/>
      <c r="M32" s="89"/>
      <c r="N32" s="89"/>
    </row>
    <row r="33" spans="1:14" ht="12.75">
      <c r="A33" s="89"/>
      <c r="B33" s="89"/>
      <c r="C33" s="89"/>
      <c r="D33" s="89"/>
      <c r="E33" s="89"/>
      <c r="F33" s="36"/>
      <c r="G33" s="37"/>
      <c r="H33" s="36"/>
      <c r="I33" s="37"/>
      <c r="J33" s="89"/>
      <c r="K33" s="116"/>
      <c r="L33" s="89"/>
      <c r="M33" s="89"/>
      <c r="N33" s="89"/>
    </row>
    <row r="34" spans="1:14" ht="12.75">
      <c r="A34" s="89"/>
      <c r="B34" s="89"/>
      <c r="C34" s="89"/>
      <c r="D34" s="89"/>
      <c r="E34" s="89"/>
      <c r="F34" s="36"/>
      <c r="G34" s="37"/>
      <c r="H34" s="47"/>
      <c r="I34" s="37"/>
      <c r="J34" s="116"/>
      <c r="K34" s="89"/>
      <c r="L34" s="89"/>
      <c r="M34" s="89"/>
      <c r="N34" s="89"/>
    </row>
    <row r="35" spans="1:14" ht="12.75">
      <c r="A35" s="89"/>
      <c r="B35" s="89"/>
      <c r="C35" s="89"/>
      <c r="D35" s="89"/>
      <c r="E35" s="89"/>
      <c r="F35" s="36"/>
      <c r="G35" s="37"/>
      <c r="H35" s="36"/>
      <c r="I35" s="37"/>
      <c r="J35" s="116"/>
      <c r="K35" s="89"/>
      <c r="L35" s="89"/>
      <c r="M35" s="89"/>
      <c r="N35" s="89"/>
    </row>
    <row r="36" spans="1:14" ht="12.75">
      <c r="A36" s="89"/>
      <c r="B36" s="89"/>
      <c r="C36" s="89"/>
      <c r="D36" s="89"/>
      <c r="E36" s="89"/>
      <c r="F36" s="36"/>
      <c r="G36" s="37"/>
      <c r="H36" s="47"/>
      <c r="I36" s="37"/>
      <c r="J36" s="116"/>
      <c r="K36" s="89"/>
      <c r="L36" s="89"/>
      <c r="M36" s="89"/>
      <c r="N36" s="89"/>
    </row>
    <row r="37" spans="1:14" ht="12.75">
      <c r="A37" s="89"/>
      <c r="B37" s="89"/>
      <c r="C37" s="89"/>
      <c r="D37" s="89"/>
      <c r="E37" s="89"/>
      <c r="F37" s="36"/>
      <c r="G37" s="37"/>
      <c r="H37" s="36"/>
      <c r="I37" s="37"/>
      <c r="J37" s="89"/>
      <c r="K37" s="89"/>
      <c r="L37" s="89"/>
      <c r="M37" s="89"/>
      <c r="N37" s="89"/>
    </row>
    <row r="38" spans="1:14" ht="12.75">
      <c r="A38" s="89"/>
      <c r="B38" s="89"/>
      <c r="C38" s="89"/>
      <c r="D38" s="89"/>
      <c r="E38" s="89"/>
      <c r="F38" s="233"/>
      <c r="G38" s="233"/>
      <c r="H38" s="233"/>
      <c r="I38" s="233"/>
      <c r="J38" s="89"/>
      <c r="K38" s="89"/>
      <c r="L38" s="89"/>
      <c r="M38" s="89"/>
      <c r="N38" s="89"/>
    </row>
    <row r="39" spans="1:14" ht="12.75">
      <c r="A39" s="89"/>
      <c r="B39" s="89"/>
      <c r="C39" s="89"/>
      <c r="D39" s="89"/>
      <c r="E39" s="89"/>
      <c r="F39" s="36"/>
      <c r="G39" s="39"/>
      <c r="H39" s="36"/>
      <c r="I39" s="39"/>
      <c r="J39" s="116"/>
      <c r="K39" s="89"/>
      <c r="L39" s="89"/>
      <c r="M39" s="89"/>
      <c r="N39" s="89"/>
    </row>
    <row r="40" spans="1:14" ht="12.75">
      <c r="A40" s="89"/>
      <c r="B40" s="89"/>
      <c r="C40" s="89"/>
      <c r="D40" s="89"/>
      <c r="E40" s="89"/>
      <c r="F40" s="89"/>
      <c r="G40" s="116"/>
      <c r="H40" s="89"/>
      <c r="I40" s="89"/>
      <c r="J40" s="89"/>
      <c r="K40" s="89"/>
      <c r="L40" s="89"/>
      <c r="M40" s="89"/>
      <c r="N40" s="89"/>
    </row>
    <row r="41" spans="1:14" ht="12.75">
      <c r="A41" s="89"/>
      <c r="B41" s="89"/>
      <c r="C41" s="89"/>
      <c r="D41" s="89"/>
      <c r="E41" s="89"/>
      <c r="F41" s="89"/>
      <c r="G41" s="91"/>
      <c r="H41" s="91"/>
      <c r="I41" s="89"/>
      <c r="J41" s="89"/>
      <c r="K41" s="89"/>
      <c r="L41" s="89"/>
      <c r="M41" s="89"/>
      <c r="N41" s="89"/>
    </row>
    <row r="42" spans="1:14" ht="12.75">
      <c r="A42" s="89"/>
      <c r="B42" s="89"/>
      <c r="C42" s="89"/>
      <c r="D42" s="89"/>
      <c r="E42" s="89"/>
      <c r="F42" s="89"/>
      <c r="G42" s="91"/>
      <c r="H42" s="91"/>
      <c r="I42" s="91"/>
      <c r="J42" s="89"/>
      <c r="K42" s="89"/>
      <c r="L42" s="89"/>
      <c r="M42" s="89"/>
      <c r="N42" s="89"/>
    </row>
    <row r="43" spans="1:14" ht="12.75">
      <c r="A43" s="89"/>
      <c r="B43" s="89"/>
      <c r="C43" s="89"/>
      <c r="D43" s="89"/>
      <c r="E43" s="89"/>
      <c r="F43" s="89"/>
      <c r="G43" s="118"/>
      <c r="H43" s="89"/>
      <c r="I43" s="118"/>
      <c r="J43" s="89"/>
      <c r="K43" s="89"/>
      <c r="L43" s="89"/>
      <c r="M43" s="89"/>
      <c r="N43" s="89"/>
    </row>
    <row r="44" spans="1:14" ht="12.75">
      <c r="A44" s="89"/>
      <c r="B44" s="89"/>
      <c r="C44" s="89"/>
      <c r="D44" s="89"/>
      <c r="E44" s="89"/>
      <c r="F44" s="89"/>
      <c r="G44" s="118"/>
      <c r="H44" s="89"/>
      <c r="I44" s="118"/>
      <c r="J44" s="89"/>
      <c r="K44" s="89"/>
      <c r="L44" s="89"/>
      <c r="M44" s="89"/>
      <c r="N44" s="89"/>
    </row>
    <row r="45" spans="1:14" ht="12.75">
      <c r="A45" s="89"/>
      <c r="B45" s="89"/>
      <c r="C45" s="89"/>
      <c r="D45" s="89"/>
      <c r="E45" s="89"/>
      <c r="F45" s="89"/>
      <c r="G45" s="118"/>
      <c r="H45" s="89"/>
      <c r="I45" s="118"/>
      <c r="J45" s="89"/>
      <c r="K45" s="89"/>
      <c r="L45" s="89"/>
      <c r="M45" s="89"/>
      <c r="N45" s="89"/>
    </row>
    <row r="46" spans="1:14" ht="12.75">
      <c r="A46" s="89"/>
      <c r="B46" s="89"/>
      <c r="C46" s="89"/>
      <c r="D46" s="89"/>
      <c r="E46" s="89"/>
      <c r="F46" s="89"/>
      <c r="G46" s="118"/>
      <c r="H46" s="119"/>
      <c r="I46" s="118"/>
      <c r="J46" s="89"/>
      <c r="K46" s="89"/>
      <c r="L46" s="89"/>
      <c r="M46" s="89"/>
      <c r="N46" s="89"/>
    </row>
    <row r="47" spans="1:14" ht="12.75">
      <c r="A47" s="89"/>
      <c r="B47" s="89"/>
      <c r="C47" s="89"/>
      <c r="D47" s="89"/>
      <c r="E47" s="89"/>
      <c r="F47" s="89"/>
      <c r="G47" s="118"/>
      <c r="H47" s="116"/>
      <c r="I47" s="118"/>
      <c r="J47" s="89"/>
      <c r="K47" s="89"/>
      <c r="L47" s="89"/>
      <c r="M47" s="89"/>
      <c r="N47" s="89"/>
    </row>
    <row r="48" spans="1:14" ht="12.75">
      <c r="A48" s="89"/>
      <c r="B48" s="89"/>
      <c r="C48" s="89"/>
      <c r="D48" s="89"/>
      <c r="E48" s="89"/>
      <c r="F48" s="89"/>
      <c r="G48" s="118"/>
      <c r="H48" s="116"/>
      <c r="I48" s="118"/>
      <c r="J48" s="89"/>
      <c r="K48" s="89"/>
      <c r="L48" s="89"/>
      <c r="M48" s="89"/>
      <c r="N48" s="89"/>
    </row>
    <row r="49" spans="1:14" ht="12.75">
      <c r="A49" s="89"/>
      <c r="B49" s="89"/>
      <c r="C49" s="89"/>
      <c r="D49" s="89"/>
      <c r="E49" s="89"/>
      <c r="F49" s="89"/>
      <c r="G49" s="118"/>
      <c r="H49" s="116"/>
      <c r="I49" s="118"/>
      <c r="J49" s="89"/>
      <c r="K49" s="89"/>
      <c r="L49" s="89"/>
      <c r="M49" s="89"/>
      <c r="N49" s="89"/>
    </row>
    <row r="50" spans="1:14" ht="12.75">
      <c r="A50" s="89"/>
      <c r="B50" s="89"/>
      <c r="C50" s="89"/>
      <c r="D50" s="89"/>
      <c r="E50" s="89"/>
      <c r="F50" s="89"/>
      <c r="G50" s="118"/>
      <c r="H50" s="116"/>
      <c r="I50" s="118"/>
      <c r="J50" s="89"/>
      <c r="K50" s="89"/>
      <c r="L50" s="89"/>
      <c r="M50" s="89"/>
      <c r="N50" s="89"/>
    </row>
    <row r="51" spans="1:14" ht="12.75">
      <c r="A51" s="89"/>
      <c r="B51" s="89"/>
      <c r="C51" s="89"/>
      <c r="D51" s="89"/>
      <c r="E51" s="89"/>
      <c r="F51" s="89"/>
      <c r="G51" s="118"/>
      <c r="H51" s="116"/>
      <c r="I51" s="118"/>
      <c r="J51" s="89"/>
      <c r="K51" s="89"/>
      <c r="L51" s="89"/>
      <c r="M51" s="89"/>
      <c r="N51" s="89"/>
    </row>
    <row r="52" spans="1:14" ht="12.75">
      <c r="A52" s="89"/>
      <c r="B52" s="89"/>
      <c r="C52" s="89"/>
      <c r="D52" s="89"/>
      <c r="E52" s="89"/>
      <c r="F52" s="89"/>
      <c r="G52" s="118"/>
      <c r="H52" s="116"/>
      <c r="I52" s="118"/>
      <c r="J52" s="89"/>
      <c r="K52" s="89"/>
      <c r="L52" s="89"/>
      <c r="M52" s="89"/>
      <c r="N52" s="89"/>
    </row>
    <row r="53" spans="1:14" ht="12.75">
      <c r="A53" s="89"/>
      <c r="B53" s="116"/>
      <c r="C53" s="89"/>
      <c r="D53" s="89"/>
      <c r="E53" s="89"/>
      <c r="F53" s="89"/>
      <c r="G53" s="118"/>
      <c r="H53" s="116"/>
      <c r="I53" s="118"/>
      <c r="J53" s="116"/>
      <c r="K53" s="89"/>
      <c r="L53" s="89"/>
      <c r="M53" s="89"/>
      <c r="N53" s="89"/>
    </row>
    <row r="54" spans="1:14" ht="12.75">
      <c r="A54" s="89"/>
      <c r="B54" s="89"/>
      <c r="C54" s="89"/>
      <c r="D54" s="89"/>
      <c r="E54" s="89"/>
      <c r="F54" s="89"/>
      <c r="G54" s="234"/>
      <c r="H54" s="234"/>
      <c r="I54" s="234"/>
      <c r="J54" s="89"/>
      <c r="K54" s="89"/>
      <c r="L54" s="89"/>
      <c r="M54" s="89"/>
      <c r="N54" s="89"/>
    </row>
    <row r="55" spans="1:14" ht="12.75">
      <c r="A55" s="89"/>
      <c r="B55" s="89"/>
      <c r="C55" s="89"/>
      <c r="D55" s="89"/>
      <c r="E55" s="89"/>
      <c r="F55" s="89"/>
      <c r="G55" s="116"/>
      <c r="H55" s="89"/>
      <c r="I55" s="89"/>
      <c r="J55" s="89"/>
      <c r="K55" s="89"/>
      <c r="L55" s="89"/>
      <c r="M55" s="89"/>
      <c r="N55" s="89"/>
    </row>
    <row r="56" spans="1:14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</row>
    <row r="57" spans="1:14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1:14" ht="12.75">
      <c r="A58" s="89"/>
      <c r="B58" s="89"/>
      <c r="C58" s="89"/>
      <c r="D58" s="89"/>
      <c r="E58" s="89"/>
      <c r="F58" s="89"/>
      <c r="G58" s="91"/>
      <c r="H58" s="91"/>
      <c r="I58" s="89"/>
      <c r="J58" s="89"/>
      <c r="K58" s="89"/>
      <c r="L58" s="89"/>
      <c r="M58" s="89"/>
      <c r="N58" s="89"/>
    </row>
    <row r="59" spans="1:14" ht="12.75">
      <c r="A59" s="89"/>
      <c r="B59" s="89"/>
      <c r="C59" s="89"/>
      <c r="D59" s="89"/>
      <c r="E59" s="89"/>
      <c r="F59" s="89"/>
      <c r="G59" s="91"/>
      <c r="H59" s="91"/>
      <c r="I59" s="91"/>
      <c r="J59" s="89"/>
      <c r="K59" s="89"/>
      <c r="L59" s="89"/>
      <c r="M59" s="89"/>
      <c r="N59" s="89"/>
    </row>
    <row r="60" spans="1:14" ht="12.75">
      <c r="A60" s="89"/>
      <c r="B60" s="89"/>
      <c r="C60" s="89"/>
      <c r="D60" s="89"/>
      <c r="E60" s="89"/>
      <c r="F60" s="89"/>
      <c r="G60" s="118"/>
      <c r="H60" s="89"/>
      <c r="I60" s="118"/>
      <c r="J60" s="89"/>
      <c r="K60" s="89"/>
      <c r="L60" s="89"/>
      <c r="M60" s="89"/>
      <c r="N60" s="89"/>
    </row>
    <row r="61" spans="1:14" ht="12.75">
      <c r="A61" s="89"/>
      <c r="B61" s="89"/>
      <c r="C61" s="89"/>
      <c r="D61" s="89"/>
      <c r="E61" s="89"/>
      <c r="F61" s="89"/>
      <c r="G61" s="118"/>
      <c r="H61" s="89"/>
      <c r="I61" s="118"/>
      <c r="J61" s="89"/>
      <c r="K61" s="89"/>
      <c r="L61" s="89"/>
      <c r="M61" s="89"/>
      <c r="N61" s="89"/>
    </row>
    <row r="62" spans="1:14" ht="12.75">
      <c r="A62" s="89"/>
      <c r="B62" s="89"/>
      <c r="C62" s="89"/>
      <c r="D62" s="89"/>
      <c r="E62" s="89"/>
      <c r="F62" s="89"/>
      <c r="G62" s="118"/>
      <c r="H62" s="89"/>
      <c r="I62" s="118"/>
      <c r="J62" s="89"/>
      <c r="K62" s="89"/>
      <c r="L62" s="89"/>
      <c r="M62" s="89"/>
      <c r="N62" s="89"/>
    </row>
    <row r="63" spans="1:14" ht="12.75">
      <c r="A63" s="89"/>
      <c r="B63" s="89"/>
      <c r="C63" s="89"/>
      <c r="D63" s="89"/>
      <c r="E63" s="89"/>
      <c r="F63" s="89"/>
      <c r="G63" s="118"/>
      <c r="H63" s="119"/>
      <c r="I63" s="118"/>
      <c r="J63" s="89"/>
      <c r="K63" s="89"/>
      <c r="L63" s="89"/>
      <c r="M63" s="89"/>
      <c r="N63" s="89"/>
    </row>
    <row r="64" spans="1:14" ht="12.75">
      <c r="A64" s="89"/>
      <c r="B64" s="89"/>
      <c r="C64" s="89"/>
      <c r="D64" s="89"/>
      <c r="E64" s="89"/>
      <c r="F64" s="89"/>
      <c r="G64" s="118"/>
      <c r="H64" s="119"/>
      <c r="I64" s="118"/>
      <c r="J64" s="89"/>
      <c r="K64" s="89"/>
      <c r="L64" s="89"/>
      <c r="M64" s="89"/>
      <c r="N64" s="89"/>
    </row>
    <row r="65" spans="1:14" ht="12.75">
      <c r="A65" s="89"/>
      <c r="B65" s="89"/>
      <c r="C65" s="89"/>
      <c r="D65" s="89"/>
      <c r="E65" s="89"/>
      <c r="F65" s="89"/>
      <c r="G65" s="118"/>
      <c r="H65" s="119"/>
      <c r="I65" s="118"/>
      <c r="J65" s="89"/>
      <c r="K65" s="89"/>
      <c r="L65" s="89"/>
      <c r="M65" s="89"/>
      <c r="N65" s="89"/>
    </row>
    <row r="66" spans="1:14" ht="12.75">
      <c r="A66" s="89"/>
      <c r="B66" s="89"/>
      <c r="C66" s="89"/>
      <c r="D66" s="89"/>
      <c r="E66" s="89"/>
      <c r="F66" s="89"/>
      <c r="G66" s="118"/>
      <c r="H66" s="119"/>
      <c r="I66" s="118"/>
      <c r="J66" s="89"/>
      <c r="K66" s="89"/>
      <c r="L66" s="89"/>
      <c r="M66" s="89"/>
      <c r="N66" s="89"/>
    </row>
    <row r="67" spans="1:14" ht="12.75">
      <c r="A67" s="89"/>
      <c r="B67" s="89"/>
      <c r="C67" s="89"/>
      <c r="D67" s="89"/>
      <c r="E67" s="89"/>
      <c r="F67" s="89"/>
      <c r="G67" s="118"/>
      <c r="H67" s="119"/>
      <c r="I67" s="118"/>
      <c r="J67" s="89"/>
      <c r="K67" s="89"/>
      <c r="L67" s="89"/>
      <c r="M67" s="89"/>
      <c r="N67" s="89"/>
    </row>
    <row r="68" spans="1:14" ht="12.75">
      <c r="A68" s="89"/>
      <c r="B68" s="89"/>
      <c r="C68" s="89"/>
      <c r="D68" s="89"/>
      <c r="E68" s="89"/>
      <c r="F68" s="89"/>
      <c r="G68" s="118"/>
      <c r="H68" s="119"/>
      <c r="I68" s="118"/>
      <c r="J68" s="89"/>
      <c r="K68" s="89"/>
      <c r="L68" s="89"/>
      <c r="M68" s="89"/>
      <c r="N68" s="89"/>
    </row>
    <row r="69" spans="1:14" ht="12.75">
      <c r="A69" s="89"/>
      <c r="B69" s="89"/>
      <c r="C69" s="89"/>
      <c r="D69" s="89"/>
      <c r="E69" s="89"/>
      <c r="F69" s="89"/>
      <c r="G69" s="118"/>
      <c r="H69" s="119"/>
      <c r="I69" s="118"/>
      <c r="J69" s="89"/>
      <c r="K69" s="89"/>
      <c r="L69" s="89"/>
      <c r="M69" s="89"/>
      <c r="N69" s="89"/>
    </row>
    <row r="70" spans="1:14" ht="12.75">
      <c r="A70" s="89"/>
      <c r="B70" s="89"/>
      <c r="C70" s="89"/>
      <c r="D70" s="89"/>
      <c r="E70" s="89"/>
      <c r="F70" s="89"/>
      <c r="G70" s="118"/>
      <c r="H70" s="119"/>
      <c r="I70" s="118"/>
      <c r="J70" s="116"/>
      <c r="K70" s="89"/>
      <c r="L70" s="89"/>
      <c r="M70" s="89"/>
      <c r="N70" s="89"/>
    </row>
    <row r="71" spans="1:14" ht="12.75">
      <c r="A71" s="89"/>
      <c r="B71" s="89"/>
      <c r="C71" s="89"/>
      <c r="D71" s="89"/>
      <c r="E71" s="89"/>
      <c r="F71" s="89"/>
      <c r="G71" s="228"/>
      <c r="H71" s="228"/>
      <c r="I71" s="228"/>
      <c r="J71" s="89"/>
      <c r="K71" s="89"/>
      <c r="L71" s="89"/>
      <c r="M71" s="89"/>
      <c r="N71" s="89"/>
    </row>
    <row r="72" spans="1:14" ht="12.75">
      <c r="A72" s="89"/>
      <c r="B72" s="89"/>
      <c r="C72" s="89"/>
      <c r="D72" s="89"/>
      <c r="E72" s="89"/>
      <c r="F72" s="89"/>
      <c r="G72" s="118"/>
      <c r="H72" s="89"/>
      <c r="I72" s="118"/>
      <c r="J72" s="89"/>
      <c r="K72" s="89"/>
      <c r="L72" s="89"/>
      <c r="M72" s="89"/>
      <c r="N72" s="89"/>
    </row>
    <row r="73" spans="1:14" ht="12.75">
      <c r="A73" s="89"/>
      <c r="B73" s="89"/>
      <c r="C73" s="89"/>
      <c r="D73" s="89"/>
      <c r="E73" s="89"/>
      <c r="F73" s="89"/>
      <c r="G73" s="118"/>
      <c r="H73" s="89"/>
      <c r="I73" s="118"/>
      <c r="J73" s="89"/>
      <c r="K73" s="89"/>
      <c r="L73" s="89"/>
      <c r="M73" s="89"/>
      <c r="N73" s="89"/>
    </row>
    <row r="74" spans="1:14" ht="12.75">
      <c r="A74" s="89"/>
      <c r="B74" s="89"/>
      <c r="C74" s="89"/>
      <c r="D74" s="89"/>
      <c r="E74" s="89"/>
      <c r="F74" s="89"/>
      <c r="G74" s="118"/>
      <c r="H74" s="89"/>
      <c r="I74" s="118"/>
      <c r="J74" s="89"/>
      <c r="K74" s="89"/>
      <c r="L74" s="89"/>
      <c r="M74" s="89"/>
      <c r="N74" s="89"/>
    </row>
    <row r="75" spans="1:14" ht="12.75">
      <c r="A75" s="89"/>
      <c r="B75" s="89"/>
      <c r="C75" s="89"/>
      <c r="D75" s="89"/>
      <c r="E75" s="89"/>
      <c r="F75" s="89"/>
      <c r="G75" s="118"/>
      <c r="H75" s="89"/>
      <c r="I75" s="118"/>
      <c r="J75" s="89"/>
      <c r="K75" s="89"/>
      <c r="L75" s="89"/>
      <c r="M75" s="89"/>
      <c r="N75" s="89"/>
    </row>
    <row r="76" spans="1:14" ht="12.75">
      <c r="A76" s="89"/>
      <c r="B76" s="89"/>
      <c r="C76" s="89"/>
      <c r="D76" s="89"/>
      <c r="E76" s="89"/>
      <c r="F76" s="89"/>
      <c r="G76" s="118"/>
      <c r="H76" s="89"/>
      <c r="I76" s="118"/>
      <c r="J76" s="89"/>
      <c r="K76" s="89"/>
      <c r="L76" s="89"/>
      <c r="M76" s="89"/>
      <c r="N76" s="89"/>
    </row>
    <row r="77" spans="1:14" ht="12.75">
      <c r="A77" s="89"/>
      <c r="B77" s="89"/>
      <c r="C77" s="89"/>
      <c r="D77" s="89"/>
      <c r="E77" s="89"/>
      <c r="F77" s="89"/>
      <c r="G77" s="118"/>
      <c r="H77" s="120"/>
      <c r="I77" s="118"/>
      <c r="J77" s="89"/>
      <c r="K77" s="89"/>
      <c r="L77" s="89"/>
      <c r="M77" s="89"/>
      <c r="N77" s="89"/>
    </row>
    <row r="78" spans="1:14" ht="12.75">
      <c r="A78" s="89"/>
      <c r="B78" s="89"/>
      <c r="C78" s="89"/>
      <c r="D78" s="89"/>
      <c r="E78" s="89"/>
      <c r="F78" s="89"/>
      <c r="G78" s="118"/>
      <c r="H78" s="89"/>
      <c r="I78" s="118"/>
      <c r="J78" s="89"/>
      <c r="K78" s="89"/>
      <c r="L78" s="89"/>
      <c r="M78" s="89"/>
      <c r="N78" s="89"/>
    </row>
    <row r="79" spans="1:14" ht="12.75">
      <c r="A79" s="89"/>
      <c r="B79" s="89"/>
      <c r="C79" s="89"/>
      <c r="D79" s="89"/>
      <c r="E79" s="89"/>
      <c r="F79" s="89"/>
      <c r="G79" s="118"/>
      <c r="H79" s="120"/>
      <c r="I79" s="118"/>
      <c r="J79" s="89"/>
      <c r="K79" s="89"/>
      <c r="L79" s="89"/>
      <c r="M79" s="89"/>
      <c r="N79" s="89"/>
    </row>
    <row r="80" spans="1:14" ht="12.75">
      <c r="A80" s="89"/>
      <c r="B80" s="89"/>
      <c r="C80" s="89"/>
      <c r="D80" s="89"/>
      <c r="E80" s="89"/>
      <c r="F80" s="89"/>
      <c r="G80" s="118"/>
      <c r="H80" s="121"/>
      <c r="I80" s="118"/>
      <c r="J80" s="89"/>
      <c r="K80" s="89"/>
      <c r="L80" s="89"/>
      <c r="M80" s="89"/>
      <c r="N80" s="89"/>
    </row>
    <row r="81" spans="1:14" ht="12.75">
      <c r="A81" s="89"/>
      <c r="B81" s="89"/>
      <c r="C81" s="89"/>
      <c r="D81" s="89"/>
      <c r="E81" s="89"/>
      <c r="F81" s="89"/>
      <c r="G81" s="118"/>
      <c r="H81" s="121"/>
      <c r="I81" s="118"/>
      <c r="J81" s="89"/>
      <c r="K81" s="89"/>
      <c r="L81" s="89"/>
      <c r="M81" s="89"/>
      <c r="N81" s="89"/>
    </row>
    <row r="82" spans="1:14" ht="12.75">
      <c r="A82" s="89"/>
      <c r="B82" s="89"/>
      <c r="C82" s="89"/>
      <c r="D82" s="89"/>
      <c r="E82" s="89"/>
      <c r="F82" s="89"/>
      <c r="G82" s="118"/>
      <c r="H82" s="119"/>
      <c r="I82" s="118"/>
      <c r="J82" s="116"/>
      <c r="K82" s="89"/>
      <c r="L82" s="89"/>
      <c r="M82" s="89"/>
      <c r="N82" s="89"/>
    </row>
    <row r="83" spans="1:14" ht="12.75">
      <c r="A83" s="89"/>
      <c r="B83" s="89"/>
      <c r="C83" s="89"/>
      <c r="D83" s="89"/>
      <c r="E83" s="89"/>
      <c r="F83" s="89"/>
      <c r="G83" s="229"/>
      <c r="H83" s="229"/>
      <c r="I83" s="89"/>
      <c r="J83" s="89"/>
      <c r="K83" s="89"/>
      <c r="L83" s="89"/>
      <c r="M83" s="89"/>
      <c r="N83" s="89"/>
    </row>
    <row r="84" spans="1:14" ht="12.75">
      <c r="A84" s="89"/>
      <c r="B84" s="89"/>
      <c r="C84" s="89"/>
      <c r="D84" s="89"/>
      <c r="E84" s="89"/>
      <c r="F84" s="89"/>
      <c r="G84" s="116"/>
      <c r="H84" s="89"/>
      <c r="I84" s="89"/>
      <c r="J84" s="89"/>
      <c r="K84" s="89"/>
      <c r="L84" s="89"/>
      <c r="M84" s="89"/>
      <c r="N84" s="89"/>
    </row>
    <row r="85" spans="1:14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 ht="12.75">
      <c r="A86" s="89"/>
      <c r="B86" s="89"/>
      <c r="C86" s="89"/>
      <c r="D86" s="89"/>
      <c r="E86" s="89"/>
      <c r="F86" s="76"/>
      <c r="G86" s="91"/>
      <c r="H86" s="110"/>
      <c r="I86" s="89"/>
      <c r="J86" s="89"/>
      <c r="K86" s="89"/>
      <c r="L86" s="89"/>
      <c r="M86" s="89"/>
      <c r="N86" s="89"/>
    </row>
    <row r="87" spans="1:14" ht="12.75">
      <c r="A87" s="89"/>
      <c r="B87" s="89"/>
      <c r="C87" s="89"/>
      <c r="D87" s="89"/>
      <c r="E87" s="89"/>
      <c r="F87" s="76"/>
      <c r="G87" s="91"/>
      <c r="H87" s="91"/>
      <c r="I87" s="89"/>
      <c r="J87" s="89"/>
      <c r="K87" s="89"/>
      <c r="L87" s="89"/>
      <c r="M87" s="89"/>
      <c r="N87" s="89"/>
    </row>
    <row r="88" spans="1:14" ht="12.75">
      <c r="A88" s="89"/>
      <c r="B88" s="89"/>
      <c r="C88" s="89"/>
      <c r="D88" s="89"/>
      <c r="E88" s="89"/>
      <c r="F88" s="76"/>
      <c r="G88" s="47"/>
      <c r="H88" s="47"/>
      <c r="I88" s="89"/>
      <c r="J88" s="89"/>
      <c r="K88" s="89"/>
      <c r="L88" s="89"/>
      <c r="M88" s="89"/>
      <c r="N88" s="89"/>
    </row>
    <row r="89" spans="1:14" ht="12.75">
      <c r="A89" s="89"/>
      <c r="B89" s="89"/>
      <c r="C89" s="89"/>
      <c r="D89" s="89"/>
      <c r="E89" s="89"/>
      <c r="F89" s="76"/>
      <c r="G89" s="91"/>
      <c r="H89" s="47"/>
      <c r="I89" s="89"/>
      <c r="J89" s="89"/>
      <c r="K89" s="89"/>
      <c r="L89" s="89"/>
      <c r="M89" s="89"/>
      <c r="N89" s="89"/>
    </row>
    <row r="90" spans="1:14" ht="12.75">
      <c r="A90" s="89"/>
      <c r="B90" s="89"/>
      <c r="C90" s="89"/>
      <c r="D90" s="89"/>
      <c r="E90" s="89"/>
      <c r="F90" s="76"/>
      <c r="G90" s="122"/>
      <c r="H90" s="47"/>
      <c r="I90" s="118"/>
      <c r="J90" s="89"/>
      <c r="K90" s="89"/>
      <c r="L90" s="89"/>
      <c r="M90" s="89"/>
      <c r="N90" s="89"/>
    </row>
    <row r="91" spans="1:14" ht="12.75">
      <c r="A91" s="89"/>
      <c r="B91" s="89"/>
      <c r="C91" s="89"/>
      <c r="D91" s="89"/>
      <c r="E91" s="89"/>
      <c r="F91" s="89"/>
      <c r="G91" s="91"/>
      <c r="H91" s="91"/>
      <c r="I91" s="89"/>
      <c r="J91" s="89"/>
      <c r="K91" s="89"/>
      <c r="L91" s="89"/>
      <c r="M91" s="89"/>
      <c r="N91" s="89"/>
    </row>
    <row r="92" spans="1:14" ht="12.75">
      <c r="A92" s="89"/>
      <c r="B92" s="89"/>
      <c r="C92" s="89"/>
      <c r="D92" s="89"/>
      <c r="E92" s="89"/>
      <c r="F92" s="89"/>
      <c r="G92" s="91"/>
      <c r="H92" s="91"/>
      <c r="I92" s="89"/>
      <c r="J92" s="89"/>
      <c r="K92" s="89"/>
      <c r="L92" s="89"/>
      <c r="M92" s="89"/>
      <c r="N92" s="89"/>
    </row>
    <row r="93" spans="1:14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</row>
    <row r="94" spans="1:14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</row>
    <row r="95" spans="1:14" ht="15.75">
      <c r="A95" s="89"/>
      <c r="B95" s="89"/>
      <c r="C95" s="89"/>
      <c r="D95" s="89"/>
      <c r="E95" s="89"/>
      <c r="F95" s="89"/>
      <c r="G95" s="123"/>
      <c r="H95" s="230"/>
      <c r="I95" s="230"/>
      <c r="J95" s="91"/>
      <c r="K95" s="89"/>
      <c r="L95" s="89"/>
      <c r="M95" s="89"/>
      <c r="N95" s="89"/>
    </row>
    <row r="96" spans="1:14" ht="15.75">
      <c r="A96" s="89"/>
      <c r="B96" s="89"/>
      <c r="C96" s="89"/>
      <c r="D96" s="89"/>
      <c r="E96" s="124"/>
      <c r="F96" s="76"/>
      <c r="G96" s="118"/>
      <c r="H96" s="117"/>
      <c r="I96" s="118"/>
      <c r="J96" s="89"/>
      <c r="K96" s="89"/>
      <c r="L96" s="89"/>
      <c r="M96" s="89"/>
      <c r="N96" s="89"/>
    </row>
    <row r="97" spans="1:14" ht="15.75">
      <c r="A97" s="89"/>
      <c r="B97" s="89"/>
      <c r="C97" s="89"/>
      <c r="D97" s="89"/>
      <c r="E97" s="124"/>
      <c r="F97" s="76"/>
      <c r="G97" s="118"/>
      <c r="H97" s="125"/>
      <c r="I97" s="118"/>
      <c r="J97" s="126"/>
      <c r="K97" s="89"/>
      <c r="L97" s="89"/>
      <c r="M97" s="89"/>
      <c r="N97" s="89"/>
    </row>
    <row r="98" spans="1:14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</row>
    <row r="99" spans="1:14" ht="15.75">
      <c r="A99" s="89"/>
      <c r="B99" s="89"/>
      <c r="C99" s="89"/>
      <c r="D99" s="89"/>
      <c r="E99" s="124"/>
      <c r="F99" s="76"/>
      <c r="G99" s="118"/>
      <c r="H99" s="117"/>
      <c r="I99" s="118"/>
      <c r="J99" s="89"/>
      <c r="K99" s="89"/>
      <c r="L99" s="89"/>
      <c r="M99" s="89"/>
      <c r="N99" s="89"/>
    </row>
    <row r="100" spans="1:14" ht="15.75">
      <c r="A100" s="89"/>
      <c r="B100" s="89"/>
      <c r="C100" s="89"/>
      <c r="D100" s="89"/>
      <c r="E100" s="124"/>
      <c r="F100" s="76"/>
      <c r="G100" s="118"/>
      <c r="H100" s="125"/>
      <c r="I100" s="118"/>
      <c r="J100" s="127"/>
      <c r="K100" s="89"/>
      <c r="L100" s="89"/>
      <c r="M100" s="89"/>
      <c r="N100" s="89"/>
    </row>
    <row r="101" spans="1:14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</row>
    <row r="102" spans="1:14" ht="15.75">
      <c r="A102" s="89"/>
      <c r="B102" s="89"/>
      <c r="C102" s="89"/>
      <c r="D102" s="89"/>
      <c r="E102" s="124"/>
      <c r="F102" s="76"/>
      <c r="G102" s="118"/>
      <c r="H102" s="128"/>
      <c r="I102" s="118"/>
      <c r="J102" s="89"/>
      <c r="K102" s="89"/>
      <c r="L102" s="89"/>
      <c r="M102" s="89"/>
      <c r="N102" s="89"/>
    </row>
    <row r="103" spans="1:14" ht="15.75">
      <c r="A103" s="89"/>
      <c r="B103" s="89"/>
      <c r="C103" s="89"/>
      <c r="D103" s="89"/>
      <c r="E103" s="124"/>
      <c r="F103" s="76"/>
      <c r="G103" s="118"/>
      <c r="H103" s="116"/>
      <c r="I103" s="118"/>
      <c r="J103" s="129"/>
      <c r="K103" s="89"/>
      <c r="L103" s="89"/>
      <c r="M103" s="89"/>
      <c r="N103" s="89"/>
    </row>
    <row r="104" spans="1:14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</row>
    <row r="105" spans="1:14" ht="15.75">
      <c r="A105" s="89"/>
      <c r="B105" s="89"/>
      <c r="C105" s="89"/>
      <c r="D105" s="89"/>
      <c r="E105" s="124"/>
      <c r="F105" s="76"/>
      <c r="G105" s="118"/>
      <c r="H105" s="121"/>
      <c r="I105" s="118"/>
      <c r="J105" s="89"/>
      <c r="K105" s="89"/>
      <c r="L105" s="89"/>
      <c r="M105" s="89"/>
      <c r="N105" s="89"/>
    </row>
    <row r="106" spans="1:14" ht="15.75">
      <c r="A106" s="89"/>
      <c r="B106" s="89"/>
      <c r="C106" s="89"/>
      <c r="D106" s="89"/>
      <c r="E106" s="124"/>
      <c r="F106" s="76"/>
      <c r="G106" s="118"/>
      <c r="H106" s="130"/>
      <c r="I106" s="118"/>
      <c r="J106" s="129"/>
      <c r="K106" s="89"/>
      <c r="L106" s="89"/>
      <c r="M106" s="89"/>
      <c r="N106" s="89"/>
    </row>
    <row r="107" spans="1:14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</row>
    <row r="108" spans="1:14" ht="15.75">
      <c r="A108" s="89"/>
      <c r="B108" s="89"/>
      <c r="C108" s="89"/>
      <c r="D108" s="89"/>
      <c r="E108" s="124"/>
      <c r="F108" s="76"/>
      <c r="G108" s="131"/>
      <c r="H108" s="47"/>
      <c r="I108" s="131"/>
      <c r="J108" s="89"/>
      <c r="K108" s="132"/>
      <c r="L108" s="89"/>
      <c r="M108" s="89"/>
      <c r="N108" s="89"/>
    </row>
    <row r="109" spans="1:14" ht="15.75">
      <c r="A109" s="89"/>
      <c r="B109" s="89"/>
      <c r="C109" s="89"/>
      <c r="D109" s="89"/>
      <c r="E109" s="124"/>
      <c r="F109" s="76"/>
      <c r="G109" s="122"/>
      <c r="H109" s="133"/>
      <c r="I109" s="122"/>
      <c r="J109" s="125"/>
      <c r="K109" s="89"/>
      <c r="L109" s="89"/>
      <c r="M109" s="89"/>
      <c r="N109" s="89"/>
    </row>
    <row r="110" spans="1:14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</row>
    <row r="111" spans="1:14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</row>
    <row r="112" spans="1:14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</row>
    <row r="113" spans="1:14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</row>
    <row r="114" spans="1:14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</row>
    <row r="115" spans="1:14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</row>
    <row r="116" spans="1:14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</row>
    <row r="117" spans="1:14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</row>
    <row r="118" spans="1:14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</row>
    <row r="119" spans="1:14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</row>
    <row r="120" spans="1:14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</row>
    <row r="121" spans="1:14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</row>
    <row r="122" spans="1:14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</row>
    <row r="123" spans="1:14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1:14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</row>
  </sheetData>
  <sheetProtection/>
  <mergeCells count="8">
    <mergeCell ref="G71:I71"/>
    <mergeCell ref="G83:H83"/>
    <mergeCell ref="H95:I95"/>
    <mergeCell ref="C2:D2"/>
    <mergeCell ref="F38:I38"/>
    <mergeCell ref="G54:I54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1"/>
  <sheetViews>
    <sheetView zoomScale="150" zoomScaleNormal="150" zoomScalePageLayoutView="0" workbookViewId="0" topLeftCell="A4">
      <selection activeCell="F18" sqref="F18"/>
    </sheetView>
  </sheetViews>
  <sheetFormatPr defaultColWidth="9.140625" defaultRowHeight="12.75"/>
  <cols>
    <col min="1" max="1" width="9.140625" style="78" customWidth="1"/>
    <col min="2" max="2" width="59.421875" style="78" customWidth="1"/>
    <col min="3" max="3" width="17.28125" style="78" bestFit="1" customWidth="1"/>
    <col min="4" max="4" width="8.8515625" style="78" customWidth="1"/>
    <col min="5" max="5" width="18.421875" style="78" customWidth="1"/>
    <col min="6" max="6" width="10.7109375" style="78" bestFit="1" customWidth="1"/>
    <col min="7" max="7" width="13.140625" style="78" bestFit="1" customWidth="1"/>
    <col min="8" max="16384" width="9.140625" style="78" customWidth="1"/>
  </cols>
  <sheetData>
    <row r="1" ht="18.75" thickBot="1">
      <c r="B1" s="81" t="s">
        <v>132</v>
      </c>
    </row>
    <row r="2" spans="2:8" ht="18">
      <c r="B2" s="101"/>
      <c r="C2" s="231" t="s">
        <v>0</v>
      </c>
      <c r="D2" s="232"/>
      <c r="E2" s="232" t="s">
        <v>1</v>
      </c>
      <c r="F2" s="235"/>
      <c r="G2" s="238" t="s">
        <v>122</v>
      </c>
      <c r="H2" s="237"/>
    </row>
    <row r="3" spans="2:8" ht="18">
      <c r="B3" s="102"/>
      <c r="C3" s="94" t="s">
        <v>16</v>
      </c>
      <c r="D3" s="88" t="s">
        <v>17</v>
      </c>
      <c r="E3" s="88" t="s">
        <v>16</v>
      </c>
      <c r="F3" s="95" t="s">
        <v>17</v>
      </c>
      <c r="G3" s="80"/>
      <c r="H3" s="134"/>
    </row>
    <row r="4" spans="2:8" ht="18">
      <c r="B4" s="103" t="s">
        <v>7</v>
      </c>
      <c r="C4" s="96">
        <f>Questões!C7</f>
        <v>80</v>
      </c>
      <c r="D4" s="82"/>
      <c r="E4" s="82">
        <f>Questões!E7</f>
        <v>95</v>
      </c>
      <c r="F4" s="97"/>
      <c r="G4" s="80"/>
      <c r="H4" s="134"/>
    </row>
    <row r="5" spans="2:8" ht="18">
      <c r="B5" s="102"/>
      <c r="C5" s="94"/>
      <c r="D5" s="88"/>
      <c r="E5" s="88"/>
      <c r="F5" s="95"/>
      <c r="G5" s="80"/>
      <c r="H5" s="134"/>
    </row>
    <row r="6" spans="2:8" ht="18">
      <c r="B6" s="103" t="s">
        <v>131</v>
      </c>
      <c r="C6" s="96">
        <f>C7+C8</f>
        <v>30</v>
      </c>
      <c r="D6" s="83">
        <f>C6/C4</f>
        <v>0.375</v>
      </c>
      <c r="E6" s="82">
        <f>E7+E8</f>
        <v>31</v>
      </c>
      <c r="F6" s="84">
        <f>E6/E4</f>
        <v>0.3263157894736842</v>
      </c>
      <c r="G6" s="80"/>
      <c r="H6" s="134"/>
    </row>
    <row r="7" spans="2:8" ht="18">
      <c r="B7" s="104" t="s">
        <v>88</v>
      </c>
      <c r="C7" s="96">
        <f>Questões!C4</f>
        <v>20</v>
      </c>
      <c r="D7" s="83">
        <f>C7/C4</f>
        <v>0.25</v>
      </c>
      <c r="E7" s="82">
        <f>Questões!E4</f>
        <v>25</v>
      </c>
      <c r="F7" s="84">
        <f>E7/E4</f>
        <v>0.2631578947368421</v>
      </c>
      <c r="G7" s="80"/>
      <c r="H7" s="134"/>
    </row>
    <row r="8" spans="2:8" ht="18">
      <c r="B8" s="104" t="s">
        <v>89</v>
      </c>
      <c r="C8" s="96">
        <f>Questões!C5</f>
        <v>10</v>
      </c>
      <c r="D8" s="83">
        <f>C8/C4</f>
        <v>0.125</v>
      </c>
      <c r="E8" s="82">
        <f>Questões!E5</f>
        <v>6</v>
      </c>
      <c r="F8" s="84">
        <f>E8/E4</f>
        <v>0.06315789473684211</v>
      </c>
      <c r="G8" s="80"/>
      <c r="H8" s="134"/>
    </row>
    <row r="9" spans="2:8" ht="18">
      <c r="B9" s="147"/>
      <c r="C9" s="77"/>
      <c r="D9" s="80"/>
      <c r="E9" s="80"/>
      <c r="F9" s="134"/>
      <c r="G9" s="80"/>
      <c r="H9" s="134"/>
    </row>
    <row r="10" spans="2:8" ht="18">
      <c r="B10" s="106" t="s">
        <v>123</v>
      </c>
      <c r="C10" s="148">
        <f>Questões!C17</f>
        <v>500000</v>
      </c>
      <c r="D10" s="139"/>
      <c r="E10" s="139"/>
      <c r="F10" s="143"/>
      <c r="G10" s="139"/>
      <c r="H10" s="143"/>
    </row>
    <row r="11" spans="2:8" ht="18">
      <c r="B11" s="147" t="s">
        <v>124</v>
      </c>
      <c r="C11" s="148"/>
      <c r="D11" s="139"/>
      <c r="E11" s="139"/>
      <c r="F11" s="143"/>
      <c r="G11" s="139"/>
      <c r="H11" s="143"/>
    </row>
    <row r="12" spans="2:8" ht="18">
      <c r="B12" s="147" t="s">
        <v>125</v>
      </c>
      <c r="C12" s="207">
        <f>C8*Questões!C6</f>
        <v>120000</v>
      </c>
      <c r="D12" s="140">
        <f>C12/G12</f>
        <v>0.8333333333333334</v>
      </c>
      <c r="E12" s="208">
        <f>E8*Questões!E6</f>
        <v>24000</v>
      </c>
      <c r="F12" s="150">
        <f>E12/G12</f>
        <v>0.16666666666666666</v>
      </c>
      <c r="G12" s="142">
        <f>C12+E12</f>
        <v>144000</v>
      </c>
      <c r="H12" s="143"/>
    </row>
    <row r="13" spans="2:8" ht="18">
      <c r="B13" s="147" t="s">
        <v>126</v>
      </c>
      <c r="C13" s="151">
        <f>C10*D12</f>
        <v>416666.6666666667</v>
      </c>
      <c r="D13" s="139"/>
      <c r="E13" s="141">
        <f>F12*C10</f>
        <v>83333.33333333333</v>
      </c>
      <c r="F13" s="143"/>
      <c r="G13" s="142">
        <f>C13+E13</f>
        <v>500000</v>
      </c>
      <c r="H13" s="143"/>
    </row>
    <row r="14" spans="2:8" ht="18">
      <c r="B14" s="147" t="s">
        <v>127</v>
      </c>
      <c r="C14" s="148">
        <f>C13/Questões!C6</f>
        <v>34.72222222222222</v>
      </c>
      <c r="D14" s="139"/>
      <c r="E14" s="139">
        <f>E13/Questões!E6</f>
        <v>20.833333333333332</v>
      </c>
      <c r="F14" s="143"/>
      <c r="G14" s="139"/>
      <c r="H14" s="143"/>
    </row>
    <row r="15" spans="2:8" ht="18">
      <c r="B15" s="147"/>
      <c r="C15" s="148"/>
      <c r="D15" s="139"/>
      <c r="E15" s="139"/>
      <c r="F15" s="143"/>
      <c r="G15" s="139"/>
      <c r="H15" s="143"/>
    </row>
    <row r="16" spans="2:8" ht="18">
      <c r="B16" s="147" t="s">
        <v>129</v>
      </c>
      <c r="C16" s="209">
        <f>C6+C14</f>
        <v>64.72222222222223</v>
      </c>
      <c r="D16" s="140">
        <f>C16/C4</f>
        <v>0.8090277777777779</v>
      </c>
      <c r="E16" s="210">
        <f>E14+E6</f>
        <v>51.83333333333333</v>
      </c>
      <c r="F16" s="150">
        <f>E16/E4</f>
        <v>0.5456140350877192</v>
      </c>
      <c r="G16" s="139"/>
      <c r="H16" s="143"/>
    </row>
    <row r="17" spans="2:8" ht="18">
      <c r="B17" s="147"/>
      <c r="C17" s="77"/>
      <c r="D17" s="80"/>
      <c r="E17" s="80"/>
      <c r="F17" s="143"/>
      <c r="G17" s="139"/>
      <c r="H17" s="143"/>
    </row>
    <row r="18" spans="2:8" ht="18">
      <c r="B18" s="153" t="s">
        <v>128</v>
      </c>
      <c r="C18" s="154">
        <f>C4-C16</f>
        <v>15.277777777777771</v>
      </c>
      <c r="D18" s="155">
        <f>C18/C4</f>
        <v>0.19097222222222215</v>
      </c>
      <c r="E18" s="154">
        <f>E4-E16</f>
        <v>43.16666666666667</v>
      </c>
      <c r="F18" s="152">
        <f>E18/E4</f>
        <v>0.4543859649122807</v>
      </c>
      <c r="G18" s="139"/>
      <c r="H18" s="143"/>
    </row>
    <row r="19" spans="2:8" ht="18.75" thickBot="1">
      <c r="B19" s="158" t="s">
        <v>130</v>
      </c>
      <c r="C19" s="159">
        <f>C18*Questões!C6</f>
        <v>183333.33333333326</v>
      </c>
      <c r="D19" s="144">
        <f>C19/G19</f>
        <v>0.5149812734082395</v>
      </c>
      <c r="E19" s="161">
        <f>E18*Questões!E6</f>
        <v>172666.6666666667</v>
      </c>
      <c r="F19" s="162">
        <f>E19/G19</f>
        <v>0.48501872659176043</v>
      </c>
      <c r="G19" s="145">
        <f>C19+E19</f>
        <v>355999.99999999994</v>
      </c>
      <c r="H19" s="146"/>
    </row>
    <row r="20" spans="3:8" ht="18">
      <c r="C20" s="135"/>
      <c r="D20" s="135"/>
      <c r="E20" s="135"/>
      <c r="F20" s="135"/>
      <c r="G20" s="135"/>
      <c r="H20" s="135"/>
    </row>
    <row r="21" spans="2:3" ht="18">
      <c r="B21" s="169" t="s">
        <v>133</v>
      </c>
      <c r="C21" s="170">
        <f>G19</f>
        <v>355999.99999999994</v>
      </c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7"/>
  <sheetViews>
    <sheetView zoomScale="117" zoomScaleNormal="117" zoomScalePageLayoutView="0" workbookViewId="0" topLeftCell="A19">
      <selection activeCell="D33" sqref="D33"/>
    </sheetView>
  </sheetViews>
  <sheetFormatPr defaultColWidth="8.8515625" defaultRowHeight="12.75"/>
  <cols>
    <col min="1" max="1" width="8.8515625" style="0" customWidth="1"/>
    <col min="2" max="2" width="60.00390625" style="0" bestFit="1" customWidth="1"/>
    <col min="3" max="3" width="15.7109375" style="0" bestFit="1" customWidth="1"/>
    <col min="4" max="4" width="8.8515625" style="0" customWidth="1"/>
    <col min="5" max="5" width="11.7109375" style="0" bestFit="1" customWidth="1"/>
    <col min="6" max="6" width="10.8515625" style="0" bestFit="1" customWidth="1"/>
    <col min="7" max="7" width="13.140625" style="0" bestFit="1" customWidth="1"/>
    <col min="8" max="8" width="8.8515625" style="0" customWidth="1"/>
    <col min="9" max="9" width="13.421875" style="0" bestFit="1" customWidth="1"/>
  </cols>
  <sheetData>
    <row r="1" ht="25.5" thickBot="1">
      <c r="B1" s="109" t="s">
        <v>135</v>
      </c>
    </row>
    <row r="2" spans="2:8" ht="18">
      <c r="B2" s="101"/>
      <c r="C2" s="231" t="s">
        <v>0</v>
      </c>
      <c r="D2" s="232"/>
      <c r="E2" s="232" t="s">
        <v>1</v>
      </c>
      <c r="F2" s="235"/>
      <c r="G2" s="239"/>
      <c r="H2" s="239"/>
    </row>
    <row r="3" spans="2:8" ht="18">
      <c r="B3" s="102"/>
      <c r="C3" s="94" t="s">
        <v>16</v>
      </c>
      <c r="D3" s="88" t="s">
        <v>17</v>
      </c>
      <c r="E3" s="88" t="s">
        <v>16</v>
      </c>
      <c r="F3" s="95" t="s">
        <v>17</v>
      </c>
      <c r="G3" s="4"/>
      <c r="H3" s="4"/>
    </row>
    <row r="4" spans="2:8" ht="18">
      <c r="B4" s="103" t="s">
        <v>7</v>
      </c>
      <c r="C4" s="96">
        <f>Questões!C7</f>
        <v>80</v>
      </c>
      <c r="D4" s="82"/>
      <c r="E4" s="82">
        <f>Questões!E7</f>
        <v>95</v>
      </c>
      <c r="F4" s="97"/>
      <c r="G4" s="4"/>
      <c r="H4" s="4"/>
    </row>
    <row r="5" spans="2:8" ht="18">
      <c r="B5" s="102"/>
      <c r="C5" s="94"/>
      <c r="D5" s="88"/>
      <c r="E5" s="88"/>
      <c r="F5" s="95"/>
      <c r="G5" s="4"/>
      <c r="H5" s="4"/>
    </row>
    <row r="6" spans="2:8" ht="18">
      <c r="B6" s="180" t="s">
        <v>131</v>
      </c>
      <c r="C6" s="181">
        <f>C7+C8</f>
        <v>30</v>
      </c>
      <c r="D6" s="182">
        <f>C6/C4</f>
        <v>0.375</v>
      </c>
      <c r="E6" s="183">
        <f>E7+E8</f>
        <v>31</v>
      </c>
      <c r="F6" s="184">
        <f>E6/E4</f>
        <v>0.3263157894736842</v>
      </c>
      <c r="G6" s="4"/>
      <c r="H6" s="4"/>
    </row>
    <row r="7" spans="2:8" ht="18">
      <c r="B7" s="104" t="s">
        <v>88</v>
      </c>
      <c r="C7" s="96">
        <f>Questões!C4</f>
        <v>20</v>
      </c>
      <c r="D7" s="83">
        <f>C7/C4</f>
        <v>0.25</v>
      </c>
      <c r="E7" s="82">
        <f>Questões!E4</f>
        <v>25</v>
      </c>
      <c r="F7" s="84">
        <f>E7/E4</f>
        <v>0.2631578947368421</v>
      </c>
      <c r="G7" s="4"/>
      <c r="H7" s="4"/>
    </row>
    <row r="8" spans="2:8" ht="18">
      <c r="B8" s="104" t="s">
        <v>89</v>
      </c>
      <c r="C8" s="96">
        <f>Questões!C5</f>
        <v>10</v>
      </c>
      <c r="D8" s="83">
        <f>C8/C4</f>
        <v>0.125</v>
      </c>
      <c r="E8" s="82">
        <f>Questões!E5</f>
        <v>6</v>
      </c>
      <c r="F8" s="84">
        <f>E8/E4</f>
        <v>0.06315789473684211</v>
      </c>
      <c r="G8" s="4"/>
      <c r="H8" s="4"/>
    </row>
    <row r="9" spans="2:8" ht="13.5" thickBot="1">
      <c r="B9" s="176"/>
      <c r="C9" s="177"/>
      <c r="D9" s="178"/>
      <c r="E9" s="178"/>
      <c r="F9" s="179"/>
      <c r="G9" s="4"/>
      <c r="H9" s="4"/>
    </row>
    <row r="10" spans="2:6" ht="12.75">
      <c r="B10" s="76"/>
      <c r="C10" s="47"/>
      <c r="D10" s="37"/>
      <c r="E10" s="47"/>
      <c r="F10" s="37"/>
    </row>
    <row r="11" spans="2:8" ht="18">
      <c r="B11" s="78" t="s">
        <v>154</v>
      </c>
      <c r="C11" s="78"/>
      <c r="D11" s="83"/>
      <c r="E11" s="90"/>
      <c r="F11" s="83"/>
      <c r="G11" s="78"/>
      <c r="H11" s="78"/>
    </row>
    <row r="12" spans="2:8" ht="18">
      <c r="B12" s="78" t="str">
        <f>Questões!A12</f>
        <v>1. Inspecionar armazéns ($/mês)</v>
      </c>
      <c r="C12" s="114">
        <f>Questões!C12</f>
        <v>60000</v>
      </c>
      <c r="D12" s="83"/>
      <c r="E12" s="90"/>
      <c r="F12" s="83"/>
      <c r="G12" s="78"/>
      <c r="H12" s="78"/>
    </row>
    <row r="13" spans="2:8" ht="18">
      <c r="B13" s="78" t="str">
        <f>Questões!A13</f>
        <v>2. Armazenar materiais ($/mês)</v>
      </c>
      <c r="C13" s="114">
        <f>Questões!C13</f>
        <v>50000</v>
      </c>
      <c r="D13" s="83"/>
      <c r="E13" s="90"/>
      <c r="F13" s="83"/>
      <c r="G13" s="78"/>
      <c r="H13" s="78"/>
    </row>
    <row r="14" spans="2:8" ht="18">
      <c r="B14" s="78" t="str">
        <f>Questões!A14</f>
        <v>3. Controlar Estoques ($/mês)</v>
      </c>
      <c r="C14" s="114">
        <f>Questões!C14</f>
        <v>40000</v>
      </c>
      <c r="D14" s="78"/>
      <c r="E14" s="78"/>
      <c r="F14" s="78"/>
      <c r="G14" s="78"/>
      <c r="H14" s="78"/>
    </row>
    <row r="15" spans="2:8" ht="18">
      <c r="B15" s="78" t="str">
        <f>Questões!A15</f>
        <v>4. Processar máquinas  ($/mês)</v>
      </c>
      <c r="C15" s="114">
        <f>Questões!C15</f>
        <v>150000</v>
      </c>
      <c r="D15" s="78"/>
      <c r="E15" s="78"/>
      <c r="F15" s="78"/>
      <c r="G15" s="78"/>
      <c r="H15" s="78"/>
    </row>
    <row r="16" spans="2:8" ht="18">
      <c r="B16" s="78" t="str">
        <f>Questões!A16</f>
        <v>5. Engenharia Indl.  ($/mês)</v>
      </c>
      <c r="C16" s="114">
        <f>Questões!C16</f>
        <v>200000</v>
      </c>
      <c r="D16" s="78"/>
      <c r="E16" s="78"/>
      <c r="F16" s="78"/>
      <c r="G16" s="78"/>
      <c r="H16" s="78"/>
    </row>
    <row r="17" spans="2:8" ht="18">
      <c r="B17" s="78"/>
      <c r="C17" s="78"/>
      <c r="D17" s="78"/>
      <c r="E17" s="78"/>
      <c r="F17" s="78"/>
      <c r="G17" s="78"/>
      <c r="H17" s="78"/>
    </row>
    <row r="18" spans="2:8" ht="18">
      <c r="B18" s="78" t="s">
        <v>134</v>
      </c>
      <c r="C18" s="78"/>
      <c r="D18" s="86" t="s">
        <v>17</v>
      </c>
      <c r="E18" s="86"/>
      <c r="F18" s="86" t="s">
        <v>17</v>
      </c>
      <c r="G18" s="78"/>
      <c r="H18" s="78"/>
    </row>
    <row r="19" spans="2:8" ht="18">
      <c r="B19" s="78" t="str">
        <f>Questões!A20</f>
        <v>a.) No. De lotes inspecionados e armazenados </v>
      </c>
      <c r="C19" s="86">
        <f>Questões!D20</f>
        <v>5</v>
      </c>
      <c r="D19" s="211">
        <f>C19/G19</f>
        <v>0.3333333333333333</v>
      </c>
      <c r="E19" s="86">
        <f>Questões!F20</f>
        <v>10</v>
      </c>
      <c r="F19" s="211">
        <f>E19/G19</f>
        <v>0.6666666666666666</v>
      </c>
      <c r="G19" s="86">
        <f>C19+E19</f>
        <v>15</v>
      </c>
      <c r="H19" s="78"/>
    </row>
    <row r="20" spans="2:8" ht="18">
      <c r="B20" s="78" t="str">
        <f>Questões!A21</f>
        <v>b.) No. De horas-máquinas</v>
      </c>
      <c r="C20" s="86">
        <f>Questões!D21</f>
        <v>4000</v>
      </c>
      <c r="D20" s="211">
        <f>C20/G20</f>
        <v>0.4</v>
      </c>
      <c r="E20" s="86">
        <f>Questões!F21</f>
        <v>6000</v>
      </c>
      <c r="F20" s="211">
        <f>E20/G20</f>
        <v>0.6</v>
      </c>
      <c r="G20" s="86">
        <f>C20+E20</f>
        <v>10000</v>
      </c>
      <c r="H20" s="78"/>
    </row>
    <row r="21" spans="2:8" ht="18">
      <c r="B21" s="78"/>
      <c r="C21" s="86"/>
      <c r="D21" s="137"/>
      <c r="E21" s="86"/>
      <c r="F21" s="137"/>
      <c r="G21" s="86"/>
      <c r="H21" s="78"/>
    </row>
    <row r="22" spans="2:8" ht="18">
      <c r="B22" s="78" t="s">
        <v>143</v>
      </c>
      <c r="C22" s="138">
        <f>Questões!C6</f>
        <v>12000</v>
      </c>
      <c r="D22" s="137"/>
      <c r="E22" s="138">
        <f>Questões!E6</f>
        <v>4000</v>
      </c>
      <c r="F22" s="137"/>
      <c r="G22" s="86"/>
      <c r="H22" s="78"/>
    </row>
    <row r="23" spans="2:8" ht="18">
      <c r="B23" s="78"/>
      <c r="C23" s="78"/>
      <c r="D23" s="78"/>
      <c r="E23" s="78"/>
      <c r="F23" s="78"/>
      <c r="G23" s="78"/>
      <c r="H23" s="78"/>
    </row>
    <row r="24" spans="2:8" ht="18">
      <c r="B24" s="78" t="s">
        <v>136</v>
      </c>
      <c r="C24" s="78"/>
      <c r="D24" s="78"/>
      <c r="E24" s="78"/>
      <c r="F24" s="78"/>
      <c r="G24" s="78" t="s">
        <v>146</v>
      </c>
      <c r="H24" s="78"/>
    </row>
    <row r="25" spans="2:8" ht="18">
      <c r="B25" s="78" t="s">
        <v>137</v>
      </c>
      <c r="C25" s="174">
        <f>SUM(C26:C29)</f>
        <v>9.166666666666666</v>
      </c>
      <c r="D25" s="175"/>
      <c r="E25" s="174">
        <f>SUM(E26:E29)</f>
        <v>47.5</v>
      </c>
      <c r="F25" s="78"/>
      <c r="G25" s="78" t="s">
        <v>147</v>
      </c>
      <c r="H25" s="78"/>
    </row>
    <row r="26" spans="2:8" ht="18">
      <c r="B26" s="78" t="s">
        <v>138</v>
      </c>
      <c r="C26" s="136">
        <f>C12*$D$19/$C$22</f>
        <v>1.6666666666666667</v>
      </c>
      <c r="D26" s="136"/>
      <c r="E26" s="136">
        <f>C12*$F$19/$E$22</f>
        <v>10</v>
      </c>
      <c r="F26" s="136"/>
      <c r="G26" s="78" t="s">
        <v>147</v>
      </c>
      <c r="H26" s="78"/>
    </row>
    <row r="27" spans="2:8" ht="18">
      <c r="B27" s="78" t="s">
        <v>139</v>
      </c>
      <c r="C27" s="136">
        <f>C13*$D$19/$C$22</f>
        <v>1.3888888888888886</v>
      </c>
      <c r="D27" s="136"/>
      <c r="E27" s="136">
        <f>C13*$F$19/$E$22</f>
        <v>8.333333333333332</v>
      </c>
      <c r="F27" s="136"/>
      <c r="G27" s="78" t="s">
        <v>147</v>
      </c>
      <c r="H27" s="78"/>
    </row>
    <row r="28" spans="2:8" ht="18">
      <c r="B28" s="78" t="s">
        <v>140</v>
      </c>
      <c r="C28" s="136">
        <f>C14*$D$19/$C$22</f>
        <v>1.111111111111111</v>
      </c>
      <c r="D28" s="136"/>
      <c r="E28" s="136">
        <f>C14*$F$19/$E$22</f>
        <v>6.666666666666666</v>
      </c>
      <c r="F28" s="136"/>
      <c r="G28" s="173" t="s">
        <v>148</v>
      </c>
      <c r="H28" s="78"/>
    </row>
    <row r="29" spans="2:8" ht="18">
      <c r="B29" s="78" t="s">
        <v>141</v>
      </c>
      <c r="C29" s="136">
        <f>C15*$D$20/$C$22</f>
        <v>5</v>
      </c>
      <c r="D29" s="136"/>
      <c r="E29" s="136">
        <f>C15*$F$20/$E$22</f>
        <v>22.5</v>
      </c>
      <c r="F29" s="136"/>
      <c r="G29" s="136"/>
      <c r="H29" s="78"/>
    </row>
    <row r="30" spans="2:8" ht="18">
      <c r="B30" s="78" t="s">
        <v>142</v>
      </c>
      <c r="C30" s="173" t="s">
        <v>144</v>
      </c>
      <c r="D30" s="136"/>
      <c r="E30" s="136"/>
      <c r="F30" s="136"/>
      <c r="G30" s="136"/>
      <c r="H30" s="78"/>
    </row>
    <row r="31" spans="2:8" ht="18.75" thickBot="1">
      <c r="B31" s="78"/>
      <c r="C31" s="136"/>
      <c r="D31" s="136"/>
      <c r="E31" s="136"/>
      <c r="F31" s="136"/>
      <c r="G31" s="136"/>
      <c r="H31" s="78"/>
    </row>
    <row r="32" spans="2:9" ht="18">
      <c r="B32" s="185" t="s">
        <v>145</v>
      </c>
      <c r="C32" s="186"/>
      <c r="D32" s="186"/>
      <c r="E32" s="186"/>
      <c r="F32" s="186"/>
      <c r="G32" s="187"/>
      <c r="H32" s="78"/>
      <c r="I32" s="79" t="s">
        <v>122</v>
      </c>
    </row>
    <row r="33" spans="2:8" ht="18">
      <c r="B33" s="106" t="s">
        <v>117</v>
      </c>
      <c r="C33" s="96">
        <f>C4-C6-C25</f>
        <v>40.833333333333336</v>
      </c>
      <c r="D33" s="155">
        <f>C33/C4</f>
        <v>0.5104166666666667</v>
      </c>
      <c r="E33" s="96">
        <f>E4-E6-E25</f>
        <v>16.5</v>
      </c>
      <c r="F33" s="212">
        <f>E33/E4</f>
        <v>0.1736842105263158</v>
      </c>
      <c r="G33" s="105"/>
      <c r="H33" s="78"/>
    </row>
    <row r="34" spans="2:9" ht="18.75" thickBot="1">
      <c r="B34" s="107" t="s">
        <v>118</v>
      </c>
      <c r="C34" s="100">
        <f>C33*C22</f>
        <v>490000</v>
      </c>
      <c r="D34" s="214">
        <f>C34/G34</f>
        <v>0.8812949640287769</v>
      </c>
      <c r="E34" s="100">
        <f>E33*E22</f>
        <v>66000</v>
      </c>
      <c r="F34" s="213">
        <f>E34/G34</f>
        <v>0.11870503597122302</v>
      </c>
      <c r="G34" s="188">
        <f>C34+E34</f>
        <v>556000</v>
      </c>
      <c r="H34" s="78"/>
      <c r="I34" s="93">
        <f>C34+E34</f>
        <v>556000</v>
      </c>
    </row>
    <row r="35" spans="2:9" ht="18">
      <c r="B35" s="78" t="s">
        <v>149</v>
      </c>
      <c r="C35" s="78"/>
      <c r="D35" s="78"/>
      <c r="E35" s="78"/>
      <c r="F35" s="78"/>
      <c r="G35" s="78"/>
      <c r="H35" s="78"/>
      <c r="I35" s="138">
        <f>-C16</f>
        <v>-200000</v>
      </c>
    </row>
    <row r="36" spans="2:9" ht="18">
      <c r="B36" s="171" t="s">
        <v>120</v>
      </c>
      <c r="C36" s="78"/>
      <c r="D36" s="78"/>
      <c r="E36" s="78"/>
      <c r="F36" s="78"/>
      <c r="G36" s="78"/>
      <c r="H36" s="78"/>
      <c r="I36" s="189">
        <f>I34+I35</f>
        <v>356000</v>
      </c>
    </row>
    <row r="38" spans="2:3" ht="12.75">
      <c r="B38" s="4"/>
      <c r="C38" s="4"/>
    </row>
    <row r="39" spans="2:3" ht="18">
      <c r="B39" s="171"/>
      <c r="C39" s="190"/>
    </row>
    <row r="40" spans="2:3" ht="18">
      <c r="B40" s="171"/>
      <c r="C40" s="172"/>
    </row>
    <row r="41" spans="2:3" ht="18">
      <c r="B41" s="111"/>
      <c r="C41" s="172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7"/>
  <sheetViews>
    <sheetView zoomScale="172" zoomScaleNormal="172" zoomScalePageLayoutView="0" workbookViewId="0" topLeftCell="B26">
      <selection activeCell="F36" sqref="F36"/>
    </sheetView>
  </sheetViews>
  <sheetFormatPr defaultColWidth="8.8515625" defaultRowHeight="12.75"/>
  <cols>
    <col min="1" max="1" width="8.8515625" style="0" customWidth="1"/>
    <col min="2" max="2" width="60.00390625" style="0" bestFit="1" customWidth="1"/>
    <col min="3" max="3" width="15.7109375" style="0" bestFit="1" customWidth="1"/>
    <col min="4" max="4" width="8.8515625" style="0" customWidth="1"/>
    <col min="5" max="5" width="13.421875" style="0" bestFit="1" customWidth="1"/>
    <col min="6" max="6" width="10.8515625" style="0" bestFit="1" customWidth="1"/>
    <col min="7" max="7" width="13.140625" style="0" bestFit="1" customWidth="1"/>
    <col min="8" max="8" width="8.8515625" style="0" customWidth="1"/>
    <col min="9" max="9" width="13.421875" style="0" bestFit="1" customWidth="1"/>
  </cols>
  <sheetData>
    <row r="1" ht="25.5" thickBot="1">
      <c r="B1" s="109" t="s">
        <v>152</v>
      </c>
    </row>
    <row r="2" spans="2:8" ht="18">
      <c r="B2" s="101"/>
      <c r="C2" s="231" t="s">
        <v>0</v>
      </c>
      <c r="D2" s="232"/>
      <c r="E2" s="232" t="s">
        <v>1</v>
      </c>
      <c r="F2" s="235"/>
      <c r="G2" s="239"/>
      <c r="H2" s="239"/>
    </row>
    <row r="3" spans="2:8" ht="18">
      <c r="B3" s="102"/>
      <c r="C3" s="94" t="s">
        <v>16</v>
      </c>
      <c r="D3" s="88" t="s">
        <v>17</v>
      </c>
      <c r="E3" s="88" t="s">
        <v>16</v>
      </c>
      <c r="F3" s="95" t="s">
        <v>17</v>
      </c>
      <c r="G3" s="4"/>
      <c r="H3" s="4"/>
    </row>
    <row r="4" spans="2:8" ht="18">
      <c r="B4" s="103" t="s">
        <v>7</v>
      </c>
      <c r="C4" s="96">
        <f>Questões!C7</f>
        <v>80</v>
      </c>
      <c r="D4" s="82"/>
      <c r="E4" s="82">
        <f>Questões!E7</f>
        <v>95</v>
      </c>
      <c r="F4" s="97"/>
      <c r="G4" s="4"/>
      <c r="H4" s="4"/>
    </row>
    <row r="5" spans="2:8" ht="18">
      <c r="B5" s="102"/>
      <c r="C5" s="94"/>
      <c r="D5" s="88"/>
      <c r="E5" s="88"/>
      <c r="F5" s="95"/>
      <c r="G5" s="4"/>
      <c r="H5" s="4"/>
    </row>
    <row r="6" spans="2:8" ht="18">
      <c r="B6" s="180" t="s">
        <v>131</v>
      </c>
      <c r="C6" s="181">
        <f>'(3) Ex 1 - Custeio ABC Fábrica'!C6</f>
        <v>30</v>
      </c>
      <c r="D6" s="182">
        <f>C6/$C$4</f>
        <v>0.375</v>
      </c>
      <c r="E6" s="181">
        <f>'(3) Ex 1 - Custeio ABC Fábrica'!E6</f>
        <v>31</v>
      </c>
      <c r="F6" s="184">
        <f>E6/$E$4</f>
        <v>0.3263157894736842</v>
      </c>
      <c r="G6" s="4"/>
      <c r="H6" s="4"/>
    </row>
    <row r="7" spans="2:8" ht="18">
      <c r="B7" s="106" t="s">
        <v>150</v>
      </c>
      <c r="C7" s="181">
        <f>'(3) Ex 1 - Custeio ABC Fábrica'!C25</f>
        <v>9.166666666666666</v>
      </c>
      <c r="D7" s="182">
        <f>C7/$C$4</f>
        <v>0.11458333333333333</v>
      </c>
      <c r="E7" s="181">
        <f>'(3) Ex 1 - Custeio ABC Fábrica'!E25</f>
        <v>47.5</v>
      </c>
      <c r="F7" s="184">
        <f>E7/$E$4</f>
        <v>0.5</v>
      </c>
      <c r="G7" s="4"/>
      <c r="H7" s="4"/>
    </row>
    <row r="8" spans="2:8" ht="18">
      <c r="B8" s="106" t="s">
        <v>151</v>
      </c>
      <c r="C8" s="181">
        <f>C6+C7</f>
        <v>39.166666666666664</v>
      </c>
      <c r="D8" s="182">
        <f>C8/$C$4</f>
        <v>0.4895833333333333</v>
      </c>
      <c r="E8" s="181">
        <f>E6+E7</f>
        <v>78.5</v>
      </c>
      <c r="F8" s="184">
        <f>E8/$E$4</f>
        <v>0.8263157894736842</v>
      </c>
      <c r="G8" s="4"/>
      <c r="H8" s="4"/>
    </row>
    <row r="9" spans="2:8" ht="13.5" thickBot="1">
      <c r="B9" s="176"/>
      <c r="C9" s="177"/>
      <c r="D9" s="178"/>
      <c r="E9" s="178"/>
      <c r="F9" s="179"/>
      <c r="G9" s="4"/>
      <c r="H9" s="4"/>
    </row>
    <row r="10" spans="2:6" ht="12.75">
      <c r="B10" s="76"/>
      <c r="C10" s="47"/>
      <c r="D10" s="37"/>
      <c r="E10" s="47"/>
      <c r="F10" s="37"/>
    </row>
    <row r="11" spans="2:8" ht="18">
      <c r="B11" s="78" t="s">
        <v>153</v>
      </c>
      <c r="C11" s="78"/>
      <c r="D11" s="83"/>
      <c r="E11" s="90"/>
      <c r="F11" s="83"/>
      <c r="G11" s="78"/>
      <c r="H11" s="78"/>
    </row>
    <row r="12" spans="2:8" ht="18">
      <c r="B12" s="78" t="str">
        <f>Questões!A28</f>
        <v>1. Emitir Faturas  ($/mês)</v>
      </c>
      <c r="C12" s="114">
        <f>Questões!C28</f>
        <v>15000</v>
      </c>
      <c r="D12" s="83"/>
      <c r="E12" s="90"/>
      <c r="F12" s="83"/>
      <c r="G12" s="78"/>
      <c r="H12" s="78"/>
    </row>
    <row r="13" spans="2:8" ht="18">
      <c r="B13" s="78" t="str">
        <f>Questões!A29</f>
        <v>2. Despachar Produtos ($/mês)</v>
      </c>
      <c r="C13" s="114">
        <f>Questões!C29</f>
        <v>35000</v>
      </c>
      <c r="D13" s="83"/>
      <c r="E13" s="90"/>
      <c r="F13" s="83"/>
      <c r="G13" s="78"/>
      <c r="H13" s="78"/>
    </row>
    <row r="14" spans="2:8" ht="18">
      <c r="B14" s="78" t="str">
        <f>Questões!A30</f>
        <v>3. Pagar Fornecedores ($/mês)</v>
      </c>
      <c r="C14" s="114">
        <f>Questões!C30</f>
        <v>9750</v>
      </c>
      <c r="D14" s="78"/>
      <c r="E14" s="78"/>
      <c r="F14" s="78"/>
      <c r="G14" s="78"/>
      <c r="H14" s="78"/>
    </row>
    <row r="15" spans="2:8" ht="18">
      <c r="B15" s="78" t="str">
        <f>Questões!A31</f>
        <v>4. Receber Duplicatas ($/mês)</v>
      </c>
      <c r="C15" s="114">
        <f>Questões!C31</f>
        <v>30000</v>
      </c>
      <c r="D15" s="78"/>
      <c r="E15" s="78"/>
      <c r="F15" s="78"/>
      <c r="G15" s="78"/>
      <c r="H15" s="78"/>
    </row>
    <row r="16" spans="2:8" ht="18">
      <c r="B16" s="78"/>
      <c r="C16" s="114"/>
      <c r="D16" s="78"/>
      <c r="E16" s="78"/>
      <c r="F16" s="78"/>
      <c r="G16" s="78"/>
      <c r="H16" s="78"/>
    </row>
    <row r="17" spans="2:8" ht="18">
      <c r="B17" s="78"/>
      <c r="C17" s="78"/>
      <c r="D17" s="78"/>
      <c r="E17" s="78"/>
      <c r="F17" s="78"/>
      <c r="G17" s="78"/>
      <c r="H17" s="78"/>
    </row>
    <row r="18" spans="2:8" ht="18">
      <c r="B18" s="78" t="s">
        <v>134</v>
      </c>
      <c r="C18" s="78"/>
      <c r="D18" s="86" t="s">
        <v>17</v>
      </c>
      <c r="E18" s="86"/>
      <c r="F18" s="86" t="s">
        <v>17</v>
      </c>
      <c r="G18" s="78"/>
      <c r="H18" s="78"/>
    </row>
    <row r="19" spans="2:8" ht="18">
      <c r="B19" s="78" t="str">
        <f>Questões!A35</f>
        <v>a.) No. de faturas</v>
      </c>
      <c r="C19" s="86">
        <f>Questões!C35</f>
        <v>8</v>
      </c>
      <c r="D19" s="211">
        <f>C19/G19</f>
        <v>0.4</v>
      </c>
      <c r="E19" s="86">
        <f>Questões!D35</f>
        <v>12</v>
      </c>
      <c r="F19" s="211">
        <f>E19/G19</f>
        <v>0.6</v>
      </c>
      <c r="G19" s="86">
        <f>C19+E19</f>
        <v>20</v>
      </c>
      <c r="H19" s="78"/>
    </row>
    <row r="20" spans="2:8" ht="18">
      <c r="B20" s="78" t="str">
        <f>Questões!A36</f>
        <v>b.) No. de embarques</v>
      </c>
      <c r="C20" s="86">
        <f>Questões!C36</f>
        <v>8</v>
      </c>
      <c r="D20" s="211">
        <f>C20/G20</f>
        <v>0.4</v>
      </c>
      <c r="E20" s="86">
        <f>Questões!D36</f>
        <v>12</v>
      </c>
      <c r="F20" s="211">
        <f>E20/G20</f>
        <v>0.6</v>
      </c>
      <c r="G20" s="86">
        <f>C20+E20</f>
        <v>20</v>
      </c>
      <c r="H20" s="78"/>
    </row>
    <row r="21" spans="2:8" ht="18">
      <c r="B21" s="78" t="str">
        <f>Questões!A37</f>
        <v>c.) No. de cheques emitidos</v>
      </c>
      <c r="C21" s="86">
        <f>Questões!C37</f>
        <v>50</v>
      </c>
      <c r="D21" s="211">
        <f>C21/G21</f>
        <v>0.3333333333333333</v>
      </c>
      <c r="E21" s="86">
        <f>Questões!D37</f>
        <v>100</v>
      </c>
      <c r="F21" s="211">
        <f>E21/G21</f>
        <v>0.6666666666666666</v>
      </c>
      <c r="G21" s="86">
        <f>C21+E21</f>
        <v>150</v>
      </c>
      <c r="H21" s="78"/>
    </row>
    <row r="22" spans="2:7" ht="18">
      <c r="B22" s="78" t="str">
        <f>Questões!A38</f>
        <v>d.) No de duplicatas emitidas</v>
      </c>
      <c r="C22" s="86">
        <f>Questões!C38</f>
        <v>8</v>
      </c>
      <c r="D22" s="211">
        <f>C22/G22</f>
        <v>0.4</v>
      </c>
      <c r="E22" s="86">
        <f>Questões!D38</f>
        <v>12</v>
      </c>
      <c r="F22" s="211">
        <f>E22/G22</f>
        <v>0.6</v>
      </c>
      <c r="G22" s="86">
        <f>C22+E22</f>
        <v>20</v>
      </c>
    </row>
    <row r="24" spans="2:8" ht="18">
      <c r="B24" s="78" t="s">
        <v>143</v>
      </c>
      <c r="C24" s="138">
        <f>Questões!C6</f>
        <v>12000</v>
      </c>
      <c r="D24" s="137"/>
      <c r="E24" s="138">
        <f>Questões!E6</f>
        <v>4000</v>
      </c>
      <c r="F24" s="137"/>
      <c r="G24" s="86"/>
      <c r="H24" s="78"/>
    </row>
    <row r="25" spans="2:8" ht="18">
      <c r="B25" s="78"/>
      <c r="C25" s="78"/>
      <c r="D25" s="78"/>
      <c r="E25" s="78"/>
      <c r="F25" s="78"/>
      <c r="G25" s="78"/>
      <c r="H25" s="78"/>
    </row>
    <row r="26" spans="2:8" ht="18">
      <c r="B26" s="78" t="s">
        <v>136</v>
      </c>
      <c r="C26" s="78"/>
      <c r="D26" s="78"/>
      <c r="E26" s="78"/>
      <c r="F26" s="78"/>
      <c r="G26" s="78" t="s">
        <v>146</v>
      </c>
      <c r="H26" s="78"/>
    </row>
    <row r="27" spans="2:8" ht="18">
      <c r="B27" s="78" t="s">
        <v>137</v>
      </c>
      <c r="C27" s="174">
        <f>SUM(C28:C31)</f>
        <v>2.9375</v>
      </c>
      <c r="D27" s="175"/>
      <c r="E27" s="174">
        <f>SUM(E28:E31)</f>
        <v>13.625</v>
      </c>
      <c r="F27" s="78"/>
      <c r="G27" s="78" t="s">
        <v>147</v>
      </c>
      <c r="H27" s="78"/>
    </row>
    <row r="28" spans="2:8" ht="18">
      <c r="B28" s="78" t="s">
        <v>107</v>
      </c>
      <c r="C28" s="136">
        <f>C12*D19/$C$24</f>
        <v>0.5</v>
      </c>
      <c r="D28" s="136"/>
      <c r="E28" s="136">
        <f>C12*F19/$E$24</f>
        <v>2.25</v>
      </c>
      <c r="F28" s="136"/>
      <c r="G28" s="78" t="s">
        <v>147</v>
      </c>
      <c r="H28" s="78"/>
    </row>
    <row r="29" spans="2:8" ht="18">
      <c r="B29" s="78" t="s">
        <v>105</v>
      </c>
      <c r="C29" s="136">
        <f>C13*D20/$C$24</f>
        <v>1.1666666666666667</v>
      </c>
      <c r="D29" s="136"/>
      <c r="E29" s="136">
        <f>C13*F20/$E$24</f>
        <v>5.25</v>
      </c>
      <c r="F29" s="136"/>
      <c r="G29" s="78" t="s">
        <v>147</v>
      </c>
      <c r="H29" s="78"/>
    </row>
    <row r="30" spans="2:8" ht="18">
      <c r="B30" s="78" t="s">
        <v>106</v>
      </c>
      <c r="C30" s="136">
        <f>C14*D21/$C$24</f>
        <v>0.2708333333333333</v>
      </c>
      <c r="D30" s="136"/>
      <c r="E30" s="136">
        <f>C14*F21/$E$24</f>
        <v>1.625</v>
      </c>
      <c r="F30" s="136"/>
      <c r="G30" s="173" t="s">
        <v>148</v>
      </c>
      <c r="H30" s="78"/>
    </row>
    <row r="31" spans="2:8" ht="18">
      <c r="B31" s="78" t="s">
        <v>108</v>
      </c>
      <c r="C31" s="136">
        <f>C15*D22/$C$24</f>
        <v>1</v>
      </c>
      <c r="D31" s="136"/>
      <c r="E31" s="136">
        <f>C15*F22/$E$24</f>
        <v>4.5</v>
      </c>
      <c r="F31" s="136"/>
      <c r="G31" s="136"/>
      <c r="H31" s="78"/>
    </row>
    <row r="32" spans="2:8" ht="18">
      <c r="B32" s="78"/>
      <c r="C32" s="173"/>
      <c r="D32" s="136"/>
      <c r="E32" s="136"/>
      <c r="F32" s="136"/>
      <c r="G32" s="136"/>
      <c r="H32" s="78"/>
    </row>
    <row r="33" spans="2:8" ht="18.75" thickBot="1">
      <c r="B33" s="78"/>
      <c r="C33" s="136"/>
      <c r="D33" s="136"/>
      <c r="E33" s="136"/>
      <c r="F33" s="136"/>
      <c r="G33" s="136"/>
      <c r="H33" s="78"/>
    </row>
    <row r="34" spans="2:9" ht="18">
      <c r="B34" s="185" t="s">
        <v>145</v>
      </c>
      <c r="C34" s="186"/>
      <c r="D34" s="186"/>
      <c r="E34" s="186"/>
      <c r="F34" s="186"/>
      <c r="G34" s="187"/>
      <c r="H34" s="78"/>
      <c r="I34" s="79" t="s">
        <v>122</v>
      </c>
    </row>
    <row r="35" spans="2:8" ht="18">
      <c r="B35" s="106" t="s">
        <v>117</v>
      </c>
      <c r="C35" s="96">
        <f>C4-C8-C27</f>
        <v>37.895833333333336</v>
      </c>
      <c r="D35" s="155">
        <f>C35/C4</f>
        <v>0.4736979166666667</v>
      </c>
      <c r="E35" s="96">
        <f>E4-E8-E27</f>
        <v>2.875</v>
      </c>
      <c r="F35" s="212">
        <f>E35/E4</f>
        <v>0.030263157894736843</v>
      </c>
      <c r="G35" s="105"/>
      <c r="H35" s="78"/>
    </row>
    <row r="36" spans="2:9" ht="18.75" thickBot="1">
      <c r="B36" s="107" t="s">
        <v>118</v>
      </c>
      <c r="C36" s="100">
        <f>C35*C24</f>
        <v>454750</v>
      </c>
      <c r="D36" s="160">
        <f>C36/G36</f>
        <v>0.9753351206434316</v>
      </c>
      <c r="E36" s="100">
        <f>E35*E24</f>
        <v>11500</v>
      </c>
      <c r="F36" s="213">
        <f>E36/G36</f>
        <v>0.024664879356568366</v>
      </c>
      <c r="G36" s="188">
        <f>C36+E36</f>
        <v>466250</v>
      </c>
      <c r="H36" s="78"/>
      <c r="I36" s="93">
        <f>C36+E36</f>
        <v>466250</v>
      </c>
    </row>
    <row r="37" spans="2:9" ht="18">
      <c r="B37" s="78" t="s">
        <v>149</v>
      </c>
      <c r="C37" s="78"/>
      <c r="D37" s="78"/>
      <c r="E37" s="78"/>
      <c r="F37" s="78"/>
      <c r="G37" s="78"/>
      <c r="H37" s="78"/>
      <c r="I37" s="138">
        <f>'(3) Ex 1 - Custeio ABC Fábrica'!C16</f>
        <v>200000</v>
      </c>
    </row>
    <row r="38" spans="2:9" ht="18">
      <c r="B38" s="171" t="s">
        <v>155</v>
      </c>
      <c r="C38" s="78"/>
      <c r="D38" s="78"/>
      <c r="E38" s="78"/>
      <c r="F38" s="78"/>
      <c r="G38" s="78"/>
      <c r="H38" s="78"/>
      <c r="I38" s="189">
        <f>I36-I37</f>
        <v>266250</v>
      </c>
    </row>
    <row r="39" spans="2:3" ht="18">
      <c r="B39" s="171"/>
      <c r="C39" s="190"/>
    </row>
    <row r="40" spans="2:3" ht="18">
      <c r="B40" s="171"/>
      <c r="C40" s="172"/>
    </row>
    <row r="41" spans="2:3" ht="18">
      <c r="B41" s="111"/>
      <c r="C41" s="172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="125" zoomScaleNormal="125" zoomScalePageLayoutView="0" workbookViewId="0" topLeftCell="A1">
      <selection activeCell="F19" sqref="F19"/>
    </sheetView>
  </sheetViews>
  <sheetFormatPr defaultColWidth="9.140625" defaultRowHeight="12.75"/>
  <cols>
    <col min="1" max="1" width="9.140625" style="78" customWidth="1"/>
    <col min="2" max="2" width="59.421875" style="78" customWidth="1"/>
    <col min="3" max="3" width="17.28125" style="78" bestFit="1" customWidth="1"/>
    <col min="4" max="4" width="8.8515625" style="78" customWidth="1"/>
    <col min="5" max="5" width="18.421875" style="78" customWidth="1"/>
    <col min="6" max="6" width="10.7109375" style="78" bestFit="1" customWidth="1"/>
    <col min="7" max="7" width="13.140625" style="78" bestFit="1" customWidth="1"/>
    <col min="8" max="16384" width="9.140625" style="78" customWidth="1"/>
  </cols>
  <sheetData>
    <row r="1" ht="18.75" thickBot="1">
      <c r="B1" s="81" t="s">
        <v>132</v>
      </c>
    </row>
    <row r="2" spans="2:8" ht="18">
      <c r="B2" s="101"/>
      <c r="C2" s="231" t="s">
        <v>0</v>
      </c>
      <c r="D2" s="232"/>
      <c r="E2" s="232" t="s">
        <v>1</v>
      </c>
      <c r="F2" s="235"/>
      <c r="G2" s="238" t="s">
        <v>122</v>
      </c>
      <c r="H2" s="237"/>
    </row>
    <row r="3" spans="2:8" ht="18">
      <c r="B3" s="102"/>
      <c r="C3" s="94" t="s">
        <v>16</v>
      </c>
      <c r="D3" s="88" t="s">
        <v>17</v>
      </c>
      <c r="E3" s="88" t="s">
        <v>16</v>
      </c>
      <c r="F3" s="95" t="s">
        <v>17</v>
      </c>
      <c r="G3" s="80"/>
      <c r="H3" s="134"/>
    </row>
    <row r="4" spans="2:8" ht="18">
      <c r="B4" s="103" t="s">
        <v>7</v>
      </c>
      <c r="C4" s="96">
        <f>Questões!C7</f>
        <v>80</v>
      </c>
      <c r="D4" s="82"/>
      <c r="E4" s="82">
        <f>Questões!E7</f>
        <v>95</v>
      </c>
      <c r="F4" s="97"/>
      <c r="G4" s="80"/>
      <c r="H4" s="134"/>
    </row>
    <row r="5" spans="2:8" ht="18">
      <c r="B5" s="102"/>
      <c r="C5" s="94"/>
      <c r="D5" s="88"/>
      <c r="E5" s="88"/>
      <c r="F5" s="95"/>
      <c r="G5" s="80"/>
      <c r="H5" s="134"/>
    </row>
    <row r="6" spans="2:8" ht="18">
      <c r="B6" s="103" t="s">
        <v>131</v>
      </c>
      <c r="C6" s="96">
        <f>C7+C8</f>
        <v>30</v>
      </c>
      <c r="D6" s="83">
        <f>C6/C4</f>
        <v>0.375</v>
      </c>
      <c r="E6" s="82">
        <f>E7+E8</f>
        <v>31</v>
      </c>
      <c r="F6" s="84">
        <f>E6/E4</f>
        <v>0.3263157894736842</v>
      </c>
      <c r="G6" s="80"/>
      <c r="H6" s="134"/>
    </row>
    <row r="7" spans="2:8" ht="18">
      <c r="B7" s="104" t="s">
        <v>88</v>
      </c>
      <c r="C7" s="96">
        <f>Questões!C4</f>
        <v>20</v>
      </c>
      <c r="D7" s="83">
        <f>C7/C4</f>
        <v>0.25</v>
      </c>
      <c r="E7" s="82">
        <f>Questões!E4</f>
        <v>25</v>
      </c>
      <c r="F7" s="84">
        <f>E7/E4</f>
        <v>0.2631578947368421</v>
      </c>
      <c r="G7" s="80"/>
      <c r="H7" s="134"/>
    </row>
    <row r="8" spans="2:8" ht="18">
      <c r="B8" s="104" t="s">
        <v>89</v>
      </c>
      <c r="C8" s="96">
        <f>Questões!C5</f>
        <v>10</v>
      </c>
      <c r="D8" s="83">
        <f>C8/C4</f>
        <v>0.125</v>
      </c>
      <c r="E8" s="82">
        <f>Questões!E5</f>
        <v>6</v>
      </c>
      <c r="F8" s="84">
        <f>E8/E4</f>
        <v>0.06315789473684211</v>
      </c>
      <c r="G8" s="80"/>
      <c r="H8" s="134"/>
    </row>
    <row r="9" spans="2:8" ht="18">
      <c r="B9" s="147"/>
      <c r="C9" s="77"/>
      <c r="D9" s="80"/>
      <c r="E9" s="80"/>
      <c r="F9" s="134"/>
      <c r="G9" s="80"/>
      <c r="H9" s="134"/>
    </row>
    <row r="10" spans="2:8" ht="18">
      <c r="B10" s="106" t="s">
        <v>158</v>
      </c>
      <c r="C10" s="209">
        <f>Questões!C17+Questões!C32</f>
        <v>589750</v>
      </c>
      <c r="D10" s="139"/>
      <c r="E10" s="139"/>
      <c r="F10" s="143"/>
      <c r="G10" s="139"/>
      <c r="H10" s="143"/>
    </row>
    <row r="11" spans="2:8" ht="18">
      <c r="B11" s="147" t="s">
        <v>157</v>
      </c>
      <c r="C11" s="148"/>
      <c r="D11" s="139"/>
      <c r="E11" s="139"/>
      <c r="F11" s="143"/>
      <c r="G11" s="139"/>
      <c r="H11" s="143"/>
    </row>
    <row r="12" spans="2:8" ht="18">
      <c r="B12" s="147" t="s">
        <v>125</v>
      </c>
      <c r="C12" s="149">
        <f>C8*Questões!C6</f>
        <v>120000</v>
      </c>
      <c r="D12" s="140">
        <f>C12/G12</f>
        <v>0.8333333333333334</v>
      </c>
      <c r="E12" s="141">
        <f>E8*Questões!E6</f>
        <v>24000</v>
      </c>
      <c r="F12" s="150">
        <f>E12/G12</f>
        <v>0.16666666666666666</v>
      </c>
      <c r="G12" s="142">
        <f>C12+E12</f>
        <v>144000</v>
      </c>
      <c r="H12" s="143"/>
    </row>
    <row r="13" spans="2:8" ht="18">
      <c r="B13" s="147" t="s">
        <v>126</v>
      </c>
      <c r="C13" s="151">
        <f>C10*D12</f>
        <v>491458.3333333334</v>
      </c>
      <c r="D13" s="139"/>
      <c r="E13" s="141">
        <f>F12*C10</f>
        <v>98291.66666666666</v>
      </c>
      <c r="F13" s="143"/>
      <c r="G13" s="142">
        <f>C13+E13</f>
        <v>589750</v>
      </c>
      <c r="H13" s="143"/>
    </row>
    <row r="14" spans="2:8" ht="18">
      <c r="B14" s="147" t="s">
        <v>127</v>
      </c>
      <c r="C14" s="148">
        <f>C13/Questões!C6</f>
        <v>40.954861111111114</v>
      </c>
      <c r="D14" s="139"/>
      <c r="E14" s="139">
        <f>E13/Questões!E6</f>
        <v>24.572916666666664</v>
      </c>
      <c r="F14" s="143"/>
      <c r="G14" s="139"/>
      <c r="H14" s="143"/>
    </row>
    <row r="15" spans="2:8" ht="18">
      <c r="B15" s="147"/>
      <c r="C15" s="148"/>
      <c r="D15" s="139"/>
      <c r="E15" s="139"/>
      <c r="F15" s="143"/>
      <c r="G15" s="139"/>
      <c r="H15" s="143"/>
    </row>
    <row r="16" spans="2:8" ht="18">
      <c r="B16" s="147" t="s">
        <v>129</v>
      </c>
      <c r="C16" s="148">
        <f>C14+C6</f>
        <v>70.95486111111111</v>
      </c>
      <c r="D16" s="140">
        <f>C16/C4</f>
        <v>0.886935763888889</v>
      </c>
      <c r="E16" s="139">
        <f>E14+E6</f>
        <v>55.572916666666664</v>
      </c>
      <c r="F16" s="150">
        <f>E16/E4</f>
        <v>0.5849780701754386</v>
      </c>
      <c r="G16" s="139"/>
      <c r="H16" s="143"/>
    </row>
    <row r="17" spans="2:8" ht="18">
      <c r="B17" s="147"/>
      <c r="C17" s="77"/>
      <c r="D17" s="80"/>
      <c r="E17" s="80"/>
      <c r="F17" s="143"/>
      <c r="G17" s="139"/>
      <c r="H17" s="143"/>
    </row>
    <row r="18" spans="2:8" ht="18">
      <c r="B18" s="153" t="s">
        <v>128</v>
      </c>
      <c r="C18" s="154">
        <f>C4-C16</f>
        <v>9.045138888888886</v>
      </c>
      <c r="D18" s="83">
        <f>C18/C4</f>
        <v>0.11306423611111108</v>
      </c>
      <c r="E18" s="156">
        <f>E4-E16</f>
        <v>39.427083333333336</v>
      </c>
      <c r="F18" s="152">
        <f>E18/E4</f>
        <v>0.41502192982456143</v>
      </c>
      <c r="G18" s="139"/>
      <c r="H18" s="143"/>
    </row>
    <row r="19" spans="2:8" ht="18.75" thickBot="1">
      <c r="B19" s="158" t="s">
        <v>130</v>
      </c>
      <c r="C19" s="159">
        <f>C18*Questões!C6</f>
        <v>108541.66666666663</v>
      </c>
      <c r="D19" s="218">
        <f>C19/G19</f>
        <v>0.4076682316118934</v>
      </c>
      <c r="E19" s="161">
        <f>E18*Questões!E6</f>
        <v>157708.33333333334</v>
      </c>
      <c r="F19" s="219">
        <f>E19/G19</f>
        <v>0.5923317683881064</v>
      </c>
      <c r="G19" s="145">
        <f>C19+E19</f>
        <v>266250</v>
      </c>
      <c r="H19" s="146"/>
    </row>
    <row r="20" spans="3:8" ht="18">
      <c r="C20" s="135"/>
      <c r="D20" s="135"/>
      <c r="E20" s="135"/>
      <c r="F20" s="135"/>
      <c r="G20" s="135"/>
      <c r="H20" s="135"/>
    </row>
    <row r="21" spans="2:3" ht="18">
      <c r="B21" s="169" t="s">
        <v>159</v>
      </c>
      <c r="C21" s="170">
        <f>G19</f>
        <v>266250</v>
      </c>
    </row>
    <row r="23" spans="1:3" ht="18">
      <c r="A23" s="80"/>
      <c r="B23" s="80"/>
      <c r="C23" s="80"/>
    </row>
    <row r="24" spans="1:6" ht="18">
      <c r="A24" s="80"/>
      <c r="B24" s="80"/>
      <c r="C24" s="191"/>
      <c r="D24" s="87"/>
      <c r="E24" s="114"/>
      <c r="F24" s="87"/>
    </row>
    <row r="25" spans="1:3" ht="18">
      <c r="A25" s="80"/>
      <c r="B25" s="80"/>
      <c r="C25" s="80"/>
    </row>
    <row r="26" spans="1:3" ht="18">
      <c r="A26" s="80"/>
      <c r="B26" s="80"/>
      <c r="C26" s="80"/>
    </row>
  </sheetData>
  <sheetProtection/>
  <mergeCells count="3">
    <mergeCell ref="C2:D2"/>
    <mergeCell ref="E2:F2"/>
    <mergeCell ref="G2:H2"/>
  </mergeCells>
  <printOptions/>
  <pageMargins left="0.787401575" right="0.787401575" top="0.984251969" bottom="0.984251969" header="0.492125985" footer="0.49212598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4:O97"/>
  <sheetViews>
    <sheetView zoomScale="75" zoomScaleNormal="75" zoomScalePageLayoutView="0" workbookViewId="0" topLeftCell="A57">
      <selection activeCell="A1" sqref="A1"/>
    </sheetView>
  </sheetViews>
  <sheetFormatPr defaultColWidth="8.8515625" defaultRowHeight="12.75"/>
  <cols>
    <col min="1" max="1" width="22.421875" style="0" customWidth="1"/>
    <col min="2" max="2" width="10.140625" style="0" customWidth="1"/>
    <col min="3" max="3" width="9.8515625" style="0" customWidth="1"/>
    <col min="4" max="4" width="8.140625" style="0" customWidth="1"/>
    <col min="5" max="5" width="9.28125" style="0" bestFit="1" customWidth="1"/>
    <col min="6" max="6" width="11.421875" style="0" customWidth="1"/>
    <col min="7" max="7" width="13.28125" style="0" customWidth="1"/>
    <col min="8" max="8" width="11.28125" style="0" customWidth="1"/>
    <col min="9" max="9" width="12.421875" style="0" bestFit="1" customWidth="1"/>
    <col min="10" max="10" width="11.28125" style="0" bestFit="1" customWidth="1"/>
    <col min="11" max="11" width="9.8515625" style="0" bestFit="1" customWidth="1"/>
    <col min="12" max="12" width="14.7109375" style="0" bestFit="1" customWidth="1"/>
    <col min="13" max="13" width="10.421875" style="0" bestFit="1" customWidth="1"/>
  </cols>
  <sheetData>
    <row r="4" ht="12.75">
      <c r="J4">
        <f>(B8+B9+B10)</f>
        <v>150000</v>
      </c>
    </row>
    <row r="5" ht="12.75">
      <c r="J5">
        <f>J4/E21</f>
        <v>10000</v>
      </c>
    </row>
    <row r="6" ht="12.75">
      <c r="J6">
        <f>J5*C21</f>
        <v>50000</v>
      </c>
    </row>
    <row r="7" ht="12.75">
      <c r="H7">
        <f>15*12</f>
        <v>180</v>
      </c>
    </row>
    <row r="8" spans="1:6" ht="12.75">
      <c r="A8" t="s">
        <v>75</v>
      </c>
      <c r="B8">
        <v>50000</v>
      </c>
      <c r="F8" t="s">
        <v>9</v>
      </c>
    </row>
    <row r="9" spans="1:2" ht="13.5" thickBot="1">
      <c r="A9" t="s">
        <v>25</v>
      </c>
      <c r="B9">
        <v>60000</v>
      </c>
    </row>
    <row r="10" spans="1:11" ht="12.75">
      <c r="A10" t="s">
        <v>26</v>
      </c>
      <c r="B10">
        <v>40000</v>
      </c>
      <c r="F10" s="8" t="s">
        <v>10</v>
      </c>
      <c r="G10" s="9"/>
      <c r="H10" s="241" t="s">
        <v>0</v>
      </c>
      <c r="I10" s="241"/>
      <c r="J10" s="10" t="s">
        <v>1</v>
      </c>
      <c r="K10" s="11"/>
    </row>
    <row r="11" spans="1:11" ht="12.75">
      <c r="A11" t="s">
        <v>27</v>
      </c>
      <c r="B11">
        <v>150000</v>
      </c>
      <c r="F11" s="12"/>
      <c r="G11" s="4"/>
      <c r="H11" s="5" t="s">
        <v>16</v>
      </c>
      <c r="I11" s="5" t="s">
        <v>17</v>
      </c>
      <c r="J11" s="5" t="s">
        <v>16</v>
      </c>
      <c r="K11" s="13" t="s">
        <v>17</v>
      </c>
    </row>
    <row r="12" spans="1:11" ht="12.75">
      <c r="A12" t="s">
        <v>28</v>
      </c>
      <c r="B12">
        <v>200000</v>
      </c>
      <c r="F12" s="12" t="s">
        <v>7</v>
      </c>
      <c r="G12" s="32"/>
      <c r="H12" s="32">
        <f>C18</f>
        <v>80</v>
      </c>
      <c r="I12" s="32"/>
      <c r="J12" s="32">
        <f>D18</f>
        <v>95</v>
      </c>
      <c r="K12" s="33"/>
    </row>
    <row r="13" spans="1:12" ht="12.75">
      <c r="A13" t="s">
        <v>74</v>
      </c>
      <c r="B13">
        <f>SUM(B8:B12)</f>
        <v>500000</v>
      </c>
      <c r="F13" s="35" t="s">
        <v>11</v>
      </c>
      <c r="G13" s="36"/>
      <c r="H13" s="36">
        <f>C15</f>
        <v>20</v>
      </c>
      <c r="I13" s="37">
        <f>H13/$H$21</f>
        <v>0.25</v>
      </c>
      <c r="J13" s="36">
        <f>D15</f>
        <v>25</v>
      </c>
      <c r="K13" s="38">
        <f>J13/$J$21</f>
        <v>0.2631578947368421</v>
      </c>
      <c r="L13">
        <f>(C15*C17)+(D15*D17)</f>
        <v>340000</v>
      </c>
    </row>
    <row r="14" spans="3:12" ht="12.75">
      <c r="C14" s="1" t="s">
        <v>0</v>
      </c>
      <c r="D14" s="1" t="s">
        <v>1</v>
      </c>
      <c r="F14" s="35" t="s">
        <v>12</v>
      </c>
      <c r="G14" s="36"/>
      <c r="H14" s="36">
        <f>C16</f>
        <v>10</v>
      </c>
      <c r="I14" s="37">
        <f>H14/$H$21</f>
        <v>0.125</v>
      </c>
      <c r="J14" s="36">
        <f>D16</f>
        <v>6</v>
      </c>
      <c r="K14" s="38">
        <f>J14/$J$21</f>
        <v>0.06315789473684211</v>
      </c>
      <c r="L14">
        <f>E19</f>
        <v>144000</v>
      </c>
    </row>
    <row r="15" spans="1:11" ht="12.75">
      <c r="A15" t="s">
        <v>4</v>
      </c>
      <c r="C15" s="1">
        <v>20</v>
      </c>
      <c r="D15" s="1">
        <v>25</v>
      </c>
      <c r="F15" s="35" t="s">
        <v>35</v>
      </c>
      <c r="G15" s="36"/>
      <c r="H15" s="36">
        <f>H14+H13</f>
        <v>30</v>
      </c>
      <c r="I15" s="37">
        <f>H15/$H$21</f>
        <v>0.375</v>
      </c>
      <c r="J15" s="36">
        <f>J14+J13</f>
        <v>31</v>
      </c>
      <c r="K15" s="38">
        <f>J15/$J$21</f>
        <v>0.3263157894736842</v>
      </c>
    </row>
    <row r="16" spans="1:11" ht="12.75">
      <c r="A16" t="s">
        <v>5</v>
      </c>
      <c r="C16" s="1">
        <v>10</v>
      </c>
      <c r="D16" s="1">
        <v>6</v>
      </c>
      <c r="F16" s="35" t="s">
        <v>20</v>
      </c>
      <c r="G16" s="36"/>
      <c r="H16" s="34">
        <f>H12-H15</f>
        <v>50</v>
      </c>
      <c r="I16" s="43">
        <f>H16/H12</f>
        <v>0.625</v>
      </c>
      <c r="J16" s="34">
        <f>J12-J15</f>
        <v>64</v>
      </c>
      <c r="K16" s="43">
        <f>J16/J12</f>
        <v>0.6736842105263158</v>
      </c>
    </row>
    <row r="17" spans="1:12" ht="12.75">
      <c r="A17" t="s">
        <v>6</v>
      </c>
      <c r="C17" s="1">
        <v>12000</v>
      </c>
      <c r="D17" s="1">
        <v>4000</v>
      </c>
      <c r="F17" s="35" t="s">
        <v>21</v>
      </c>
      <c r="G17" s="36"/>
      <c r="H17" s="48">
        <f>H16*C17</f>
        <v>600000</v>
      </c>
      <c r="I17" s="43">
        <f>H17/L17</f>
        <v>0.7009345794392523</v>
      </c>
      <c r="J17" s="48">
        <f>J16*D17</f>
        <v>256000</v>
      </c>
      <c r="K17" s="43">
        <f>J17/L17</f>
        <v>0.29906542056074764</v>
      </c>
      <c r="L17" s="44">
        <f>H17+J17</f>
        <v>856000</v>
      </c>
    </row>
    <row r="18" spans="1:12" ht="12.75">
      <c r="A18" t="s">
        <v>8</v>
      </c>
      <c r="C18" s="1">
        <v>80</v>
      </c>
      <c r="D18" s="1">
        <v>95</v>
      </c>
      <c r="F18" s="12" t="s">
        <v>15</v>
      </c>
      <c r="G18" s="36"/>
      <c r="H18" s="45">
        <f>C20*$B$13</f>
        <v>416666.6666666667</v>
      </c>
      <c r="I18" s="46"/>
      <c r="J18" s="45">
        <f>D20*$B$13</f>
        <v>83333.33333333333</v>
      </c>
      <c r="K18" s="38"/>
      <c r="L18" s="3">
        <f>H18+J18</f>
        <v>500000</v>
      </c>
    </row>
    <row r="19" spans="1:11" ht="12.75">
      <c r="A19" t="s">
        <v>14</v>
      </c>
      <c r="C19" s="31">
        <f>C16*C17</f>
        <v>120000</v>
      </c>
      <c r="D19" s="1">
        <f>D16*D17</f>
        <v>24000</v>
      </c>
      <c r="E19">
        <f>SUM(C19:D19)</f>
        <v>144000</v>
      </c>
      <c r="F19" s="12" t="s">
        <v>13</v>
      </c>
      <c r="G19" s="36"/>
      <c r="H19" s="36">
        <f>H18/C17</f>
        <v>34.72222222222222</v>
      </c>
      <c r="I19" s="37">
        <f>H19/$H$21</f>
        <v>0.4340277777777778</v>
      </c>
      <c r="J19" s="36">
        <f>J18/D17</f>
        <v>20.833333333333332</v>
      </c>
      <c r="K19" s="38">
        <f>J19/$J$21</f>
        <v>0.21929824561403508</v>
      </c>
    </row>
    <row r="20" spans="3:11" ht="12.75">
      <c r="C20" s="2">
        <f>C19/E19</f>
        <v>0.8333333333333334</v>
      </c>
      <c r="D20" s="2">
        <f>D19/E19</f>
        <v>0.16666666666666666</v>
      </c>
      <c r="F20" s="12" t="s">
        <v>36</v>
      </c>
      <c r="G20" s="36"/>
      <c r="H20" s="36">
        <f>H19+H15</f>
        <v>64.72222222222223</v>
      </c>
      <c r="I20" s="37">
        <f>H20/$H$21</f>
        <v>0.8090277777777779</v>
      </c>
      <c r="J20" s="36">
        <f>J19+J15</f>
        <v>51.83333333333333</v>
      </c>
      <c r="K20" s="38">
        <f>J20/$J$21</f>
        <v>0.5456140350877192</v>
      </c>
    </row>
    <row r="21" spans="1:13" ht="12.75">
      <c r="A21" t="s">
        <v>2</v>
      </c>
      <c r="C21">
        <v>5</v>
      </c>
      <c r="D21">
        <v>10</v>
      </c>
      <c r="E21">
        <f>C21+D21</f>
        <v>15</v>
      </c>
      <c r="F21" s="12" t="s">
        <v>7</v>
      </c>
      <c r="G21" s="36"/>
      <c r="H21" s="36">
        <f>C18</f>
        <v>80</v>
      </c>
      <c r="I21" s="37">
        <f>H21/$H$21</f>
        <v>1</v>
      </c>
      <c r="J21" s="36">
        <f>D18</f>
        <v>95</v>
      </c>
      <c r="K21" s="38">
        <f>J21/$J$21</f>
        <v>1</v>
      </c>
      <c r="M21" s="3">
        <f>L22-L18-L14-L13</f>
        <v>356000</v>
      </c>
    </row>
    <row r="22" spans="1:12" ht="12.75">
      <c r="A22" t="s">
        <v>3</v>
      </c>
      <c r="C22">
        <v>4000</v>
      </c>
      <c r="D22">
        <v>6000</v>
      </c>
      <c r="E22">
        <f>C22+D22</f>
        <v>10000</v>
      </c>
      <c r="F22" s="12" t="s">
        <v>23</v>
      </c>
      <c r="G22" s="36"/>
      <c r="H22" s="47">
        <f>H21*C17</f>
        <v>960000</v>
      </c>
      <c r="I22" s="37">
        <f>H22/L22</f>
        <v>0.7164179104477612</v>
      </c>
      <c r="J22" s="47">
        <f>J21*D17</f>
        <v>380000</v>
      </c>
      <c r="K22" s="38">
        <f>J22/L22</f>
        <v>0.2835820895522388</v>
      </c>
      <c r="L22" s="3">
        <f>H22+J22</f>
        <v>1340000</v>
      </c>
    </row>
    <row r="23" spans="6:12" ht="12.75">
      <c r="F23" s="12" t="s">
        <v>22</v>
      </c>
      <c r="G23" s="36"/>
      <c r="H23" s="36">
        <f>H21-H20</f>
        <v>15.277777777777771</v>
      </c>
      <c r="I23" s="49">
        <f>H23/$H$21</f>
        <v>0.19097222222222215</v>
      </c>
      <c r="J23" s="36">
        <f>J21-J20</f>
        <v>43.16666666666667</v>
      </c>
      <c r="K23" s="50">
        <f>J23/$J$21</f>
        <v>0.4543859649122807</v>
      </c>
      <c r="L23" s="3">
        <f>J24+H24</f>
        <v>355999.99999999994</v>
      </c>
    </row>
    <row r="24" spans="1:12" ht="12.75">
      <c r="A24" t="s">
        <v>24</v>
      </c>
      <c r="F24" s="12" t="s">
        <v>19</v>
      </c>
      <c r="G24" s="36"/>
      <c r="H24" s="47">
        <f>H23*C17</f>
        <v>183333.33333333326</v>
      </c>
      <c r="I24" s="49">
        <f>H24/L23</f>
        <v>0.5149812734082395</v>
      </c>
      <c r="J24" s="47">
        <f>J23*D17</f>
        <v>172666.6666666667</v>
      </c>
      <c r="K24" s="50">
        <f>J24/L23</f>
        <v>0.48501872659176043</v>
      </c>
      <c r="L24" s="3">
        <f>H24+J24</f>
        <v>355999.99999999994</v>
      </c>
    </row>
    <row r="25" spans="1:11" ht="12.75">
      <c r="A25" t="s">
        <v>29</v>
      </c>
      <c r="F25" s="12"/>
      <c r="G25" s="36"/>
      <c r="H25" s="36"/>
      <c r="I25" s="37"/>
      <c r="J25" s="36"/>
      <c r="K25" s="38"/>
    </row>
    <row r="26" spans="1:11" ht="12.75">
      <c r="A26" t="s">
        <v>30</v>
      </c>
      <c r="F26" s="12" t="s">
        <v>40</v>
      </c>
      <c r="G26" s="233">
        <v>500000</v>
      </c>
      <c r="H26" s="233"/>
      <c r="I26" s="233"/>
      <c r="J26" s="233"/>
      <c r="K26" s="245"/>
    </row>
    <row r="27" spans="6:12" ht="12.75">
      <c r="F27" s="12" t="s">
        <v>41</v>
      </c>
      <c r="G27" s="36"/>
      <c r="H27" s="36"/>
      <c r="I27" s="39" t="s">
        <v>39</v>
      </c>
      <c r="J27" s="36"/>
      <c r="K27" s="40"/>
      <c r="L27" s="3" t="s">
        <v>39</v>
      </c>
    </row>
    <row r="28" spans="1:11" ht="13.5" thickBot="1">
      <c r="A28" t="s">
        <v>43</v>
      </c>
      <c r="B28">
        <v>15000</v>
      </c>
      <c r="G28" s="41" t="s">
        <v>42</v>
      </c>
      <c r="H28" s="41"/>
      <c r="I28" s="42">
        <f>L17-G26</f>
        <v>356000</v>
      </c>
      <c r="J28" s="41"/>
      <c r="K28" s="41"/>
    </row>
    <row r="29" spans="1:11" ht="12.75">
      <c r="A29" t="s">
        <v>44</v>
      </c>
      <c r="B29">
        <v>35000</v>
      </c>
      <c r="F29" s="8" t="s">
        <v>18</v>
      </c>
      <c r="G29" s="9"/>
      <c r="H29" s="241" t="s">
        <v>0</v>
      </c>
      <c r="I29" s="241"/>
      <c r="J29" s="10" t="s">
        <v>1</v>
      </c>
      <c r="K29" s="11"/>
    </row>
    <row r="30" spans="1:11" ht="12.75">
      <c r="A30" t="s">
        <v>45</v>
      </c>
      <c r="B30">
        <v>9750</v>
      </c>
      <c r="F30" s="12"/>
      <c r="G30" s="4"/>
      <c r="H30" s="5" t="s">
        <v>16</v>
      </c>
      <c r="I30" s="5" t="s">
        <v>17</v>
      </c>
      <c r="J30" s="5" t="s">
        <v>16</v>
      </c>
      <c r="K30" s="13" t="s">
        <v>17</v>
      </c>
    </row>
    <row r="31" spans="1:11" ht="12.75">
      <c r="A31" t="s">
        <v>46</v>
      </c>
      <c r="B31">
        <v>30000</v>
      </c>
      <c r="F31" s="12" t="s">
        <v>11</v>
      </c>
      <c r="G31" s="4"/>
      <c r="H31" s="19">
        <f>H13</f>
        <v>20</v>
      </c>
      <c r="I31" s="6">
        <f>H31/$H$39</f>
        <v>0.25</v>
      </c>
      <c r="J31" s="22">
        <f>J13</f>
        <v>25</v>
      </c>
      <c r="K31" s="14">
        <f>J31/$J$39</f>
        <v>0.2631578947368421</v>
      </c>
    </row>
    <row r="32" spans="2:11" ht="12.75">
      <c r="B32">
        <f>SUM(B28:B31)</f>
        <v>89750</v>
      </c>
      <c r="F32" s="12" t="s">
        <v>12</v>
      </c>
      <c r="G32" s="4"/>
      <c r="H32" s="19">
        <f>H14</f>
        <v>10</v>
      </c>
      <c r="I32" s="6">
        <f>H32/$H$39</f>
        <v>0.125</v>
      </c>
      <c r="J32" s="22">
        <f>J14</f>
        <v>6</v>
      </c>
      <c r="K32" s="14">
        <f aca="true" t="shared" si="0" ref="K32:K40">J32/$J$39</f>
        <v>0.06315789473684211</v>
      </c>
    </row>
    <row r="33" spans="3:11" ht="12.75">
      <c r="C33" t="s">
        <v>0</v>
      </c>
      <c r="D33" t="s">
        <v>1</v>
      </c>
      <c r="F33" s="12" t="s">
        <v>37</v>
      </c>
      <c r="G33" s="4"/>
      <c r="H33" s="19">
        <f>H32+H31</f>
        <v>30</v>
      </c>
      <c r="I33" s="6">
        <f>H33/$H$39</f>
        <v>0.375</v>
      </c>
      <c r="J33" s="22">
        <f>J32+J31</f>
        <v>31</v>
      </c>
      <c r="K33" s="14">
        <f t="shared" si="0"/>
        <v>0.3263157894736842</v>
      </c>
    </row>
    <row r="34" spans="1:11" ht="12.75">
      <c r="A34" t="s">
        <v>47</v>
      </c>
      <c r="C34">
        <v>8</v>
      </c>
      <c r="D34">
        <v>12</v>
      </c>
      <c r="E34">
        <f>SUM(C34:D34)</f>
        <v>20</v>
      </c>
      <c r="F34" s="12" t="s">
        <v>62</v>
      </c>
      <c r="G34" s="4"/>
      <c r="H34" s="20">
        <f>(($B$8+B9+B10)/$E$21)*C21</f>
        <v>50000</v>
      </c>
      <c r="I34" s="6"/>
      <c r="J34" s="20">
        <f>(($B$8+B9+B10)/$E$21)*D21</f>
        <v>100000</v>
      </c>
      <c r="K34" s="14"/>
    </row>
    <row r="35" spans="1:11" ht="12.75">
      <c r="A35" t="s">
        <v>48</v>
      </c>
      <c r="C35">
        <v>8</v>
      </c>
      <c r="D35">
        <v>12</v>
      </c>
      <c r="E35">
        <f>SUM(C35:D35)</f>
        <v>20</v>
      </c>
      <c r="F35" s="12" t="s">
        <v>63</v>
      </c>
      <c r="G35" s="4"/>
      <c r="H35" s="21">
        <f>H34/C17</f>
        <v>4.166666666666667</v>
      </c>
      <c r="I35" s="6">
        <f>H35/$H$39</f>
        <v>0.052083333333333336</v>
      </c>
      <c r="J35" s="23">
        <f>J34/D17</f>
        <v>25</v>
      </c>
      <c r="K35" s="14">
        <f t="shared" si="0"/>
        <v>0.2631578947368421</v>
      </c>
    </row>
    <row r="36" spans="1:11" ht="12.75">
      <c r="A36" t="s">
        <v>49</v>
      </c>
      <c r="C36">
        <v>50</v>
      </c>
      <c r="D36">
        <v>100</v>
      </c>
      <c r="E36">
        <f>SUM(C36:D36)</f>
        <v>150</v>
      </c>
      <c r="F36" s="12" t="s">
        <v>33</v>
      </c>
      <c r="G36" s="4"/>
      <c r="H36" s="21">
        <f>(B11/E22)*C22</f>
        <v>60000</v>
      </c>
      <c r="I36" s="6"/>
      <c r="J36" s="23">
        <f>(B11/E22)*D22</f>
        <v>90000</v>
      </c>
      <c r="K36" s="14"/>
    </row>
    <row r="37" spans="1:11" ht="12.75">
      <c r="A37" t="s">
        <v>50</v>
      </c>
      <c r="C37">
        <v>8</v>
      </c>
      <c r="D37">
        <v>12</v>
      </c>
      <c r="E37">
        <f>SUM(C37:D37)</f>
        <v>20</v>
      </c>
      <c r="F37" s="12" t="s">
        <v>34</v>
      </c>
      <c r="G37" s="4"/>
      <c r="H37" s="21">
        <f>H36/C17</f>
        <v>5</v>
      </c>
      <c r="I37" s="6">
        <f>H37/$H$39</f>
        <v>0.0625</v>
      </c>
      <c r="J37" s="23">
        <f>J36/D17</f>
        <v>22.5</v>
      </c>
      <c r="K37" s="14">
        <f t="shared" si="0"/>
        <v>0.23684210526315788</v>
      </c>
    </row>
    <row r="38" spans="6:11" ht="12.75">
      <c r="F38" s="12" t="s">
        <v>38</v>
      </c>
      <c r="G38" s="4"/>
      <c r="H38" s="21">
        <f>H37+H35+H33</f>
        <v>39.16666666666667</v>
      </c>
      <c r="I38" s="6">
        <f>H38/$H$39</f>
        <v>0.48958333333333337</v>
      </c>
      <c r="J38" s="21">
        <f>J37+J35+J33</f>
        <v>78.5</v>
      </c>
      <c r="K38" s="14">
        <f t="shared" si="0"/>
        <v>0.8263157894736842</v>
      </c>
    </row>
    <row r="39" spans="6:11" ht="12.75">
      <c r="F39" s="12" t="s">
        <v>7</v>
      </c>
      <c r="G39" s="4"/>
      <c r="H39" s="21">
        <f>H21</f>
        <v>80</v>
      </c>
      <c r="I39" s="6">
        <f>H39/$H$39</f>
        <v>1</v>
      </c>
      <c r="J39" s="21">
        <f>J21</f>
        <v>95</v>
      </c>
      <c r="K39" s="14">
        <f t="shared" si="0"/>
        <v>1</v>
      </c>
    </row>
    <row r="40" spans="6:11" ht="12.75">
      <c r="F40" s="12" t="s">
        <v>20</v>
      </c>
      <c r="G40" s="4"/>
      <c r="H40" s="21">
        <f>H39-H38</f>
        <v>40.83333333333333</v>
      </c>
      <c r="I40" s="6">
        <f>H40/$H$39</f>
        <v>0.5104166666666666</v>
      </c>
      <c r="J40" s="21">
        <f>J39-J38</f>
        <v>16.5</v>
      </c>
      <c r="K40" s="14">
        <f t="shared" si="0"/>
        <v>0.1736842105263158</v>
      </c>
    </row>
    <row r="41" spans="2:12" ht="12.75">
      <c r="B41" s="3">
        <f>I28-B32</f>
        <v>266250</v>
      </c>
      <c r="F41" s="12" t="s">
        <v>21</v>
      </c>
      <c r="G41" s="4"/>
      <c r="H41" s="21">
        <f>H40*C17</f>
        <v>489999.99999999994</v>
      </c>
      <c r="I41" s="6">
        <f>H41/$L$41</f>
        <v>0.8812949640287768</v>
      </c>
      <c r="J41" s="21">
        <f>J40*D17</f>
        <v>66000</v>
      </c>
      <c r="K41" s="6">
        <f>J41/$L$41</f>
        <v>0.11870503597122302</v>
      </c>
      <c r="L41" s="3">
        <f>H41+J41</f>
        <v>556000</v>
      </c>
    </row>
    <row r="42" spans="6:11" ht="13.5" thickBot="1">
      <c r="F42" s="17" t="s">
        <v>64</v>
      </c>
      <c r="G42" s="18"/>
      <c r="H42" s="246">
        <f>B12</f>
        <v>200000</v>
      </c>
      <c r="I42" s="246"/>
      <c r="J42" s="246"/>
      <c r="K42" s="247"/>
    </row>
    <row r="43" spans="6:9" ht="13.5" thickTop="1">
      <c r="F43" t="s">
        <v>76</v>
      </c>
      <c r="I43" s="3">
        <f>L41-H42</f>
        <v>356000</v>
      </c>
    </row>
    <row r="45" ht="13.5" thickBot="1"/>
    <row r="46" spans="6:11" ht="12.75">
      <c r="F46" s="8" t="s">
        <v>51</v>
      </c>
      <c r="G46" s="9"/>
      <c r="H46" s="241" t="s">
        <v>0</v>
      </c>
      <c r="I46" s="241"/>
      <c r="J46" s="10" t="s">
        <v>1</v>
      </c>
      <c r="K46" s="11"/>
    </row>
    <row r="47" spans="6:11" ht="12.75">
      <c r="F47" s="12"/>
      <c r="G47" s="4"/>
      <c r="H47" s="5" t="s">
        <v>16</v>
      </c>
      <c r="I47" s="5" t="s">
        <v>17</v>
      </c>
      <c r="J47" s="5" t="s">
        <v>16</v>
      </c>
      <c r="K47" s="13" t="s">
        <v>17</v>
      </c>
    </row>
    <row r="48" spans="6:11" ht="12.75">
      <c r="F48" s="12" t="s">
        <v>11</v>
      </c>
      <c r="G48" s="4"/>
      <c r="H48" s="19">
        <f>H31</f>
        <v>20</v>
      </c>
      <c r="I48" s="6">
        <f>H48/$H$56</f>
        <v>0.25</v>
      </c>
      <c r="J48" s="22">
        <f>J31</f>
        <v>25</v>
      </c>
      <c r="K48" s="14">
        <f>J48/$J$39</f>
        <v>0.2631578947368421</v>
      </c>
    </row>
    <row r="49" spans="6:11" ht="12.75">
      <c r="F49" s="12" t="s">
        <v>12</v>
      </c>
      <c r="G49" s="4"/>
      <c r="H49" s="19">
        <f>H32</f>
        <v>10</v>
      </c>
      <c r="I49" s="6">
        <f aca="true" t="shared" si="1" ref="I49:I57">H49/$H$56</f>
        <v>0.125</v>
      </c>
      <c r="J49" s="22">
        <f>J32</f>
        <v>6</v>
      </c>
      <c r="K49" s="14">
        <f aca="true" t="shared" si="2" ref="K49:K57">J49/$J$39</f>
        <v>0.06315789473684211</v>
      </c>
    </row>
    <row r="50" spans="6:11" ht="12.75">
      <c r="F50" s="12" t="s">
        <v>37</v>
      </c>
      <c r="G50" s="4"/>
      <c r="H50" s="19">
        <f>H49+H48</f>
        <v>30</v>
      </c>
      <c r="I50" s="6">
        <f t="shared" si="1"/>
        <v>0.375</v>
      </c>
      <c r="J50" s="22">
        <f>J49+J48</f>
        <v>31</v>
      </c>
      <c r="K50" s="14">
        <f t="shared" si="2"/>
        <v>0.3263157894736842</v>
      </c>
    </row>
    <row r="51" spans="6:11" ht="12.75">
      <c r="F51" s="12" t="s">
        <v>31</v>
      </c>
      <c r="G51" s="4"/>
      <c r="H51" s="20">
        <f>H34</f>
        <v>50000</v>
      </c>
      <c r="I51" s="6" t="s">
        <v>39</v>
      </c>
      <c r="J51" s="20">
        <f>J34</f>
        <v>100000</v>
      </c>
      <c r="K51" s="14"/>
    </row>
    <row r="52" spans="6:11" ht="12.75">
      <c r="F52" s="12" t="s">
        <v>32</v>
      </c>
      <c r="G52" s="4"/>
      <c r="H52" s="20">
        <f aca="true" t="shared" si="3" ref="H52:H58">H35</f>
        <v>4.166666666666667</v>
      </c>
      <c r="I52" s="6">
        <f t="shared" si="1"/>
        <v>0.052083333333333336</v>
      </c>
      <c r="J52" s="20">
        <f aca="true" t="shared" si="4" ref="J52:J58">J35</f>
        <v>25</v>
      </c>
      <c r="K52" s="14">
        <f t="shared" si="2"/>
        <v>0.2631578947368421</v>
      </c>
    </row>
    <row r="53" spans="6:11" ht="12.75">
      <c r="F53" s="12" t="s">
        <v>33</v>
      </c>
      <c r="G53" s="4"/>
      <c r="H53" s="20">
        <f t="shared" si="3"/>
        <v>60000</v>
      </c>
      <c r="I53" s="6" t="s">
        <v>39</v>
      </c>
      <c r="J53" s="20">
        <f t="shared" si="4"/>
        <v>90000</v>
      </c>
      <c r="K53" s="14"/>
    </row>
    <row r="54" spans="6:11" ht="12.75">
      <c r="F54" s="12" t="s">
        <v>34</v>
      </c>
      <c r="G54" s="4"/>
      <c r="H54" s="20">
        <f t="shared" si="3"/>
        <v>5</v>
      </c>
      <c r="I54" s="6">
        <f t="shared" si="1"/>
        <v>0.0625</v>
      </c>
      <c r="J54" s="20">
        <f t="shared" si="4"/>
        <v>22.5</v>
      </c>
      <c r="K54" s="14">
        <f t="shared" si="2"/>
        <v>0.23684210526315788</v>
      </c>
    </row>
    <row r="55" spans="6:11" ht="12.75">
      <c r="F55" s="12" t="s">
        <v>38</v>
      </c>
      <c r="G55" s="4"/>
      <c r="H55" s="20">
        <f t="shared" si="3"/>
        <v>39.16666666666667</v>
      </c>
      <c r="I55" s="6">
        <f t="shared" si="1"/>
        <v>0.48958333333333337</v>
      </c>
      <c r="J55" s="20">
        <f t="shared" si="4"/>
        <v>78.5</v>
      </c>
      <c r="K55" s="14">
        <f t="shared" si="2"/>
        <v>0.8263157894736842</v>
      </c>
    </row>
    <row r="56" spans="6:11" ht="12.75">
      <c r="F56" s="12" t="s">
        <v>7</v>
      </c>
      <c r="G56" s="4"/>
      <c r="H56" s="20">
        <f t="shared" si="3"/>
        <v>80</v>
      </c>
      <c r="I56" s="6">
        <f t="shared" si="1"/>
        <v>1</v>
      </c>
      <c r="J56" s="20">
        <f t="shared" si="4"/>
        <v>95</v>
      </c>
      <c r="K56" s="14">
        <f t="shared" si="2"/>
        <v>1</v>
      </c>
    </row>
    <row r="57" spans="6:11" ht="12.75">
      <c r="F57" s="12" t="s">
        <v>52</v>
      </c>
      <c r="G57" s="4"/>
      <c r="H57" s="20">
        <f t="shared" si="3"/>
        <v>40.83333333333333</v>
      </c>
      <c r="I57" s="6">
        <f t="shared" si="1"/>
        <v>0.5104166666666666</v>
      </c>
      <c r="J57" s="20">
        <f t="shared" si="4"/>
        <v>16.5</v>
      </c>
      <c r="K57" s="14">
        <f t="shared" si="2"/>
        <v>0.1736842105263158</v>
      </c>
    </row>
    <row r="58" spans="6:12" ht="12.75">
      <c r="F58" s="12" t="s">
        <v>53</v>
      </c>
      <c r="G58" s="4"/>
      <c r="H58" s="20">
        <f t="shared" si="3"/>
        <v>489999.99999999994</v>
      </c>
      <c r="I58" s="6">
        <f>H58/L58</f>
        <v>0.8812949640287768</v>
      </c>
      <c r="J58" s="20">
        <f t="shared" si="4"/>
        <v>66000</v>
      </c>
      <c r="K58" s="14">
        <f>J58/L58</f>
        <v>0.11870503597122302</v>
      </c>
      <c r="L58" s="3">
        <f>H58+J58</f>
        <v>556000</v>
      </c>
    </row>
    <row r="59" spans="6:11" ht="12.75">
      <c r="F59" s="12"/>
      <c r="G59" s="4"/>
      <c r="H59" s="242"/>
      <c r="I59" s="242"/>
      <c r="J59" s="242"/>
      <c r="K59" s="243"/>
    </row>
    <row r="60" spans="6:11" ht="12.75">
      <c r="F60" s="12" t="s">
        <v>43</v>
      </c>
      <c r="G60" s="4"/>
      <c r="H60" s="4">
        <f>($B$28/$E$34)*C34</f>
        <v>6000</v>
      </c>
      <c r="I60" s="6"/>
      <c r="J60" s="4">
        <f>(B28*D34)/E34</f>
        <v>9000</v>
      </c>
      <c r="K60" s="14"/>
    </row>
    <row r="61" spans="6:11" ht="12.75">
      <c r="F61" s="12" t="s">
        <v>54</v>
      </c>
      <c r="G61" s="4"/>
      <c r="H61" s="4">
        <f>H60/C17</f>
        <v>0.5</v>
      </c>
      <c r="I61" s="6">
        <f aca="true" t="shared" si="5" ref="I61:I69">H61/$H$56</f>
        <v>0.00625</v>
      </c>
      <c r="J61" s="4">
        <f>J60/D17</f>
        <v>2.25</v>
      </c>
      <c r="K61" s="14">
        <f aca="true" t="shared" si="6" ref="K61:K69">J61/$J$39</f>
        <v>0.02368421052631579</v>
      </c>
    </row>
    <row r="62" spans="6:11" ht="12.75">
      <c r="F62" s="12" t="s">
        <v>44</v>
      </c>
      <c r="G62" s="4"/>
      <c r="H62" s="4">
        <f>($B$29*C35)/$E$35</f>
        <v>14000</v>
      </c>
      <c r="I62" s="6"/>
      <c r="J62" s="4">
        <f>(B29*D35)/E35</f>
        <v>21000</v>
      </c>
      <c r="K62" s="14"/>
    </row>
    <row r="63" spans="6:11" ht="12.75">
      <c r="F63" s="12" t="s">
        <v>55</v>
      </c>
      <c r="G63" s="4"/>
      <c r="H63" s="24">
        <f>H62/C17</f>
        <v>1.1666666666666667</v>
      </c>
      <c r="I63" s="6">
        <f t="shared" si="5"/>
        <v>0.014583333333333334</v>
      </c>
      <c r="J63" s="4">
        <f>J62/D17</f>
        <v>5.25</v>
      </c>
      <c r="K63" s="14">
        <f t="shared" si="6"/>
        <v>0.05526315789473684</v>
      </c>
    </row>
    <row r="64" spans="6:11" ht="12.75">
      <c r="F64" s="12" t="s">
        <v>45</v>
      </c>
      <c r="G64" s="4"/>
      <c r="H64" s="4">
        <f>$B$30*C36/$E$36</f>
        <v>3250</v>
      </c>
      <c r="I64" s="6"/>
      <c r="J64" s="4">
        <f>$B$30*D36/$E$36</f>
        <v>6500</v>
      </c>
      <c r="K64" s="14"/>
    </row>
    <row r="65" spans="6:11" ht="12.75">
      <c r="F65" s="12" t="s">
        <v>56</v>
      </c>
      <c r="G65" s="4"/>
      <c r="H65" s="25">
        <f>H64/C17</f>
        <v>0.2708333333333333</v>
      </c>
      <c r="I65" s="6">
        <f t="shared" si="5"/>
        <v>0.0033854166666666663</v>
      </c>
      <c r="J65" s="26">
        <f>J64/D17</f>
        <v>1.625</v>
      </c>
      <c r="K65" s="14">
        <f t="shared" si="6"/>
        <v>0.017105263157894738</v>
      </c>
    </row>
    <row r="66" spans="6:11" ht="12.75">
      <c r="F66" s="12" t="s">
        <v>57</v>
      </c>
      <c r="G66" s="4"/>
      <c r="H66" s="4">
        <f>$B$31*C37/$E$37</f>
        <v>12000</v>
      </c>
      <c r="I66" s="6"/>
      <c r="J66" s="4">
        <f>B31*D37/E37</f>
        <v>18000</v>
      </c>
      <c r="K66" s="14"/>
    </row>
    <row r="67" spans="6:11" ht="12.75">
      <c r="F67" s="12" t="s">
        <v>58</v>
      </c>
      <c r="G67" s="4"/>
      <c r="H67" s="26">
        <f>H66/C17</f>
        <v>1</v>
      </c>
      <c r="I67" s="6">
        <f t="shared" si="5"/>
        <v>0.0125</v>
      </c>
      <c r="J67" s="26">
        <f>J66/D17</f>
        <v>4.5</v>
      </c>
      <c r="K67" s="14">
        <f t="shared" si="6"/>
        <v>0.04736842105263158</v>
      </c>
    </row>
    <row r="68" spans="6:11" ht="12.75">
      <c r="F68" s="12" t="s">
        <v>59</v>
      </c>
      <c r="G68" s="4"/>
      <c r="H68" s="27">
        <f>H67+H65+H63+H61+H55</f>
        <v>42.10416666666667</v>
      </c>
      <c r="I68" s="6">
        <f t="shared" si="5"/>
        <v>0.5263020833333334</v>
      </c>
      <c r="J68" s="27">
        <f>J67+J65+J63+J61+J55</f>
        <v>92.125</v>
      </c>
      <c r="K68" s="14">
        <f t="shared" si="6"/>
        <v>0.9697368421052631</v>
      </c>
    </row>
    <row r="69" spans="6:11" ht="12.75">
      <c r="F69" s="12" t="s">
        <v>60</v>
      </c>
      <c r="G69" s="4"/>
      <c r="H69" s="27">
        <f>H56-H68</f>
        <v>37.89583333333333</v>
      </c>
      <c r="I69" s="6">
        <f t="shared" si="5"/>
        <v>0.4736979166666666</v>
      </c>
      <c r="J69" s="27">
        <f>J56-J68</f>
        <v>2.875</v>
      </c>
      <c r="K69" s="14">
        <f t="shared" si="6"/>
        <v>0.030263157894736843</v>
      </c>
    </row>
    <row r="70" spans="6:12" ht="12.75">
      <c r="F70" s="12" t="s">
        <v>21</v>
      </c>
      <c r="G70" s="4"/>
      <c r="H70" s="7">
        <f>H69*C17</f>
        <v>454749.99999999994</v>
      </c>
      <c r="I70" s="52">
        <f>H70/L70</f>
        <v>0.9753351206434316</v>
      </c>
      <c r="J70" s="7">
        <f>J69*D17</f>
        <v>11500</v>
      </c>
      <c r="K70" s="53">
        <f>J70/L70</f>
        <v>0.02466487935656837</v>
      </c>
      <c r="L70" s="3">
        <f>J70+H70</f>
        <v>466249.99999999994</v>
      </c>
    </row>
    <row r="71" spans="6:11" ht="12.75">
      <c r="F71" s="12" t="s">
        <v>61</v>
      </c>
      <c r="G71" s="4"/>
      <c r="H71" s="244">
        <f>H42</f>
        <v>200000</v>
      </c>
      <c r="I71" s="244"/>
      <c r="J71" s="244"/>
      <c r="K71" s="28"/>
    </row>
    <row r="72" spans="6:11" ht="13.5" thickBot="1">
      <c r="F72" s="15" t="s">
        <v>42</v>
      </c>
      <c r="G72" s="16"/>
      <c r="H72" s="16"/>
      <c r="I72" s="51">
        <f>L70-H71</f>
        <v>266249.99999999994</v>
      </c>
      <c r="J72" s="16"/>
      <c r="K72" s="29"/>
    </row>
    <row r="74" spans="7:12" ht="12.75">
      <c r="G74" s="57" t="s">
        <v>83</v>
      </c>
      <c r="H74" s="31">
        <f>L74*C20</f>
        <v>491458.3333333334</v>
      </c>
      <c r="I74" s="1"/>
      <c r="J74" s="64">
        <f>L74*D20</f>
        <v>98291.66666666666</v>
      </c>
      <c r="L74">
        <f>B13+B32</f>
        <v>589750</v>
      </c>
    </row>
    <row r="75" spans="6:10" ht="12.75">
      <c r="F75" t="s">
        <v>80</v>
      </c>
      <c r="G75" s="57" t="s">
        <v>35</v>
      </c>
      <c r="H75" s="1">
        <f>H50</f>
        <v>30</v>
      </c>
      <c r="I75" s="1"/>
      <c r="J75" s="1">
        <f>J50</f>
        <v>31</v>
      </c>
    </row>
    <row r="76" spans="6:10" ht="12.75">
      <c r="F76" t="s">
        <v>81</v>
      </c>
      <c r="G76" s="57" t="s">
        <v>82</v>
      </c>
      <c r="H76" s="65">
        <f>H74/C17</f>
        <v>40.954861111111114</v>
      </c>
      <c r="I76" s="65"/>
      <c r="J76" s="65">
        <f>J74/D17</f>
        <v>24.572916666666664</v>
      </c>
    </row>
    <row r="77" spans="7:10" ht="12.75">
      <c r="G77" s="57" t="s">
        <v>84</v>
      </c>
      <c r="H77" s="65">
        <f>H75+H76</f>
        <v>70.95486111111111</v>
      </c>
      <c r="I77" s="1"/>
      <c r="J77" s="65">
        <f>J75+J76</f>
        <v>55.572916666666664</v>
      </c>
    </row>
    <row r="78" spans="7:11" ht="12.75">
      <c r="G78" s="57" t="s">
        <v>85</v>
      </c>
      <c r="H78" s="65">
        <f>H56-H77</f>
        <v>9.045138888888886</v>
      </c>
      <c r="I78" s="66">
        <f>H78/H56</f>
        <v>0.11306423611111108</v>
      </c>
      <c r="J78" s="65">
        <f>J56-J77</f>
        <v>39.427083333333336</v>
      </c>
      <c r="K78" s="30">
        <f>J78/J56</f>
        <v>0.41502192982456143</v>
      </c>
    </row>
    <row r="79" spans="8:10" ht="12.75">
      <c r="H79" s="1"/>
      <c r="I79" s="1"/>
      <c r="J79" s="1"/>
    </row>
    <row r="80" spans="8:10" ht="12.75">
      <c r="H80" s="1"/>
      <c r="I80" s="1"/>
      <c r="J80" s="1"/>
    </row>
    <row r="83" spans="8:12" ht="15.75">
      <c r="H83" s="240" t="s">
        <v>0</v>
      </c>
      <c r="I83" s="240"/>
      <c r="J83" s="240" t="s">
        <v>1</v>
      </c>
      <c r="K83" s="240"/>
      <c r="L83" s="1" t="s">
        <v>65</v>
      </c>
    </row>
    <row r="84" spans="6:11" ht="15.75">
      <c r="F84" s="58" t="s">
        <v>68</v>
      </c>
      <c r="G84" s="57" t="s">
        <v>66</v>
      </c>
      <c r="H84" s="44">
        <f>H16</f>
        <v>50</v>
      </c>
      <c r="I84" s="30">
        <f aca="true" t="shared" si="7" ref="I84:K85">I16</f>
        <v>0.625</v>
      </c>
      <c r="J84" s="44">
        <f t="shared" si="7"/>
        <v>64</v>
      </c>
      <c r="K84" s="63">
        <f t="shared" si="7"/>
        <v>0.6736842105263158</v>
      </c>
    </row>
    <row r="85" spans="6:12" ht="15.75">
      <c r="F85" s="58" t="s">
        <v>69</v>
      </c>
      <c r="G85" s="57" t="s">
        <v>67</v>
      </c>
      <c r="H85" s="56">
        <f>H17</f>
        <v>600000</v>
      </c>
      <c r="I85" s="63">
        <f t="shared" si="7"/>
        <v>0.7009345794392523</v>
      </c>
      <c r="J85" s="56">
        <f t="shared" si="7"/>
        <v>256000</v>
      </c>
      <c r="K85" s="30">
        <f t="shared" si="7"/>
        <v>0.29906542056074764</v>
      </c>
      <c r="L85" s="55">
        <v>856000</v>
      </c>
    </row>
    <row r="87" spans="6:11" ht="15.75">
      <c r="F87" s="58" t="s">
        <v>70</v>
      </c>
      <c r="G87" s="57" t="s">
        <v>72</v>
      </c>
      <c r="H87" s="44">
        <f>H23</f>
        <v>15.277777777777771</v>
      </c>
      <c r="I87" s="30">
        <f aca="true" t="shared" si="8" ref="I87:L88">I23</f>
        <v>0.19097222222222215</v>
      </c>
      <c r="J87" s="44">
        <f t="shared" si="8"/>
        <v>43.16666666666667</v>
      </c>
      <c r="K87" s="63">
        <f t="shared" si="8"/>
        <v>0.4543859649122807</v>
      </c>
    </row>
    <row r="88" spans="6:12" ht="15.75">
      <c r="F88" s="58" t="s">
        <v>71</v>
      </c>
      <c r="G88" s="57" t="s">
        <v>73</v>
      </c>
      <c r="H88" s="56">
        <f>H24</f>
        <v>183333.33333333326</v>
      </c>
      <c r="I88" s="30">
        <f>I24</f>
        <v>0.5149812734082395</v>
      </c>
      <c r="J88" s="56">
        <f t="shared" si="8"/>
        <v>172666.6666666667</v>
      </c>
      <c r="K88" s="30">
        <f t="shared" si="8"/>
        <v>0.48501872659176043</v>
      </c>
      <c r="L88" s="59">
        <f t="shared" si="8"/>
        <v>355999.99999999994</v>
      </c>
    </row>
    <row r="90" spans="6:11" ht="15.75">
      <c r="F90" s="58" t="s">
        <v>70</v>
      </c>
      <c r="G90" s="57" t="s">
        <v>66</v>
      </c>
      <c r="H90" s="54">
        <f>H40</f>
        <v>40.83333333333333</v>
      </c>
      <c r="I90" s="63">
        <f aca="true" t="shared" si="9" ref="I90:L91">I40</f>
        <v>0.5104166666666666</v>
      </c>
      <c r="J90" s="54">
        <f>J40</f>
        <v>16.5</v>
      </c>
      <c r="K90" s="30">
        <f t="shared" si="9"/>
        <v>0.1736842105263158</v>
      </c>
    </row>
    <row r="91" spans="6:12" ht="15.75">
      <c r="F91" s="58" t="s">
        <v>18</v>
      </c>
      <c r="G91" s="57" t="s">
        <v>67</v>
      </c>
      <c r="H91" s="3">
        <f>H41</f>
        <v>489999.99999999994</v>
      </c>
      <c r="I91" s="63">
        <f t="shared" si="9"/>
        <v>0.8812949640287768</v>
      </c>
      <c r="J91" s="3">
        <f t="shared" si="9"/>
        <v>66000</v>
      </c>
      <c r="K91" s="30">
        <f t="shared" si="9"/>
        <v>0.11870503597122302</v>
      </c>
      <c r="L91" s="60">
        <f t="shared" si="9"/>
        <v>556000</v>
      </c>
    </row>
    <row r="93" spans="6:11" ht="15.75">
      <c r="F93" s="58" t="s">
        <v>77</v>
      </c>
      <c r="G93" s="57" t="s">
        <v>66</v>
      </c>
      <c r="H93" s="61">
        <f aca="true" t="shared" si="10" ref="H93:K94">H69</f>
        <v>37.89583333333333</v>
      </c>
      <c r="I93" s="63">
        <f t="shared" si="10"/>
        <v>0.4736979166666666</v>
      </c>
      <c r="J93" s="61">
        <f t="shared" si="10"/>
        <v>2.875</v>
      </c>
      <c r="K93" s="30">
        <f t="shared" si="10"/>
        <v>0.030263157894736843</v>
      </c>
    </row>
    <row r="94" spans="6:12" ht="15.75">
      <c r="F94" s="58" t="s">
        <v>51</v>
      </c>
      <c r="G94" s="57" t="s">
        <v>67</v>
      </c>
      <c r="H94" s="62">
        <f t="shared" si="10"/>
        <v>454749.99999999994</v>
      </c>
      <c r="I94" s="63">
        <f t="shared" si="10"/>
        <v>0.9753351206434316</v>
      </c>
      <c r="J94" s="62">
        <f t="shared" si="10"/>
        <v>11500</v>
      </c>
      <c r="K94" s="30">
        <f t="shared" si="10"/>
        <v>0.02466487935656837</v>
      </c>
      <c r="L94" s="60">
        <f>L70</f>
        <v>466249.99999999994</v>
      </c>
    </row>
    <row r="96" spans="6:13" ht="15.75">
      <c r="F96" s="58" t="s">
        <v>79</v>
      </c>
      <c r="G96" s="57" t="s">
        <v>72</v>
      </c>
      <c r="H96" s="65">
        <f>H78</f>
        <v>9.045138888888886</v>
      </c>
      <c r="I96" s="67">
        <f>I78</f>
        <v>0.11306423611111108</v>
      </c>
      <c r="J96" s="65">
        <f>J78</f>
        <v>39.427083333333336</v>
      </c>
      <c r="K96" s="67">
        <f>K78</f>
        <v>0.41502192982456143</v>
      </c>
      <c r="M96" s="71" t="s">
        <v>86</v>
      </c>
    </row>
    <row r="97" spans="6:15" ht="15.75">
      <c r="F97" s="58" t="s">
        <v>78</v>
      </c>
      <c r="G97" s="57" t="s">
        <v>73</v>
      </c>
      <c r="H97" s="68">
        <f>H96*C17</f>
        <v>108541.66666666663</v>
      </c>
      <c r="I97" s="66">
        <f>H97/L97</f>
        <v>0.4076682316118934</v>
      </c>
      <c r="J97" s="68">
        <f>J96*D17</f>
        <v>157708.33333333334</v>
      </c>
      <c r="K97" s="69">
        <f>J97/L97</f>
        <v>0.5923317683881064</v>
      </c>
      <c r="L97" s="56">
        <f>H97+J97</f>
        <v>266250</v>
      </c>
      <c r="O97" s="56">
        <f>L88-L97</f>
        <v>89749.99999999994</v>
      </c>
    </row>
  </sheetData>
  <sheetProtection/>
  <mergeCells count="9">
    <mergeCell ref="H83:I83"/>
    <mergeCell ref="J83:K83"/>
    <mergeCell ref="H46:I46"/>
    <mergeCell ref="H59:K59"/>
    <mergeCell ref="H71:J71"/>
    <mergeCell ref="H10:I10"/>
    <mergeCell ref="G26:K26"/>
    <mergeCell ref="H29:I29"/>
    <mergeCell ref="H42:K42"/>
  </mergeCells>
  <printOptions/>
  <pageMargins left="0.787401575" right="0.787401575" top="0.984251969" bottom="0.984251969" header="0.492125985" footer="0.49212598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120" zoomScaleNormal="120" zoomScalePageLayoutView="0" workbookViewId="0" topLeftCell="A1">
      <selection activeCell="L13" sqref="L13"/>
    </sheetView>
  </sheetViews>
  <sheetFormatPr defaultColWidth="11.421875" defaultRowHeight="12.75"/>
  <cols>
    <col min="1" max="1" width="18.421875" style="0" customWidth="1"/>
    <col min="2" max="8" width="8.8515625" style="0" customWidth="1"/>
    <col min="9" max="9" width="12.8515625" style="0" bestFit="1" customWidth="1"/>
    <col min="10" max="16384" width="8.8515625" style="0" customWidth="1"/>
  </cols>
  <sheetData>
    <row r="2" spans="1:2" ht="12.75">
      <c r="A2" t="s">
        <v>161</v>
      </c>
      <c r="B2">
        <v>40000</v>
      </c>
    </row>
    <row r="3" spans="1:2" ht="12.75">
      <c r="A3" t="s">
        <v>162</v>
      </c>
      <c r="B3">
        <v>80000</v>
      </c>
    </row>
    <row r="4" spans="1:2" ht="12.75">
      <c r="A4" t="s">
        <v>163</v>
      </c>
      <c r="B4">
        <v>60000</v>
      </c>
    </row>
    <row r="5" spans="1:8" ht="12.75">
      <c r="A5" t="s">
        <v>164</v>
      </c>
      <c r="B5">
        <v>20000</v>
      </c>
      <c r="H5" t="s">
        <v>165</v>
      </c>
    </row>
    <row r="6" spans="2:10" ht="12.75">
      <c r="B6">
        <f>SUM(B2:B5)</f>
        <v>200000</v>
      </c>
      <c r="I6" t="s">
        <v>166</v>
      </c>
      <c r="J6">
        <v>0.26</v>
      </c>
    </row>
    <row r="7" spans="1:10" ht="12.75">
      <c r="A7" t="s">
        <v>167</v>
      </c>
      <c r="B7">
        <v>50000</v>
      </c>
      <c r="C7">
        <f>B6/B7</f>
        <v>4</v>
      </c>
      <c r="I7" t="s">
        <v>168</v>
      </c>
      <c r="J7">
        <v>0.2</v>
      </c>
    </row>
    <row r="8" spans="9:10" ht="12.75">
      <c r="I8" t="s">
        <v>169</v>
      </c>
      <c r="J8">
        <v>0.1</v>
      </c>
    </row>
    <row r="9" ht="12.75">
      <c r="J9">
        <f>SUM(J6:J8)</f>
        <v>0.56</v>
      </c>
    </row>
    <row r="10" spans="1:10" ht="12.75">
      <c r="A10" t="s">
        <v>170</v>
      </c>
      <c r="B10" t="s">
        <v>171</v>
      </c>
      <c r="C10" t="s">
        <v>172</v>
      </c>
      <c r="D10" t="s">
        <v>173</v>
      </c>
      <c r="I10" t="s">
        <v>174</v>
      </c>
      <c r="J10">
        <f>F21/(1-J9)</f>
        <v>175.4545454545455</v>
      </c>
    </row>
    <row r="11" spans="1:10" ht="12.75">
      <c r="A11" t="s">
        <v>175</v>
      </c>
      <c r="B11" t="s">
        <v>176</v>
      </c>
      <c r="C11">
        <v>20000</v>
      </c>
      <c r="D11">
        <v>24000</v>
      </c>
      <c r="E11">
        <f>D11/C11</f>
        <v>1.2</v>
      </c>
      <c r="I11" t="s">
        <v>177</v>
      </c>
      <c r="J11">
        <f>H25/(1-J9)</f>
        <v>167.0909090909091</v>
      </c>
    </row>
    <row r="12" spans="1:5" ht="12.75">
      <c r="A12" t="s">
        <v>178</v>
      </c>
      <c r="B12" t="s">
        <v>179</v>
      </c>
      <c r="C12">
        <v>5000</v>
      </c>
      <c r="D12">
        <v>60000</v>
      </c>
      <c r="E12">
        <f>D12/C12</f>
        <v>12</v>
      </c>
    </row>
    <row r="13" spans="1:5" ht="12.75">
      <c r="A13" t="s">
        <v>180</v>
      </c>
      <c r="B13" t="s">
        <v>181</v>
      </c>
      <c r="C13">
        <v>1000</v>
      </c>
      <c r="D13">
        <v>80000</v>
      </c>
      <c r="E13">
        <f>D13/C13</f>
        <v>80</v>
      </c>
    </row>
    <row r="14" spans="1:5" ht="12.75">
      <c r="A14" t="s">
        <v>164</v>
      </c>
      <c r="B14" t="s">
        <v>182</v>
      </c>
      <c r="C14">
        <v>3000</v>
      </c>
      <c r="D14">
        <v>36000</v>
      </c>
      <c r="E14">
        <f>D14/C14</f>
        <v>12</v>
      </c>
    </row>
    <row r="15" ht="12.75">
      <c r="D15">
        <f>SUM(D11:D14)</f>
        <v>200000</v>
      </c>
    </row>
    <row r="16" spans="6:8" ht="12.75">
      <c r="F16" t="s">
        <v>10</v>
      </c>
      <c r="G16" t="s">
        <v>39</v>
      </c>
      <c r="H16" t="s">
        <v>18</v>
      </c>
    </row>
    <row r="17" spans="1:9" ht="12.75">
      <c r="A17" t="s">
        <v>183</v>
      </c>
      <c r="B17">
        <v>20000</v>
      </c>
      <c r="F17" s="1" t="s">
        <v>184</v>
      </c>
      <c r="G17" s="1" t="s">
        <v>17</v>
      </c>
      <c r="H17" s="1" t="s">
        <v>184</v>
      </c>
      <c r="I17" s="1" t="s">
        <v>17</v>
      </c>
    </row>
    <row r="18" spans="1:8" ht="12.75">
      <c r="A18" t="s">
        <v>185</v>
      </c>
      <c r="B18">
        <v>50000</v>
      </c>
      <c r="E18" t="s">
        <v>186</v>
      </c>
      <c r="F18">
        <f>B17/B24</f>
        <v>20</v>
      </c>
      <c r="G18" s="30">
        <f>F18/F21</f>
        <v>0.25906735751295334</v>
      </c>
      <c r="H18">
        <f>F18</f>
        <v>20</v>
      </c>
    </row>
    <row r="19" spans="1:10" ht="12.75">
      <c r="A19" t="s">
        <v>187</v>
      </c>
      <c r="B19">
        <v>1800</v>
      </c>
      <c r="E19" t="s">
        <v>188</v>
      </c>
      <c r="F19">
        <f>B18/B24</f>
        <v>50</v>
      </c>
      <c r="G19" s="30">
        <f>F19/F21</f>
        <v>0.6476683937823834</v>
      </c>
      <c r="H19">
        <f>F19</f>
        <v>50</v>
      </c>
      <c r="J19" t="s">
        <v>189</v>
      </c>
    </row>
    <row r="20" spans="1:10" ht="12.75">
      <c r="A20" t="s">
        <v>176</v>
      </c>
      <c r="B20">
        <v>2000</v>
      </c>
      <c r="E20" t="s">
        <v>190</v>
      </c>
      <c r="F20">
        <f>C7*B19/B24</f>
        <v>7.2</v>
      </c>
      <c r="G20" s="30">
        <f>F20/F21</f>
        <v>0.09326424870466321</v>
      </c>
      <c r="H20">
        <f>E11*B20/B24</f>
        <v>2.4</v>
      </c>
      <c r="I20" t="s">
        <v>191</v>
      </c>
      <c r="J20" t="s">
        <v>192</v>
      </c>
    </row>
    <row r="21" spans="1:10" ht="12.75">
      <c r="A21" t="s">
        <v>193</v>
      </c>
      <c r="B21">
        <v>40</v>
      </c>
      <c r="E21" t="s">
        <v>36</v>
      </c>
      <c r="F21" s="248">
        <f>SUM(F18:F20)</f>
        <v>77.2</v>
      </c>
      <c r="H21">
        <f>E12*B21/B24</f>
        <v>0.48</v>
      </c>
      <c r="I21" t="s">
        <v>194</v>
      </c>
      <c r="J21">
        <f>(F20-H24)*1000</f>
        <v>3680.0000000000005</v>
      </c>
    </row>
    <row r="22" spans="1:9" ht="12.75">
      <c r="A22" t="s">
        <v>195</v>
      </c>
      <c r="B22">
        <v>5</v>
      </c>
      <c r="H22">
        <f>E13*B22/B24</f>
        <v>0.4</v>
      </c>
      <c r="I22" t="s">
        <v>196</v>
      </c>
    </row>
    <row r="23" spans="1:9" ht="12.75">
      <c r="A23" t="s">
        <v>197</v>
      </c>
      <c r="B23">
        <v>20</v>
      </c>
      <c r="H23">
        <f>E14*B23/B24</f>
        <v>0.24</v>
      </c>
      <c r="I23" t="s">
        <v>198</v>
      </c>
    </row>
    <row r="24" spans="1:9" ht="12.75">
      <c r="A24" t="s">
        <v>199</v>
      </c>
      <c r="B24">
        <v>1000</v>
      </c>
      <c r="H24">
        <f>SUM(H20:H23)</f>
        <v>3.5199999999999996</v>
      </c>
      <c r="I24" t="s">
        <v>200</v>
      </c>
    </row>
    <row r="25" spans="8:9" ht="12.75">
      <c r="H25" s="248">
        <f>H24+H19+H18</f>
        <v>73.52</v>
      </c>
      <c r="I25" t="s">
        <v>65</v>
      </c>
    </row>
  </sheetData>
  <sheetProtection/>
  <printOptions/>
  <pageMargins left="0.787401575" right="0.787401575" top="0.984251969" bottom="0.984251969" header="0.492125985" footer="0.49212598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Microsoft Office User</cp:lastModifiedBy>
  <dcterms:created xsi:type="dcterms:W3CDTF">2000-04-07T18:21:58Z</dcterms:created>
  <dcterms:modified xsi:type="dcterms:W3CDTF">2023-05-10T21:08:55Z</dcterms:modified>
  <cp:category/>
  <cp:version/>
  <cp:contentType/>
  <cp:contentStatus/>
</cp:coreProperties>
</file>