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arquivo 2021/PRO 3363/2021/"/>
    </mc:Choice>
  </mc:AlternateContent>
  <xr:revisionPtr revIDLastSave="0" documentId="13_ncr:1_{99E6A6F4-FB29-9A40-A893-662BD3CF9E2C}" xr6:coauthVersionLast="45" xr6:coauthVersionMax="45" xr10:uidLastSave="{00000000-0000-0000-0000-000000000000}"/>
  <bookViews>
    <workbookView xWindow="0" yWindow="460" windowWidth="28800" windowHeight="16140" activeTab="4" xr2:uid="{A9B91363-A45E-6842-B671-E835E08F72BA}"/>
  </bookViews>
  <sheets>
    <sheet name="Cestas" sheetId="1" r:id="rId1"/>
    <sheet name="EC 1" sheetId="2" r:id="rId2"/>
    <sheet name="EC 00" sheetId="3" r:id="rId3"/>
    <sheet name="fleischer p. 82" sheetId="4" r:id="rId4"/>
    <sheet name="PRICIN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5" l="1"/>
  <c r="G12" i="5"/>
  <c r="N24" i="5" s="1"/>
  <c r="M25" i="5"/>
  <c r="M26" i="5" s="1"/>
  <c r="M27" i="5" s="1"/>
  <c r="M28" i="5" s="1"/>
  <c r="M29" i="5" s="1"/>
  <c r="M30" i="5" s="1"/>
  <c r="P10" i="5"/>
  <c r="O10" i="5"/>
  <c r="N10" i="5"/>
  <c r="N9" i="5"/>
  <c r="O9" i="5"/>
  <c r="P9" i="5"/>
  <c r="M9" i="5"/>
  <c r="M10" i="5"/>
  <c r="L11" i="5"/>
  <c r="O11" i="5" s="1"/>
  <c r="N11" i="5" l="1"/>
  <c r="O25" i="5" s="1"/>
  <c r="M11" i="5"/>
  <c r="P11" i="5"/>
  <c r="P23" i="5"/>
  <c r="N23" i="5"/>
  <c r="Q25" i="5"/>
  <c r="Q24" i="5"/>
  <c r="L12" i="5"/>
  <c r="Q23" i="5"/>
  <c r="P25" i="5"/>
  <c r="P24" i="5"/>
  <c r="O24" i="5"/>
  <c r="O23" i="5"/>
  <c r="N25" i="5"/>
  <c r="H23" i="4"/>
  <c r="F11" i="4"/>
  <c r="D22" i="3"/>
  <c r="V6" i="3"/>
  <c r="V11" i="3"/>
  <c r="K41" i="3"/>
  <c r="M14" i="3"/>
  <c r="L14" i="3"/>
  <c r="K14" i="3"/>
  <c r="J14" i="3"/>
  <c r="I14" i="3"/>
  <c r="N12" i="5" l="1"/>
  <c r="O26" i="5" s="1"/>
  <c r="O12" i="5"/>
  <c r="P26" i="5" s="1"/>
  <c r="L13" i="5"/>
  <c r="P12" i="5"/>
  <c r="Q26" i="5" s="1"/>
  <c r="M12" i="5"/>
  <c r="N26" i="5" s="1"/>
  <c r="S23" i="3"/>
  <c r="Q19" i="3"/>
  <c r="B11" i="4"/>
  <c r="AC3" i="3"/>
  <c r="AC11" i="3" s="1"/>
  <c r="AD11" i="3" s="1"/>
  <c r="AE11" i="3" s="1"/>
  <c r="AC12" i="3" s="1"/>
  <c r="AD12" i="3" s="1"/>
  <c r="AB6" i="3"/>
  <c r="AB13" i="3"/>
  <c r="AB14" i="3" s="1"/>
  <c r="AB12" i="3"/>
  <c r="AB11" i="3"/>
  <c r="AB10" i="3"/>
  <c r="Z10" i="3"/>
  <c r="V10" i="3"/>
  <c r="V7" i="3"/>
  <c r="V21" i="3"/>
  <c r="V22" i="3" s="1"/>
  <c r="V23" i="3" s="1"/>
  <c r="V24" i="3" s="1"/>
  <c r="V25" i="3" s="1"/>
  <c r="V26" i="3" s="1"/>
  <c r="V27" i="3" s="1"/>
  <c r="V28" i="3" s="1"/>
  <c r="V29" i="3" s="1"/>
  <c r="V30" i="3" s="1"/>
  <c r="V31" i="3" s="1"/>
  <c r="V32" i="3" s="1"/>
  <c r="V33" i="3" s="1"/>
  <c r="V34" i="3" s="1"/>
  <c r="V35" i="3" s="1"/>
  <c r="V36" i="3" s="1"/>
  <c r="V37" i="3" s="1"/>
  <c r="V38" i="3" s="1"/>
  <c r="V39" i="3" s="1"/>
  <c r="V40" i="3" s="1"/>
  <c r="V41" i="3" s="1"/>
  <c r="V42" i="3" s="1"/>
  <c r="V43" i="3" s="1"/>
  <c r="V44" i="3" s="1"/>
  <c r="V45" i="3" s="1"/>
  <c r="V46" i="3" s="1"/>
  <c r="V47" i="3" s="1"/>
  <c r="V48" i="3" s="1"/>
  <c r="V49" i="3" s="1"/>
  <c r="V50" i="3" s="1"/>
  <c r="V51" i="3" s="1"/>
  <c r="V52" i="3" s="1"/>
  <c r="V53" i="3" s="1"/>
  <c r="V54" i="3" s="1"/>
  <c r="V55" i="3" s="1"/>
  <c r="V56" i="3" s="1"/>
  <c r="V57" i="3" s="1"/>
  <c r="V58" i="3" s="1"/>
  <c r="V59" i="3" s="1"/>
  <c r="V60" i="3" s="1"/>
  <c r="V61" i="3" s="1"/>
  <c r="V62" i="3" s="1"/>
  <c r="V63" i="3" s="1"/>
  <c r="V64" i="3" s="1"/>
  <c r="V65" i="3" s="1"/>
  <c r="V66" i="3" s="1"/>
  <c r="V67" i="3" s="1"/>
  <c r="V68" i="3" s="1"/>
  <c r="V69" i="3" s="1"/>
  <c r="V70" i="3" s="1"/>
  <c r="V71" i="3" s="1"/>
  <c r="V72" i="3" s="1"/>
  <c r="V73" i="3" s="1"/>
  <c r="V74" i="3" s="1"/>
  <c r="V75" i="3" s="1"/>
  <c r="V76" i="3" s="1"/>
  <c r="V77" i="3" s="1"/>
  <c r="V78" i="3" s="1"/>
  <c r="V79" i="3" s="1"/>
  <c r="V80" i="3" s="1"/>
  <c r="V81" i="3" s="1"/>
  <c r="V82" i="3" s="1"/>
  <c r="V83" i="3" s="1"/>
  <c r="V84" i="3" s="1"/>
  <c r="V85" i="3" s="1"/>
  <c r="V86" i="3" s="1"/>
  <c r="V87" i="3" s="1"/>
  <c r="V88" i="3" s="1"/>
  <c r="V89" i="3" s="1"/>
  <c r="V90" i="3" s="1"/>
  <c r="V91" i="3" s="1"/>
  <c r="V92" i="3" s="1"/>
  <c r="V93" i="3" s="1"/>
  <c r="V94" i="3" s="1"/>
  <c r="V95" i="3" s="1"/>
  <c r="V96" i="3" s="1"/>
  <c r="V97" i="3" s="1"/>
  <c r="V98" i="3" s="1"/>
  <c r="V99" i="3" s="1"/>
  <c r="V100" i="3" s="1"/>
  <c r="V101" i="3" s="1"/>
  <c r="V102" i="3" s="1"/>
  <c r="V103" i="3" s="1"/>
  <c r="V104" i="3" s="1"/>
  <c r="V105" i="3" s="1"/>
  <c r="V106" i="3" s="1"/>
  <c r="V107" i="3" s="1"/>
  <c r="V108" i="3" s="1"/>
  <c r="V109" i="3" s="1"/>
  <c r="V110" i="3" s="1"/>
  <c r="V111" i="3" s="1"/>
  <c r="V112" i="3" s="1"/>
  <c r="V113" i="3" s="1"/>
  <c r="V114" i="3" s="1"/>
  <c r="V115" i="3" s="1"/>
  <c r="V116" i="3" s="1"/>
  <c r="V117" i="3" s="1"/>
  <c r="M40" i="3"/>
  <c r="M39" i="3"/>
  <c r="K40" i="3"/>
  <c r="K39" i="3"/>
  <c r="K38" i="3"/>
  <c r="K37" i="3"/>
  <c r="V13" i="3"/>
  <c r="V14" i="3"/>
  <c r="V15" i="3" s="1"/>
  <c r="V12" i="3"/>
  <c r="R26" i="3"/>
  <c r="P16" i="3"/>
  <c r="C31" i="4"/>
  <c r="C35" i="4" s="1"/>
  <c r="C30" i="4"/>
  <c r="F10" i="4"/>
  <c r="M13" i="5" l="1"/>
  <c r="N27" i="5" s="1"/>
  <c r="N13" i="5"/>
  <c r="O27" i="5" s="1"/>
  <c r="O13" i="5"/>
  <c r="P27" i="5" s="1"/>
  <c r="L14" i="5"/>
  <c r="P13" i="5"/>
  <c r="Q27" i="5" s="1"/>
  <c r="J11" i="4"/>
  <c r="H11" i="4"/>
  <c r="I11" i="4" s="1"/>
  <c r="H17" i="4"/>
  <c r="H13" i="4"/>
  <c r="B12" i="4"/>
  <c r="D11" i="4" s="1"/>
  <c r="H20" i="4"/>
  <c r="H16" i="4"/>
  <c r="H12" i="4"/>
  <c r="H19" i="4"/>
  <c r="H15" i="4"/>
  <c r="E11" i="4"/>
  <c r="H18" i="4"/>
  <c r="H14" i="4"/>
  <c r="C32" i="4"/>
  <c r="C33" i="4" s="1"/>
  <c r="C34" i="4" s="1"/>
  <c r="C36" i="4" s="1"/>
  <c r="AB15" i="3"/>
  <c r="AB16" i="3" s="1"/>
  <c r="AB17" i="3" s="1"/>
  <c r="AB18" i="3" s="1"/>
  <c r="AB19" i="3" s="1"/>
  <c r="AB20" i="3" s="1"/>
  <c r="AE12" i="3"/>
  <c r="AC13" i="3" s="1"/>
  <c r="AD13" i="3" s="1"/>
  <c r="V16" i="3"/>
  <c r="V17" i="3" s="1"/>
  <c r="V18" i="3" s="1"/>
  <c r="V19" i="3" s="1"/>
  <c r="V20" i="3" s="1"/>
  <c r="R27" i="3"/>
  <c r="P14" i="5" l="1"/>
  <c r="Q28" i="5" s="1"/>
  <c r="M14" i="5"/>
  <c r="N28" i="5" s="1"/>
  <c r="N14" i="5"/>
  <c r="O28" i="5" s="1"/>
  <c r="O14" i="5"/>
  <c r="P28" i="5" s="1"/>
  <c r="L15" i="5"/>
  <c r="W15" i="3"/>
  <c r="X15" i="3" s="1"/>
  <c r="Y15" i="3" s="1"/>
  <c r="Z15" i="3" s="1"/>
  <c r="W19" i="3"/>
  <c r="X19" i="3" s="1"/>
  <c r="Y19" i="3" s="1"/>
  <c r="Z19" i="3" s="1"/>
  <c r="W14" i="3"/>
  <c r="X14" i="3" s="1"/>
  <c r="Y14" i="3" s="1"/>
  <c r="Z14" i="3" s="1"/>
  <c r="W12" i="3"/>
  <c r="X12" i="3" s="1"/>
  <c r="Y12" i="3" s="1"/>
  <c r="Z12" i="3" s="1"/>
  <c r="W16" i="3"/>
  <c r="X16" i="3" s="1"/>
  <c r="Y16" i="3" s="1"/>
  <c r="Z16" i="3" s="1"/>
  <c r="W20" i="3"/>
  <c r="X20" i="3" s="1"/>
  <c r="Y20" i="3" s="1"/>
  <c r="Z20" i="3" s="1"/>
  <c r="W13" i="3"/>
  <c r="X13" i="3" s="1"/>
  <c r="Y13" i="3" s="1"/>
  <c r="Z13" i="3" s="1"/>
  <c r="W17" i="3"/>
  <c r="X17" i="3" s="1"/>
  <c r="Y17" i="3" s="1"/>
  <c r="Z17" i="3" s="1"/>
  <c r="W11" i="3"/>
  <c r="X11" i="3" s="1"/>
  <c r="Y11" i="3" s="1"/>
  <c r="Z11" i="3" s="1"/>
  <c r="W18" i="3"/>
  <c r="X18" i="3" s="1"/>
  <c r="Y18" i="3" s="1"/>
  <c r="Z18" i="3" s="1"/>
  <c r="K11" i="4"/>
  <c r="G11" i="4"/>
  <c r="J12" i="4"/>
  <c r="I15" i="3"/>
  <c r="I16" i="3"/>
  <c r="I17" i="3"/>
  <c r="I18" i="3"/>
  <c r="I19" i="3"/>
  <c r="I20" i="3"/>
  <c r="I21" i="3"/>
  <c r="I22" i="3"/>
  <c r="I23" i="3"/>
  <c r="I13" i="3"/>
  <c r="E17" i="3"/>
  <c r="J15" i="3"/>
  <c r="J16" i="3"/>
  <c r="J17" i="3"/>
  <c r="J18" i="3"/>
  <c r="J19" i="3"/>
  <c r="J20" i="3"/>
  <c r="J21" i="3"/>
  <c r="J22" i="3"/>
  <c r="J23" i="3"/>
  <c r="J13" i="3"/>
  <c r="E5" i="3"/>
  <c r="E18" i="3"/>
  <c r="K17" i="3" s="1"/>
  <c r="L17" i="3" s="1"/>
  <c r="M15" i="3"/>
  <c r="M16" i="3"/>
  <c r="M17" i="3"/>
  <c r="M18" i="3"/>
  <c r="M19" i="3"/>
  <c r="M20" i="3"/>
  <c r="M21" i="3"/>
  <c r="M22" i="3"/>
  <c r="M23" i="3"/>
  <c r="M13" i="3"/>
  <c r="E16" i="3"/>
  <c r="L16" i="5" l="1"/>
  <c r="O15" i="5"/>
  <c r="P29" i="5" s="1"/>
  <c r="P15" i="5"/>
  <c r="Q29" i="5" s="1"/>
  <c r="M15" i="5"/>
  <c r="N29" i="5" s="1"/>
  <c r="N15" i="5"/>
  <c r="O29" i="5" s="1"/>
  <c r="Z6" i="3"/>
  <c r="AE13" i="3"/>
  <c r="AC14" i="3" s="1"/>
  <c r="AD14" i="3" s="1"/>
  <c r="E12" i="4"/>
  <c r="D12" i="4" s="1"/>
  <c r="I12" i="4"/>
  <c r="K13" i="3"/>
  <c r="L13" i="3" s="1"/>
  <c r="N13" i="3" s="1"/>
  <c r="K20" i="3"/>
  <c r="L20" i="3" s="1"/>
  <c r="K16" i="3"/>
  <c r="L16" i="3" s="1"/>
  <c r="K23" i="3"/>
  <c r="L23" i="3" s="1"/>
  <c r="N23" i="3" s="1"/>
  <c r="K19" i="3"/>
  <c r="L19" i="3" s="1"/>
  <c r="N19" i="3" s="1"/>
  <c r="K15" i="3"/>
  <c r="L15" i="3" s="1"/>
  <c r="N15" i="3" s="1"/>
  <c r="N17" i="3"/>
  <c r="K22" i="3"/>
  <c r="L22" i="3" s="1"/>
  <c r="N22" i="3" s="1"/>
  <c r="K18" i="3"/>
  <c r="L18" i="3" s="1"/>
  <c r="N18" i="3" s="1"/>
  <c r="N14" i="3"/>
  <c r="K21" i="3"/>
  <c r="L21" i="3" s="1"/>
  <c r="N16" i="3"/>
  <c r="N21" i="3"/>
  <c r="N20" i="3"/>
  <c r="H14" i="3"/>
  <c r="H18" i="3"/>
  <c r="H22" i="3"/>
  <c r="H15" i="3"/>
  <c r="H19" i="3"/>
  <c r="H23" i="3"/>
  <c r="H16" i="3"/>
  <c r="H20" i="3"/>
  <c r="H13" i="3"/>
  <c r="H17" i="3"/>
  <c r="H21" i="3"/>
  <c r="M16" i="5" l="1"/>
  <c r="N30" i="5" s="1"/>
  <c r="N16" i="5"/>
  <c r="O30" i="5" s="1"/>
  <c r="O16" i="5"/>
  <c r="P30" i="5" s="1"/>
  <c r="P16" i="5"/>
  <c r="Q30" i="5" s="1"/>
  <c r="K12" i="4"/>
  <c r="AE14" i="3"/>
  <c r="G12" i="4"/>
  <c r="F12" i="4"/>
  <c r="I13" i="4" s="1"/>
  <c r="O19" i="3"/>
  <c r="P19" i="3"/>
  <c r="O17" i="3"/>
  <c r="P17" i="3"/>
  <c r="Q17" i="3" s="1"/>
  <c r="O21" i="3"/>
  <c r="P21" i="3"/>
  <c r="Q21" i="3" s="1"/>
  <c r="O18" i="3"/>
  <c r="P18" i="3"/>
  <c r="Q16" i="3"/>
  <c r="O16" i="3"/>
  <c r="O22" i="3"/>
  <c r="P22" i="3"/>
  <c r="Q22" i="3" s="1"/>
  <c r="O23" i="3"/>
  <c r="P23" i="3"/>
  <c r="Q23" i="3" s="1"/>
  <c r="P20" i="3"/>
  <c r="Q20" i="3" s="1"/>
  <c r="O20" i="3"/>
  <c r="O14" i="3"/>
  <c r="P14" i="3"/>
  <c r="Q14" i="3" s="1"/>
  <c r="O15" i="3"/>
  <c r="P15" i="3"/>
  <c r="Q15" i="3" s="1"/>
  <c r="P13" i="3"/>
  <c r="Q13" i="3" s="1"/>
  <c r="O13" i="3"/>
  <c r="AC15" i="3" l="1"/>
  <c r="J13" i="4"/>
  <c r="E13" i="4"/>
  <c r="D13" i="4" s="1"/>
  <c r="Q18" i="3"/>
  <c r="K13" i="4" l="1"/>
  <c r="AD15" i="3"/>
  <c r="AE15" i="3" s="1"/>
  <c r="G13" i="4"/>
  <c r="F13" i="4"/>
  <c r="R28" i="3"/>
  <c r="R29" i="3" s="1"/>
  <c r="R30" i="3" s="1"/>
  <c r="R32" i="3" s="1"/>
  <c r="E14" i="4" l="1"/>
  <c r="D14" i="4" s="1"/>
  <c r="I14" i="4"/>
  <c r="AC16" i="3"/>
  <c r="AD16" i="3" s="1"/>
  <c r="AE16" i="3"/>
  <c r="AC17" i="3" s="1"/>
  <c r="AD17" i="3" s="1"/>
  <c r="J14" i="4"/>
  <c r="AE17" i="3" l="1"/>
  <c r="AC18" i="3" s="1"/>
  <c r="AD18" i="3" s="1"/>
  <c r="AE18" i="3"/>
  <c r="K14" i="4"/>
  <c r="G14" i="4"/>
  <c r="F14" i="4"/>
  <c r="E15" i="4" l="1"/>
  <c r="I15" i="4"/>
  <c r="AC19" i="3"/>
  <c r="AD19" i="3" s="1"/>
  <c r="J15" i="4"/>
  <c r="D15" i="4"/>
  <c r="K15" i="4" l="1"/>
  <c r="AE19" i="3"/>
  <c r="G15" i="4"/>
  <c r="F15" i="4"/>
  <c r="I16" i="4" s="1"/>
  <c r="E16" i="4" l="1"/>
  <c r="AC20" i="3"/>
  <c r="AD20" i="3" s="1"/>
  <c r="AE20" i="3" s="1"/>
  <c r="J16" i="4"/>
  <c r="K16" i="4" s="1"/>
  <c r="D16" i="4" l="1"/>
  <c r="G16" i="4" l="1"/>
  <c r="F16" i="4"/>
  <c r="E17" i="4" l="1"/>
  <c r="I17" i="4"/>
  <c r="J17" i="4"/>
  <c r="D17" i="4"/>
  <c r="K17" i="4" l="1"/>
  <c r="G17" i="4"/>
  <c r="F17" i="4"/>
  <c r="E18" i="4" l="1"/>
  <c r="D18" i="4" s="1"/>
  <c r="J18" i="4"/>
  <c r="I18" i="4"/>
  <c r="F18" i="4"/>
  <c r="G18" i="4"/>
  <c r="E19" i="4" l="1"/>
  <c r="J19" i="4"/>
  <c r="I19" i="4"/>
  <c r="K19" i="4" s="1"/>
  <c r="K18" i="4"/>
  <c r="D19" i="4"/>
  <c r="F19" i="4" l="1"/>
  <c r="G19" i="4"/>
  <c r="E20" i="4" l="1"/>
  <c r="D20" i="4" s="1"/>
  <c r="J20" i="4"/>
  <c r="I20" i="4"/>
  <c r="F20" i="4" l="1"/>
  <c r="G20" i="4"/>
  <c r="D21" i="4"/>
  <c r="K20" i="4"/>
</calcChain>
</file>

<file path=xl/sharedStrings.xml><?xml version="1.0" encoding="utf-8"?>
<sst xmlns="http://schemas.openxmlformats.org/spreadsheetml/2006/main" count="159" uniqueCount="132">
  <si>
    <t>PIZZA DELIVERY</t>
  </si>
  <si>
    <t>LOCAL</t>
  </si>
  <si>
    <t>FORNECEDORES</t>
  </si>
  <si>
    <t>CAPITAL $</t>
  </si>
  <si>
    <t>ALUGUEL</t>
  </si>
  <si>
    <t>INFRAESTRUTURA</t>
  </si>
  <si>
    <t>R$</t>
  </si>
  <si>
    <t>MKT</t>
  </si>
  <si>
    <t>MATERIAIS</t>
  </si>
  <si>
    <t>UM PRODUTO</t>
  </si>
  <si>
    <t>MUZZARELLA</t>
  </si>
  <si>
    <t>cvu</t>
  </si>
  <si>
    <t>motoboy</t>
  </si>
  <si>
    <t>dvv</t>
  </si>
  <si>
    <t>CUSTOS</t>
  </si>
  <si>
    <t>DESPESAS</t>
  </si>
  <si>
    <t>GASTOS</t>
  </si>
  <si>
    <t>CLASSIFICAÇÃO</t>
  </si>
  <si>
    <t>INVESTIMENTOS</t>
  </si>
  <si>
    <t>deprec</t>
  </si>
  <si>
    <t>DVV</t>
  </si>
  <si>
    <t>IMPOSTO</t>
  </si>
  <si>
    <t>RECEITA=preço X quantidade</t>
  </si>
  <si>
    <t>contador</t>
  </si>
  <si>
    <t>lucro = RT - CT</t>
  </si>
  <si>
    <t>CFT</t>
  </si>
  <si>
    <t>CVT</t>
  </si>
  <si>
    <t>CVT (custos + despesas)</t>
  </si>
  <si>
    <t>CF</t>
  </si>
  <si>
    <t>INV (CAPEX)</t>
  </si>
  <si>
    <t>FUNCIONARIOS (MO)</t>
  </si>
  <si>
    <t>PREÇO</t>
  </si>
  <si>
    <t>QUANTIDADE</t>
  </si>
  <si>
    <t>MERCADO</t>
  </si>
  <si>
    <t>U/MÊS</t>
  </si>
  <si>
    <t>DVT</t>
  </si>
  <si>
    <t>CT</t>
  </si>
  <si>
    <t>RT</t>
  </si>
  <si>
    <t xml:space="preserve">CVT [cvu+dvu)= </t>
  </si>
  <si>
    <t>análise CUSTO X VOLUME X LUCRO</t>
  </si>
  <si>
    <t>LUCRO</t>
  </si>
  <si>
    <t>PE</t>
  </si>
  <si>
    <t>RT=CT</t>
  </si>
  <si>
    <t>P.Q = CFT + (cvu*Q)</t>
  </si>
  <si>
    <t>Q = CF/(p-cvu)</t>
  </si>
  <si>
    <t>Q = CF/mcu</t>
  </si>
  <si>
    <t>lucro/inv</t>
  </si>
  <si>
    <t>ROI</t>
  </si>
  <si>
    <t>% a.m.</t>
  </si>
  <si>
    <t>%. a.a.</t>
  </si>
  <si>
    <t>TRC</t>
  </si>
  <si>
    <t>IRPJ</t>
  </si>
  <si>
    <t>LB</t>
  </si>
  <si>
    <t>DEPRECIACAO</t>
  </si>
  <si>
    <t>DEP</t>
  </si>
  <si>
    <t>LT</t>
  </si>
  <si>
    <t>LC</t>
  </si>
  <si>
    <t>EBITDA</t>
  </si>
  <si>
    <t>BOTTOM LINE</t>
  </si>
  <si>
    <t>TIR</t>
  </si>
  <si>
    <t>mei</t>
  </si>
  <si>
    <t>epp</t>
  </si>
  <si>
    <t>sa</t>
  </si>
  <si>
    <t xml:space="preserve">me </t>
  </si>
  <si>
    <t>ROA</t>
  </si>
  <si>
    <t>ROE</t>
  </si>
  <si>
    <t>DF</t>
  </si>
  <si>
    <t>FAC</t>
  </si>
  <si>
    <t>A</t>
  </si>
  <si>
    <t>FRC</t>
  </si>
  <si>
    <t>pmt = Kvivo (i/((1+i)^n)-1  + i.Kvivo = Io .i .((1+i)^n)/((1+i)^n -1</t>
  </si>
  <si>
    <t>FRC (t)</t>
  </si>
  <si>
    <t>prest</t>
  </si>
  <si>
    <t>PRICE</t>
  </si>
  <si>
    <t>dep/amort</t>
  </si>
  <si>
    <t>juros</t>
  </si>
  <si>
    <t>K vivo</t>
  </si>
  <si>
    <t>fator</t>
  </si>
  <si>
    <t>valor</t>
  </si>
  <si>
    <t>Io =</t>
  </si>
  <si>
    <t xml:space="preserve">FRC = </t>
  </si>
  <si>
    <t>QUAL SERIA A DEPf ?</t>
  </si>
  <si>
    <t>no primeiro período</t>
  </si>
  <si>
    <t>no sentido do Fleischer</t>
  </si>
  <si>
    <t>MÉTODO DO FUNDO DE RENOVAÇÃO PARA A CONTABILIDADE DA DEPRECIAÇÃO (Fleischer p. 82/83)</t>
  </si>
  <si>
    <t>QUAL SERIA A DEP e ?</t>
  </si>
  <si>
    <t>INV</t>
  </si>
  <si>
    <t>Métodos de substituição</t>
  </si>
  <si>
    <t>IR</t>
  </si>
  <si>
    <t>LL</t>
  </si>
  <si>
    <t>DEP F</t>
  </si>
  <si>
    <t>PMT</t>
  </si>
  <si>
    <t>lucro/ano</t>
  </si>
  <si>
    <t>Neste caso cincide com o EBITDA</t>
  </si>
  <si>
    <t>LB (Lucro operacional sem DEP)</t>
  </si>
  <si>
    <t>LUCRO liquido contábil</t>
  </si>
  <si>
    <t>P.EQUIL</t>
  </si>
  <si>
    <t>mcu = preço -cvu-(aliq.preço)</t>
  </si>
  <si>
    <t>mcu= preço(1-aliq) - cvu</t>
  </si>
  <si>
    <t>preço</t>
  </si>
  <si>
    <t>aliq</t>
  </si>
  <si>
    <t>mcu=</t>
  </si>
  <si>
    <t>Pequi (quant)=</t>
  </si>
  <si>
    <t>TIR (perene) =</t>
  </si>
  <si>
    <t>TIR (10 anos)</t>
  </si>
  <si>
    <t>FCF</t>
  </si>
  <si>
    <t>FCB</t>
  </si>
  <si>
    <t>JUROS</t>
  </si>
  <si>
    <t>AMORT</t>
  </si>
  <si>
    <t>JUROS (%a.a.)</t>
  </si>
  <si>
    <t>juros sobre K vivo</t>
  </si>
  <si>
    <t>alun@s  depositam para o Reinaldo (PIX - R$ 70) que distribui aqui no bairro a cesta básica e professor manda os livros (por email mandem endereço)</t>
  </si>
  <si>
    <t xml:space="preserve">alun@s  mandam a cesta básica (ou $70) para o PONTO DE ECOSOL no Butantã e lá sao entregues os livros </t>
  </si>
  <si>
    <t>alun@s doam cesta básica ($ 70) e professor manda os livros (por email mandem endereço)</t>
  </si>
  <si>
    <t>alun@s  mandam a cesta para o Reinaldo que distribui aqui no bairro  e  manda os livros (por email mandem endereço)</t>
  </si>
  <si>
    <t>10 ANOS</t>
  </si>
  <si>
    <t>PREÇO TABELA</t>
  </si>
  <si>
    <t>IFOOD</t>
  </si>
  <si>
    <t>CUSTO VAR</t>
  </si>
  <si>
    <t>SIMPLES</t>
  </si>
  <si>
    <t>CUSTOS FIXOS</t>
  </si>
  <si>
    <t>VARIAVEL CONFORME RECEITA</t>
  </si>
  <si>
    <t>FIXO POR UNIDADE</t>
  </si>
  <si>
    <t>MC</t>
  </si>
  <si>
    <t>ML</t>
  </si>
  <si>
    <t>RECEITA</t>
  </si>
  <si>
    <t>CD</t>
  </si>
  <si>
    <t>COMO VERIFICAR O CUSTO DOS MOTOBOYS?</t>
  </si>
  <si>
    <t>DADOS SOBRE FATURAMENTO</t>
  </si>
  <si>
    <t>DEPENDE DO CF E DA MCU%</t>
  </si>
  <si>
    <t>CUSTOS FIXOS [$1000/MÊS]</t>
  </si>
  <si>
    <t>RECEITA [$1000/MÊS]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</si>
</sst>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R$ &quot;#,##0_);[Red]\(&quot;R$ &quot;#,##0\)"/>
    <numFmt numFmtId="166" formatCode="0.00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9" fontId="0" fillId="0" borderId="0" xfId="2" applyFont="1" applyAlignment="1">
      <alignment horizontal="center"/>
    </xf>
    <xf numFmtId="9" fontId="0" fillId="0" borderId="0" xfId="2" applyFont="1"/>
    <xf numFmtId="0" fontId="0" fillId="3" borderId="0" xfId="0" applyFill="1" applyAlignment="1">
      <alignment horizontal="center"/>
    </xf>
    <xf numFmtId="0" fontId="0" fillId="3" borderId="0" xfId="0" applyFill="1"/>
    <xf numFmtId="9" fontId="0" fillId="3" borderId="0" xfId="2" applyFont="1" applyFill="1" applyAlignment="1">
      <alignment horizontal="center"/>
    </xf>
    <xf numFmtId="9" fontId="0" fillId="0" borderId="0" xfId="2" applyFont="1" applyFill="1" applyAlignment="1">
      <alignment horizontal="center"/>
    </xf>
    <xf numFmtId="43" fontId="0" fillId="0" borderId="0" xfId="1" applyFont="1"/>
    <xf numFmtId="43" fontId="0" fillId="0" borderId="0" xfId="0" applyNumberFormat="1"/>
    <xf numFmtId="9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38" fontId="0" fillId="0" borderId="1" xfId="1" applyNumberFormat="1" applyFont="1" applyBorder="1"/>
    <xf numFmtId="164" fontId="0" fillId="0" borderId="1" xfId="1" applyNumberFormat="1" applyFont="1" applyBorder="1"/>
    <xf numFmtId="164" fontId="0" fillId="0" borderId="0" xfId="0" applyNumberFormat="1"/>
    <xf numFmtId="1" fontId="0" fillId="0" borderId="0" xfId="1" applyNumberFormat="1" applyFont="1" applyAlignment="1">
      <alignment horizontal="center"/>
    </xf>
    <xf numFmtId="165" fontId="0" fillId="0" borderId="0" xfId="0" applyNumberFormat="1"/>
    <xf numFmtId="38" fontId="0" fillId="0" borderId="0" xfId="0" applyNumberFormat="1"/>
    <xf numFmtId="1" fontId="0" fillId="3" borderId="0" xfId="1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10" fontId="0" fillId="0" borderId="0" xfId="0" applyNumberFormat="1"/>
    <xf numFmtId="166" fontId="0" fillId="0" borderId="0" xfId="0" applyNumberFormat="1" applyAlignment="1">
      <alignment horizontal="center"/>
    </xf>
    <xf numFmtId="0" fontId="4" fillId="0" borderId="0" xfId="3" applyFont="1"/>
    <xf numFmtId="9" fontId="0" fillId="2" borderId="0" xfId="2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 x V x 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'EC 00'!$H$12</c:f>
              <c:strCache>
                <c:ptCount val="1"/>
                <c:pt idx="0">
                  <c:v>CFT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'EC 00'!$G$13:$G$23</c:f>
              <c:numCache>
                <c:formatCode>General</c:formatCode>
                <c:ptCount val="1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</c:numCache>
            </c:numRef>
          </c:cat>
          <c:val>
            <c:numRef>
              <c:f>'EC 00'!$H$13:$H$23</c:f>
              <c:numCache>
                <c:formatCode>General</c:formatCode>
                <c:ptCount val="11"/>
                <c:pt idx="0">
                  <c:v>24880</c:v>
                </c:pt>
                <c:pt idx="1">
                  <c:v>24880</c:v>
                </c:pt>
                <c:pt idx="2">
                  <c:v>24880</c:v>
                </c:pt>
                <c:pt idx="3">
                  <c:v>24880</c:v>
                </c:pt>
                <c:pt idx="4">
                  <c:v>24880</c:v>
                </c:pt>
                <c:pt idx="5">
                  <c:v>24880</c:v>
                </c:pt>
                <c:pt idx="6">
                  <c:v>24880</c:v>
                </c:pt>
                <c:pt idx="7">
                  <c:v>24880</c:v>
                </c:pt>
                <c:pt idx="8">
                  <c:v>24880</c:v>
                </c:pt>
                <c:pt idx="9">
                  <c:v>24880</c:v>
                </c:pt>
                <c:pt idx="10">
                  <c:v>24880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16-E44E-9535-9D2499D0A9A6}"/>
            </c:ext>
          </c:extLst>
        </c:ser>
        <c:ser>
          <c:idx val="1"/>
          <c:order val="1"/>
          <c:tx>
            <c:strRef>
              <c:f>'EC 00'!$I$12</c:f>
              <c:strCache>
                <c:ptCount val="1"/>
                <c:pt idx="0">
                  <c:v>CVT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'EC 00'!$G$13:$G$23</c:f>
              <c:numCache>
                <c:formatCode>General</c:formatCode>
                <c:ptCount val="1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</c:numCache>
            </c:numRef>
          </c:cat>
          <c:val>
            <c:numRef>
              <c:f>'EC 00'!$I$13:$I$23</c:f>
              <c:numCache>
                <c:formatCode>General</c:formatCode>
                <c:ptCount val="11"/>
                <c:pt idx="0">
                  <c:v>0</c:v>
                </c:pt>
                <c:pt idx="1">
                  <c:v>3600</c:v>
                </c:pt>
                <c:pt idx="2">
                  <c:v>7200</c:v>
                </c:pt>
                <c:pt idx="3">
                  <c:v>10800</c:v>
                </c:pt>
                <c:pt idx="4">
                  <c:v>14400</c:v>
                </c:pt>
                <c:pt idx="5">
                  <c:v>18000</c:v>
                </c:pt>
                <c:pt idx="6">
                  <c:v>21600</c:v>
                </c:pt>
                <c:pt idx="7">
                  <c:v>25200</c:v>
                </c:pt>
                <c:pt idx="8">
                  <c:v>28800</c:v>
                </c:pt>
                <c:pt idx="9">
                  <c:v>32400</c:v>
                </c:pt>
                <c:pt idx="10">
                  <c:v>36000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6-E44E-9535-9D2499D0A9A6}"/>
            </c:ext>
          </c:extLst>
        </c:ser>
        <c:ser>
          <c:idx val="2"/>
          <c:order val="2"/>
          <c:tx>
            <c:strRef>
              <c:f>'EC 00'!$J$12</c:f>
              <c:strCache>
                <c:ptCount val="1"/>
                <c:pt idx="0">
                  <c:v>motoboy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'EC 00'!$G$13:$G$23</c:f>
              <c:numCache>
                <c:formatCode>General</c:formatCode>
                <c:ptCount val="1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</c:numCache>
            </c:numRef>
          </c:cat>
          <c:val>
            <c:numRef>
              <c:f>'EC 00'!$J$13:$J$23</c:f>
              <c:numCache>
                <c:formatCode>General</c:formatCode>
                <c:ptCount val="11"/>
                <c:pt idx="0">
                  <c:v>0</c:v>
                </c:pt>
                <c:pt idx="1">
                  <c:v>1200</c:v>
                </c:pt>
                <c:pt idx="2">
                  <c:v>2400</c:v>
                </c:pt>
                <c:pt idx="3">
                  <c:v>3600</c:v>
                </c:pt>
                <c:pt idx="4">
                  <c:v>4800</c:v>
                </c:pt>
                <c:pt idx="5">
                  <c:v>6000</c:v>
                </c:pt>
                <c:pt idx="6">
                  <c:v>7200</c:v>
                </c:pt>
                <c:pt idx="7">
                  <c:v>8400</c:v>
                </c:pt>
                <c:pt idx="8">
                  <c:v>9600</c:v>
                </c:pt>
                <c:pt idx="9">
                  <c:v>10800</c:v>
                </c:pt>
                <c:pt idx="10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16-E44E-9535-9D2499D0A9A6}"/>
            </c:ext>
          </c:extLst>
        </c:ser>
        <c:ser>
          <c:idx val="3"/>
          <c:order val="3"/>
          <c:tx>
            <c:strRef>
              <c:f>'EC 00'!$K$12</c:f>
              <c:strCache>
                <c:ptCount val="1"/>
                <c:pt idx="0">
                  <c:v>DVT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'EC 00'!$G$13:$G$23</c:f>
              <c:numCache>
                <c:formatCode>General</c:formatCode>
                <c:ptCount val="1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</c:numCache>
            </c:numRef>
          </c:cat>
          <c:val>
            <c:numRef>
              <c:f>'EC 00'!$K$13:$K$23</c:f>
              <c:numCache>
                <c:formatCode>General</c:formatCode>
                <c:ptCount val="11"/>
                <c:pt idx="0">
                  <c:v>0</c:v>
                </c:pt>
                <c:pt idx="1">
                  <c:v>2400</c:v>
                </c:pt>
                <c:pt idx="2">
                  <c:v>4800</c:v>
                </c:pt>
                <c:pt idx="3">
                  <c:v>7199.9999999999991</c:v>
                </c:pt>
                <c:pt idx="4">
                  <c:v>9600</c:v>
                </c:pt>
                <c:pt idx="5">
                  <c:v>11999.999999999998</c:v>
                </c:pt>
                <c:pt idx="6">
                  <c:v>14399.999999999998</c:v>
                </c:pt>
                <c:pt idx="7">
                  <c:v>16800</c:v>
                </c:pt>
                <c:pt idx="8">
                  <c:v>19200</c:v>
                </c:pt>
                <c:pt idx="9">
                  <c:v>21600</c:v>
                </c:pt>
                <c:pt idx="10">
                  <c:v>23999.999999999996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16-E44E-9535-9D2499D0A9A6}"/>
            </c:ext>
          </c:extLst>
        </c:ser>
        <c:ser>
          <c:idx val="4"/>
          <c:order val="4"/>
          <c:tx>
            <c:strRef>
              <c:f>'EC 00'!$L$12</c:f>
              <c:strCache>
                <c:ptCount val="1"/>
                <c:pt idx="0">
                  <c:v>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'EC 00'!$G$13:$G$23</c:f>
              <c:numCache>
                <c:formatCode>General</c:formatCode>
                <c:ptCount val="1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</c:numCache>
            </c:numRef>
          </c:cat>
          <c:val>
            <c:numRef>
              <c:f>'EC 00'!$L$13:$L$23</c:f>
              <c:numCache>
                <c:formatCode>General</c:formatCode>
                <c:ptCount val="11"/>
                <c:pt idx="0">
                  <c:v>24880</c:v>
                </c:pt>
                <c:pt idx="1">
                  <c:v>32080</c:v>
                </c:pt>
                <c:pt idx="2">
                  <c:v>39280</c:v>
                </c:pt>
                <c:pt idx="3">
                  <c:v>46480</c:v>
                </c:pt>
                <c:pt idx="4">
                  <c:v>53680</c:v>
                </c:pt>
                <c:pt idx="5">
                  <c:v>60880</c:v>
                </c:pt>
                <c:pt idx="6">
                  <c:v>68080</c:v>
                </c:pt>
                <c:pt idx="7">
                  <c:v>75280</c:v>
                </c:pt>
                <c:pt idx="8">
                  <c:v>82480</c:v>
                </c:pt>
                <c:pt idx="9">
                  <c:v>89680</c:v>
                </c:pt>
                <c:pt idx="10">
                  <c:v>96880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16-E44E-9535-9D2499D0A9A6}"/>
            </c:ext>
          </c:extLst>
        </c:ser>
        <c:ser>
          <c:idx val="5"/>
          <c:order val="5"/>
          <c:tx>
            <c:strRef>
              <c:f>'EC 00'!$M$12</c:f>
              <c:strCache>
                <c:ptCount val="1"/>
                <c:pt idx="0">
                  <c:v>RT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'EC 00'!$G$13:$G$23</c:f>
              <c:numCache>
                <c:formatCode>General</c:formatCode>
                <c:ptCount val="1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</c:numCache>
            </c:numRef>
          </c:cat>
          <c:val>
            <c:numRef>
              <c:f>'EC 00'!$M$13:$M$23</c:f>
              <c:numCache>
                <c:formatCode>General</c:formatCode>
                <c:ptCount val="11"/>
                <c:pt idx="0">
                  <c:v>0</c:v>
                </c:pt>
                <c:pt idx="1">
                  <c:v>12000</c:v>
                </c:pt>
                <c:pt idx="2">
                  <c:v>24000</c:v>
                </c:pt>
                <c:pt idx="3">
                  <c:v>36000</c:v>
                </c:pt>
                <c:pt idx="4">
                  <c:v>48000</c:v>
                </c:pt>
                <c:pt idx="5">
                  <c:v>60000</c:v>
                </c:pt>
                <c:pt idx="6">
                  <c:v>72000</c:v>
                </c:pt>
                <c:pt idx="7">
                  <c:v>84000</c:v>
                </c:pt>
                <c:pt idx="8">
                  <c:v>96000</c:v>
                </c:pt>
                <c:pt idx="9">
                  <c:v>108000</c:v>
                </c:pt>
                <c:pt idx="10">
                  <c:v>120000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16-E44E-9535-9D2499D0A9A6}"/>
            </c:ext>
          </c:extLst>
        </c:ser>
        <c:ser>
          <c:idx val="6"/>
          <c:order val="6"/>
          <c:tx>
            <c:strRef>
              <c:f>'EC 00'!$N$12</c:f>
              <c:strCache>
                <c:ptCount val="1"/>
                <c:pt idx="0">
                  <c:v>LUCRO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'EC 00'!$G$13:$G$23</c:f>
              <c:numCache>
                <c:formatCode>General</c:formatCode>
                <c:ptCount val="1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</c:numCache>
            </c:numRef>
          </c:cat>
          <c:val>
            <c:numRef>
              <c:f>'EC 00'!$N$13:$N$23</c:f>
              <c:numCache>
                <c:formatCode>General</c:formatCode>
                <c:ptCount val="11"/>
                <c:pt idx="0">
                  <c:v>-24880</c:v>
                </c:pt>
                <c:pt idx="1">
                  <c:v>-20080</c:v>
                </c:pt>
                <c:pt idx="2">
                  <c:v>-15280</c:v>
                </c:pt>
                <c:pt idx="3">
                  <c:v>-10480</c:v>
                </c:pt>
                <c:pt idx="4">
                  <c:v>-5680</c:v>
                </c:pt>
                <c:pt idx="5">
                  <c:v>-880</c:v>
                </c:pt>
                <c:pt idx="6">
                  <c:v>3920</c:v>
                </c:pt>
                <c:pt idx="7">
                  <c:v>8720</c:v>
                </c:pt>
                <c:pt idx="8">
                  <c:v>13520</c:v>
                </c:pt>
                <c:pt idx="9">
                  <c:v>18320</c:v>
                </c:pt>
                <c:pt idx="10">
                  <c:v>23120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16-E44E-9535-9D2499D0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60831"/>
        <c:axId val="80462943"/>
      </c:lineChart>
      <c:catAx>
        <c:axId val="8046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80462943"/>
        <c:crosses val="autoZero"/>
        <c:auto val="1"/>
        <c:lblAlgn val="ctr"/>
        <c:lblOffset val="100"/>
        <c:noMultiLvlLbl val="0"/>
      </c:catAx>
      <c:valAx>
        <c:axId val="8046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80460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551961</xdr:colOff>
      <xdr:row>24</xdr:row>
      <xdr:rowOff>120022</xdr:rowOff>
    </xdr:from>
    <xdr:to>
      <xdr:col>7</xdr:col>
      <xdr:colOff>341085</xdr:colOff>
      <xdr:row>58</xdr:row>
      <xdr:rowOff>159098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8990FC-A2D9-DC4D-A7A1-9619AF9C1F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</xdr:row>
      <xdr:rowOff>0</xdr:rowOff>
    </xdr:from>
    <xdr:to>
      <xdr:col>20</xdr:col>
      <xdr:colOff>648026</xdr:colOff>
      <xdr:row>22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C91C26-9E69-F84B-A07C-9D1E7031F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6231" y="615462"/>
          <a:ext cx="5366564" cy="4024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un@s%20%20mandam%20a%20cesta%20para%20o%20Reinaldo%20que%20distribui%20aqui%20no%20bairro%20%20e%20%20manda%20os%20livros%20(por%20email%20mandem%20endere&#231;o)" TargetMode="External"/><Relationship Id="rId2" Type="http://schemas.openxmlformats.org/officeDocument/2006/relationships/hyperlink" Target="mailto:alun@s%20%20depositam%20para%20o%20Reinaldo%20(PIX%20-%20R$%2070)%20que%20distribui%20aqui%20no%20bairro%20a%20cesta%20b&#225;sica%20e%20professor%20manda%20os%20livros%20(por%20email%20mandem%20endere&#231;o)" TargetMode="External"/><Relationship Id="rId1" Type="http://schemas.openxmlformats.org/officeDocument/2006/relationships/hyperlink" Target="mailto:alun@s%20doam%20cesta%20b&#225;sica%20($%2070)%20e%20professor%20manda%20os%20livros%20(por%20email%20mandem%20endere&#231;o)" TargetMode="External"/><Relationship Id="rId4" Type="http://schemas.openxmlformats.org/officeDocument/2006/relationships/hyperlink" Target="mailto:alun@s%20%20mandam%20a%20cesta%20b&#225;sica%20(ou%20$70)%20para%20o%20PONTO%20DE%20ECOSOL%20no%20Butant&#227;%20e%20l&#225;%20sao%20entregues%20os%20livro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238DE-CA89-3D43-94B5-EA67E52A02B1}">
  <dimension ref="C7:D10"/>
  <sheetViews>
    <sheetView topLeftCell="C4" zoomScale="160" zoomScaleNormal="160" workbookViewId="0">
      <selection activeCell="D15" sqref="D15"/>
    </sheetView>
  </sheetViews>
  <sheetFormatPr baseColWidth="10" defaultRowHeight="16" x14ac:dyDescent="0.2"/>
  <sheetData>
    <row r="7" spans="3:4" x14ac:dyDescent="0.2">
      <c r="C7">
        <v>1</v>
      </c>
      <c r="D7" s="30" t="s">
        <v>113</v>
      </c>
    </row>
    <row r="8" spans="3:4" x14ac:dyDescent="0.2">
      <c r="C8">
        <v>2</v>
      </c>
      <c r="D8" s="30" t="s">
        <v>111</v>
      </c>
    </row>
    <row r="9" spans="3:4" x14ac:dyDescent="0.2">
      <c r="C9">
        <v>3</v>
      </c>
      <c r="D9" s="30" t="s">
        <v>114</v>
      </c>
    </row>
    <row r="10" spans="3:4" x14ac:dyDescent="0.2">
      <c r="C10">
        <v>4</v>
      </c>
      <c r="D10" s="30" t="s">
        <v>112</v>
      </c>
    </row>
  </sheetData>
  <hyperlinks>
    <hyperlink ref="D7" r:id="rId1" xr:uid="{6D5D9B24-53A1-9141-A774-2AA49F2465E7}"/>
    <hyperlink ref="D8" r:id="rId2" xr:uid="{1ACBBB4C-B607-3C42-89C3-42EABBAFD948}"/>
    <hyperlink ref="D9" r:id="rId3" xr:uid="{5F5DF9EC-3402-9541-9742-9739B69BA06F}"/>
    <hyperlink ref="D10" r:id="rId4" xr:uid="{CE1189DB-AD54-5943-AD13-6D78121249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B5340-98CD-6040-A079-366D5165949A}">
  <dimension ref="A1"/>
  <sheetViews>
    <sheetView topLeftCell="A30"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75DD-F544-7641-9688-A3952DE002A3}">
  <dimension ref="A1:AE117"/>
  <sheetViews>
    <sheetView topLeftCell="Q1" zoomScale="140" zoomScaleNormal="140" workbookViewId="0">
      <selection activeCell="D22" sqref="D22"/>
    </sheetView>
  </sheetViews>
  <sheetFormatPr baseColWidth="10" defaultRowHeight="16" x14ac:dyDescent="0.2"/>
  <cols>
    <col min="1" max="1" width="14.1640625" bestFit="1" customWidth="1"/>
    <col min="2" max="2" width="16.1640625" customWidth="1"/>
    <col min="3" max="3" width="13.83203125" bestFit="1" customWidth="1"/>
    <col min="4" max="4" width="19.83203125" customWidth="1"/>
    <col min="5" max="5" width="12.6640625" style="1" customWidth="1"/>
    <col min="7" max="7" width="17.83203125" style="1" customWidth="1"/>
    <col min="9" max="9" width="12.6640625" customWidth="1"/>
    <col min="10" max="10" width="12.33203125" customWidth="1"/>
    <col min="13" max="13" width="13" bestFit="1" customWidth="1"/>
    <col min="15" max="15" width="10.83203125" style="1"/>
    <col min="17" max="17" width="10.83203125" style="1"/>
    <col min="22" max="27" width="10.83203125" style="1"/>
  </cols>
  <sheetData>
    <row r="1" spans="1:31" x14ac:dyDescent="0.2">
      <c r="A1" t="s">
        <v>0</v>
      </c>
      <c r="D1" t="s">
        <v>9</v>
      </c>
      <c r="E1" s="1" t="s">
        <v>10</v>
      </c>
      <c r="G1" s="1" t="s">
        <v>16</v>
      </c>
    </row>
    <row r="2" spans="1:31" x14ac:dyDescent="0.2">
      <c r="C2" t="s">
        <v>17</v>
      </c>
      <c r="F2">
        <v>1</v>
      </c>
      <c r="G2" s="1" t="s">
        <v>14</v>
      </c>
      <c r="I2" t="s">
        <v>22</v>
      </c>
    </row>
    <row r="3" spans="1:31" x14ac:dyDescent="0.2">
      <c r="E3" s="1" t="s">
        <v>6</v>
      </c>
      <c r="F3">
        <v>2</v>
      </c>
      <c r="G3" s="1" t="s">
        <v>15</v>
      </c>
      <c r="AB3" t="s">
        <v>109</v>
      </c>
      <c r="AC3" s="28">
        <f>AB6</f>
        <v>0.13523301021372847</v>
      </c>
    </row>
    <row r="4" spans="1:31" ht="15" customHeight="1" x14ac:dyDescent="0.2">
      <c r="B4" t="s">
        <v>1</v>
      </c>
      <c r="C4" t="s">
        <v>28</v>
      </c>
      <c r="D4" t="s">
        <v>4</v>
      </c>
      <c r="E4" s="1">
        <v>5000</v>
      </c>
      <c r="F4">
        <v>3</v>
      </c>
      <c r="G4" s="1" t="s">
        <v>18</v>
      </c>
      <c r="H4" t="s">
        <v>19</v>
      </c>
    </row>
    <row r="5" spans="1:31" x14ac:dyDescent="0.2">
      <c r="B5" t="s">
        <v>2</v>
      </c>
      <c r="C5" t="s">
        <v>28</v>
      </c>
      <c r="D5" t="s">
        <v>30</v>
      </c>
      <c r="E5" s="1">
        <f>(4*2000*2)+(2*60*24)</f>
        <v>18880</v>
      </c>
      <c r="I5" t="s">
        <v>24</v>
      </c>
    </row>
    <row r="6" spans="1:31" x14ac:dyDescent="0.2">
      <c r="B6" t="s">
        <v>3</v>
      </c>
      <c r="C6" t="s">
        <v>66</v>
      </c>
      <c r="D6" t="s">
        <v>23</v>
      </c>
      <c r="E6" s="1">
        <v>1000</v>
      </c>
      <c r="U6" t="s">
        <v>104</v>
      </c>
      <c r="V6" s="2">
        <f>IRR(V10:V20)</f>
        <v>0.13523301021372847</v>
      </c>
      <c r="Z6" s="2">
        <f>IRR(Z10:Z20)</f>
        <v>9.8519840626280386E-2</v>
      </c>
      <c r="AB6" s="29">
        <f>IRR(AB10:AB20)</f>
        <v>0.13523301021372847</v>
      </c>
      <c r="AE6" s="2"/>
    </row>
    <row r="7" spans="1:31" x14ac:dyDescent="0.2">
      <c r="C7" t="s">
        <v>11</v>
      </c>
      <c r="D7" t="s">
        <v>8</v>
      </c>
      <c r="E7" s="1">
        <v>12</v>
      </c>
      <c r="I7" t="s">
        <v>25</v>
      </c>
      <c r="U7" t="s">
        <v>103</v>
      </c>
      <c r="V7" s="2">
        <f>IRR(V10:V118)</f>
        <v>0.18815999816806461</v>
      </c>
    </row>
    <row r="8" spans="1:31" x14ac:dyDescent="0.2">
      <c r="C8" t="s">
        <v>20</v>
      </c>
      <c r="D8" t="s">
        <v>7</v>
      </c>
      <c r="E8" s="2">
        <v>0.02</v>
      </c>
      <c r="I8" t="s">
        <v>27</v>
      </c>
    </row>
    <row r="9" spans="1:31" x14ac:dyDescent="0.2">
      <c r="C9" t="s">
        <v>13</v>
      </c>
      <c r="D9" t="s">
        <v>12</v>
      </c>
      <c r="E9" s="1">
        <v>4</v>
      </c>
      <c r="I9" t="s">
        <v>28</v>
      </c>
      <c r="V9" s="1" t="s">
        <v>106</v>
      </c>
      <c r="W9" s="1" t="s">
        <v>54</v>
      </c>
      <c r="X9" s="1" t="s">
        <v>55</v>
      </c>
      <c r="Y9" s="1" t="s">
        <v>88</v>
      </c>
      <c r="Z9" s="1" t="s">
        <v>105</v>
      </c>
      <c r="AB9" s="26" t="s">
        <v>57</v>
      </c>
      <c r="AC9" s="26" t="s">
        <v>107</v>
      </c>
      <c r="AD9" s="26" t="s">
        <v>108</v>
      </c>
      <c r="AE9" s="26" t="s">
        <v>76</v>
      </c>
    </row>
    <row r="10" spans="1:31" x14ac:dyDescent="0.2">
      <c r="C10" t="s">
        <v>20</v>
      </c>
      <c r="D10" t="s">
        <v>21</v>
      </c>
      <c r="E10" s="2">
        <v>0.18</v>
      </c>
      <c r="O10" s="1" t="s">
        <v>48</v>
      </c>
      <c r="Q10" s="1" t="s">
        <v>49</v>
      </c>
      <c r="U10">
        <v>0</v>
      </c>
      <c r="V10" s="1">
        <f>-E11</f>
        <v>-250000</v>
      </c>
      <c r="Z10" s="1">
        <f>V10</f>
        <v>-250000</v>
      </c>
      <c r="AB10" s="17">
        <f>V10</f>
        <v>-250000</v>
      </c>
      <c r="AC10" s="27"/>
      <c r="AD10" s="27"/>
      <c r="AE10" s="27"/>
    </row>
    <row r="11" spans="1:31" x14ac:dyDescent="0.2">
      <c r="C11" t="s">
        <v>29</v>
      </c>
      <c r="D11" t="s">
        <v>5</v>
      </c>
      <c r="E11" s="1">
        <v>250000</v>
      </c>
      <c r="G11" s="1" t="s">
        <v>32</v>
      </c>
      <c r="H11" s="34" t="s">
        <v>39</v>
      </c>
      <c r="I11" s="34"/>
      <c r="J11" s="34"/>
      <c r="K11" s="34"/>
      <c r="L11" s="34"/>
      <c r="M11" s="34"/>
      <c r="N11" s="34"/>
      <c r="O11" s="1" t="s">
        <v>47</v>
      </c>
      <c r="Q11" s="1" t="s">
        <v>50</v>
      </c>
      <c r="U11">
        <v>1</v>
      </c>
      <c r="V11" s="1">
        <f>$P$19</f>
        <v>47040</v>
      </c>
      <c r="W11" s="21">
        <f>$R$27</f>
        <v>25000</v>
      </c>
      <c r="X11" s="17">
        <f>V11-W11</f>
        <v>22040</v>
      </c>
      <c r="Y11" s="17">
        <f>0.3*(X11)</f>
        <v>6612</v>
      </c>
      <c r="Z11" s="17">
        <f>V11-Y11</f>
        <v>40428</v>
      </c>
      <c r="AA11" s="17"/>
      <c r="AB11" s="17">
        <f>R26</f>
        <v>47040</v>
      </c>
      <c r="AC11" s="21">
        <f>-$AC$3*AB10</f>
        <v>33808.252553432118</v>
      </c>
      <c r="AD11" s="21">
        <f>AB11-AC11</f>
        <v>13231.747446567882</v>
      </c>
      <c r="AE11" s="21">
        <f>AB10+AD11</f>
        <v>-236768.25255343213</v>
      </c>
    </row>
    <row r="12" spans="1:31" x14ac:dyDescent="0.2">
      <c r="G12" s="1" t="s">
        <v>34</v>
      </c>
      <c r="H12" s="1" t="s">
        <v>25</v>
      </c>
      <c r="I12" s="1" t="s">
        <v>26</v>
      </c>
      <c r="J12" s="1" t="s">
        <v>12</v>
      </c>
      <c r="K12" s="1" t="s">
        <v>35</v>
      </c>
      <c r="L12" s="1" t="s">
        <v>36</v>
      </c>
      <c r="M12" s="1" t="s">
        <v>37</v>
      </c>
      <c r="N12" s="1" t="s">
        <v>40</v>
      </c>
      <c r="O12" s="1" t="s">
        <v>46</v>
      </c>
      <c r="P12" s="1" t="s">
        <v>92</v>
      </c>
      <c r="U12">
        <v>2</v>
      </c>
      <c r="V12" s="1">
        <f>V11</f>
        <v>47040</v>
      </c>
      <c r="W12" s="21">
        <f t="shared" ref="W12:W20" si="0">$R$27</f>
        <v>25000</v>
      </c>
      <c r="X12" s="17">
        <f t="shared" ref="X12:X20" si="1">V12-W12</f>
        <v>22040</v>
      </c>
      <c r="Y12" s="17">
        <f t="shared" ref="Y12:Y20" si="2">0.3*(X12)</f>
        <v>6612</v>
      </c>
      <c r="Z12" s="17">
        <f t="shared" ref="Z12:Z20" si="3">V12-Y12</f>
        <v>40428</v>
      </c>
      <c r="AA12" s="17"/>
      <c r="AB12" s="17">
        <f>AB11</f>
        <v>47040</v>
      </c>
      <c r="AC12" s="21">
        <f>-$AC$3*AE11</f>
        <v>32018.883515844929</v>
      </c>
      <c r="AD12" s="21">
        <f>AB12-AC12</f>
        <v>15021.116484155071</v>
      </c>
      <c r="AE12" s="21">
        <f>AE11+AD12</f>
        <v>-221747.13606927707</v>
      </c>
    </row>
    <row r="13" spans="1:31" x14ac:dyDescent="0.2">
      <c r="B13" s="3" t="s">
        <v>33</v>
      </c>
      <c r="C13" t="s">
        <v>31</v>
      </c>
      <c r="E13" s="1">
        <v>40</v>
      </c>
      <c r="G13" s="1">
        <v>0</v>
      </c>
      <c r="H13" s="1">
        <f>$E$16</f>
        <v>24880</v>
      </c>
      <c r="I13" s="1">
        <f>$E$7*G13</f>
        <v>0</v>
      </c>
      <c r="J13" s="1">
        <f>$E$9*G13</f>
        <v>0</v>
      </c>
      <c r="K13" s="1">
        <f>$E$18*M13</f>
        <v>0</v>
      </c>
      <c r="L13" s="1">
        <f>SUM(H13:K13)</f>
        <v>24880</v>
      </c>
      <c r="M13" s="1">
        <f>$E$13*G13</f>
        <v>0</v>
      </c>
      <c r="N13">
        <f>M13-L13</f>
        <v>-24880</v>
      </c>
      <c r="O13" s="6">
        <f>N13/$E$11</f>
        <v>-9.9519999999999997E-2</v>
      </c>
      <c r="P13">
        <f>N13*12</f>
        <v>-298560</v>
      </c>
      <c r="Q13" s="6">
        <f>P13/$E$11</f>
        <v>-1.19424</v>
      </c>
      <c r="U13">
        <v>3</v>
      </c>
      <c r="V13" s="1">
        <f t="shared" ref="V13:V76" si="4">V12</f>
        <v>47040</v>
      </c>
      <c r="W13" s="21">
        <f t="shared" si="0"/>
        <v>25000</v>
      </c>
      <c r="X13" s="17">
        <f t="shared" si="1"/>
        <v>22040</v>
      </c>
      <c r="Y13" s="17">
        <f t="shared" si="2"/>
        <v>6612</v>
      </c>
      <c r="Z13" s="17">
        <f t="shared" si="3"/>
        <v>40428</v>
      </c>
      <c r="AA13" s="17"/>
      <c r="AB13" s="17">
        <f t="shared" ref="AB13:AB20" si="5">AB12</f>
        <v>47040</v>
      </c>
      <c r="AC13" s="21">
        <f>-$AC$3*AE12</f>
        <v>29987.532716921582</v>
      </c>
      <c r="AD13" s="21">
        <f>AB13-AC13</f>
        <v>17052.467283078418</v>
      </c>
      <c r="AE13" s="21">
        <f>AE12+AD13</f>
        <v>-204694.66878619866</v>
      </c>
    </row>
    <row r="14" spans="1:31" x14ac:dyDescent="0.2">
      <c r="C14" t="s">
        <v>32</v>
      </c>
      <c r="G14" s="1">
        <v>300</v>
      </c>
      <c r="H14" s="1">
        <f t="shared" ref="H14:H23" si="6">$E$16</f>
        <v>24880</v>
      </c>
      <c r="I14" s="1">
        <f>$E$7*G14</f>
        <v>3600</v>
      </c>
      <c r="J14" s="1">
        <f>$E$9*G14</f>
        <v>1200</v>
      </c>
      <c r="K14" s="1">
        <f>$E$18*M14</f>
        <v>2400</v>
      </c>
      <c r="L14" s="1">
        <f>SUM(H14:K14)</f>
        <v>32080</v>
      </c>
      <c r="M14" s="1">
        <f>$E$13*G14</f>
        <v>12000</v>
      </c>
      <c r="N14">
        <f t="shared" ref="N14:N23" si="7">M14-L14</f>
        <v>-20080</v>
      </c>
      <c r="O14" s="6">
        <f t="shared" ref="O14:O23" si="8">N14/$E$11</f>
        <v>-8.0320000000000003E-2</v>
      </c>
      <c r="P14">
        <f t="shared" ref="P14:P23" si="9">N14*12</f>
        <v>-240960</v>
      </c>
      <c r="Q14" s="6">
        <f t="shared" ref="Q14:Q23" si="10">P14/$E$11</f>
        <v>-0.96384000000000003</v>
      </c>
      <c r="U14">
        <v>4</v>
      </c>
      <c r="V14" s="1">
        <f t="shared" si="4"/>
        <v>47040</v>
      </c>
      <c r="W14" s="21">
        <f t="shared" si="0"/>
        <v>25000</v>
      </c>
      <c r="X14" s="17">
        <f t="shared" si="1"/>
        <v>22040</v>
      </c>
      <c r="Y14" s="17">
        <f t="shared" si="2"/>
        <v>6612</v>
      </c>
      <c r="Z14" s="17">
        <f t="shared" si="3"/>
        <v>40428</v>
      </c>
      <c r="AA14" s="17"/>
      <c r="AB14" s="17">
        <f t="shared" si="5"/>
        <v>47040</v>
      </c>
      <c r="AC14" s="21">
        <f>-$AC$3*AE13</f>
        <v>27681.476234659767</v>
      </c>
      <c r="AD14" s="21">
        <f>AB14-AC14</f>
        <v>19358.523765340233</v>
      </c>
      <c r="AE14" s="21">
        <f t="shared" ref="AE14:AE20" si="11">AE13+AD14</f>
        <v>-185336.14502085841</v>
      </c>
    </row>
    <row r="15" spans="1:31" x14ac:dyDescent="0.2">
      <c r="G15" s="1">
        <v>600</v>
      </c>
      <c r="H15" s="1">
        <f t="shared" si="6"/>
        <v>24880</v>
      </c>
      <c r="I15" s="1">
        <f t="shared" ref="I15:I23" si="12">$E$7*G15</f>
        <v>7200</v>
      </c>
      <c r="J15" s="1">
        <f t="shared" ref="J15:J23" si="13">$E$9*G15</f>
        <v>2400</v>
      </c>
      <c r="K15" s="1">
        <f t="shared" ref="K15:K23" si="14">$E$18*M15</f>
        <v>4800</v>
      </c>
      <c r="L15" s="1">
        <f t="shared" ref="L15:L16" si="15">SUM(H15:K15)</f>
        <v>39280</v>
      </c>
      <c r="M15" s="1">
        <f t="shared" ref="M15:M23" si="16">$E$13*G15</f>
        <v>24000</v>
      </c>
      <c r="N15">
        <f t="shared" si="7"/>
        <v>-15280</v>
      </c>
      <c r="O15" s="6">
        <f t="shared" si="8"/>
        <v>-6.1120000000000001E-2</v>
      </c>
      <c r="P15">
        <f t="shared" si="9"/>
        <v>-183360</v>
      </c>
      <c r="Q15" s="6">
        <f t="shared" si="10"/>
        <v>-0.73343999999999998</v>
      </c>
      <c r="U15">
        <v>5</v>
      </c>
      <c r="V15" s="1">
        <f t="shared" si="4"/>
        <v>47040</v>
      </c>
      <c r="W15" s="21">
        <f t="shared" si="0"/>
        <v>25000</v>
      </c>
      <c r="X15" s="17">
        <f t="shared" si="1"/>
        <v>22040</v>
      </c>
      <c r="Y15" s="17">
        <f t="shared" si="2"/>
        <v>6612</v>
      </c>
      <c r="Z15" s="17">
        <f t="shared" si="3"/>
        <v>40428</v>
      </c>
      <c r="AA15" s="17"/>
      <c r="AB15" s="17">
        <f t="shared" si="5"/>
        <v>47040</v>
      </c>
      <c r="AC15" s="21">
        <f t="shared" ref="AC15:AC20" si="17">-$AC$3*AE14</f>
        <v>25063.564792578807</v>
      </c>
      <c r="AD15" s="21">
        <f>AB15-AC15</f>
        <v>21976.435207421193</v>
      </c>
      <c r="AE15" s="21">
        <f t="shared" si="11"/>
        <v>-163359.70981343722</v>
      </c>
    </row>
    <row r="16" spans="1:31" x14ac:dyDescent="0.2">
      <c r="C16" t="s">
        <v>25</v>
      </c>
      <c r="E16" s="1">
        <f>E4+E5+E6</f>
        <v>24880</v>
      </c>
      <c r="G16" s="4">
        <v>900</v>
      </c>
      <c r="H16" s="4">
        <f t="shared" si="6"/>
        <v>24880</v>
      </c>
      <c r="I16" s="4">
        <f t="shared" si="12"/>
        <v>10800</v>
      </c>
      <c r="J16" s="4">
        <f t="shared" si="13"/>
        <v>3600</v>
      </c>
      <c r="K16" s="4">
        <f t="shared" si="14"/>
        <v>7199.9999999999991</v>
      </c>
      <c r="L16" s="4">
        <f t="shared" si="15"/>
        <v>46480</v>
      </c>
      <c r="M16" s="4">
        <f t="shared" si="16"/>
        <v>36000</v>
      </c>
      <c r="N16" s="5">
        <f t="shared" si="7"/>
        <v>-10480</v>
      </c>
      <c r="O16" s="6">
        <f t="shared" si="8"/>
        <v>-4.1919999999999999E-2</v>
      </c>
      <c r="P16">
        <f>N16*12</f>
        <v>-125760</v>
      </c>
      <c r="Q16" s="6">
        <f t="shared" si="10"/>
        <v>-0.50304000000000004</v>
      </c>
      <c r="U16">
        <v>6</v>
      </c>
      <c r="V16" s="1">
        <f t="shared" si="4"/>
        <v>47040</v>
      </c>
      <c r="W16" s="21">
        <f t="shared" si="0"/>
        <v>25000</v>
      </c>
      <c r="X16" s="17">
        <f t="shared" si="1"/>
        <v>22040</v>
      </c>
      <c r="Y16" s="17">
        <f t="shared" si="2"/>
        <v>6612</v>
      </c>
      <c r="Z16" s="17">
        <f t="shared" si="3"/>
        <v>40428</v>
      </c>
      <c r="AA16" s="17"/>
      <c r="AB16" s="17">
        <f t="shared" si="5"/>
        <v>47040</v>
      </c>
      <c r="AC16" s="21">
        <f t="shared" si="17"/>
        <v>22091.625305712274</v>
      </c>
      <c r="AD16" s="21">
        <f t="shared" ref="AD16:AD20" si="18">AB16-AC16</f>
        <v>24948.374694287726</v>
      </c>
      <c r="AE16" s="21">
        <f t="shared" si="11"/>
        <v>-138411.3351191495</v>
      </c>
    </row>
    <row r="17" spans="3:31" x14ac:dyDescent="0.2">
      <c r="C17" t="s">
        <v>38</v>
      </c>
      <c r="E17" s="1">
        <f>E7+E9</f>
        <v>16</v>
      </c>
      <c r="G17" s="4">
        <v>1200</v>
      </c>
      <c r="H17" s="4">
        <f t="shared" si="6"/>
        <v>24880</v>
      </c>
      <c r="I17" s="4">
        <f t="shared" si="12"/>
        <v>14400</v>
      </c>
      <c r="J17" s="4">
        <f t="shared" si="13"/>
        <v>4800</v>
      </c>
      <c r="K17" s="4">
        <f t="shared" si="14"/>
        <v>9600</v>
      </c>
      <c r="L17" s="4">
        <f>SUM(H17:K17)</f>
        <v>53680</v>
      </c>
      <c r="M17" s="4">
        <f t="shared" si="16"/>
        <v>48000</v>
      </c>
      <c r="N17" s="5">
        <f t="shared" si="7"/>
        <v>-5680</v>
      </c>
      <c r="O17" s="6">
        <f t="shared" si="8"/>
        <v>-2.2720000000000001E-2</v>
      </c>
      <c r="P17">
        <f t="shared" si="9"/>
        <v>-68160</v>
      </c>
      <c r="Q17" s="6">
        <f t="shared" si="10"/>
        <v>-0.27263999999999999</v>
      </c>
      <c r="U17">
        <v>7</v>
      </c>
      <c r="V17" s="1">
        <f t="shared" si="4"/>
        <v>47040</v>
      </c>
      <c r="W17" s="21">
        <f t="shared" si="0"/>
        <v>25000</v>
      </c>
      <c r="X17" s="17">
        <f t="shared" si="1"/>
        <v>22040</v>
      </c>
      <c r="Y17" s="17">
        <f t="shared" si="2"/>
        <v>6612</v>
      </c>
      <c r="Z17" s="17">
        <f t="shared" si="3"/>
        <v>40428</v>
      </c>
      <c r="AA17" s="17"/>
      <c r="AB17" s="17">
        <f t="shared" si="5"/>
        <v>47040</v>
      </c>
      <c r="AC17" s="21">
        <f t="shared" si="17"/>
        <v>18717.781495863739</v>
      </c>
      <c r="AD17" s="21">
        <f t="shared" si="18"/>
        <v>28322.218504136261</v>
      </c>
      <c r="AE17" s="21">
        <f t="shared" si="11"/>
        <v>-110089.11661501325</v>
      </c>
    </row>
    <row r="18" spans="3:31" x14ac:dyDescent="0.2">
      <c r="C18" t="s">
        <v>35</v>
      </c>
      <c r="E18" s="2">
        <f>E8+E10</f>
        <v>0.19999999999999998</v>
      </c>
      <c r="F18" s="35" t="s">
        <v>41</v>
      </c>
      <c r="G18" s="4">
        <v>1500</v>
      </c>
      <c r="H18" s="4">
        <f t="shared" si="6"/>
        <v>24880</v>
      </c>
      <c r="I18" s="4">
        <f t="shared" si="12"/>
        <v>18000</v>
      </c>
      <c r="J18" s="4">
        <f t="shared" si="13"/>
        <v>6000</v>
      </c>
      <c r="K18" s="4">
        <f t="shared" si="14"/>
        <v>11999.999999999998</v>
      </c>
      <c r="L18" s="4">
        <f t="shared" ref="L18:L23" si="19">SUM(H18:K18)</f>
        <v>60880</v>
      </c>
      <c r="M18" s="4">
        <f t="shared" si="16"/>
        <v>60000</v>
      </c>
      <c r="N18" s="5">
        <f t="shared" si="7"/>
        <v>-880</v>
      </c>
      <c r="O18" s="11">
        <f t="shared" si="8"/>
        <v>-3.5200000000000001E-3</v>
      </c>
      <c r="P18" s="5">
        <f t="shared" si="9"/>
        <v>-10560</v>
      </c>
      <c r="Q18" s="11">
        <f t="shared" si="10"/>
        <v>-4.224E-2</v>
      </c>
      <c r="U18">
        <v>8</v>
      </c>
      <c r="V18" s="1">
        <f t="shared" si="4"/>
        <v>47040</v>
      </c>
      <c r="W18" s="21">
        <f t="shared" si="0"/>
        <v>25000</v>
      </c>
      <c r="X18" s="17">
        <f t="shared" si="1"/>
        <v>22040</v>
      </c>
      <c r="Y18" s="17">
        <f t="shared" si="2"/>
        <v>6612</v>
      </c>
      <c r="Z18" s="17">
        <f t="shared" si="3"/>
        <v>40428</v>
      </c>
      <c r="AA18" s="17"/>
      <c r="AB18" s="17">
        <f t="shared" si="5"/>
        <v>47040</v>
      </c>
      <c r="AC18" s="21">
        <f t="shared" si="17"/>
        <v>14887.682631618431</v>
      </c>
      <c r="AD18" s="21">
        <f t="shared" si="18"/>
        <v>32152.317368381569</v>
      </c>
      <c r="AE18" s="21">
        <f t="shared" si="11"/>
        <v>-77936.799246631679</v>
      </c>
    </row>
    <row r="19" spans="3:31" x14ac:dyDescent="0.2">
      <c r="F19" s="35"/>
      <c r="G19" s="8">
        <v>1800</v>
      </c>
      <c r="H19" s="8">
        <f t="shared" si="6"/>
        <v>24880</v>
      </c>
      <c r="I19" s="8">
        <f t="shared" si="12"/>
        <v>21600</v>
      </c>
      <c r="J19" s="8">
        <f t="shared" si="13"/>
        <v>7200</v>
      </c>
      <c r="K19" s="8">
        <f t="shared" si="14"/>
        <v>14399.999999999998</v>
      </c>
      <c r="L19" s="8">
        <f t="shared" si="19"/>
        <v>68080</v>
      </c>
      <c r="M19" s="8">
        <f t="shared" si="16"/>
        <v>72000</v>
      </c>
      <c r="N19" s="9">
        <f t="shared" si="7"/>
        <v>3920</v>
      </c>
      <c r="O19" s="10">
        <f t="shared" si="8"/>
        <v>1.5679999999999999E-2</v>
      </c>
      <c r="P19" s="9">
        <f t="shared" si="9"/>
        <v>47040</v>
      </c>
      <c r="Q19" s="10">
        <f>P19/$E$11</f>
        <v>0.18815999999999999</v>
      </c>
      <c r="U19">
        <v>9</v>
      </c>
      <c r="V19" s="1">
        <f t="shared" si="4"/>
        <v>47040</v>
      </c>
      <c r="W19" s="21">
        <f t="shared" si="0"/>
        <v>25000</v>
      </c>
      <c r="X19" s="17">
        <f t="shared" si="1"/>
        <v>22040</v>
      </c>
      <c r="Y19" s="17">
        <f t="shared" si="2"/>
        <v>6612</v>
      </c>
      <c r="Z19" s="17">
        <f t="shared" si="3"/>
        <v>40428</v>
      </c>
      <c r="AA19" s="17"/>
      <c r="AB19" s="17">
        <f t="shared" si="5"/>
        <v>47040</v>
      </c>
      <c r="AC19" s="21">
        <f t="shared" si="17"/>
        <v>10539.627968545046</v>
      </c>
      <c r="AD19" s="21">
        <f>AB19-AC19</f>
        <v>36500.372031454957</v>
      </c>
      <c r="AE19" s="21">
        <f t="shared" si="11"/>
        <v>-41436.427215176722</v>
      </c>
    </row>
    <row r="20" spans="3:31" x14ac:dyDescent="0.2">
      <c r="G20" s="1">
        <v>2100</v>
      </c>
      <c r="H20" s="1">
        <f t="shared" si="6"/>
        <v>24880</v>
      </c>
      <c r="I20" s="1">
        <f t="shared" si="12"/>
        <v>25200</v>
      </c>
      <c r="J20" s="1">
        <f t="shared" si="13"/>
        <v>8400</v>
      </c>
      <c r="K20" s="1">
        <f t="shared" si="14"/>
        <v>16800</v>
      </c>
      <c r="L20" s="1">
        <f t="shared" si="19"/>
        <v>75280</v>
      </c>
      <c r="M20" s="1">
        <f t="shared" si="16"/>
        <v>84000</v>
      </c>
      <c r="N20">
        <f t="shared" si="7"/>
        <v>8720</v>
      </c>
      <c r="O20" s="6">
        <f t="shared" si="8"/>
        <v>3.4880000000000001E-2</v>
      </c>
      <c r="P20">
        <f t="shared" si="9"/>
        <v>104640</v>
      </c>
      <c r="Q20" s="6">
        <f t="shared" si="10"/>
        <v>0.41855999999999999</v>
      </c>
      <c r="U20">
        <v>10</v>
      </c>
      <c r="V20" s="1">
        <f t="shared" si="4"/>
        <v>47040</v>
      </c>
      <c r="W20" s="21">
        <f t="shared" si="0"/>
        <v>25000</v>
      </c>
      <c r="X20" s="17">
        <f t="shared" si="1"/>
        <v>22040</v>
      </c>
      <c r="Y20" s="17">
        <f t="shared" si="2"/>
        <v>6612</v>
      </c>
      <c r="Z20" s="17">
        <f t="shared" si="3"/>
        <v>40428</v>
      </c>
      <c r="AA20" s="17"/>
      <c r="AB20" s="17">
        <f t="shared" si="5"/>
        <v>47040</v>
      </c>
      <c r="AC20" s="21">
        <f t="shared" si="17"/>
        <v>5603.5727848104098</v>
      </c>
      <c r="AD20" s="21">
        <f t="shared" si="18"/>
        <v>41436.427215189593</v>
      </c>
      <c r="AE20" s="21">
        <f t="shared" si="11"/>
        <v>1.287116901949048E-8</v>
      </c>
    </row>
    <row r="21" spans="3:31" x14ac:dyDescent="0.2">
      <c r="C21" t="s">
        <v>53</v>
      </c>
      <c r="D21" t="s">
        <v>115</v>
      </c>
      <c r="G21" s="1">
        <v>2400</v>
      </c>
      <c r="H21" s="1">
        <f t="shared" si="6"/>
        <v>24880</v>
      </c>
      <c r="I21" s="1">
        <f t="shared" si="12"/>
        <v>28800</v>
      </c>
      <c r="J21" s="1">
        <f t="shared" si="13"/>
        <v>9600</v>
      </c>
      <c r="K21" s="1">
        <f t="shared" si="14"/>
        <v>19200</v>
      </c>
      <c r="L21" s="1">
        <f t="shared" si="19"/>
        <v>82480</v>
      </c>
      <c r="M21" s="1">
        <f t="shared" si="16"/>
        <v>96000</v>
      </c>
      <c r="N21">
        <f t="shared" si="7"/>
        <v>13520</v>
      </c>
      <c r="O21" s="6">
        <f t="shared" si="8"/>
        <v>5.4080000000000003E-2</v>
      </c>
      <c r="P21">
        <f t="shared" si="9"/>
        <v>162240</v>
      </c>
      <c r="Q21" s="6">
        <f t="shared" si="10"/>
        <v>0.64895999999999998</v>
      </c>
      <c r="V21" s="1">
        <f t="shared" si="4"/>
        <v>47040</v>
      </c>
      <c r="AB21" s="27"/>
      <c r="AC21" s="27"/>
      <c r="AD21" s="27"/>
      <c r="AE21" s="27"/>
    </row>
    <row r="22" spans="3:31" x14ac:dyDescent="0.2">
      <c r="D22" s="12">
        <f>E11/10</f>
        <v>25000</v>
      </c>
      <c r="G22" s="1">
        <v>2700</v>
      </c>
      <c r="H22" s="1">
        <f t="shared" si="6"/>
        <v>24880</v>
      </c>
      <c r="I22" s="1">
        <f t="shared" si="12"/>
        <v>32400</v>
      </c>
      <c r="J22" s="1">
        <f t="shared" si="13"/>
        <v>10800</v>
      </c>
      <c r="K22" s="1">
        <f t="shared" si="14"/>
        <v>21600</v>
      </c>
      <c r="L22" s="1">
        <f t="shared" si="19"/>
        <v>89680</v>
      </c>
      <c r="M22" s="1">
        <f t="shared" si="16"/>
        <v>108000</v>
      </c>
      <c r="N22">
        <f t="shared" si="7"/>
        <v>18320</v>
      </c>
      <c r="O22" s="6">
        <f t="shared" si="8"/>
        <v>7.3279999999999998E-2</v>
      </c>
      <c r="P22">
        <f t="shared" si="9"/>
        <v>219840</v>
      </c>
      <c r="Q22" s="6">
        <f t="shared" si="10"/>
        <v>0.87936000000000003</v>
      </c>
      <c r="V22" s="1">
        <f t="shared" si="4"/>
        <v>47040</v>
      </c>
    </row>
    <row r="23" spans="3:31" x14ac:dyDescent="0.2">
      <c r="G23" s="1">
        <v>3000</v>
      </c>
      <c r="H23" s="1">
        <f t="shared" si="6"/>
        <v>24880</v>
      </c>
      <c r="I23" s="1">
        <f t="shared" si="12"/>
        <v>36000</v>
      </c>
      <c r="J23" s="1">
        <f t="shared" si="13"/>
        <v>12000</v>
      </c>
      <c r="K23" s="1">
        <f t="shared" si="14"/>
        <v>23999.999999999996</v>
      </c>
      <c r="L23" s="1">
        <f t="shared" si="19"/>
        <v>96880</v>
      </c>
      <c r="M23" s="1">
        <f t="shared" si="16"/>
        <v>120000</v>
      </c>
      <c r="N23">
        <f t="shared" si="7"/>
        <v>23120</v>
      </c>
      <c r="O23" s="6">
        <f t="shared" si="8"/>
        <v>9.2480000000000007E-2</v>
      </c>
      <c r="P23">
        <f t="shared" si="9"/>
        <v>277440</v>
      </c>
      <c r="Q23" s="6">
        <f t="shared" si="10"/>
        <v>1.1097600000000001</v>
      </c>
      <c r="S23" s="7">
        <f>R26/E11</f>
        <v>0.18815999999999999</v>
      </c>
      <c r="T23" s="3" t="s">
        <v>65</v>
      </c>
      <c r="V23" s="1">
        <f t="shared" si="4"/>
        <v>47040</v>
      </c>
    </row>
    <row r="24" spans="3:31" x14ac:dyDescent="0.2">
      <c r="U24" t="s">
        <v>47</v>
      </c>
      <c r="V24" s="1">
        <f t="shared" si="4"/>
        <v>47040</v>
      </c>
    </row>
    <row r="25" spans="3:31" x14ac:dyDescent="0.2">
      <c r="U25" t="s">
        <v>64</v>
      </c>
      <c r="V25" s="1">
        <f t="shared" si="4"/>
        <v>47040</v>
      </c>
    </row>
    <row r="26" spans="3:31" ht="51" x14ac:dyDescent="0.2">
      <c r="Q26" s="25" t="s">
        <v>94</v>
      </c>
      <c r="R26" s="12">
        <f>P19</f>
        <v>47040</v>
      </c>
      <c r="S26" s="25" t="s">
        <v>93</v>
      </c>
      <c r="V26" s="1">
        <f t="shared" si="4"/>
        <v>47040</v>
      </c>
    </row>
    <row r="27" spans="3:31" x14ac:dyDescent="0.2">
      <c r="M27" s="12"/>
      <c r="Q27" s="1" t="s">
        <v>54</v>
      </c>
      <c r="R27" s="13">
        <f>D22</f>
        <v>25000</v>
      </c>
      <c r="V27" s="1">
        <f t="shared" si="4"/>
        <v>47040</v>
      </c>
    </row>
    <row r="28" spans="3:31" x14ac:dyDescent="0.2">
      <c r="K28" s="1" t="s">
        <v>41</v>
      </c>
      <c r="M28" t="s">
        <v>60</v>
      </c>
      <c r="Q28" s="1" t="s">
        <v>55</v>
      </c>
      <c r="R28" s="13">
        <f>R26-R27</f>
        <v>22040</v>
      </c>
      <c r="V28" s="1">
        <f t="shared" si="4"/>
        <v>47040</v>
      </c>
    </row>
    <row r="29" spans="3:31" x14ac:dyDescent="0.2">
      <c r="K29" s="1" t="s">
        <v>42</v>
      </c>
      <c r="M29" t="s">
        <v>63</v>
      </c>
      <c r="Q29" s="1" t="s">
        <v>51</v>
      </c>
      <c r="R29" s="13">
        <f>R28*0.3</f>
        <v>6612</v>
      </c>
      <c r="V29" s="1">
        <f t="shared" si="4"/>
        <v>47040</v>
      </c>
    </row>
    <row r="30" spans="3:31" ht="51" x14ac:dyDescent="0.2">
      <c r="K30" s="1" t="s">
        <v>43</v>
      </c>
      <c r="M30" t="s">
        <v>61</v>
      </c>
      <c r="P30" s="25" t="s">
        <v>95</v>
      </c>
      <c r="Q30" s="1" t="s">
        <v>56</v>
      </c>
      <c r="R30" s="13">
        <f>R26-R29-R27</f>
        <v>15428</v>
      </c>
      <c r="S30" t="s">
        <v>58</v>
      </c>
      <c r="V30" s="1">
        <f t="shared" si="4"/>
        <v>47040</v>
      </c>
    </row>
    <row r="31" spans="3:31" x14ac:dyDescent="0.2">
      <c r="K31" s="1" t="s">
        <v>44</v>
      </c>
      <c r="M31" t="s">
        <v>62</v>
      </c>
      <c r="V31" s="1">
        <f t="shared" si="4"/>
        <v>47040</v>
      </c>
    </row>
    <row r="32" spans="3:31" x14ac:dyDescent="0.2">
      <c r="K32" s="1" t="s">
        <v>45</v>
      </c>
      <c r="L32" t="s">
        <v>96</v>
      </c>
      <c r="Q32" s="1" t="s">
        <v>65</v>
      </c>
      <c r="R32" s="31">
        <f>R30/E11</f>
        <v>6.1712000000000003E-2</v>
      </c>
      <c r="S32" t="s">
        <v>50</v>
      </c>
      <c r="V32" s="1">
        <f t="shared" si="4"/>
        <v>47040</v>
      </c>
    </row>
    <row r="33" spans="10:22" x14ac:dyDescent="0.2">
      <c r="K33" s="1"/>
      <c r="V33" s="1">
        <f t="shared" si="4"/>
        <v>47040</v>
      </c>
    </row>
    <row r="34" spans="10:22" x14ac:dyDescent="0.2">
      <c r="K34" s="1" t="s">
        <v>97</v>
      </c>
      <c r="V34" s="1">
        <f t="shared" si="4"/>
        <v>47040</v>
      </c>
    </row>
    <row r="35" spans="10:22" x14ac:dyDescent="0.2">
      <c r="J35" t="s">
        <v>98</v>
      </c>
      <c r="Q35" s="1" t="s">
        <v>59</v>
      </c>
      <c r="R35" t="s">
        <v>57</v>
      </c>
      <c r="V35" s="1">
        <f t="shared" si="4"/>
        <v>47040</v>
      </c>
    </row>
    <row r="36" spans="10:22" x14ac:dyDescent="0.2">
      <c r="V36" s="1">
        <f t="shared" si="4"/>
        <v>47040</v>
      </c>
    </row>
    <row r="37" spans="10:22" x14ac:dyDescent="0.2">
      <c r="J37" t="s">
        <v>99</v>
      </c>
      <c r="K37">
        <f>E13</f>
        <v>40</v>
      </c>
      <c r="V37" s="1">
        <f t="shared" si="4"/>
        <v>47040</v>
      </c>
    </row>
    <row r="38" spans="10:22" x14ac:dyDescent="0.2">
      <c r="J38" t="s">
        <v>11</v>
      </c>
      <c r="K38">
        <f>E7+E9</f>
        <v>16</v>
      </c>
      <c r="V38" s="1">
        <f t="shared" si="4"/>
        <v>47040</v>
      </c>
    </row>
    <row r="39" spans="10:22" x14ac:dyDescent="0.2">
      <c r="J39" t="s">
        <v>100</v>
      </c>
      <c r="K39" s="14">
        <f>E8+E10</f>
        <v>0.19999999999999998</v>
      </c>
      <c r="M39">
        <f>K37-K38</f>
        <v>24</v>
      </c>
      <c r="V39" s="1">
        <f t="shared" si="4"/>
        <v>47040</v>
      </c>
    </row>
    <row r="40" spans="10:22" x14ac:dyDescent="0.2">
      <c r="J40" t="s">
        <v>101</v>
      </c>
      <c r="K40">
        <f>(K37*(1-K39)-K38)</f>
        <v>16</v>
      </c>
      <c r="M40">
        <f>M39-8</f>
        <v>16</v>
      </c>
      <c r="V40" s="1">
        <f t="shared" si="4"/>
        <v>47040</v>
      </c>
    </row>
    <row r="41" spans="10:22" x14ac:dyDescent="0.2">
      <c r="J41" s="3" t="s">
        <v>102</v>
      </c>
      <c r="K41" s="3">
        <f>E16/K40</f>
        <v>1555</v>
      </c>
      <c r="V41" s="1">
        <f t="shared" si="4"/>
        <v>47040</v>
      </c>
    </row>
    <row r="42" spans="10:22" x14ac:dyDescent="0.2">
      <c r="V42" s="1">
        <f t="shared" si="4"/>
        <v>47040</v>
      </c>
    </row>
    <row r="43" spans="10:22" x14ac:dyDescent="0.2">
      <c r="V43" s="1">
        <f t="shared" si="4"/>
        <v>47040</v>
      </c>
    </row>
    <row r="44" spans="10:22" x14ac:dyDescent="0.2">
      <c r="V44" s="1">
        <f t="shared" si="4"/>
        <v>47040</v>
      </c>
    </row>
    <row r="45" spans="10:22" x14ac:dyDescent="0.2">
      <c r="V45" s="1">
        <f t="shared" si="4"/>
        <v>47040</v>
      </c>
    </row>
    <row r="46" spans="10:22" x14ac:dyDescent="0.2">
      <c r="V46" s="1">
        <f t="shared" si="4"/>
        <v>47040</v>
      </c>
    </row>
    <row r="47" spans="10:22" x14ac:dyDescent="0.2">
      <c r="V47" s="1">
        <f t="shared" si="4"/>
        <v>47040</v>
      </c>
    </row>
    <row r="48" spans="10:22" x14ac:dyDescent="0.2">
      <c r="V48" s="1">
        <f t="shared" si="4"/>
        <v>47040</v>
      </c>
    </row>
    <row r="49" spans="22:22" x14ac:dyDescent="0.2">
      <c r="V49" s="1">
        <f t="shared" si="4"/>
        <v>47040</v>
      </c>
    </row>
    <row r="50" spans="22:22" x14ac:dyDescent="0.2">
      <c r="V50" s="1">
        <f t="shared" si="4"/>
        <v>47040</v>
      </c>
    </row>
    <row r="51" spans="22:22" x14ac:dyDescent="0.2">
      <c r="V51" s="1">
        <f t="shared" si="4"/>
        <v>47040</v>
      </c>
    </row>
    <row r="52" spans="22:22" x14ac:dyDescent="0.2">
      <c r="V52" s="1">
        <f t="shared" si="4"/>
        <v>47040</v>
      </c>
    </row>
    <row r="53" spans="22:22" x14ac:dyDescent="0.2">
      <c r="V53" s="1">
        <f t="shared" si="4"/>
        <v>47040</v>
      </c>
    </row>
    <row r="54" spans="22:22" x14ac:dyDescent="0.2">
      <c r="V54" s="1">
        <f t="shared" si="4"/>
        <v>47040</v>
      </c>
    </row>
    <row r="55" spans="22:22" x14ac:dyDescent="0.2">
      <c r="V55" s="1">
        <f t="shared" si="4"/>
        <v>47040</v>
      </c>
    </row>
    <row r="56" spans="22:22" x14ac:dyDescent="0.2">
      <c r="V56" s="1">
        <f t="shared" si="4"/>
        <v>47040</v>
      </c>
    </row>
    <row r="57" spans="22:22" x14ac:dyDescent="0.2">
      <c r="V57" s="1">
        <f t="shared" si="4"/>
        <v>47040</v>
      </c>
    </row>
    <row r="58" spans="22:22" x14ac:dyDescent="0.2">
      <c r="V58" s="1">
        <f t="shared" si="4"/>
        <v>47040</v>
      </c>
    </row>
    <row r="59" spans="22:22" x14ac:dyDescent="0.2">
      <c r="V59" s="1">
        <f t="shared" si="4"/>
        <v>47040</v>
      </c>
    </row>
    <row r="60" spans="22:22" x14ac:dyDescent="0.2">
      <c r="V60" s="1">
        <f t="shared" si="4"/>
        <v>47040</v>
      </c>
    </row>
    <row r="61" spans="22:22" x14ac:dyDescent="0.2">
      <c r="V61" s="1">
        <f t="shared" si="4"/>
        <v>47040</v>
      </c>
    </row>
    <row r="62" spans="22:22" x14ac:dyDescent="0.2">
      <c r="V62" s="1">
        <f t="shared" si="4"/>
        <v>47040</v>
      </c>
    </row>
    <row r="63" spans="22:22" x14ac:dyDescent="0.2">
      <c r="V63" s="1">
        <f t="shared" si="4"/>
        <v>47040</v>
      </c>
    </row>
    <row r="64" spans="22:22" x14ac:dyDescent="0.2">
      <c r="V64" s="1">
        <f t="shared" si="4"/>
        <v>47040</v>
      </c>
    </row>
    <row r="65" spans="22:22" x14ac:dyDescent="0.2">
      <c r="V65" s="1">
        <f t="shared" si="4"/>
        <v>47040</v>
      </c>
    </row>
    <row r="66" spans="22:22" x14ac:dyDescent="0.2">
      <c r="V66" s="1">
        <f t="shared" si="4"/>
        <v>47040</v>
      </c>
    </row>
    <row r="67" spans="22:22" x14ac:dyDescent="0.2">
      <c r="V67" s="1">
        <f t="shared" si="4"/>
        <v>47040</v>
      </c>
    </row>
    <row r="68" spans="22:22" x14ac:dyDescent="0.2">
      <c r="V68" s="1">
        <f t="shared" si="4"/>
        <v>47040</v>
      </c>
    </row>
    <row r="69" spans="22:22" x14ac:dyDescent="0.2">
      <c r="V69" s="1">
        <f t="shared" si="4"/>
        <v>47040</v>
      </c>
    </row>
    <row r="70" spans="22:22" x14ac:dyDescent="0.2">
      <c r="V70" s="1">
        <f t="shared" si="4"/>
        <v>47040</v>
      </c>
    </row>
    <row r="71" spans="22:22" x14ac:dyDescent="0.2">
      <c r="V71" s="1">
        <f t="shared" si="4"/>
        <v>47040</v>
      </c>
    </row>
    <row r="72" spans="22:22" x14ac:dyDescent="0.2">
      <c r="V72" s="1">
        <f t="shared" si="4"/>
        <v>47040</v>
      </c>
    </row>
    <row r="73" spans="22:22" x14ac:dyDescent="0.2">
      <c r="V73" s="1">
        <f t="shared" si="4"/>
        <v>47040</v>
      </c>
    </row>
    <row r="74" spans="22:22" x14ac:dyDescent="0.2">
      <c r="V74" s="1">
        <f t="shared" si="4"/>
        <v>47040</v>
      </c>
    </row>
    <row r="75" spans="22:22" x14ac:dyDescent="0.2">
      <c r="V75" s="1">
        <f t="shared" si="4"/>
        <v>47040</v>
      </c>
    </row>
    <row r="76" spans="22:22" x14ac:dyDescent="0.2">
      <c r="V76" s="1">
        <f t="shared" si="4"/>
        <v>47040</v>
      </c>
    </row>
    <row r="77" spans="22:22" x14ac:dyDescent="0.2">
      <c r="V77" s="1">
        <f t="shared" ref="V77:V117" si="20">V76</f>
        <v>47040</v>
      </c>
    </row>
    <row r="78" spans="22:22" x14ac:dyDescent="0.2">
      <c r="V78" s="1">
        <f t="shared" si="20"/>
        <v>47040</v>
      </c>
    </row>
    <row r="79" spans="22:22" x14ac:dyDescent="0.2">
      <c r="V79" s="1">
        <f t="shared" si="20"/>
        <v>47040</v>
      </c>
    </row>
    <row r="80" spans="22:22" x14ac:dyDescent="0.2">
      <c r="V80" s="1">
        <f t="shared" si="20"/>
        <v>47040</v>
      </c>
    </row>
    <row r="81" spans="22:22" x14ac:dyDescent="0.2">
      <c r="V81" s="1">
        <f t="shared" si="20"/>
        <v>47040</v>
      </c>
    </row>
    <row r="82" spans="22:22" x14ac:dyDescent="0.2">
      <c r="V82" s="1">
        <f t="shared" si="20"/>
        <v>47040</v>
      </c>
    </row>
    <row r="83" spans="22:22" x14ac:dyDescent="0.2">
      <c r="V83" s="1">
        <f t="shared" si="20"/>
        <v>47040</v>
      </c>
    </row>
    <row r="84" spans="22:22" x14ac:dyDescent="0.2">
      <c r="V84" s="1">
        <f t="shared" si="20"/>
        <v>47040</v>
      </c>
    </row>
    <row r="85" spans="22:22" x14ac:dyDescent="0.2">
      <c r="V85" s="1">
        <f t="shared" si="20"/>
        <v>47040</v>
      </c>
    </row>
    <row r="86" spans="22:22" x14ac:dyDescent="0.2">
      <c r="V86" s="1">
        <f t="shared" si="20"/>
        <v>47040</v>
      </c>
    </row>
    <row r="87" spans="22:22" x14ac:dyDescent="0.2">
      <c r="V87" s="1">
        <f t="shared" si="20"/>
        <v>47040</v>
      </c>
    </row>
    <row r="88" spans="22:22" x14ac:dyDescent="0.2">
      <c r="V88" s="1">
        <f t="shared" si="20"/>
        <v>47040</v>
      </c>
    </row>
    <row r="89" spans="22:22" x14ac:dyDescent="0.2">
      <c r="V89" s="1">
        <f t="shared" si="20"/>
        <v>47040</v>
      </c>
    </row>
    <row r="90" spans="22:22" x14ac:dyDescent="0.2">
      <c r="V90" s="1">
        <f t="shared" si="20"/>
        <v>47040</v>
      </c>
    </row>
    <row r="91" spans="22:22" x14ac:dyDescent="0.2">
      <c r="V91" s="1">
        <f t="shared" si="20"/>
        <v>47040</v>
      </c>
    </row>
    <row r="92" spans="22:22" x14ac:dyDescent="0.2">
      <c r="V92" s="1">
        <f t="shared" si="20"/>
        <v>47040</v>
      </c>
    </row>
    <row r="93" spans="22:22" x14ac:dyDescent="0.2">
      <c r="V93" s="1">
        <f t="shared" si="20"/>
        <v>47040</v>
      </c>
    </row>
    <row r="94" spans="22:22" x14ac:dyDescent="0.2">
      <c r="V94" s="1">
        <f t="shared" si="20"/>
        <v>47040</v>
      </c>
    </row>
    <row r="95" spans="22:22" x14ac:dyDescent="0.2">
      <c r="V95" s="1">
        <f t="shared" si="20"/>
        <v>47040</v>
      </c>
    </row>
    <row r="96" spans="22:22" x14ac:dyDescent="0.2">
      <c r="V96" s="1">
        <f t="shared" si="20"/>
        <v>47040</v>
      </c>
    </row>
    <row r="97" spans="22:22" x14ac:dyDescent="0.2">
      <c r="V97" s="1">
        <f t="shared" si="20"/>
        <v>47040</v>
      </c>
    </row>
    <row r="98" spans="22:22" x14ac:dyDescent="0.2">
      <c r="V98" s="1">
        <f t="shared" si="20"/>
        <v>47040</v>
      </c>
    </row>
    <row r="99" spans="22:22" x14ac:dyDescent="0.2">
      <c r="V99" s="1">
        <f t="shared" si="20"/>
        <v>47040</v>
      </c>
    </row>
    <row r="100" spans="22:22" x14ac:dyDescent="0.2">
      <c r="V100" s="1">
        <f t="shared" si="20"/>
        <v>47040</v>
      </c>
    </row>
    <row r="101" spans="22:22" x14ac:dyDescent="0.2">
      <c r="V101" s="1">
        <f t="shared" si="20"/>
        <v>47040</v>
      </c>
    </row>
    <row r="102" spans="22:22" x14ac:dyDescent="0.2">
      <c r="V102" s="1">
        <f t="shared" si="20"/>
        <v>47040</v>
      </c>
    </row>
    <row r="103" spans="22:22" x14ac:dyDescent="0.2">
      <c r="V103" s="1">
        <f t="shared" si="20"/>
        <v>47040</v>
      </c>
    </row>
    <row r="104" spans="22:22" x14ac:dyDescent="0.2">
      <c r="V104" s="1">
        <f t="shared" si="20"/>
        <v>47040</v>
      </c>
    </row>
    <row r="105" spans="22:22" x14ac:dyDescent="0.2">
      <c r="V105" s="1">
        <f t="shared" si="20"/>
        <v>47040</v>
      </c>
    </row>
    <row r="106" spans="22:22" x14ac:dyDescent="0.2">
      <c r="V106" s="1">
        <f t="shared" si="20"/>
        <v>47040</v>
      </c>
    </row>
    <row r="107" spans="22:22" x14ac:dyDescent="0.2">
      <c r="V107" s="1">
        <f t="shared" si="20"/>
        <v>47040</v>
      </c>
    </row>
    <row r="108" spans="22:22" x14ac:dyDescent="0.2">
      <c r="V108" s="1">
        <f t="shared" si="20"/>
        <v>47040</v>
      </c>
    </row>
    <row r="109" spans="22:22" x14ac:dyDescent="0.2">
      <c r="V109" s="1">
        <f t="shared" si="20"/>
        <v>47040</v>
      </c>
    </row>
    <row r="110" spans="22:22" x14ac:dyDescent="0.2">
      <c r="V110" s="1">
        <f t="shared" si="20"/>
        <v>47040</v>
      </c>
    </row>
    <row r="111" spans="22:22" x14ac:dyDescent="0.2">
      <c r="V111" s="1">
        <f t="shared" si="20"/>
        <v>47040</v>
      </c>
    </row>
    <row r="112" spans="22:22" x14ac:dyDescent="0.2">
      <c r="V112" s="1">
        <f t="shared" si="20"/>
        <v>47040</v>
      </c>
    </row>
    <row r="113" spans="22:22" x14ac:dyDescent="0.2">
      <c r="V113" s="1">
        <f t="shared" si="20"/>
        <v>47040</v>
      </c>
    </row>
    <row r="114" spans="22:22" x14ac:dyDescent="0.2">
      <c r="V114" s="1">
        <f t="shared" si="20"/>
        <v>47040</v>
      </c>
    </row>
    <row r="115" spans="22:22" x14ac:dyDescent="0.2">
      <c r="V115" s="1">
        <f t="shared" si="20"/>
        <v>47040</v>
      </c>
    </row>
    <row r="116" spans="22:22" x14ac:dyDescent="0.2">
      <c r="V116" s="1">
        <f t="shared" si="20"/>
        <v>47040</v>
      </c>
    </row>
    <row r="117" spans="22:22" x14ac:dyDescent="0.2">
      <c r="V117" s="1">
        <f t="shared" si="20"/>
        <v>47040</v>
      </c>
    </row>
  </sheetData>
  <sortState xmlns:xlrd2="http://schemas.microsoft.com/office/spreadsheetml/2017/richdata2" ref="C4:E11">
    <sortCondition ref="C4:C11"/>
  </sortState>
  <mergeCells count="2">
    <mergeCell ref="H11:N11"/>
    <mergeCell ref="F18:F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3077-5AC2-AD49-B2BE-27011E4AD5D0}">
  <dimension ref="A4:O36"/>
  <sheetViews>
    <sheetView zoomScale="92" zoomScaleNormal="140" workbookViewId="0">
      <selection activeCell="D21" sqref="D21"/>
    </sheetView>
  </sheetViews>
  <sheetFormatPr baseColWidth="10" defaultColWidth="8.83203125" defaultRowHeight="16" x14ac:dyDescent="0.2"/>
  <cols>
    <col min="2" max="2" width="11.5" bestFit="1" customWidth="1"/>
    <col min="3" max="3" width="11.6640625" bestFit="1" customWidth="1"/>
    <col min="4" max="4" width="11.5" bestFit="1" customWidth="1"/>
    <col min="5" max="5" width="10.83203125" bestFit="1" customWidth="1"/>
    <col min="6" max="6" width="13.5" customWidth="1"/>
    <col min="258" max="258" width="11.5" bestFit="1" customWidth="1"/>
    <col min="259" max="259" width="10.83203125" bestFit="1" customWidth="1"/>
    <col min="260" max="260" width="11.1640625" bestFit="1" customWidth="1"/>
    <col min="261" max="261" width="10.83203125" bestFit="1" customWidth="1"/>
    <col min="262" max="262" width="9.83203125" bestFit="1" customWidth="1"/>
    <col min="514" max="514" width="11.5" bestFit="1" customWidth="1"/>
    <col min="515" max="515" width="10.83203125" bestFit="1" customWidth="1"/>
    <col min="516" max="516" width="11.1640625" bestFit="1" customWidth="1"/>
    <col min="517" max="517" width="10.83203125" bestFit="1" customWidth="1"/>
    <col min="518" max="518" width="9.83203125" bestFit="1" customWidth="1"/>
    <col min="770" max="770" width="11.5" bestFit="1" customWidth="1"/>
    <col min="771" max="771" width="10.83203125" bestFit="1" customWidth="1"/>
    <col min="772" max="772" width="11.1640625" bestFit="1" customWidth="1"/>
    <col min="773" max="773" width="10.83203125" bestFit="1" customWidth="1"/>
    <col min="774" max="774" width="9.83203125" bestFit="1" customWidth="1"/>
    <col min="1026" max="1026" width="11.5" bestFit="1" customWidth="1"/>
    <col min="1027" max="1027" width="10.83203125" bestFit="1" customWidth="1"/>
    <col min="1028" max="1028" width="11.1640625" bestFit="1" customWidth="1"/>
    <col min="1029" max="1029" width="10.83203125" bestFit="1" customWidth="1"/>
    <col min="1030" max="1030" width="9.83203125" bestFit="1" customWidth="1"/>
    <col min="1282" max="1282" width="11.5" bestFit="1" customWidth="1"/>
    <col min="1283" max="1283" width="10.83203125" bestFit="1" customWidth="1"/>
    <col min="1284" max="1284" width="11.1640625" bestFit="1" customWidth="1"/>
    <col min="1285" max="1285" width="10.83203125" bestFit="1" customWidth="1"/>
    <col min="1286" max="1286" width="9.83203125" bestFit="1" customWidth="1"/>
    <col min="1538" max="1538" width="11.5" bestFit="1" customWidth="1"/>
    <col min="1539" max="1539" width="10.83203125" bestFit="1" customWidth="1"/>
    <col min="1540" max="1540" width="11.1640625" bestFit="1" customWidth="1"/>
    <col min="1541" max="1541" width="10.83203125" bestFit="1" customWidth="1"/>
    <col min="1542" max="1542" width="9.83203125" bestFit="1" customWidth="1"/>
    <col min="1794" max="1794" width="11.5" bestFit="1" customWidth="1"/>
    <col min="1795" max="1795" width="10.83203125" bestFit="1" customWidth="1"/>
    <col min="1796" max="1796" width="11.1640625" bestFit="1" customWidth="1"/>
    <col min="1797" max="1797" width="10.83203125" bestFit="1" customWidth="1"/>
    <col min="1798" max="1798" width="9.83203125" bestFit="1" customWidth="1"/>
    <col min="2050" max="2050" width="11.5" bestFit="1" customWidth="1"/>
    <col min="2051" max="2051" width="10.83203125" bestFit="1" customWidth="1"/>
    <col min="2052" max="2052" width="11.1640625" bestFit="1" customWidth="1"/>
    <col min="2053" max="2053" width="10.83203125" bestFit="1" customWidth="1"/>
    <col min="2054" max="2054" width="9.83203125" bestFit="1" customWidth="1"/>
    <col min="2306" max="2306" width="11.5" bestFit="1" customWidth="1"/>
    <col min="2307" max="2307" width="10.83203125" bestFit="1" customWidth="1"/>
    <col min="2308" max="2308" width="11.1640625" bestFit="1" customWidth="1"/>
    <col min="2309" max="2309" width="10.83203125" bestFit="1" customWidth="1"/>
    <col min="2310" max="2310" width="9.83203125" bestFit="1" customWidth="1"/>
    <col min="2562" max="2562" width="11.5" bestFit="1" customWidth="1"/>
    <col min="2563" max="2563" width="10.83203125" bestFit="1" customWidth="1"/>
    <col min="2564" max="2564" width="11.1640625" bestFit="1" customWidth="1"/>
    <col min="2565" max="2565" width="10.83203125" bestFit="1" customWidth="1"/>
    <col min="2566" max="2566" width="9.83203125" bestFit="1" customWidth="1"/>
    <col min="2818" max="2818" width="11.5" bestFit="1" customWidth="1"/>
    <col min="2819" max="2819" width="10.83203125" bestFit="1" customWidth="1"/>
    <col min="2820" max="2820" width="11.1640625" bestFit="1" customWidth="1"/>
    <col min="2821" max="2821" width="10.83203125" bestFit="1" customWidth="1"/>
    <col min="2822" max="2822" width="9.83203125" bestFit="1" customWidth="1"/>
    <col min="3074" max="3074" width="11.5" bestFit="1" customWidth="1"/>
    <col min="3075" max="3075" width="10.83203125" bestFit="1" customWidth="1"/>
    <col min="3076" max="3076" width="11.1640625" bestFit="1" customWidth="1"/>
    <col min="3077" max="3077" width="10.83203125" bestFit="1" customWidth="1"/>
    <col min="3078" max="3078" width="9.83203125" bestFit="1" customWidth="1"/>
    <col min="3330" max="3330" width="11.5" bestFit="1" customWidth="1"/>
    <col min="3331" max="3331" width="10.83203125" bestFit="1" customWidth="1"/>
    <col min="3332" max="3332" width="11.1640625" bestFit="1" customWidth="1"/>
    <col min="3333" max="3333" width="10.83203125" bestFit="1" customWidth="1"/>
    <col min="3334" max="3334" width="9.83203125" bestFit="1" customWidth="1"/>
    <col min="3586" max="3586" width="11.5" bestFit="1" customWidth="1"/>
    <col min="3587" max="3587" width="10.83203125" bestFit="1" customWidth="1"/>
    <col min="3588" max="3588" width="11.1640625" bestFit="1" customWidth="1"/>
    <col min="3589" max="3589" width="10.83203125" bestFit="1" customWidth="1"/>
    <col min="3590" max="3590" width="9.83203125" bestFit="1" customWidth="1"/>
    <col min="3842" max="3842" width="11.5" bestFit="1" customWidth="1"/>
    <col min="3843" max="3843" width="10.83203125" bestFit="1" customWidth="1"/>
    <col min="3844" max="3844" width="11.1640625" bestFit="1" customWidth="1"/>
    <col min="3845" max="3845" width="10.83203125" bestFit="1" customWidth="1"/>
    <col min="3846" max="3846" width="9.83203125" bestFit="1" customWidth="1"/>
    <col min="4098" max="4098" width="11.5" bestFit="1" customWidth="1"/>
    <col min="4099" max="4099" width="10.83203125" bestFit="1" customWidth="1"/>
    <col min="4100" max="4100" width="11.1640625" bestFit="1" customWidth="1"/>
    <col min="4101" max="4101" width="10.83203125" bestFit="1" customWidth="1"/>
    <col min="4102" max="4102" width="9.83203125" bestFit="1" customWidth="1"/>
    <col min="4354" max="4354" width="11.5" bestFit="1" customWidth="1"/>
    <col min="4355" max="4355" width="10.83203125" bestFit="1" customWidth="1"/>
    <col min="4356" max="4356" width="11.1640625" bestFit="1" customWidth="1"/>
    <col min="4357" max="4357" width="10.83203125" bestFit="1" customWidth="1"/>
    <col min="4358" max="4358" width="9.83203125" bestFit="1" customWidth="1"/>
    <col min="4610" max="4610" width="11.5" bestFit="1" customWidth="1"/>
    <col min="4611" max="4611" width="10.83203125" bestFit="1" customWidth="1"/>
    <col min="4612" max="4612" width="11.1640625" bestFit="1" customWidth="1"/>
    <col min="4613" max="4613" width="10.83203125" bestFit="1" customWidth="1"/>
    <col min="4614" max="4614" width="9.83203125" bestFit="1" customWidth="1"/>
    <col min="4866" max="4866" width="11.5" bestFit="1" customWidth="1"/>
    <col min="4867" max="4867" width="10.83203125" bestFit="1" customWidth="1"/>
    <col min="4868" max="4868" width="11.1640625" bestFit="1" customWidth="1"/>
    <col min="4869" max="4869" width="10.83203125" bestFit="1" customWidth="1"/>
    <col min="4870" max="4870" width="9.83203125" bestFit="1" customWidth="1"/>
    <col min="5122" max="5122" width="11.5" bestFit="1" customWidth="1"/>
    <col min="5123" max="5123" width="10.83203125" bestFit="1" customWidth="1"/>
    <col min="5124" max="5124" width="11.1640625" bestFit="1" customWidth="1"/>
    <col min="5125" max="5125" width="10.83203125" bestFit="1" customWidth="1"/>
    <col min="5126" max="5126" width="9.83203125" bestFit="1" customWidth="1"/>
    <col min="5378" max="5378" width="11.5" bestFit="1" customWidth="1"/>
    <col min="5379" max="5379" width="10.83203125" bestFit="1" customWidth="1"/>
    <col min="5380" max="5380" width="11.1640625" bestFit="1" customWidth="1"/>
    <col min="5381" max="5381" width="10.83203125" bestFit="1" customWidth="1"/>
    <col min="5382" max="5382" width="9.83203125" bestFit="1" customWidth="1"/>
    <col min="5634" max="5634" width="11.5" bestFit="1" customWidth="1"/>
    <col min="5635" max="5635" width="10.83203125" bestFit="1" customWidth="1"/>
    <col min="5636" max="5636" width="11.1640625" bestFit="1" customWidth="1"/>
    <col min="5637" max="5637" width="10.83203125" bestFit="1" customWidth="1"/>
    <col min="5638" max="5638" width="9.83203125" bestFit="1" customWidth="1"/>
    <col min="5890" max="5890" width="11.5" bestFit="1" customWidth="1"/>
    <col min="5891" max="5891" width="10.83203125" bestFit="1" customWidth="1"/>
    <col min="5892" max="5892" width="11.1640625" bestFit="1" customWidth="1"/>
    <col min="5893" max="5893" width="10.83203125" bestFit="1" customWidth="1"/>
    <col min="5894" max="5894" width="9.83203125" bestFit="1" customWidth="1"/>
    <col min="6146" max="6146" width="11.5" bestFit="1" customWidth="1"/>
    <col min="6147" max="6147" width="10.83203125" bestFit="1" customWidth="1"/>
    <col min="6148" max="6148" width="11.1640625" bestFit="1" customWidth="1"/>
    <col min="6149" max="6149" width="10.83203125" bestFit="1" customWidth="1"/>
    <col min="6150" max="6150" width="9.83203125" bestFit="1" customWidth="1"/>
    <col min="6402" max="6402" width="11.5" bestFit="1" customWidth="1"/>
    <col min="6403" max="6403" width="10.83203125" bestFit="1" customWidth="1"/>
    <col min="6404" max="6404" width="11.1640625" bestFit="1" customWidth="1"/>
    <col min="6405" max="6405" width="10.83203125" bestFit="1" customWidth="1"/>
    <col min="6406" max="6406" width="9.83203125" bestFit="1" customWidth="1"/>
    <col min="6658" max="6658" width="11.5" bestFit="1" customWidth="1"/>
    <col min="6659" max="6659" width="10.83203125" bestFit="1" customWidth="1"/>
    <col min="6660" max="6660" width="11.1640625" bestFit="1" customWidth="1"/>
    <col min="6661" max="6661" width="10.83203125" bestFit="1" customWidth="1"/>
    <col min="6662" max="6662" width="9.83203125" bestFit="1" customWidth="1"/>
    <col min="6914" max="6914" width="11.5" bestFit="1" customWidth="1"/>
    <col min="6915" max="6915" width="10.83203125" bestFit="1" customWidth="1"/>
    <col min="6916" max="6916" width="11.1640625" bestFit="1" customWidth="1"/>
    <col min="6917" max="6917" width="10.83203125" bestFit="1" customWidth="1"/>
    <col min="6918" max="6918" width="9.83203125" bestFit="1" customWidth="1"/>
    <col min="7170" max="7170" width="11.5" bestFit="1" customWidth="1"/>
    <col min="7171" max="7171" width="10.83203125" bestFit="1" customWidth="1"/>
    <col min="7172" max="7172" width="11.1640625" bestFit="1" customWidth="1"/>
    <col min="7173" max="7173" width="10.83203125" bestFit="1" customWidth="1"/>
    <col min="7174" max="7174" width="9.83203125" bestFit="1" customWidth="1"/>
    <col min="7426" max="7426" width="11.5" bestFit="1" customWidth="1"/>
    <col min="7427" max="7427" width="10.83203125" bestFit="1" customWidth="1"/>
    <col min="7428" max="7428" width="11.1640625" bestFit="1" customWidth="1"/>
    <col min="7429" max="7429" width="10.83203125" bestFit="1" customWidth="1"/>
    <col min="7430" max="7430" width="9.83203125" bestFit="1" customWidth="1"/>
    <col min="7682" max="7682" width="11.5" bestFit="1" customWidth="1"/>
    <col min="7683" max="7683" width="10.83203125" bestFit="1" customWidth="1"/>
    <col min="7684" max="7684" width="11.1640625" bestFit="1" customWidth="1"/>
    <col min="7685" max="7685" width="10.83203125" bestFit="1" customWidth="1"/>
    <col min="7686" max="7686" width="9.83203125" bestFit="1" customWidth="1"/>
    <col min="7938" max="7938" width="11.5" bestFit="1" customWidth="1"/>
    <col min="7939" max="7939" width="10.83203125" bestFit="1" customWidth="1"/>
    <col min="7940" max="7940" width="11.1640625" bestFit="1" customWidth="1"/>
    <col min="7941" max="7941" width="10.83203125" bestFit="1" customWidth="1"/>
    <col min="7942" max="7942" width="9.83203125" bestFit="1" customWidth="1"/>
    <col min="8194" max="8194" width="11.5" bestFit="1" customWidth="1"/>
    <col min="8195" max="8195" width="10.83203125" bestFit="1" customWidth="1"/>
    <col min="8196" max="8196" width="11.1640625" bestFit="1" customWidth="1"/>
    <col min="8197" max="8197" width="10.83203125" bestFit="1" customWidth="1"/>
    <col min="8198" max="8198" width="9.83203125" bestFit="1" customWidth="1"/>
    <col min="8450" max="8450" width="11.5" bestFit="1" customWidth="1"/>
    <col min="8451" max="8451" width="10.83203125" bestFit="1" customWidth="1"/>
    <col min="8452" max="8452" width="11.1640625" bestFit="1" customWidth="1"/>
    <col min="8453" max="8453" width="10.83203125" bestFit="1" customWidth="1"/>
    <col min="8454" max="8454" width="9.83203125" bestFit="1" customWidth="1"/>
    <col min="8706" max="8706" width="11.5" bestFit="1" customWidth="1"/>
    <col min="8707" max="8707" width="10.83203125" bestFit="1" customWidth="1"/>
    <col min="8708" max="8708" width="11.1640625" bestFit="1" customWidth="1"/>
    <col min="8709" max="8709" width="10.83203125" bestFit="1" customWidth="1"/>
    <col min="8710" max="8710" width="9.83203125" bestFit="1" customWidth="1"/>
    <col min="8962" max="8962" width="11.5" bestFit="1" customWidth="1"/>
    <col min="8963" max="8963" width="10.83203125" bestFit="1" customWidth="1"/>
    <col min="8964" max="8964" width="11.1640625" bestFit="1" customWidth="1"/>
    <col min="8965" max="8965" width="10.83203125" bestFit="1" customWidth="1"/>
    <col min="8966" max="8966" width="9.83203125" bestFit="1" customWidth="1"/>
    <col min="9218" max="9218" width="11.5" bestFit="1" customWidth="1"/>
    <col min="9219" max="9219" width="10.83203125" bestFit="1" customWidth="1"/>
    <col min="9220" max="9220" width="11.1640625" bestFit="1" customWidth="1"/>
    <col min="9221" max="9221" width="10.83203125" bestFit="1" customWidth="1"/>
    <col min="9222" max="9222" width="9.83203125" bestFit="1" customWidth="1"/>
    <col min="9474" max="9474" width="11.5" bestFit="1" customWidth="1"/>
    <col min="9475" max="9475" width="10.83203125" bestFit="1" customWidth="1"/>
    <col min="9476" max="9476" width="11.1640625" bestFit="1" customWidth="1"/>
    <col min="9477" max="9477" width="10.83203125" bestFit="1" customWidth="1"/>
    <col min="9478" max="9478" width="9.83203125" bestFit="1" customWidth="1"/>
    <col min="9730" max="9730" width="11.5" bestFit="1" customWidth="1"/>
    <col min="9731" max="9731" width="10.83203125" bestFit="1" customWidth="1"/>
    <col min="9732" max="9732" width="11.1640625" bestFit="1" customWidth="1"/>
    <col min="9733" max="9733" width="10.83203125" bestFit="1" customWidth="1"/>
    <col min="9734" max="9734" width="9.83203125" bestFit="1" customWidth="1"/>
    <col min="9986" max="9986" width="11.5" bestFit="1" customWidth="1"/>
    <col min="9987" max="9987" width="10.83203125" bestFit="1" customWidth="1"/>
    <col min="9988" max="9988" width="11.1640625" bestFit="1" customWidth="1"/>
    <col min="9989" max="9989" width="10.83203125" bestFit="1" customWidth="1"/>
    <col min="9990" max="9990" width="9.83203125" bestFit="1" customWidth="1"/>
    <col min="10242" max="10242" width="11.5" bestFit="1" customWidth="1"/>
    <col min="10243" max="10243" width="10.83203125" bestFit="1" customWidth="1"/>
    <col min="10244" max="10244" width="11.1640625" bestFit="1" customWidth="1"/>
    <col min="10245" max="10245" width="10.83203125" bestFit="1" customWidth="1"/>
    <col min="10246" max="10246" width="9.83203125" bestFit="1" customWidth="1"/>
    <col min="10498" max="10498" width="11.5" bestFit="1" customWidth="1"/>
    <col min="10499" max="10499" width="10.83203125" bestFit="1" customWidth="1"/>
    <col min="10500" max="10500" width="11.1640625" bestFit="1" customWidth="1"/>
    <col min="10501" max="10501" width="10.83203125" bestFit="1" customWidth="1"/>
    <col min="10502" max="10502" width="9.83203125" bestFit="1" customWidth="1"/>
    <col min="10754" max="10754" width="11.5" bestFit="1" customWidth="1"/>
    <col min="10755" max="10755" width="10.83203125" bestFit="1" customWidth="1"/>
    <col min="10756" max="10756" width="11.1640625" bestFit="1" customWidth="1"/>
    <col min="10757" max="10757" width="10.83203125" bestFit="1" customWidth="1"/>
    <col min="10758" max="10758" width="9.83203125" bestFit="1" customWidth="1"/>
    <col min="11010" max="11010" width="11.5" bestFit="1" customWidth="1"/>
    <col min="11011" max="11011" width="10.83203125" bestFit="1" customWidth="1"/>
    <col min="11012" max="11012" width="11.1640625" bestFit="1" customWidth="1"/>
    <col min="11013" max="11013" width="10.83203125" bestFit="1" customWidth="1"/>
    <col min="11014" max="11014" width="9.83203125" bestFit="1" customWidth="1"/>
    <col min="11266" max="11266" width="11.5" bestFit="1" customWidth="1"/>
    <col min="11267" max="11267" width="10.83203125" bestFit="1" customWidth="1"/>
    <col min="11268" max="11268" width="11.1640625" bestFit="1" customWidth="1"/>
    <col min="11269" max="11269" width="10.83203125" bestFit="1" customWidth="1"/>
    <col min="11270" max="11270" width="9.83203125" bestFit="1" customWidth="1"/>
    <col min="11522" max="11522" width="11.5" bestFit="1" customWidth="1"/>
    <col min="11523" max="11523" width="10.83203125" bestFit="1" customWidth="1"/>
    <col min="11524" max="11524" width="11.1640625" bestFit="1" customWidth="1"/>
    <col min="11525" max="11525" width="10.83203125" bestFit="1" customWidth="1"/>
    <col min="11526" max="11526" width="9.83203125" bestFit="1" customWidth="1"/>
    <col min="11778" max="11778" width="11.5" bestFit="1" customWidth="1"/>
    <col min="11779" max="11779" width="10.83203125" bestFit="1" customWidth="1"/>
    <col min="11780" max="11780" width="11.1640625" bestFit="1" customWidth="1"/>
    <col min="11781" max="11781" width="10.83203125" bestFit="1" customWidth="1"/>
    <col min="11782" max="11782" width="9.83203125" bestFit="1" customWidth="1"/>
    <col min="12034" max="12034" width="11.5" bestFit="1" customWidth="1"/>
    <col min="12035" max="12035" width="10.83203125" bestFit="1" customWidth="1"/>
    <col min="12036" max="12036" width="11.1640625" bestFit="1" customWidth="1"/>
    <col min="12037" max="12037" width="10.83203125" bestFit="1" customWidth="1"/>
    <col min="12038" max="12038" width="9.83203125" bestFit="1" customWidth="1"/>
    <col min="12290" max="12290" width="11.5" bestFit="1" customWidth="1"/>
    <col min="12291" max="12291" width="10.83203125" bestFit="1" customWidth="1"/>
    <col min="12292" max="12292" width="11.1640625" bestFit="1" customWidth="1"/>
    <col min="12293" max="12293" width="10.83203125" bestFit="1" customWidth="1"/>
    <col min="12294" max="12294" width="9.83203125" bestFit="1" customWidth="1"/>
    <col min="12546" max="12546" width="11.5" bestFit="1" customWidth="1"/>
    <col min="12547" max="12547" width="10.83203125" bestFit="1" customWidth="1"/>
    <col min="12548" max="12548" width="11.1640625" bestFit="1" customWidth="1"/>
    <col min="12549" max="12549" width="10.83203125" bestFit="1" customWidth="1"/>
    <col min="12550" max="12550" width="9.83203125" bestFit="1" customWidth="1"/>
    <col min="12802" max="12802" width="11.5" bestFit="1" customWidth="1"/>
    <col min="12803" max="12803" width="10.83203125" bestFit="1" customWidth="1"/>
    <col min="12804" max="12804" width="11.1640625" bestFit="1" customWidth="1"/>
    <col min="12805" max="12805" width="10.83203125" bestFit="1" customWidth="1"/>
    <col min="12806" max="12806" width="9.83203125" bestFit="1" customWidth="1"/>
    <col min="13058" max="13058" width="11.5" bestFit="1" customWidth="1"/>
    <col min="13059" max="13059" width="10.83203125" bestFit="1" customWidth="1"/>
    <col min="13060" max="13060" width="11.1640625" bestFit="1" customWidth="1"/>
    <col min="13061" max="13061" width="10.83203125" bestFit="1" customWidth="1"/>
    <col min="13062" max="13062" width="9.83203125" bestFit="1" customWidth="1"/>
    <col min="13314" max="13314" width="11.5" bestFit="1" customWidth="1"/>
    <col min="13315" max="13315" width="10.83203125" bestFit="1" customWidth="1"/>
    <col min="13316" max="13316" width="11.1640625" bestFit="1" customWidth="1"/>
    <col min="13317" max="13317" width="10.83203125" bestFit="1" customWidth="1"/>
    <col min="13318" max="13318" width="9.83203125" bestFit="1" customWidth="1"/>
    <col min="13570" max="13570" width="11.5" bestFit="1" customWidth="1"/>
    <col min="13571" max="13571" width="10.83203125" bestFit="1" customWidth="1"/>
    <col min="13572" max="13572" width="11.1640625" bestFit="1" customWidth="1"/>
    <col min="13573" max="13573" width="10.83203125" bestFit="1" customWidth="1"/>
    <col min="13574" max="13574" width="9.83203125" bestFit="1" customWidth="1"/>
    <col min="13826" max="13826" width="11.5" bestFit="1" customWidth="1"/>
    <col min="13827" max="13827" width="10.83203125" bestFit="1" customWidth="1"/>
    <col min="13828" max="13828" width="11.1640625" bestFit="1" customWidth="1"/>
    <col min="13829" max="13829" width="10.83203125" bestFit="1" customWidth="1"/>
    <col min="13830" max="13830" width="9.83203125" bestFit="1" customWidth="1"/>
    <col min="14082" max="14082" width="11.5" bestFit="1" customWidth="1"/>
    <col min="14083" max="14083" width="10.83203125" bestFit="1" customWidth="1"/>
    <col min="14084" max="14084" width="11.1640625" bestFit="1" customWidth="1"/>
    <col min="14085" max="14085" width="10.83203125" bestFit="1" customWidth="1"/>
    <col min="14086" max="14086" width="9.83203125" bestFit="1" customWidth="1"/>
    <col min="14338" max="14338" width="11.5" bestFit="1" customWidth="1"/>
    <col min="14339" max="14339" width="10.83203125" bestFit="1" customWidth="1"/>
    <col min="14340" max="14340" width="11.1640625" bestFit="1" customWidth="1"/>
    <col min="14341" max="14341" width="10.83203125" bestFit="1" customWidth="1"/>
    <col min="14342" max="14342" width="9.83203125" bestFit="1" customWidth="1"/>
    <col min="14594" max="14594" width="11.5" bestFit="1" customWidth="1"/>
    <col min="14595" max="14595" width="10.83203125" bestFit="1" customWidth="1"/>
    <col min="14596" max="14596" width="11.1640625" bestFit="1" customWidth="1"/>
    <col min="14597" max="14597" width="10.83203125" bestFit="1" customWidth="1"/>
    <col min="14598" max="14598" width="9.83203125" bestFit="1" customWidth="1"/>
    <col min="14850" max="14850" width="11.5" bestFit="1" customWidth="1"/>
    <col min="14851" max="14851" width="10.83203125" bestFit="1" customWidth="1"/>
    <col min="14852" max="14852" width="11.1640625" bestFit="1" customWidth="1"/>
    <col min="14853" max="14853" width="10.83203125" bestFit="1" customWidth="1"/>
    <col min="14854" max="14854" width="9.83203125" bestFit="1" customWidth="1"/>
    <col min="15106" max="15106" width="11.5" bestFit="1" customWidth="1"/>
    <col min="15107" max="15107" width="10.83203125" bestFit="1" customWidth="1"/>
    <col min="15108" max="15108" width="11.1640625" bestFit="1" customWidth="1"/>
    <col min="15109" max="15109" width="10.83203125" bestFit="1" customWidth="1"/>
    <col min="15110" max="15110" width="9.83203125" bestFit="1" customWidth="1"/>
    <col min="15362" max="15362" width="11.5" bestFit="1" customWidth="1"/>
    <col min="15363" max="15363" width="10.83203125" bestFit="1" customWidth="1"/>
    <col min="15364" max="15364" width="11.1640625" bestFit="1" customWidth="1"/>
    <col min="15365" max="15365" width="10.83203125" bestFit="1" customWidth="1"/>
    <col min="15366" max="15366" width="9.83203125" bestFit="1" customWidth="1"/>
    <col min="15618" max="15618" width="11.5" bestFit="1" customWidth="1"/>
    <col min="15619" max="15619" width="10.83203125" bestFit="1" customWidth="1"/>
    <col min="15620" max="15620" width="11.1640625" bestFit="1" customWidth="1"/>
    <col min="15621" max="15621" width="10.83203125" bestFit="1" customWidth="1"/>
    <col min="15622" max="15622" width="9.83203125" bestFit="1" customWidth="1"/>
    <col min="15874" max="15874" width="11.5" bestFit="1" customWidth="1"/>
    <col min="15875" max="15875" width="10.83203125" bestFit="1" customWidth="1"/>
    <col min="15876" max="15876" width="11.1640625" bestFit="1" customWidth="1"/>
    <col min="15877" max="15877" width="10.83203125" bestFit="1" customWidth="1"/>
    <col min="15878" max="15878" width="9.83203125" bestFit="1" customWidth="1"/>
    <col min="16130" max="16130" width="11.5" bestFit="1" customWidth="1"/>
    <col min="16131" max="16131" width="10.83203125" bestFit="1" customWidth="1"/>
    <col min="16132" max="16132" width="11.1640625" bestFit="1" customWidth="1"/>
    <col min="16133" max="16133" width="10.83203125" bestFit="1" customWidth="1"/>
    <col min="16134" max="16134" width="9.83203125" bestFit="1" customWidth="1"/>
  </cols>
  <sheetData>
    <row r="4" spans="1:11" x14ac:dyDescent="0.2">
      <c r="F4" t="s">
        <v>110</v>
      </c>
    </row>
    <row r="5" spans="1:11" x14ac:dyDescent="0.2">
      <c r="E5" t="s">
        <v>67</v>
      </c>
      <c r="F5" s="1" t="s">
        <v>68</v>
      </c>
      <c r="H5" t="s">
        <v>69</v>
      </c>
    </row>
    <row r="6" spans="1:11" x14ac:dyDescent="0.2">
      <c r="D6" t="s">
        <v>70</v>
      </c>
    </row>
    <row r="8" spans="1:11" x14ac:dyDescent="0.2">
      <c r="D8" s="36" t="s">
        <v>71</v>
      </c>
      <c r="E8" s="36"/>
      <c r="H8" s="37" t="s">
        <v>67</v>
      </c>
      <c r="I8" s="37"/>
      <c r="J8" s="1" t="s">
        <v>68</v>
      </c>
      <c r="K8" t="s">
        <v>72</v>
      </c>
    </row>
    <row r="9" spans="1:11" x14ac:dyDescent="0.2">
      <c r="C9" t="s">
        <v>73</v>
      </c>
      <c r="D9" s="15" t="s">
        <v>74</v>
      </c>
      <c r="E9" s="15" t="s">
        <v>75</v>
      </c>
      <c r="F9" t="s">
        <v>76</v>
      </c>
      <c r="H9" s="1" t="s">
        <v>77</v>
      </c>
      <c r="I9" s="1" t="s">
        <v>78</v>
      </c>
      <c r="J9" s="1" t="s">
        <v>78</v>
      </c>
    </row>
    <row r="10" spans="1:11" x14ac:dyDescent="0.2">
      <c r="A10" s="16" t="s">
        <v>79</v>
      </c>
      <c r="B10" s="12">
        <v>250000</v>
      </c>
      <c r="C10">
        <v>0</v>
      </c>
      <c r="D10" s="15"/>
      <c r="E10" s="15"/>
      <c r="F10" s="12">
        <f>B10</f>
        <v>250000</v>
      </c>
      <c r="G10" t="s">
        <v>91</v>
      </c>
      <c r="H10" s="1"/>
      <c r="I10" s="17">
        <v>0</v>
      </c>
      <c r="J10" s="17">
        <v>0</v>
      </c>
      <c r="K10" s="1"/>
    </row>
    <row r="11" spans="1:11" x14ac:dyDescent="0.2">
      <c r="A11" s="16"/>
      <c r="B11" s="14">
        <f>'EC 00'!V6</f>
        <v>0.13523301021372847</v>
      </c>
      <c r="C11">
        <v>1</v>
      </c>
      <c r="D11" s="18">
        <f>$B$12-E11</f>
        <v>13231.747446567198</v>
      </c>
      <c r="E11" s="19">
        <f>B11*F10</f>
        <v>33808.252553432118</v>
      </c>
      <c r="F11" s="20">
        <f>F10-D11</f>
        <v>236768.2525534328</v>
      </c>
      <c r="G11" s="20">
        <f>D11+E11</f>
        <v>47039.999999999316</v>
      </c>
      <c r="H11" s="1">
        <f>$B$11/(((1+$B$11)^($C$20-C10)-1))</f>
        <v>5.292698978626878E-2</v>
      </c>
      <c r="I11" s="21">
        <f>H11*F10</f>
        <v>13231.747446567195</v>
      </c>
      <c r="J11" s="17">
        <f>$B$11*F10</f>
        <v>33808.252553432118</v>
      </c>
      <c r="K11" s="17">
        <f>I11+J11</f>
        <v>47039.999999999316</v>
      </c>
    </row>
    <row r="12" spans="1:11" x14ac:dyDescent="0.2">
      <c r="A12" s="16" t="s">
        <v>80</v>
      </c>
      <c r="B12" s="22">
        <f>-PMT(B11,10,B10)</f>
        <v>47039.999999999316</v>
      </c>
      <c r="C12">
        <v>2</v>
      </c>
      <c r="D12" s="18">
        <f t="shared" ref="D12:D20" si="0">$B$12-E12</f>
        <v>15021.116484154296</v>
      </c>
      <c r="E12" s="19">
        <f t="shared" ref="E12:E20" si="1">F11*$B$11</f>
        <v>32018.88351584502</v>
      </c>
      <c r="F12" s="20">
        <f t="shared" ref="F12:F20" si="2">F11-D12</f>
        <v>221747.13606927849</v>
      </c>
      <c r="G12" s="20">
        <f t="shared" ref="G12:G20" si="3">D12+E12</f>
        <v>47039.999999999316</v>
      </c>
      <c r="H12" s="1">
        <f t="shared" ref="H12:H20" si="4">$B$11/(((1+$B$11)^($C$20-C11)-1))</f>
        <v>6.3442274553951836E-2</v>
      </c>
      <c r="I12" s="21">
        <f t="shared" ref="I12:I20" si="5">H12*F11</f>
        <v>15021.116484154292</v>
      </c>
      <c r="J12" s="17">
        <f>$B$11*F11</f>
        <v>32018.88351584502</v>
      </c>
      <c r="K12" s="17">
        <f t="shared" ref="K12:K20" si="6">I12+J12</f>
        <v>47039.999999999316</v>
      </c>
    </row>
    <row r="13" spans="1:11" x14ac:dyDescent="0.2">
      <c r="C13">
        <v>3</v>
      </c>
      <c r="D13" s="18">
        <f t="shared" si="0"/>
        <v>17052.467283077542</v>
      </c>
      <c r="E13" s="19">
        <f t="shared" si="1"/>
        <v>29987.532716921774</v>
      </c>
      <c r="F13" s="20">
        <f t="shared" si="2"/>
        <v>204694.66878620096</v>
      </c>
      <c r="G13" s="20">
        <f t="shared" si="3"/>
        <v>47039.999999999316</v>
      </c>
      <c r="H13" s="1">
        <f t="shared" si="4"/>
        <v>7.6900507421886075E-2</v>
      </c>
      <c r="I13" s="21">
        <f t="shared" si="5"/>
        <v>17052.467283077531</v>
      </c>
      <c r="J13" s="17">
        <f t="shared" ref="J13:J20" si="7">$B$11*F12</f>
        <v>29987.532716921774</v>
      </c>
      <c r="K13" s="17">
        <f t="shared" si="6"/>
        <v>47039.999999999302</v>
      </c>
    </row>
    <row r="14" spans="1:11" x14ac:dyDescent="0.2">
      <c r="C14">
        <v>4</v>
      </c>
      <c r="D14" s="18">
        <f t="shared" si="0"/>
        <v>19358.523765339236</v>
      </c>
      <c r="E14" s="19">
        <f t="shared" si="1"/>
        <v>27681.47623466008</v>
      </c>
      <c r="F14" s="20">
        <f t="shared" si="2"/>
        <v>185336.14502086173</v>
      </c>
      <c r="G14" s="20">
        <f t="shared" si="3"/>
        <v>47039.999999999316</v>
      </c>
      <c r="H14" s="1">
        <f t="shared" si="4"/>
        <v>9.4572681741695863E-2</v>
      </c>
      <c r="I14" s="21">
        <f t="shared" si="5"/>
        <v>19358.523765339229</v>
      </c>
      <c r="J14" s="17">
        <f t="shared" si="7"/>
        <v>27681.47623466008</v>
      </c>
      <c r="K14" s="17">
        <f t="shared" si="6"/>
        <v>47039.999999999309</v>
      </c>
    </row>
    <row r="15" spans="1:11" x14ac:dyDescent="0.2">
      <c r="C15">
        <v>5</v>
      </c>
      <c r="D15" s="18">
        <f t="shared" si="0"/>
        <v>21976.435207420061</v>
      </c>
      <c r="E15" s="19">
        <f t="shared" si="1"/>
        <v>25063.564792579255</v>
      </c>
      <c r="F15" s="20">
        <f t="shared" si="2"/>
        <v>163359.70981344167</v>
      </c>
      <c r="G15" s="20">
        <f t="shared" si="3"/>
        <v>47039.999999999316</v>
      </c>
      <c r="H15" s="1">
        <f t="shared" si="4"/>
        <v>0.11857608889483674</v>
      </c>
      <c r="I15" s="21">
        <f t="shared" si="5"/>
        <v>21976.435207420054</v>
      </c>
      <c r="J15" s="17">
        <f t="shared" si="7"/>
        <v>25063.564792579255</v>
      </c>
      <c r="K15" s="17">
        <f t="shared" si="6"/>
        <v>47039.999999999309</v>
      </c>
    </row>
    <row r="16" spans="1:11" x14ac:dyDescent="0.2">
      <c r="C16">
        <v>6</v>
      </c>
      <c r="D16" s="18">
        <f t="shared" si="0"/>
        <v>24948.374694286438</v>
      </c>
      <c r="E16" s="19">
        <f t="shared" si="1"/>
        <v>22091.625305712878</v>
      </c>
      <c r="F16" s="20">
        <f t="shared" si="2"/>
        <v>138411.33511915524</v>
      </c>
      <c r="G16" s="20">
        <f t="shared" si="3"/>
        <v>47039.999999999316</v>
      </c>
      <c r="H16" s="1">
        <f t="shared" si="4"/>
        <v>0.15272048856341452</v>
      </c>
      <c r="I16" s="21">
        <f t="shared" si="5"/>
        <v>24948.374694286435</v>
      </c>
      <c r="J16" s="17">
        <f>$B$11*F15</f>
        <v>22091.625305712878</v>
      </c>
      <c r="K16" s="17">
        <f t="shared" si="6"/>
        <v>47039.999999999316</v>
      </c>
    </row>
    <row r="17" spans="2:15" x14ac:dyDescent="0.2">
      <c r="C17">
        <v>7</v>
      </c>
      <c r="D17" s="18">
        <f t="shared" si="0"/>
        <v>28322.218504134802</v>
      </c>
      <c r="E17" s="19">
        <f t="shared" si="1"/>
        <v>18717.781495864514</v>
      </c>
      <c r="F17" s="20">
        <f t="shared" si="2"/>
        <v>110089.11661502044</v>
      </c>
      <c r="G17" s="20">
        <f t="shared" si="3"/>
        <v>47039.999999999316</v>
      </c>
      <c r="H17" s="1">
        <f t="shared" si="4"/>
        <v>0.20462354820689235</v>
      </c>
      <c r="I17" s="21">
        <f t="shared" si="5"/>
        <v>28322.218504134795</v>
      </c>
      <c r="J17" s="17">
        <f t="shared" si="7"/>
        <v>18717.781495864514</v>
      </c>
      <c r="K17" s="17">
        <f t="shared" si="6"/>
        <v>47039.999999999309</v>
      </c>
    </row>
    <row r="18" spans="2:15" x14ac:dyDescent="0.2">
      <c r="C18">
        <v>8</v>
      </c>
      <c r="D18" s="18">
        <f t="shared" si="0"/>
        <v>32152.31736837991</v>
      </c>
      <c r="E18" s="19">
        <f t="shared" si="1"/>
        <v>14887.682631619404</v>
      </c>
      <c r="F18" s="20">
        <f t="shared" si="2"/>
        <v>77936.799246640527</v>
      </c>
      <c r="G18" s="20">
        <f t="shared" si="3"/>
        <v>47039.999999999316</v>
      </c>
      <c r="H18" s="1">
        <f t="shared" si="4"/>
        <v>0.29205718382513651</v>
      </c>
      <c r="I18" s="21">
        <f t="shared" si="5"/>
        <v>32152.317368379914</v>
      </c>
      <c r="J18" s="17">
        <f t="shared" si="7"/>
        <v>14887.682631619404</v>
      </c>
      <c r="K18" s="17">
        <f t="shared" si="6"/>
        <v>47039.999999999316</v>
      </c>
    </row>
    <row r="19" spans="2:15" x14ac:dyDescent="0.2">
      <c r="C19">
        <v>9</v>
      </c>
      <c r="D19" s="18">
        <f t="shared" si="0"/>
        <v>36500.372031453073</v>
      </c>
      <c r="E19" s="19">
        <f t="shared" si="1"/>
        <v>10539.627968546243</v>
      </c>
      <c r="F19" s="20">
        <f t="shared" si="2"/>
        <v>41436.427215187454</v>
      </c>
      <c r="G19" s="20">
        <f t="shared" si="3"/>
        <v>47039.999999999316</v>
      </c>
      <c r="H19" s="1">
        <f t="shared" si="4"/>
        <v>0.46833296189061063</v>
      </c>
      <c r="I19" s="21">
        <f t="shared" si="5"/>
        <v>36500.372031453073</v>
      </c>
      <c r="J19" s="17">
        <f t="shared" si="7"/>
        <v>10539.627968546243</v>
      </c>
      <c r="K19" s="17">
        <f t="shared" si="6"/>
        <v>47039.999999999316</v>
      </c>
    </row>
    <row r="20" spans="2:15" x14ac:dyDescent="0.2">
      <c r="C20">
        <v>10</v>
      </c>
      <c r="D20" s="18">
        <f t="shared" si="0"/>
        <v>41436.427215187454</v>
      </c>
      <c r="E20" s="19">
        <f t="shared" si="1"/>
        <v>5603.5727848118613</v>
      </c>
      <c r="F20" s="20">
        <f t="shared" si="2"/>
        <v>0</v>
      </c>
      <c r="G20" s="20">
        <f t="shared" si="3"/>
        <v>47039.999999999316</v>
      </c>
      <c r="H20" s="1">
        <f t="shared" si="4"/>
        <v>1</v>
      </c>
      <c r="I20" s="21">
        <f t="shared" si="5"/>
        <v>41436.427215187454</v>
      </c>
      <c r="J20" s="17">
        <f t="shared" si="7"/>
        <v>5603.5727848118613</v>
      </c>
      <c r="K20" s="17">
        <f t="shared" si="6"/>
        <v>47039.999999999316</v>
      </c>
    </row>
    <row r="21" spans="2:15" x14ac:dyDescent="0.2">
      <c r="D21" s="23">
        <f>SUM(D11:D20)</f>
        <v>250000</v>
      </c>
    </row>
    <row r="23" spans="2:15" x14ac:dyDescent="0.2">
      <c r="F23" t="s">
        <v>81</v>
      </c>
      <c r="H23" s="23">
        <f>D11</f>
        <v>13231.747446567198</v>
      </c>
      <c r="I23" t="s">
        <v>82</v>
      </c>
    </row>
    <row r="24" spans="2:15" x14ac:dyDescent="0.2">
      <c r="F24" t="s">
        <v>83</v>
      </c>
    </row>
    <row r="25" spans="2:15" ht="12" customHeight="1" x14ac:dyDescent="0.2">
      <c r="F25" s="38" t="s">
        <v>84</v>
      </c>
      <c r="G25" s="38"/>
      <c r="H25" s="38"/>
      <c r="I25" s="38"/>
      <c r="J25" s="38"/>
      <c r="K25" s="38"/>
      <c r="L25" s="38"/>
      <c r="M25" s="38"/>
      <c r="N25" s="38"/>
      <c r="O25" s="38"/>
    </row>
    <row r="28" spans="2:15" x14ac:dyDescent="0.2">
      <c r="F28" t="s">
        <v>85</v>
      </c>
    </row>
    <row r="29" spans="2:15" x14ac:dyDescent="0.2">
      <c r="B29" t="s">
        <v>86</v>
      </c>
      <c r="C29" s="21">
        <v>250000</v>
      </c>
      <c r="D29" s="21"/>
      <c r="F29" t="s">
        <v>87</v>
      </c>
    </row>
    <row r="30" spans="2:15" x14ac:dyDescent="0.2">
      <c r="B30" t="s">
        <v>52</v>
      </c>
      <c r="C30" s="21">
        <f>'EC 00'!R26</f>
        <v>47040</v>
      </c>
      <c r="D30" s="21"/>
    </row>
    <row r="31" spans="2:15" x14ac:dyDescent="0.2">
      <c r="B31" t="s">
        <v>54</v>
      </c>
      <c r="C31" s="21">
        <f>'EC 00'!D22</f>
        <v>25000</v>
      </c>
      <c r="D31" s="21"/>
    </row>
    <row r="32" spans="2:15" x14ac:dyDescent="0.2">
      <c r="B32" t="s">
        <v>55</v>
      </c>
      <c r="C32" s="21">
        <f>C30-C31</f>
        <v>22040</v>
      </c>
      <c r="D32" s="21"/>
    </row>
    <row r="33" spans="2:4" x14ac:dyDescent="0.2">
      <c r="B33" t="s">
        <v>88</v>
      </c>
      <c r="C33" s="21">
        <f>C32*0.3</f>
        <v>6612</v>
      </c>
      <c r="D33" s="21"/>
    </row>
    <row r="34" spans="2:4" x14ac:dyDescent="0.2">
      <c r="B34" t="s">
        <v>89</v>
      </c>
      <c r="C34" s="21">
        <f>C32-C33</f>
        <v>15428</v>
      </c>
      <c r="D34" s="21"/>
    </row>
    <row r="35" spans="2:4" x14ac:dyDescent="0.2">
      <c r="B35" t="s">
        <v>90</v>
      </c>
      <c r="C35" s="21">
        <f>C31</f>
        <v>25000</v>
      </c>
      <c r="D35" s="24"/>
    </row>
    <row r="36" spans="2:4" x14ac:dyDescent="0.2">
      <c r="B36" t="s">
        <v>47</v>
      </c>
      <c r="C36" s="6">
        <f>C34/C29</f>
        <v>6.1712000000000003E-2</v>
      </c>
      <c r="D36" s="21"/>
    </row>
  </sheetData>
  <mergeCells count="3">
    <mergeCell ref="D8:E8"/>
    <mergeCell ref="H8:I8"/>
    <mergeCell ref="F25:O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F85F6-E1BC-B342-84D5-89A4F796680B}">
  <dimension ref="D4:R37"/>
  <sheetViews>
    <sheetView tabSelected="1" topLeftCell="A3" zoomScale="193" workbookViewId="0">
      <selection activeCell="L9" sqref="L9"/>
    </sheetView>
  </sheetViews>
  <sheetFormatPr baseColWidth="10" defaultRowHeight="16" x14ac:dyDescent="0.2"/>
  <cols>
    <col min="4" max="4" width="27.5" bestFit="1" customWidth="1"/>
    <col min="11" max="11" width="13.1640625" bestFit="1" customWidth="1"/>
    <col min="12" max="12" width="15" customWidth="1"/>
    <col min="13" max="13" width="10.83203125" style="33"/>
  </cols>
  <sheetData>
    <row r="4" spans="4:16" x14ac:dyDescent="0.2">
      <c r="E4" t="s">
        <v>128</v>
      </c>
    </row>
    <row r="6" spans="4:16" x14ac:dyDescent="0.2">
      <c r="L6" s="33"/>
      <c r="M6" s="33" t="s">
        <v>130</v>
      </c>
      <c r="N6" s="33"/>
      <c r="O6" s="33"/>
      <c r="P6" s="33"/>
    </row>
    <row r="7" spans="4:16" x14ac:dyDescent="0.2">
      <c r="E7" t="s">
        <v>116</v>
      </c>
      <c r="G7" s="14">
        <v>1</v>
      </c>
      <c r="L7" s="33"/>
      <c r="M7" s="33">
        <v>20</v>
      </c>
      <c r="N7" s="33">
        <v>30</v>
      </c>
      <c r="O7" s="33">
        <v>40</v>
      </c>
      <c r="P7" s="33">
        <v>50</v>
      </c>
    </row>
    <row r="8" spans="4:16" x14ac:dyDescent="0.2">
      <c r="E8" t="s">
        <v>117</v>
      </c>
      <c r="G8" s="14">
        <v>0.23</v>
      </c>
      <c r="L8" s="33" t="s">
        <v>131</v>
      </c>
      <c r="M8"/>
    </row>
    <row r="9" spans="4:16" x14ac:dyDescent="0.2">
      <c r="E9" t="s">
        <v>119</v>
      </c>
      <c r="G9" s="14">
        <v>0.05</v>
      </c>
      <c r="L9" s="33">
        <v>50</v>
      </c>
      <c r="M9" s="6">
        <f>M$7/$L9</f>
        <v>0.4</v>
      </c>
      <c r="N9" s="6">
        <f>N$7/$L9</f>
        <v>0.6</v>
      </c>
      <c r="O9" s="6">
        <f>O$7/$L9</f>
        <v>0.8</v>
      </c>
      <c r="P9" s="6">
        <f>P$7/$L9</f>
        <v>1</v>
      </c>
    </row>
    <row r="10" spans="4:16" x14ac:dyDescent="0.2">
      <c r="D10" t="s">
        <v>122</v>
      </c>
      <c r="E10" t="s">
        <v>118</v>
      </c>
      <c r="F10" t="s">
        <v>126</v>
      </c>
      <c r="G10" s="14">
        <v>0.3</v>
      </c>
      <c r="L10" s="33">
        <v>100</v>
      </c>
      <c r="M10" s="6">
        <f>$M$7/$L10</f>
        <v>0.2</v>
      </c>
      <c r="N10" s="6">
        <f>N$7/$L10</f>
        <v>0.3</v>
      </c>
      <c r="O10" s="6">
        <f>O$7/$L10</f>
        <v>0.4</v>
      </c>
      <c r="P10" s="6">
        <f>P$7/$L10</f>
        <v>0.5</v>
      </c>
    </row>
    <row r="11" spans="4:16" x14ac:dyDescent="0.2">
      <c r="D11" t="s">
        <v>121</v>
      </c>
      <c r="E11" t="s">
        <v>120</v>
      </c>
      <c r="G11" s="14"/>
      <c r="L11" s="33">
        <f>L10+50</f>
        <v>150</v>
      </c>
      <c r="M11" s="6">
        <f>$M$7/$L11</f>
        <v>0.13333333333333333</v>
      </c>
      <c r="N11" s="6">
        <f>N$7/$L11</f>
        <v>0.2</v>
      </c>
      <c r="O11" s="6">
        <f>O$7/$L11</f>
        <v>0.26666666666666666</v>
      </c>
      <c r="P11" s="6">
        <f>P$7/$L11</f>
        <v>0.33333333333333331</v>
      </c>
    </row>
    <row r="12" spans="4:16" x14ac:dyDescent="0.2">
      <c r="E12" t="s">
        <v>123</v>
      </c>
      <c r="G12" s="14">
        <f>G7-G8-G9-G10</f>
        <v>0.42</v>
      </c>
      <c r="L12" s="33">
        <f t="shared" ref="L12:L16" si="0">L11+50</f>
        <v>200</v>
      </c>
      <c r="M12" s="6">
        <f>$M$7/$L12</f>
        <v>0.1</v>
      </c>
      <c r="N12" s="6">
        <f>N$7/$L12</f>
        <v>0.15</v>
      </c>
      <c r="O12" s="6">
        <f>O$7/$L12</f>
        <v>0.2</v>
      </c>
      <c r="P12" s="6">
        <f>P$7/$L12</f>
        <v>0.25</v>
      </c>
    </row>
    <row r="13" spans="4:16" x14ac:dyDescent="0.2">
      <c r="E13" t="s">
        <v>124</v>
      </c>
      <c r="G13" s="14"/>
      <c r="L13" s="33">
        <f t="shared" si="0"/>
        <v>250</v>
      </c>
      <c r="M13" s="6">
        <f>$M$7/$L13</f>
        <v>0.08</v>
      </c>
      <c r="N13" s="6">
        <f>N$7/$L13</f>
        <v>0.12</v>
      </c>
      <c r="O13" s="6">
        <f>O$7/$L13</f>
        <v>0.16</v>
      </c>
      <c r="P13" s="6">
        <f>P$7/$L13</f>
        <v>0.2</v>
      </c>
    </row>
    <row r="14" spans="4:16" x14ac:dyDescent="0.2">
      <c r="L14" s="33">
        <f t="shared" si="0"/>
        <v>300</v>
      </c>
      <c r="M14" s="6">
        <f>$M$7/$L14</f>
        <v>6.6666666666666666E-2</v>
      </c>
      <c r="N14" s="6">
        <f>N$7/$L14</f>
        <v>0.1</v>
      </c>
      <c r="O14" s="6">
        <f>O$7/$L14</f>
        <v>0.13333333333333333</v>
      </c>
      <c r="P14" s="6">
        <f>P$7/$L14</f>
        <v>0.16666666666666666</v>
      </c>
    </row>
    <row r="15" spans="4:16" x14ac:dyDescent="0.2">
      <c r="L15" s="33">
        <f t="shared" si="0"/>
        <v>350</v>
      </c>
      <c r="M15" s="6">
        <f>$M$7/$L15</f>
        <v>5.7142857142857141E-2</v>
      </c>
      <c r="N15" s="6">
        <f>N$7/$L15</f>
        <v>8.5714285714285715E-2</v>
      </c>
      <c r="O15" s="6">
        <f>O$7/$L15</f>
        <v>0.11428571428571428</v>
      </c>
      <c r="P15" s="6">
        <f>P$7/$L15</f>
        <v>0.14285714285714285</v>
      </c>
    </row>
    <row r="16" spans="4:16" x14ac:dyDescent="0.2">
      <c r="E16" t="s">
        <v>41</v>
      </c>
      <c r="G16" s="12">
        <f>30000/(1-G12)</f>
        <v>51724.137931034478</v>
      </c>
      <c r="H16" t="s">
        <v>129</v>
      </c>
      <c r="L16" s="33">
        <f t="shared" si="0"/>
        <v>400</v>
      </c>
      <c r="M16" s="6">
        <f>$M$7/$L16</f>
        <v>0.05</v>
      </c>
      <c r="N16" s="6">
        <f>N$7/$L16</f>
        <v>7.4999999999999997E-2</v>
      </c>
      <c r="O16" s="6">
        <f>O$7/$L16</f>
        <v>0.1</v>
      </c>
      <c r="P16" s="6">
        <f>P$7/$L16</f>
        <v>0.125</v>
      </c>
    </row>
    <row r="17" spans="5:18" x14ac:dyDescent="0.2">
      <c r="L17" s="33"/>
      <c r="M17" s="6"/>
    </row>
    <row r="19" spans="5:18" x14ac:dyDescent="0.2">
      <c r="E19" s="3" t="s">
        <v>127</v>
      </c>
      <c r="F19" s="3"/>
      <c r="G19" s="3"/>
      <c r="H19" s="3"/>
      <c r="M19" s="33" t="s">
        <v>40</v>
      </c>
    </row>
    <row r="20" spans="5:18" x14ac:dyDescent="0.2">
      <c r="N20" s="33" t="s">
        <v>120</v>
      </c>
    </row>
    <row r="21" spans="5:18" x14ac:dyDescent="0.2">
      <c r="N21" s="33">
        <v>20</v>
      </c>
      <c r="O21" s="33">
        <v>30</v>
      </c>
      <c r="P21" s="33">
        <v>40</v>
      </c>
      <c r="Q21" s="33">
        <v>50</v>
      </c>
    </row>
    <row r="22" spans="5:18" x14ac:dyDescent="0.2">
      <c r="M22" s="33" t="s">
        <v>125</v>
      </c>
    </row>
    <row r="23" spans="5:18" x14ac:dyDescent="0.2">
      <c r="M23" s="33">
        <v>50</v>
      </c>
      <c r="N23" s="41">
        <f>$G$12-M9</f>
        <v>1.9999999999999962E-2</v>
      </c>
      <c r="O23" s="39">
        <f>$G$12-N9</f>
        <v>-0.18</v>
      </c>
      <c r="P23" s="39">
        <f>$G$12-O9</f>
        <v>-0.38000000000000006</v>
      </c>
      <c r="Q23" s="39">
        <f>$G$12-P9</f>
        <v>-0.58000000000000007</v>
      </c>
    </row>
    <row r="24" spans="5:18" x14ac:dyDescent="0.2">
      <c r="M24" s="33">
        <v>100</v>
      </c>
      <c r="N24" s="40">
        <f>$G$12-M10</f>
        <v>0.21999999999999997</v>
      </c>
      <c r="O24" s="40">
        <f>$G$12-N10</f>
        <v>0.12</v>
      </c>
      <c r="P24" s="39">
        <f>$G$12-O10</f>
        <v>1.9999999999999962E-2</v>
      </c>
      <c r="Q24" s="39">
        <f>$G$12-P10</f>
        <v>-8.0000000000000016E-2</v>
      </c>
    </row>
    <row r="25" spans="5:18" x14ac:dyDescent="0.2">
      <c r="M25" s="33">
        <f>M24+50</f>
        <v>150</v>
      </c>
      <c r="N25" s="40">
        <f>$G$12-M11</f>
        <v>0.28666666666666663</v>
      </c>
      <c r="O25" s="40">
        <f>$G$12-N11</f>
        <v>0.21999999999999997</v>
      </c>
      <c r="P25" s="40">
        <f>$G$12-O11</f>
        <v>0.15333333333333332</v>
      </c>
      <c r="Q25" s="40">
        <f>$G$12-P11</f>
        <v>8.666666666666667E-2</v>
      </c>
    </row>
    <row r="26" spans="5:18" x14ac:dyDescent="0.2">
      <c r="M26" s="33">
        <f t="shared" ref="M26:M30" si="1">M25+50</f>
        <v>200</v>
      </c>
      <c r="N26" s="40">
        <f>$G$12-M12</f>
        <v>0.31999999999999995</v>
      </c>
      <c r="O26" s="40">
        <f>$G$12-N12</f>
        <v>0.27</v>
      </c>
      <c r="P26" s="40">
        <f>$G$12-O12</f>
        <v>0.21999999999999997</v>
      </c>
      <c r="Q26" s="40">
        <f>$G$12-P12</f>
        <v>0.16999999999999998</v>
      </c>
    </row>
    <row r="27" spans="5:18" x14ac:dyDescent="0.2">
      <c r="M27" s="33">
        <f t="shared" si="1"/>
        <v>250</v>
      </c>
      <c r="N27" s="40">
        <f>$G$12-M13</f>
        <v>0.33999999999999997</v>
      </c>
      <c r="O27" s="40">
        <f>$G$12-N13</f>
        <v>0.3</v>
      </c>
      <c r="P27" s="40">
        <f>$G$12-O13</f>
        <v>0.26</v>
      </c>
      <c r="Q27" s="40">
        <f>$G$12-P13</f>
        <v>0.21999999999999997</v>
      </c>
    </row>
    <row r="28" spans="5:18" x14ac:dyDescent="0.2">
      <c r="M28" s="33">
        <f t="shared" si="1"/>
        <v>300</v>
      </c>
      <c r="N28" s="40">
        <f>$G$12-M14</f>
        <v>0.35333333333333333</v>
      </c>
      <c r="O28" s="40">
        <f>$G$12-N14</f>
        <v>0.31999999999999995</v>
      </c>
      <c r="P28" s="40">
        <f>$G$12-O14</f>
        <v>0.28666666666666663</v>
      </c>
      <c r="Q28" s="40">
        <f>$G$12-P14</f>
        <v>0.2533333333333333</v>
      </c>
    </row>
    <row r="29" spans="5:18" x14ac:dyDescent="0.2">
      <c r="M29" s="33">
        <f t="shared" si="1"/>
        <v>350</v>
      </c>
      <c r="N29" s="40">
        <f>$G$12-M15</f>
        <v>0.36285714285714282</v>
      </c>
      <c r="O29" s="40">
        <f>$G$12-N15</f>
        <v>0.3342857142857143</v>
      </c>
      <c r="P29" s="40">
        <f>$G$12-O15</f>
        <v>0.30571428571428572</v>
      </c>
      <c r="Q29" s="40">
        <f>$G$12-P15</f>
        <v>0.27714285714285714</v>
      </c>
    </row>
    <row r="30" spans="5:18" x14ac:dyDescent="0.2">
      <c r="M30" s="33">
        <f t="shared" si="1"/>
        <v>400</v>
      </c>
      <c r="N30" s="40">
        <f>$G$12-M16</f>
        <v>0.37</v>
      </c>
      <c r="O30" s="40">
        <f>$G$12-N16</f>
        <v>0.34499999999999997</v>
      </c>
      <c r="P30" s="40">
        <f>$G$12-O16</f>
        <v>0.31999999999999995</v>
      </c>
      <c r="Q30" s="40">
        <f>$G$12-P16</f>
        <v>0.29499999999999998</v>
      </c>
      <c r="R30" s="32"/>
    </row>
    <row r="31" spans="5:18" x14ac:dyDescent="0.2">
      <c r="R31" s="32"/>
    </row>
    <row r="32" spans="5:18" x14ac:dyDescent="0.2">
      <c r="R32" s="32"/>
    </row>
    <row r="33" spans="18:18" x14ac:dyDescent="0.2">
      <c r="R33" s="32"/>
    </row>
    <row r="34" spans="18:18" x14ac:dyDescent="0.2">
      <c r="R34" s="32"/>
    </row>
    <row r="35" spans="18:18" x14ac:dyDescent="0.2">
      <c r="R35" s="32"/>
    </row>
    <row r="36" spans="18:18" x14ac:dyDescent="0.2">
      <c r="R36" s="32"/>
    </row>
    <row r="37" spans="18:18" x14ac:dyDescent="0.2">
      <c r="R37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Cestas</vt:lpstr>
      <vt:lpstr>EC 1</vt:lpstr>
      <vt:lpstr>EC 00</vt:lpstr>
      <vt:lpstr>fleischer p. 82</vt:lpstr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2021-04-15T20:28:36Z</dcterms:created>
  <dcterms:modified xsi:type="dcterms:W3CDTF">2021-05-04T10:28:08Z</dcterms:modified>
</cp:coreProperties>
</file>