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0400" windowHeight="16200" tabRatio="904" firstSheet="2" activeTab="6"/>
  </bookViews>
  <sheets>
    <sheet name="QUESTÕES" sheetId="1" r:id="rId1"/>
    <sheet name="PREVISAO de demanda (temporais)" sheetId="2" r:id="rId2"/>
    <sheet name="PREVISÃO DEMANDA (causais)" sheetId="3" r:id="rId3"/>
    <sheet name="Consumo de materiais" sheetId="4" r:id="rId4"/>
    <sheet name="Custo de materiais" sheetId="5" r:id="rId5"/>
    <sheet name="Margem" sheetId="6" r:id="rId6"/>
    <sheet name="Resultado" sheetId="7" r:id="rId7"/>
    <sheet name="PE" sheetId="8" r:id="rId8"/>
    <sheet name="PED" sheetId="9" r:id="rId9"/>
  </sheets>
  <definedNames>
    <definedName name="_ftn1" localSheetId="2">'PREVISÃO DEMANDA (causais)'!$S$61</definedName>
    <definedName name="_ftnref1" localSheetId="2">'PREVISÃO DEMANDA (causais)'!$S$29</definedName>
    <definedName name="_Toc358299713" localSheetId="2">'PREVISÃO DEMANDA (causais)'!$S$32</definedName>
    <definedName name="_Toc358299714" localSheetId="2">'PREVISÃO DEMANDA (causais)'!$S$41</definedName>
    <definedName name="_Toc358299715" localSheetId="2">'PREVISÃO DEMANDA (causais)'!$S$48</definedName>
    <definedName name="_Toc358299716" localSheetId="2">'PREVISÃO DEMANDA (causais)'!$S$52</definedName>
    <definedName name="_Toc358299717" localSheetId="2">'PREVISÃO DEMANDA (causais)'!$S$56</definedName>
    <definedName name="_xlnm.Print_Area" localSheetId="0">'QUESTÕES'!$A$1:$J$38</definedName>
    <definedName name="solver_adj" localSheetId="2" hidden="1">'PREVISÃO DEMANDA (causais)'!$V$9:$X$9</definedName>
    <definedName name="solver_adj" localSheetId="0" hidden="1">'QUESTÕES'!$J$4:$J$6</definedName>
    <definedName name="solver_cvg" localSheetId="2" hidden="1">0.0001</definedName>
    <definedName name="solver_cvg" localSheetId="0" hidden="1">0.00001</definedName>
    <definedName name="solver_drv" localSheetId="2" hidden="1">1</definedName>
    <definedName name="solver_drv" localSheetId="0" hidden="1">1</definedName>
    <definedName name="solver_eng" localSheetId="2" hidden="1">1</definedName>
    <definedName name="solver_eng" localSheetId="0" hidden="1">1</definedName>
    <definedName name="solver_est" localSheetId="0" hidden="1">1</definedName>
    <definedName name="solver_itr" localSheetId="2" hidden="1">2147483647</definedName>
    <definedName name="solver_itr" localSheetId="0" hidden="1">100</definedName>
    <definedName name="solver_lhs1" localSheetId="2" hidden="1">'PREVISÃO DEMANDA (causais)'!$V$9:$X$9</definedName>
    <definedName name="solver_lhs1" localSheetId="0" hidden="1">'QUESTÕES'!$E$4:$E$9</definedName>
    <definedName name="solver_lhs2" localSheetId="2" hidden="1">'PREVISÃO DEMANDA (causais)'!$W$19:$W$24</definedName>
    <definedName name="solver_lhs2" localSheetId="0" hidden="1">'QUESTÕES'!$J$4:$J$6</definedName>
    <definedName name="solver_lin" localSheetId="2" hidden="1">2</definedName>
    <definedName name="solver_lin" localSheetId="0" hidden="1">2</definedName>
    <definedName name="solver_mip" localSheetId="2" hidden="1">2147483647</definedName>
    <definedName name="solver_mip" localSheetId="0" hidden="1">2147483647</definedName>
    <definedName name="solver_mni" localSheetId="2" hidden="1">30</definedName>
    <definedName name="solver_mni" localSheetId="0" hidden="1">30</definedName>
    <definedName name="solver_mrt" localSheetId="2" hidden="1">0.075</definedName>
    <definedName name="solver_mrt" localSheetId="0" hidden="1">0.075</definedName>
    <definedName name="solver_msl" localSheetId="2" hidden="1">2</definedName>
    <definedName name="solver_msl" localSheetId="0" hidden="1">2</definedName>
    <definedName name="solver_neg" localSheetId="2" hidden="1">1</definedName>
    <definedName name="solver_neg" localSheetId="0" hidden="1">2</definedName>
    <definedName name="solver_nod" localSheetId="2" hidden="1">2147483647</definedName>
    <definedName name="solver_nod" localSheetId="0" hidden="1">2147483647</definedName>
    <definedName name="solver_num" localSheetId="2" hidden="1">2</definedName>
    <definedName name="solver_num" localSheetId="0" hidden="1">2</definedName>
    <definedName name="solver_nwt" localSheetId="0" hidden="1">1</definedName>
    <definedName name="solver_opt" localSheetId="2" hidden="1">'PREVISÃO DEMANDA (causais)'!$V$16</definedName>
    <definedName name="solver_opt" localSheetId="0" hidden="1">'QUESTÕES'!$H$29</definedName>
    <definedName name="solver_pre" localSheetId="2" hidden="1">0.001</definedName>
    <definedName name="solver_pre" localSheetId="0" hidden="1">0.00001</definedName>
    <definedName name="solver_rbv" localSheetId="2" hidden="1">1</definedName>
    <definedName name="solver_rbv" localSheetId="0" hidden="1">1</definedName>
    <definedName name="solver_rel1" localSheetId="2" hidden="1">3</definedName>
    <definedName name="solver_rel1" localSheetId="0" hidden="1">1</definedName>
    <definedName name="solver_rel2" localSheetId="2" hidden="1">1</definedName>
    <definedName name="solver_rel2" localSheetId="0" hidden="1">3</definedName>
    <definedName name="solver_rhs1" localSheetId="2" hidden="1">0</definedName>
    <definedName name="solver_rhs1" localSheetId="0" hidden="1">'QUESTÕES'!$D$4:$D$9</definedName>
    <definedName name="solver_rhs2" localSheetId="2" hidden="1">'PREVISÃO DEMANDA (causais)'!$V$19:$V$24</definedName>
    <definedName name="solver_rhs2" localSheetId="0" hidden="1">0</definedName>
    <definedName name="solver_rlx" localSheetId="2" hidden="1">1</definedName>
    <definedName name="solver_rlx" localSheetId="0" hidden="1">1</definedName>
    <definedName name="solver_rsd" localSheetId="2" hidden="1">0</definedName>
    <definedName name="solver_rsd" localSheetId="0" hidden="1">0</definedName>
    <definedName name="solver_scl" localSheetId="2" hidden="1">2</definedName>
    <definedName name="solver_scl" localSheetId="0" hidden="1">2</definedName>
    <definedName name="solver_sho" localSheetId="2" hidden="1">2</definedName>
    <definedName name="solver_sho" localSheetId="0" hidden="1">2</definedName>
    <definedName name="solver_ssz" localSheetId="2" hidden="1">100</definedName>
    <definedName name="solver_ssz" localSheetId="0" hidden="1">100</definedName>
    <definedName name="solver_tim" localSheetId="2" hidden="1">2147483647</definedName>
    <definedName name="solver_tim" localSheetId="0" hidden="1">100</definedName>
    <definedName name="solver_tol" localSheetId="2" hidden="1">0.01</definedName>
    <definedName name="solver_tol" localSheetId="0" hidden="1">0.05</definedName>
    <definedName name="solver_typ" localSheetId="2" hidden="1">1</definedName>
    <definedName name="solver_typ" localSheetId="0" hidden="1">1</definedName>
    <definedName name="solver_val" localSheetId="2" hidden="1">0</definedName>
    <definedName name="solver_val" localSheetId="0" hidden="1">0</definedName>
    <definedName name="solver_ver" localSheetId="2" hidden="1">2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<sst xmlns="http://schemas.openxmlformats.org/spreadsheetml/2006/main" count="246" uniqueCount="170">
  <si>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</si>
  <si>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</si>
  <si>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</si>
  <si>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</si>
  <si>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</si>
  <si>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</si>
  <si>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</si>
  <si>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</si>
  <si>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</si>
  <si>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</si>
  <si>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</si>
  <si>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</si>
  <si>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</si>
  <si>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</si>
  <si>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</si>
  <si>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</si>
  <si>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</si>
  <si>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</si>
  <si>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</si>
  <si>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</si>
  <si>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</si>
  <si>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</si>
  <si>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</si>
  <si>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</si>
  <si>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</si>
  <si>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</si>
  <si>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</si>
  <si>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</si>
  <si>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</si>
  <si>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</si>
  <si>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</si>
  <si>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</si>
  <si>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</si>
  <si>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</si>
  <si>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</si>
  <si>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</si>
  <si>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</si>
  <si>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</si>
  <si>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</si>
  <si>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</si>
  <si>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</si>
  <si>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</si>
  <si>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</si>
  <si>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</si>
  <si>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</si>
  <si>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</si>
  <si>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</si>
  <si>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</si>
  <si>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</si>
  <si>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</si>
  <si>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</si>
  <si>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</si>
  <si>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</si>
  <si>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</si>
  <si>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</si>
  <si>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</si>
  <si>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Preço un.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</si>
  <si>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</si>
  <si>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</si>
  <si>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</si>
  <si>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</si>
  <si>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</si>
  <si>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</si>
  <si>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</si>
  <si>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</si>
  <si>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</si>
  <si>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</si>
  <si>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</si>
  <si>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</si>
  <si>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</si>
  <si>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</si>
  <si>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</si>
  <si>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</si>
  <si>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</si>
  <si>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</si>
  <si>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</si>
  <si>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</si>
  <si>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</si>
  <si>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</si>
  <si>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</si>
  <si>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</si>
  <si>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</si>
  <si>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</si>
  <si>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</si>
  <si>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</si>
  <si>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</si>
  <si>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</si>
  <si>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</si>
  <si>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</si>
  <si>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</si>
  <si>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</si>
  <si>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</si>
  <si>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</si>
  <si>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</si>
  <si>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</si>
  <si>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</si>
  <si>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</si>
  <si>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</si>
  <si>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</si>
  <si>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</si>
  <si>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</si>
  <si>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</si>
  <si>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</si>
  <si>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</si>
  <si>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</si>
  <si>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</si>
  <si>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</si>
  <si>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</si>
  <si>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t>VIDA CONTÁBIL [ANOS]</t>
  </si>
  <si>
    <t>R$/MÊS</t>
  </si>
  <si>
    <t>(-) Provisão para IR e CS (30%)</t>
  </si>
  <si>
    <t>Resultado - EBITDA</t>
  </si>
  <si>
    <t>depreciaçao</t>
  </si>
  <si>
    <t>contábil</t>
  </si>
  <si>
    <t>(como se fossem os custos da fábrica que somados aos indiretos compõem os</t>
  </si>
  <si>
    <t>CGF ou CGI que serao rateados nos produtos…</t>
  </si>
  <si>
    <t>(-) IMPOSTOS</t>
  </si>
  <si>
    <t>(+) RECEITA BRUTA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</si>
  <si>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</si>
  <si>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</si>
  <si>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</si>
  <si>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</si>
  <si>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</si>
  <si>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</si>
  <si>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Previsão de demanda por produto</t>
  </si>
  <si>
    <t>os cf da fábrica estao incluidos no CPV</t>
  </si>
  <si>
    <t>coef ang</t>
  </si>
  <si>
    <t>coef linear</t>
  </si>
  <si>
    <t>equcao =</t>
  </si>
  <si>
    <t>modelo economico</t>
  </si>
  <si>
    <t>QUANTIDADE</t>
  </si>
  <si>
    <t>CD</t>
  </si>
  <si>
    <t>MCT</t>
  </si>
  <si>
    <t>a</t>
  </si>
  <si>
    <t>PREÇO</t>
  </si>
  <si>
    <t>MCU</t>
  </si>
  <si>
    <t>RESTRIÇOES</t>
  </si>
  <si>
    <t>UTILIZAÇAO</t>
  </si>
  <si>
    <t>[(DEPRECIAÇÕES] .DEP . TRIBUTÁRIA = DEP CONTÁBIL</t>
  </si>
  <si>
    <t xml:space="preserve">(-) CPV/CMV/CSP </t>
  </si>
  <si>
    <t>(aqui entra a depreciação econômica/financeira/real) maq e eqptos e etc...E A QUESTÃO DE CALCULAR CPV incluindo DEPf.</t>
  </si>
  <si>
    <t xml:space="preserve"> (=) LUCRO ANTES DO IR e CSLL  - LUCRO TRIBUTÁVEL</t>
  </si>
  <si>
    <t>(=) LUCRO contábil</t>
  </si>
  <si>
    <t>FLUXO DE CAIXA</t>
  </si>
  <si>
    <t>EBITDA/INV</t>
  </si>
  <si>
    <t>FCF</t>
  </si>
  <si>
    <t>L CONTÁBIL</t>
  </si>
  <si>
    <t>TRC = TAXA DE RETORNO CONTÁBIL</t>
  </si>
  <si>
    <t>6. Analisar o lucro, dado que o investimento inicial foi de R$ 200 mil. (CALCULAR TAXA DE RETEORNO  COMO SE O INVESTIMENTO FOSSE O PATRIMONIO LIQUIDO TOTAL). PARA DIFERENCIAR ROI, ROA E ROE</t>
  </si>
  <si>
    <t>&lt;=TRC"</t>
  </si>
  <si>
    <t>TIR [%.a.a.]=&gt;</t>
  </si>
  <si>
    <t>Preço [$/U]</t>
  </si>
  <si>
    <t>Quantidade [u]</t>
  </si>
  <si>
    <t>TOTAIS</t>
  </si>
  <si>
    <t>Faturamento [$]</t>
  </si>
  <si>
    <t>Imposto [$]</t>
  </si>
  <si>
    <t>Custo variável total  [$]</t>
  </si>
  <si>
    <t>Margem Total  [$]</t>
  </si>
  <si>
    <t>Custo var unitário [$/u]</t>
  </si>
  <si>
    <t>Margem Contribuição unitária [$/u]</t>
  </si>
  <si>
    <t>RT/10</t>
  </si>
  <si>
    <t>MC% média</t>
  </si>
  <si>
    <t>R$/mês</t>
  </si>
  <si>
    <t>% da RT</t>
  </si>
  <si>
    <t>CVT</t>
  </si>
  <si>
    <t>9. OTIMIZAR A PIZZARIA, USANDO OS MODELOS CAUSAIS</t>
  </si>
  <si>
    <t>PROPOSTOS(CALCULAR preços e quantidades que otimizam o sistema)</t>
  </si>
  <si>
    <t>PE</t>
  </si>
  <si>
    <t>cvu [$/u]</t>
  </si>
  <si>
    <t>Custo VAR total [$/mês]</t>
  </si>
</sst>
</file>

<file path=xl/styles.xml><?xml version="1.0" encoding="utf-8"?>
<styleSheet xmlns="http://schemas.openxmlformats.org/spreadsheetml/2006/main">
  <numFmts count="4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  <numFmt numFmtId="195" formatCode="[$-409]dddd\,\ mmmm\ d\,\ yyyy"/>
    <numFmt numFmtId="196" formatCode="[$-409]h:mm:ss\ AM/PM"/>
    <numFmt numFmtId="197" formatCode="[$]dddd\,\ d\ mmmm\ yyyy"/>
    <numFmt numFmtId="198" formatCode="_(* #,##0.0_);_(* \(#,##0.0\);_(* &quot;-&quot;?_);_(@_)"/>
    <numFmt numFmtId="199" formatCode="[$]dddd\,\ d\ mmmm\ yyyy"/>
  </numFmts>
  <fonts count="7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8"/>
      <color indexed="8"/>
      <name val="Calibri"/>
      <family val="2"/>
    </font>
    <font>
      <sz val="9.5"/>
      <color indexed="8"/>
      <name val="Arial"/>
      <family val="2"/>
    </font>
    <font>
      <sz val="8.25"/>
      <color indexed="63"/>
      <name val="Calibri"/>
      <family val="2"/>
    </font>
    <font>
      <sz val="7.35"/>
      <color indexed="8"/>
      <name val="Arial"/>
      <family val="2"/>
    </font>
    <font>
      <sz val="14"/>
      <name val="Arial"/>
      <family val="2"/>
    </font>
    <font>
      <b/>
      <sz val="12"/>
      <name val="Cambria"/>
      <family val="1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8"/>
      <name val="Cambria"/>
      <family val="1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11.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1" fillId="38" borderId="17" xfId="0" applyFont="1" applyFill="1" applyBorder="1" applyAlignment="1">
      <alignment/>
    </xf>
    <xf numFmtId="0" fontId="5" fillId="33" borderId="18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/>
      <protection locked="0"/>
    </xf>
    <xf numFmtId="43" fontId="5" fillId="33" borderId="22" xfId="42" applyFont="1" applyFill="1" applyBorder="1" applyAlignment="1" applyProtection="1">
      <alignment/>
      <protection locked="0"/>
    </xf>
    <xf numFmtId="0" fontId="1" fillId="38" borderId="23" xfId="0" applyFont="1" applyFill="1" applyBorder="1" applyAlignment="1">
      <alignment/>
    </xf>
    <xf numFmtId="0" fontId="1" fillId="38" borderId="24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43" fontId="1" fillId="39" borderId="25" xfId="42" applyFont="1" applyFill="1" applyBorder="1" applyAlignment="1">
      <alignment/>
    </xf>
    <xf numFmtId="43" fontId="1" fillId="39" borderId="26" xfId="42" applyFont="1" applyFill="1" applyBorder="1" applyAlignment="1">
      <alignment/>
    </xf>
    <xf numFmtId="43" fontId="0" fillId="33" borderId="27" xfId="42" applyFont="1" applyFill="1" applyBorder="1" applyAlignment="1">
      <alignment/>
    </xf>
    <xf numFmtId="43" fontId="0" fillId="33" borderId="0" xfId="0" applyNumberFormat="1" applyFill="1" applyAlignment="1">
      <alignment/>
    </xf>
    <xf numFmtId="43" fontId="0" fillId="33" borderId="28" xfId="42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40" borderId="30" xfId="0" applyFont="1" applyFill="1" applyBorder="1" applyAlignment="1">
      <alignment/>
    </xf>
    <xf numFmtId="0" fontId="1" fillId="41" borderId="30" xfId="0" applyFont="1" applyFill="1" applyBorder="1" applyAlignment="1">
      <alignment/>
    </xf>
    <xf numFmtId="178" fontId="2" fillId="33" borderId="31" xfId="59" applyNumberFormat="1" applyFont="1" applyFill="1" applyBorder="1" applyAlignment="1">
      <alignment/>
    </xf>
    <xf numFmtId="178" fontId="2" fillId="41" borderId="31" xfId="59" applyNumberFormat="1" applyFont="1" applyFill="1" applyBorder="1" applyAlignment="1">
      <alignment/>
    </xf>
    <xf numFmtId="178" fontId="2" fillId="33" borderId="32" xfId="59" applyNumberFormat="1" applyFont="1" applyFill="1" applyBorder="1" applyAlignment="1">
      <alignment/>
    </xf>
    <xf numFmtId="178" fontId="2" fillId="33" borderId="33" xfId="59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178" fontId="2" fillId="40" borderId="31" xfId="59" applyNumberFormat="1" applyFont="1" applyFill="1" applyBorder="1" applyAlignment="1">
      <alignment/>
    </xf>
    <xf numFmtId="43" fontId="1" fillId="40" borderId="34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40" borderId="32" xfId="0" applyNumberFormat="1" applyFont="1" applyFill="1" applyBorder="1" applyAlignment="1">
      <alignment/>
    </xf>
    <xf numFmtId="178" fontId="2" fillId="38" borderId="31" xfId="59" applyNumberFormat="1" applyFont="1" applyFill="1" applyBorder="1" applyAlignment="1">
      <alignment/>
    </xf>
    <xf numFmtId="43" fontId="1" fillId="38" borderId="28" xfId="0" applyNumberFormat="1" applyFont="1" applyFill="1" applyBorder="1" applyAlignment="1">
      <alignment/>
    </xf>
    <xf numFmtId="0" fontId="1" fillId="40" borderId="29" xfId="0" applyFont="1" applyFill="1" applyBorder="1" applyAlignment="1">
      <alignment/>
    </xf>
    <xf numFmtId="0" fontId="1" fillId="42" borderId="30" xfId="0" applyFont="1" applyFill="1" applyBorder="1" applyAlignment="1">
      <alignment/>
    </xf>
    <xf numFmtId="0" fontId="1" fillId="38" borderId="30" xfId="0" applyFont="1" applyFill="1" applyBorder="1" applyAlignment="1">
      <alignment/>
    </xf>
    <xf numFmtId="0" fontId="5" fillId="33" borderId="35" xfId="0" applyFont="1" applyFill="1" applyBorder="1" applyAlignment="1" applyProtection="1">
      <alignment/>
      <protection locked="0"/>
    </xf>
    <xf numFmtId="0" fontId="5" fillId="33" borderId="36" xfId="0" applyFont="1" applyFill="1" applyBorder="1" applyAlignment="1" applyProtection="1">
      <alignment/>
      <protection locked="0"/>
    </xf>
    <xf numFmtId="43" fontId="0" fillId="33" borderId="34" xfId="42" applyNumberFormat="1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left"/>
    </xf>
    <xf numFmtId="43" fontId="1" fillId="41" borderId="28" xfId="42" applyFont="1" applyFill="1" applyBorder="1" applyAlignment="1">
      <alignment horizontal="center"/>
    </xf>
    <xf numFmtId="178" fontId="2" fillId="41" borderId="31" xfId="59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43" fontId="0" fillId="33" borderId="0" xfId="42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38" xfId="0" applyBorder="1" applyAlignment="1">
      <alignment/>
    </xf>
    <xf numFmtId="43" fontId="0" fillId="0" borderId="0" xfId="42" applyFont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0" fontId="0" fillId="43" borderId="0" xfId="0" applyFill="1" applyAlignment="1">
      <alignment/>
    </xf>
    <xf numFmtId="0" fontId="69" fillId="44" borderId="39" xfId="0" applyFont="1" applyFill="1" applyBorder="1" applyAlignment="1">
      <alignment horizontal="center" wrapText="1" readingOrder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38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0" fillId="33" borderId="38" xfId="0" applyFill="1" applyBorder="1" applyAlignment="1">
      <alignment/>
    </xf>
    <xf numFmtId="0" fontId="5" fillId="33" borderId="38" xfId="0" applyFont="1" applyFill="1" applyBorder="1" applyAlignment="1" applyProtection="1">
      <alignment/>
      <protection locked="0"/>
    </xf>
    <xf numFmtId="43" fontId="5" fillId="33" borderId="38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right"/>
    </xf>
    <xf numFmtId="0" fontId="0" fillId="0" borderId="38" xfId="0" applyFont="1" applyBorder="1" applyAlignment="1">
      <alignment/>
    </xf>
    <xf numFmtId="194" fontId="0" fillId="0" borderId="38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43" borderId="38" xfId="0" applyFont="1" applyFill="1" applyBorder="1" applyAlignment="1">
      <alignment/>
    </xf>
    <xf numFmtId="0" fontId="0" fillId="43" borderId="38" xfId="0" applyFill="1" applyBorder="1" applyAlignment="1">
      <alignment/>
    </xf>
    <xf numFmtId="0" fontId="10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 horizontal="center"/>
    </xf>
    <xf numFmtId="0" fontId="1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43" fontId="0" fillId="33" borderId="0" xfId="0" applyNumberFormat="1" applyFill="1" applyBorder="1" applyAlignment="1">
      <alignment/>
    </xf>
    <xf numFmtId="43" fontId="0" fillId="33" borderId="0" xfId="42" applyFont="1" applyFill="1" applyBorder="1" applyAlignment="1">
      <alignment/>
    </xf>
    <xf numFmtId="9" fontId="0" fillId="33" borderId="0" xfId="0" applyNumberForma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38" xfId="0" applyFill="1" applyBorder="1" applyAlignment="1">
      <alignment horizontal="center"/>
    </xf>
    <xf numFmtId="43" fontId="0" fillId="33" borderId="38" xfId="0" applyNumberFormat="1" applyFill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" fontId="0" fillId="33" borderId="38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9" fontId="0" fillId="0" borderId="0" xfId="59" applyNumberFormat="1" applyFont="1" applyAlignment="1">
      <alignment/>
    </xf>
    <xf numFmtId="43" fontId="0" fillId="33" borderId="38" xfId="42" applyFont="1" applyFill="1" applyBorder="1" applyAlignment="1">
      <alignment horizontal="center"/>
    </xf>
    <xf numFmtId="43" fontId="0" fillId="33" borderId="38" xfId="42" applyFont="1" applyFill="1" applyBorder="1" applyAlignment="1">
      <alignment/>
    </xf>
    <xf numFmtId="0" fontId="0" fillId="43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45" borderId="0" xfId="0" applyFont="1" applyFill="1" applyAlignment="1">
      <alignment/>
    </xf>
    <xf numFmtId="9" fontId="25" fillId="43" borderId="0" xfId="59" applyFont="1" applyFill="1" applyAlignment="1">
      <alignment/>
    </xf>
    <xf numFmtId="9" fontId="26" fillId="43" borderId="0" xfId="59" applyFont="1" applyFill="1" applyAlignment="1">
      <alignment horizontal="center"/>
    </xf>
    <xf numFmtId="43" fontId="24" fillId="0" borderId="0" xfId="0" applyNumberFormat="1" applyFont="1" applyAlignment="1">
      <alignment/>
    </xf>
    <xf numFmtId="0" fontId="27" fillId="0" borderId="0" xfId="0" applyFont="1" applyAlignment="1">
      <alignment vertical="center"/>
    </xf>
    <xf numFmtId="0" fontId="4" fillId="33" borderId="0" xfId="0" applyFont="1" applyFill="1" applyBorder="1" applyAlignment="1">
      <alignment/>
    </xf>
    <xf numFmtId="0" fontId="3" fillId="37" borderId="4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43" fontId="1" fillId="0" borderId="41" xfId="0" applyNumberFormat="1" applyFont="1" applyFill="1" applyBorder="1" applyAlignment="1">
      <alignment/>
    </xf>
    <xf numFmtId="43" fontId="1" fillId="0" borderId="25" xfId="42" applyFont="1" applyFill="1" applyBorder="1" applyAlignment="1">
      <alignment/>
    </xf>
    <xf numFmtId="43" fontId="4" fillId="0" borderId="42" xfId="0" applyNumberFormat="1" applyFont="1" applyFill="1" applyBorder="1" applyAlignment="1">
      <alignment/>
    </xf>
    <xf numFmtId="43" fontId="4" fillId="0" borderId="19" xfId="0" applyNumberFormat="1" applyFont="1" applyFill="1" applyBorder="1" applyAlignment="1">
      <alignment/>
    </xf>
    <xf numFmtId="43" fontId="4" fillId="0" borderId="43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43" fontId="1" fillId="0" borderId="45" xfId="0" applyNumberFormat="1" applyFont="1" applyFill="1" applyBorder="1" applyAlignment="1">
      <alignment/>
    </xf>
    <xf numFmtId="43" fontId="1" fillId="0" borderId="26" xfId="42" applyFont="1" applyFill="1" applyBorder="1" applyAlignment="1">
      <alignment/>
    </xf>
    <xf numFmtId="43" fontId="4" fillId="0" borderId="46" xfId="0" applyNumberFormat="1" applyFont="1" applyFill="1" applyBorder="1" applyAlignment="1">
      <alignment/>
    </xf>
    <xf numFmtId="43" fontId="4" fillId="0" borderId="44" xfId="0" applyNumberFormat="1" applyFont="1" applyFill="1" applyBorder="1" applyAlignment="1">
      <alignment/>
    </xf>
    <xf numFmtId="43" fontId="4" fillId="0" borderId="47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43" fontId="6" fillId="0" borderId="48" xfId="0" applyNumberFormat="1" applyFont="1" applyFill="1" applyBorder="1" applyAlignment="1">
      <alignment/>
    </xf>
    <xf numFmtId="43" fontId="6" fillId="0" borderId="49" xfId="0" applyNumberFormat="1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53" xfId="0" applyFont="1" applyFill="1" applyBorder="1" applyAlignment="1">
      <alignment/>
    </xf>
    <xf numFmtId="43" fontId="5" fillId="33" borderId="54" xfId="42" applyFont="1" applyFill="1" applyBorder="1" applyAlignment="1" applyProtection="1">
      <alignment/>
      <protection locked="0"/>
    </xf>
    <xf numFmtId="43" fontId="1" fillId="33" borderId="38" xfId="0" applyNumberFormat="1" applyFont="1" applyFill="1" applyBorder="1" applyAlignment="1">
      <alignment/>
    </xf>
    <xf numFmtId="0" fontId="3" fillId="35" borderId="55" xfId="0" applyFont="1" applyFill="1" applyBorder="1" applyAlignment="1">
      <alignment vertical="center"/>
    </xf>
    <xf numFmtId="0" fontId="3" fillId="35" borderId="48" xfId="0" applyFont="1" applyFill="1" applyBorder="1" applyAlignment="1">
      <alignment horizontal="center" vertical="center" wrapText="1"/>
    </xf>
    <xf numFmtId="0" fontId="3" fillId="37" borderId="48" xfId="0" applyFont="1" applyFill="1" applyBorder="1" applyAlignment="1">
      <alignment horizontal="center" vertical="center" wrapText="1"/>
    </xf>
    <xf numFmtId="0" fontId="3" fillId="37" borderId="49" xfId="0" applyFont="1" applyFill="1" applyBorder="1" applyAlignment="1">
      <alignment horizontal="center" vertical="center" wrapText="1"/>
    </xf>
    <xf numFmtId="0" fontId="1" fillId="36" borderId="56" xfId="0" applyFont="1" applyFill="1" applyBorder="1" applyAlignment="1">
      <alignment/>
    </xf>
    <xf numFmtId="9" fontId="0" fillId="33" borderId="38" xfId="59" applyFont="1" applyFill="1" applyBorder="1" applyAlignment="1">
      <alignment horizontal="center"/>
    </xf>
    <xf numFmtId="1" fontId="1" fillId="36" borderId="38" xfId="0" applyNumberFormat="1" applyFont="1" applyFill="1" applyBorder="1" applyAlignment="1">
      <alignment horizontal="center"/>
    </xf>
    <xf numFmtId="1" fontId="1" fillId="41" borderId="38" xfId="42" applyNumberFormat="1" applyFont="1" applyFill="1" applyBorder="1" applyAlignment="1">
      <alignment horizontal="center"/>
    </xf>
    <xf numFmtId="1" fontId="1" fillId="36" borderId="38" xfId="59" applyNumberFormat="1" applyFont="1" applyFill="1" applyBorder="1" applyAlignment="1">
      <alignment horizontal="center"/>
    </xf>
    <xf numFmtId="2" fontId="1" fillId="36" borderId="38" xfId="42" applyNumberFormat="1" applyFont="1" applyFill="1" applyBorder="1" applyAlignment="1">
      <alignment horizontal="center"/>
    </xf>
    <xf numFmtId="2" fontId="0" fillId="33" borderId="38" xfId="42" applyNumberFormat="1" applyFont="1" applyFill="1" applyBorder="1" applyAlignment="1">
      <alignment horizontal="center"/>
    </xf>
    <xf numFmtId="2" fontId="1" fillId="33" borderId="38" xfId="42" applyNumberFormat="1" applyFont="1" applyFill="1" applyBorder="1" applyAlignment="1">
      <alignment horizontal="center"/>
    </xf>
    <xf numFmtId="9" fontId="5" fillId="34" borderId="38" xfId="59" applyNumberFormat="1" applyFont="1" applyFill="1" applyBorder="1" applyAlignment="1">
      <alignment horizontal="center"/>
    </xf>
    <xf numFmtId="0" fontId="0" fillId="43" borderId="35" xfId="0" applyFont="1" applyFill="1" applyBorder="1" applyAlignment="1">
      <alignment horizontal="right"/>
    </xf>
    <xf numFmtId="1" fontId="0" fillId="43" borderId="36" xfId="0" applyNumberFormat="1" applyFill="1" applyBorder="1" applyAlignment="1">
      <alignment horizontal="center"/>
    </xf>
    <xf numFmtId="0" fontId="0" fillId="43" borderId="36" xfId="0" applyFill="1" applyBorder="1" applyAlignment="1">
      <alignment/>
    </xf>
    <xf numFmtId="43" fontId="0" fillId="43" borderId="36" xfId="0" applyNumberFormat="1" applyFill="1" applyBorder="1" applyAlignment="1">
      <alignment/>
    </xf>
    <xf numFmtId="9" fontId="0" fillId="43" borderId="50" xfId="59" applyFont="1" applyFill="1" applyBorder="1" applyAlignment="1">
      <alignment horizontal="center"/>
    </xf>
    <xf numFmtId="43" fontId="8" fillId="33" borderId="42" xfId="0" applyNumberFormat="1" applyFont="1" applyFill="1" applyBorder="1" applyAlignment="1">
      <alignment/>
    </xf>
    <xf numFmtId="1" fontId="0" fillId="43" borderId="57" xfId="0" applyNumberFormat="1" applyFill="1" applyBorder="1" applyAlignment="1">
      <alignment horizontal="center"/>
    </xf>
    <xf numFmtId="9" fontId="1" fillId="0" borderId="0" xfId="42" applyNumberFormat="1" applyFont="1" applyFill="1" applyBorder="1" applyAlignment="1">
      <alignment/>
    </xf>
    <xf numFmtId="9" fontId="1" fillId="0" borderId="58" xfId="59" applyFont="1" applyFill="1" applyBorder="1" applyAlignment="1">
      <alignment horizontal="center"/>
    </xf>
    <xf numFmtId="0" fontId="1" fillId="33" borderId="59" xfId="0" applyFont="1" applyFill="1" applyBorder="1" applyAlignment="1">
      <alignment/>
    </xf>
    <xf numFmtId="0" fontId="28" fillId="45" borderId="60" xfId="0" applyFont="1" applyFill="1" applyBorder="1" applyAlignment="1">
      <alignment/>
    </xf>
    <xf numFmtId="43" fontId="0" fillId="45" borderId="34" xfId="42" applyFont="1" applyFill="1" applyBorder="1" applyAlignment="1">
      <alignment/>
    </xf>
    <xf numFmtId="0" fontId="0" fillId="45" borderId="32" xfId="0" applyFill="1" applyBorder="1" applyAlignment="1">
      <alignment/>
    </xf>
    <xf numFmtId="0" fontId="28" fillId="45" borderId="61" xfId="0" applyFont="1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62" xfId="0" applyFill="1" applyBorder="1" applyAlignment="1">
      <alignment/>
    </xf>
    <xf numFmtId="0" fontId="28" fillId="45" borderId="24" xfId="0" applyFont="1" applyFill="1" applyBorder="1" applyAlignment="1">
      <alignment/>
    </xf>
    <xf numFmtId="0" fontId="0" fillId="45" borderId="27" xfId="0" applyFill="1" applyBorder="1" applyAlignment="1">
      <alignment horizontal="center"/>
    </xf>
    <xf numFmtId="0" fontId="0" fillId="45" borderId="33" xfId="0" applyFill="1" applyBorder="1" applyAlignment="1">
      <alignment/>
    </xf>
    <xf numFmtId="9" fontId="25" fillId="45" borderId="0" xfId="59" applyNumberFormat="1" applyFont="1" applyFill="1" applyAlignment="1">
      <alignment/>
    </xf>
    <xf numFmtId="0" fontId="14" fillId="45" borderId="0" xfId="0" applyFont="1" applyFill="1" applyAlignment="1">
      <alignment/>
    </xf>
    <xf numFmtId="1" fontId="1" fillId="40" borderId="63" xfId="42" applyNumberFormat="1" applyFont="1" applyFill="1" applyBorder="1" applyAlignment="1">
      <alignment horizontal="center"/>
    </xf>
    <xf numFmtId="1" fontId="1" fillId="40" borderId="13" xfId="42" applyNumberFormat="1" applyFont="1" applyFill="1" applyBorder="1" applyAlignment="1">
      <alignment horizontal="center"/>
    </xf>
    <xf numFmtId="1" fontId="1" fillId="40" borderId="64" xfId="42" applyNumberFormat="1" applyFont="1" applyFill="1" applyBorder="1" applyAlignment="1">
      <alignment horizontal="center"/>
    </xf>
    <xf numFmtId="1" fontId="4" fillId="33" borderId="42" xfId="42" applyNumberFormat="1" applyFont="1" applyFill="1" applyBorder="1" applyAlignment="1">
      <alignment horizontal="center"/>
    </xf>
    <xf numFmtId="1" fontId="4" fillId="33" borderId="62" xfId="42" applyNumberFormat="1" applyFont="1" applyFill="1" applyBorder="1" applyAlignment="1">
      <alignment horizontal="center"/>
    </xf>
    <xf numFmtId="1" fontId="4" fillId="33" borderId="46" xfId="42" applyNumberFormat="1" applyFont="1" applyFill="1" applyBorder="1" applyAlignment="1">
      <alignment horizontal="center"/>
    </xf>
    <xf numFmtId="1" fontId="4" fillId="33" borderId="33" xfId="42" applyNumberFormat="1" applyFont="1" applyFill="1" applyBorder="1" applyAlignment="1">
      <alignment horizontal="center"/>
    </xf>
    <xf numFmtId="1" fontId="1" fillId="39" borderId="25" xfId="42" applyNumberFormat="1" applyFont="1" applyFill="1" applyBorder="1" applyAlignment="1">
      <alignment horizontal="center"/>
    </xf>
    <xf numFmtId="1" fontId="1" fillId="39" borderId="26" xfId="42" applyNumberFormat="1" applyFont="1" applyFill="1" applyBorder="1" applyAlignment="1">
      <alignment horizontal="center"/>
    </xf>
    <xf numFmtId="2" fontId="0" fillId="43" borderId="38" xfId="0" applyNumberForma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22" fillId="0" borderId="38" xfId="0" applyFont="1" applyBorder="1" applyAlignment="1">
      <alignment horizontal="center"/>
    </xf>
    <xf numFmtId="2" fontId="5" fillId="33" borderId="19" xfId="42" applyNumberFormat="1" applyFont="1" applyFill="1" applyBorder="1" applyAlignment="1" applyProtection="1">
      <alignment horizontal="center"/>
      <protection locked="0"/>
    </xf>
    <xf numFmtId="2" fontId="5" fillId="33" borderId="36" xfId="42" applyNumberFormat="1" applyFont="1" applyFill="1" applyBorder="1" applyAlignment="1" applyProtection="1">
      <alignment horizontal="center"/>
      <protection locked="0"/>
    </xf>
    <xf numFmtId="0" fontId="1" fillId="34" borderId="22" xfId="0" applyFont="1" applyFill="1" applyBorder="1" applyAlignment="1" applyProtection="1">
      <alignment/>
      <protection/>
    </xf>
    <xf numFmtId="9" fontId="5" fillId="33" borderId="41" xfId="0" applyNumberFormat="1" applyFont="1" applyFill="1" applyBorder="1" applyAlignment="1" applyProtection="1">
      <alignment horizontal="center"/>
      <protection locked="0"/>
    </xf>
    <xf numFmtId="9" fontId="5" fillId="33" borderId="65" xfId="0" applyNumberFormat="1" applyFont="1" applyFill="1" applyBorder="1" applyAlignment="1" applyProtection="1">
      <alignment horizontal="center"/>
      <protection locked="0"/>
    </xf>
    <xf numFmtId="1" fontId="5" fillId="33" borderId="23" xfId="0" applyNumberFormat="1" applyFont="1" applyFill="1" applyBorder="1" applyAlignment="1" applyProtection="1">
      <alignment horizontal="center"/>
      <protection locked="0"/>
    </xf>
    <xf numFmtId="1" fontId="5" fillId="33" borderId="66" xfId="0" applyNumberFormat="1" applyFont="1" applyFill="1" applyBorder="1" applyAlignment="1" applyProtection="1">
      <alignment horizontal="center"/>
      <protection locked="0"/>
    </xf>
    <xf numFmtId="1" fontId="5" fillId="33" borderId="67" xfId="0" applyNumberFormat="1" applyFont="1" applyFill="1" applyBorder="1" applyAlignment="1" applyProtection="1">
      <alignment horizontal="center"/>
      <protection locked="0"/>
    </xf>
    <xf numFmtId="43" fontId="0" fillId="43" borderId="0" xfId="0" applyNumberFormat="1" applyFill="1" applyAlignment="1">
      <alignment/>
    </xf>
    <xf numFmtId="0" fontId="0" fillId="43" borderId="0" xfId="0" applyFont="1" applyFill="1" applyAlignment="1">
      <alignment/>
    </xf>
    <xf numFmtId="0" fontId="28" fillId="33" borderId="0" xfId="0" applyFont="1" applyFill="1" applyAlignment="1">
      <alignment horizontal="center" wrapText="1"/>
    </xf>
    <xf numFmtId="2" fontId="0" fillId="33" borderId="0" xfId="42" applyNumberFormat="1" applyFont="1" applyFill="1" applyAlignment="1">
      <alignment horizontal="center"/>
    </xf>
    <xf numFmtId="2" fontId="3" fillId="37" borderId="20" xfId="0" applyNumberFormat="1" applyFont="1" applyFill="1" applyBorder="1" applyAlignment="1">
      <alignment horizontal="center"/>
    </xf>
    <xf numFmtId="2" fontId="3" fillId="37" borderId="29" xfId="0" applyNumberFormat="1" applyFont="1" applyFill="1" applyBorder="1" applyAlignment="1">
      <alignment horizontal="center"/>
    </xf>
    <xf numFmtId="2" fontId="4" fillId="33" borderId="42" xfId="0" applyNumberFormat="1" applyFont="1" applyFill="1" applyBorder="1" applyAlignment="1">
      <alignment horizontal="center"/>
    </xf>
    <xf numFmtId="2" fontId="4" fillId="33" borderId="62" xfId="0" applyNumberFormat="1" applyFont="1" applyFill="1" applyBorder="1" applyAlignment="1">
      <alignment horizontal="center"/>
    </xf>
    <xf numFmtId="2" fontId="4" fillId="33" borderId="46" xfId="0" applyNumberFormat="1" applyFont="1" applyFill="1" applyBorder="1" applyAlignment="1">
      <alignment horizontal="center"/>
    </xf>
    <xf numFmtId="2" fontId="4" fillId="33" borderId="3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37636994"/>
        <c:axId val="3188627"/>
      </c:lineChart>
      <c:catAx>
        <c:axId val="37636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88627"/>
        <c:crosses val="autoZero"/>
        <c:auto val="1"/>
        <c:lblOffset val="100"/>
        <c:tickLblSkip val="1"/>
        <c:noMultiLvlLbl val="0"/>
      </c:catAx>
      <c:valAx>
        <c:axId val="31886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6369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36"/>
          <c:w val="0.463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12475"/>
          <c:w val="0.9757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28697644"/>
        <c:axId val="56952205"/>
      </c:scatterChart>
      <c:valAx>
        <c:axId val="2869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52205"/>
        <c:crosses val="autoZero"/>
        <c:crossBetween val="midCat"/>
        <c:dispUnits/>
      </c:valAx>
      <c:valAx>
        <c:axId val="569522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976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2475"/>
          <c:w val="0.9657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42807798"/>
        <c:axId val="49725863"/>
      </c:scatterChart>
      <c:valAx>
        <c:axId val="4280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25863"/>
        <c:crosses val="autoZero"/>
        <c:crossBetween val="midCat"/>
        <c:dispUnits/>
      </c:valAx>
      <c:valAx>
        <c:axId val="49725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077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475"/>
          <c:w val="0.966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44879584"/>
        <c:axId val="1263073"/>
      </c:scatterChart>
      <c:valAx>
        <c:axId val="4487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3073"/>
        <c:crosses val="autoZero"/>
        <c:crossBetween val="midCat"/>
        <c:dispUnits/>
      </c:valAx>
      <c:valAx>
        <c:axId val="1263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795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5"/>
          <c:w val="0.90475"/>
          <c:h val="0.872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7016.935707254825</c:v>
                </c:pt>
                <c:pt idx="2">
                  <c:v>14033.87141450965</c:v>
                </c:pt>
                <c:pt idx="3">
                  <c:v>21050.807121764476</c:v>
                </c:pt>
                <c:pt idx="4">
                  <c:v>28067.7428290193</c:v>
                </c:pt>
                <c:pt idx="5">
                  <c:v>35084.67853627412</c:v>
                </c:pt>
                <c:pt idx="6">
                  <c:v>42101.614243528944</c:v>
                </c:pt>
                <c:pt idx="7">
                  <c:v>49118.54995078377</c:v>
                </c:pt>
                <c:pt idx="8">
                  <c:v>56135.48565803859</c:v>
                </c:pt>
                <c:pt idx="9">
                  <c:v>63152.42136529341</c:v>
                </c:pt>
                <c:pt idx="10">
                  <c:v>70169.35707254824</c:v>
                </c:pt>
                <c:pt idx="11">
                  <c:v>77186.29277980307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7016.935707254825</c:v>
                </c:pt>
                <c:pt idx="2">
                  <c:v>14033.87141450965</c:v>
                </c:pt>
                <c:pt idx="3">
                  <c:v>21050.807121764476</c:v>
                </c:pt>
                <c:pt idx="4">
                  <c:v>28067.7428290193</c:v>
                </c:pt>
                <c:pt idx="5">
                  <c:v>35084.67853627412</c:v>
                </c:pt>
                <c:pt idx="6">
                  <c:v>42101.614243528944</c:v>
                </c:pt>
                <c:pt idx="7">
                  <c:v>49118.54995078377</c:v>
                </c:pt>
                <c:pt idx="8">
                  <c:v>56135.48565803859</c:v>
                </c:pt>
                <c:pt idx="9">
                  <c:v>63152.42136529341</c:v>
                </c:pt>
                <c:pt idx="10">
                  <c:v>70169.35707254824</c:v>
                </c:pt>
                <c:pt idx="11">
                  <c:v>77186.29277980307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5030.277187361603</c:v>
                </c:pt>
                <c:pt idx="2">
                  <c:v>10060.554374723206</c:v>
                </c:pt>
                <c:pt idx="3">
                  <c:v>15090.83156208481</c:v>
                </c:pt>
                <c:pt idx="4">
                  <c:v>20121.108749446412</c:v>
                </c:pt>
                <c:pt idx="5">
                  <c:v>25151.385936808012</c:v>
                </c:pt>
                <c:pt idx="6">
                  <c:v>30181.663124169616</c:v>
                </c:pt>
                <c:pt idx="7">
                  <c:v>35211.940311531216</c:v>
                </c:pt>
                <c:pt idx="8">
                  <c:v>40242.21749889282</c:v>
                </c:pt>
                <c:pt idx="9">
                  <c:v>45272.49468625442</c:v>
                </c:pt>
                <c:pt idx="10">
                  <c:v>50302.771873616024</c:v>
                </c:pt>
                <c:pt idx="11">
                  <c:v>55333.04906097763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7016.935707254825</c:v>
                </c:pt>
                <c:pt idx="2">
                  <c:v>14033.87141450965</c:v>
                </c:pt>
                <c:pt idx="3">
                  <c:v>21050.807121764476</c:v>
                </c:pt>
                <c:pt idx="4">
                  <c:v>28067.7428290193</c:v>
                </c:pt>
                <c:pt idx="5">
                  <c:v>35084.67853627412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20030.277187361604</c:v>
                </c:pt>
                <c:pt idx="2">
                  <c:v>25060.554374723208</c:v>
                </c:pt>
                <c:pt idx="3">
                  <c:v>30090.831562084808</c:v>
                </c:pt>
                <c:pt idx="4">
                  <c:v>35121.108749446415</c:v>
                </c:pt>
                <c:pt idx="5">
                  <c:v>40151.385936808016</c:v>
                </c:pt>
                <c:pt idx="6">
                  <c:v>45181.663124169616</c:v>
                </c:pt>
                <c:pt idx="7">
                  <c:v>50211.940311531216</c:v>
                </c:pt>
                <c:pt idx="8">
                  <c:v>55242.21749889282</c:v>
                </c:pt>
                <c:pt idx="9">
                  <c:v>60272.49468625442</c:v>
                </c:pt>
                <c:pt idx="10">
                  <c:v>65302.771873616024</c:v>
                </c:pt>
                <c:pt idx="11">
                  <c:v>70333.04906097763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7016.935707254825</c:v>
                </c:pt>
                <c:pt idx="2">
                  <c:v>14033.87141450965</c:v>
                </c:pt>
                <c:pt idx="3">
                  <c:v>21050.807121764476</c:v>
                </c:pt>
                <c:pt idx="4">
                  <c:v>28067.7428290193</c:v>
                </c:pt>
                <c:pt idx="5">
                  <c:v>35084.67853627412</c:v>
                </c:pt>
                <c:pt idx="6">
                  <c:v>42101.614243528944</c:v>
                </c:pt>
                <c:pt idx="7">
                  <c:v>49118.54995078377</c:v>
                </c:pt>
                <c:pt idx="8">
                  <c:v>56135.48565803859</c:v>
                </c:pt>
                <c:pt idx="9">
                  <c:v>63152.42136529341</c:v>
                </c:pt>
                <c:pt idx="10">
                  <c:v>70169.35707254824</c:v>
                </c:pt>
                <c:pt idx="11">
                  <c:v>77186.29277980307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-13013.34148010678</c:v>
                </c:pt>
                <c:pt idx="2">
                  <c:v>-11026.682960213559</c:v>
                </c:pt>
                <c:pt idx="3">
                  <c:v>-9040.024440320332</c:v>
                </c:pt>
                <c:pt idx="4">
                  <c:v>-7053.365920427117</c:v>
                </c:pt>
                <c:pt idx="5">
                  <c:v>-5066.7074005338945</c:v>
                </c:pt>
                <c:pt idx="6">
                  <c:v>-3080.048880640672</c:v>
                </c:pt>
                <c:pt idx="7">
                  <c:v>-1093.3903607474494</c:v>
                </c:pt>
                <c:pt idx="8">
                  <c:v>893.2681591457731</c:v>
                </c:pt>
                <c:pt idx="9">
                  <c:v>2879.9266790389956</c:v>
                </c:pt>
                <c:pt idx="10">
                  <c:v>4866.585198932218</c:v>
                </c:pt>
                <c:pt idx="11">
                  <c:v>6853.243718825441</c:v>
                </c:pt>
              </c:numCache>
            </c:numRef>
          </c:val>
          <c:smooth val="0"/>
        </c:ser>
        <c:marker val="1"/>
        <c:axId val="11367658"/>
        <c:axId val="35200059"/>
      </c:lineChart>
      <c:catAx>
        <c:axId val="1136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0059"/>
        <c:crosses val="autoZero"/>
        <c:auto val="1"/>
        <c:lblOffset val="100"/>
        <c:tickLblSkip val="1"/>
        <c:noMultiLvlLbl val="0"/>
      </c:catAx>
      <c:valAx>
        <c:axId val="35200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6765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7075"/>
          <c:w val="0.068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1009650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657975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914900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1333500</xdr:colOff>
      <xdr:row>25</xdr:row>
      <xdr:rowOff>38100</xdr:rowOff>
    </xdr:from>
    <xdr:to>
      <xdr:col>7</xdr:col>
      <xdr:colOff>114300</xdr:colOff>
      <xdr:row>29</xdr:row>
      <xdr:rowOff>0</xdr:rowOff>
    </xdr:to>
    <xdr:pic>
      <xdr:nvPicPr>
        <xdr:cNvPr id="1" name="In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5133975"/>
          <a:ext cx="400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="125" zoomScaleNormal="125" zoomScalePageLayoutView="0" workbookViewId="0" topLeftCell="A1">
      <selection activeCell="H12" sqref="H12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1.140625" style="0" bestFit="1" customWidth="1"/>
  </cols>
  <sheetData>
    <row r="1" spans="1:10" ht="13.5" thickBot="1">
      <c r="A1" s="3" t="s">
        <v>49</v>
      </c>
      <c r="B1" s="4"/>
      <c r="C1" s="4"/>
      <c r="D1" s="4"/>
      <c r="F1" s="3"/>
      <c r="G1" s="4"/>
      <c r="H1" s="4"/>
      <c r="I1" s="4" t="s">
        <v>61</v>
      </c>
      <c r="J1" s="4"/>
    </row>
    <row r="2" spans="1:10" ht="13.5" thickBot="1">
      <c r="A2" s="75" t="s">
        <v>1</v>
      </c>
      <c r="B2" s="76" t="s">
        <v>50</v>
      </c>
      <c r="C2" s="76" t="s">
        <v>57</v>
      </c>
      <c r="D2" s="76"/>
      <c r="F2" s="3" t="s">
        <v>51</v>
      </c>
      <c r="G2" s="4"/>
      <c r="H2" s="4"/>
      <c r="I2" s="6" t="s">
        <v>15</v>
      </c>
      <c r="J2" s="4"/>
    </row>
    <row r="3" spans="1:10" ht="13.5" thickBot="1">
      <c r="A3" s="74" t="s">
        <v>12</v>
      </c>
      <c r="B3" s="74" t="s">
        <v>2</v>
      </c>
      <c r="C3" s="74" t="s">
        <v>58</v>
      </c>
      <c r="D3" s="64" t="s">
        <v>47</v>
      </c>
      <c r="E3" s="59" t="s">
        <v>60</v>
      </c>
      <c r="F3" s="5" t="s">
        <v>0</v>
      </c>
      <c r="G3" s="6" t="s">
        <v>2</v>
      </c>
      <c r="H3" s="6" t="s">
        <v>13</v>
      </c>
      <c r="I3" s="6" t="s">
        <v>55</v>
      </c>
      <c r="J3" s="209" t="s">
        <v>20</v>
      </c>
    </row>
    <row r="4" spans="1:10" ht="12.75">
      <c r="A4" s="77" t="s">
        <v>3</v>
      </c>
      <c r="B4" s="77" t="s">
        <v>9</v>
      </c>
      <c r="C4" s="78">
        <v>1</v>
      </c>
      <c r="D4" s="76">
        <v>4000</v>
      </c>
      <c r="E4" s="43">
        <f aca="true" t="shared" si="0" ref="E4:E9">(C15*$J$4)+(D15*$J$5)+(E15*$J$6)</f>
        <v>2513.657766248353</v>
      </c>
      <c r="F4" s="20" t="s">
        <v>46</v>
      </c>
      <c r="G4" s="19" t="s">
        <v>10</v>
      </c>
      <c r="H4" s="207">
        <f>'PREVISÃO DEMANDA (causais)'!V10</f>
        <v>11.70551444299316</v>
      </c>
      <c r="I4" s="210">
        <v>0.18</v>
      </c>
      <c r="J4" s="212">
        <f>'PREVISÃO DEMANDA (causais)'!V9</f>
        <v>1937.9326805922599</v>
      </c>
    </row>
    <row r="5" spans="1:10" ht="12.75">
      <c r="A5" s="77" t="s">
        <v>4</v>
      </c>
      <c r="B5" s="77" t="s">
        <v>10</v>
      </c>
      <c r="C5" s="78">
        <v>0.5</v>
      </c>
      <c r="D5" s="76">
        <v>9000</v>
      </c>
      <c r="E5" s="43">
        <f t="shared" si="0"/>
        <v>9000.000000000002</v>
      </c>
      <c r="F5" s="20" t="s">
        <v>17</v>
      </c>
      <c r="G5" s="19" t="s">
        <v>10</v>
      </c>
      <c r="H5" s="207">
        <f>'PREVISÃO DEMANDA (causais)'!W10</f>
        <v>15.695534225974251</v>
      </c>
      <c r="I5" s="210">
        <v>0.18</v>
      </c>
      <c r="J5" s="213">
        <f>'PREVISÃO DEMANDA (causais)'!W9</f>
        <v>1434.8219246752496</v>
      </c>
    </row>
    <row r="6" spans="1:10" ht="13.5" thickBot="1">
      <c r="A6" s="77" t="s">
        <v>5</v>
      </c>
      <c r="B6" s="77" t="s">
        <v>11</v>
      </c>
      <c r="C6" s="78">
        <v>1</v>
      </c>
      <c r="D6" s="76">
        <v>2000</v>
      </c>
      <c r="E6" s="43">
        <f t="shared" si="0"/>
        <v>1900.6221511834024</v>
      </c>
      <c r="F6" s="51" t="s">
        <v>18</v>
      </c>
      <c r="G6" s="52" t="s">
        <v>10</v>
      </c>
      <c r="H6" s="208">
        <f>'PREVISÃO DEMANDA (causais)'!X10</f>
        <v>18.105996136545016</v>
      </c>
      <c r="I6" s="211">
        <v>0.18</v>
      </c>
      <c r="J6" s="214">
        <f>'PREVISÃO DEMANDA (causais)'!X9</f>
        <v>1378.8007726909964</v>
      </c>
    </row>
    <row r="7" spans="1:5" ht="12.75">
      <c r="A7" s="77" t="s">
        <v>6</v>
      </c>
      <c r="B7" s="77" t="s">
        <v>9</v>
      </c>
      <c r="C7" s="78">
        <v>8</v>
      </c>
      <c r="D7" s="76">
        <v>4000</v>
      </c>
      <c r="E7" s="43">
        <f t="shared" si="0"/>
        <v>1932.3042637322546</v>
      </c>
    </row>
    <row r="8" spans="1:5" ht="12.75">
      <c r="A8" s="77" t="s">
        <v>7</v>
      </c>
      <c r="B8" s="77" t="s">
        <v>9</v>
      </c>
      <c r="C8" s="78">
        <v>5</v>
      </c>
      <c r="D8" s="76">
        <v>1500</v>
      </c>
      <c r="E8" s="43">
        <f t="shared" si="0"/>
        <v>756.5178075324752</v>
      </c>
    </row>
    <row r="9" spans="1:5" ht="12.75">
      <c r="A9" s="77" t="s">
        <v>8</v>
      </c>
      <c r="B9" s="77" t="s">
        <v>9</v>
      </c>
      <c r="C9" s="78">
        <v>15</v>
      </c>
      <c r="D9" s="76">
        <v>800</v>
      </c>
      <c r="E9" s="43">
        <f t="shared" si="0"/>
        <v>634.4656357070116</v>
      </c>
    </row>
    <row r="11" spans="1:5" ht="12.75">
      <c r="A11" s="4" t="s">
        <v>38</v>
      </c>
      <c r="B11" s="4"/>
      <c r="C11" s="4"/>
      <c r="D11" s="4"/>
      <c r="E11" s="4"/>
    </row>
    <row r="12" spans="1:5" ht="12.75">
      <c r="A12" s="3" t="s">
        <v>19</v>
      </c>
      <c r="B12" s="4"/>
      <c r="C12" s="4"/>
      <c r="D12" s="4"/>
      <c r="E12" s="4"/>
    </row>
    <row r="13" spans="1:5" ht="13.5" thickBot="1">
      <c r="A13" s="4" t="s">
        <v>52</v>
      </c>
      <c r="B13" s="4"/>
      <c r="C13" s="205" t="s">
        <v>78</v>
      </c>
      <c r="D13" s="205"/>
      <c r="E13" s="205"/>
    </row>
    <row r="14" spans="1:5" ht="13.5" thickBot="1">
      <c r="A14" s="9" t="s">
        <v>12</v>
      </c>
      <c r="B14" s="10" t="s">
        <v>2</v>
      </c>
      <c r="C14" s="13" t="str">
        <f>F4</f>
        <v>Pizza muzzarela</v>
      </c>
      <c r="D14" s="13" t="str">
        <f>F5</f>
        <v>Pizza presunto</v>
      </c>
      <c r="E14" s="13" t="str">
        <f>F6</f>
        <v>Pizza marguerita</v>
      </c>
    </row>
    <row r="15" spans="1:5" ht="13.5" thickTop="1">
      <c r="A15" s="21" t="s">
        <v>3</v>
      </c>
      <c r="B15" s="22" t="s">
        <v>9</v>
      </c>
      <c r="C15" s="18">
        <v>0.5</v>
      </c>
      <c r="D15" s="18">
        <v>0.5</v>
      </c>
      <c r="E15" s="18">
        <v>0.6</v>
      </c>
    </row>
    <row r="16" spans="1:5" ht="12.75">
      <c r="A16" s="20" t="s">
        <v>4</v>
      </c>
      <c r="B16" s="19" t="s">
        <v>10</v>
      </c>
      <c r="C16" s="19">
        <v>1</v>
      </c>
      <c r="D16" s="19">
        <v>3</v>
      </c>
      <c r="E16" s="19">
        <v>2</v>
      </c>
    </row>
    <row r="17" spans="1:5" ht="12.75">
      <c r="A17" s="20" t="s">
        <v>5</v>
      </c>
      <c r="B17" s="19" t="s">
        <v>11</v>
      </c>
      <c r="C17" s="19">
        <v>0.4</v>
      </c>
      <c r="D17" s="19">
        <v>0.4</v>
      </c>
      <c r="E17" s="19">
        <v>0.4</v>
      </c>
    </row>
    <row r="18" spans="1:7" ht="12.75">
      <c r="A18" s="20" t="s">
        <v>6</v>
      </c>
      <c r="B18" s="19" t="s">
        <v>9</v>
      </c>
      <c r="C18" s="19">
        <v>0.6</v>
      </c>
      <c r="D18" s="19">
        <v>0.2</v>
      </c>
      <c r="E18" s="19">
        <v>0.35</v>
      </c>
      <c r="G18" t="s">
        <v>59</v>
      </c>
    </row>
    <row r="19" spans="1:5" ht="13.5" thickBot="1">
      <c r="A19" s="20" t="s">
        <v>7</v>
      </c>
      <c r="B19" s="19" t="s">
        <v>9</v>
      </c>
      <c r="C19" s="19">
        <v>0.1</v>
      </c>
      <c r="D19" s="19">
        <v>0.2</v>
      </c>
      <c r="E19" s="19">
        <v>0.2</v>
      </c>
    </row>
    <row r="20" spans="1:9" ht="13.5" thickBot="1">
      <c r="A20" s="51" t="s">
        <v>8</v>
      </c>
      <c r="B20" s="52" t="s">
        <v>9</v>
      </c>
      <c r="C20" s="52">
        <v>0</v>
      </c>
      <c r="D20" s="52">
        <v>0.25</v>
      </c>
      <c r="E20" s="52">
        <v>0.2</v>
      </c>
      <c r="G20" s="56" t="s">
        <v>31</v>
      </c>
      <c r="H20" s="54"/>
      <c r="I20" s="55"/>
    </row>
    <row r="21" spans="8:9" ht="13.5" thickBot="1">
      <c r="H21" s="57" t="s">
        <v>43</v>
      </c>
      <c r="I21" s="58" t="s">
        <v>44</v>
      </c>
    </row>
    <row r="22" spans="1:8" ht="13.5" thickBot="1">
      <c r="A22" t="s">
        <v>39</v>
      </c>
      <c r="G22" s="35" t="s">
        <v>16</v>
      </c>
      <c r="H22" s="1">
        <f>Resultado!C3</f>
        <v>70169.35707254824</v>
      </c>
    </row>
    <row r="23" spans="1:9" ht="12.75">
      <c r="A23" t="s">
        <v>40</v>
      </c>
      <c r="G23" s="32" t="s">
        <v>29</v>
      </c>
      <c r="H23" s="1">
        <f>Resultado!C4</f>
        <v>12630.484273058682</v>
      </c>
      <c r="I23" s="38"/>
    </row>
    <row r="24" spans="1:9" ht="13.5" thickBot="1">
      <c r="A24" t="s">
        <v>41</v>
      </c>
      <c r="G24" s="33" t="s">
        <v>30</v>
      </c>
      <c r="H24" s="1">
        <f>Resultado!C5</f>
        <v>37672.28760055734</v>
      </c>
      <c r="I24" s="39"/>
    </row>
    <row r="25" spans="1:9" ht="13.5" thickBot="1">
      <c r="A25" t="s">
        <v>42</v>
      </c>
      <c r="G25" s="34" t="s">
        <v>53</v>
      </c>
      <c r="H25" s="1">
        <f>Resultado!C6</f>
        <v>19866.58519893222</v>
      </c>
      <c r="I25" s="41"/>
    </row>
    <row r="26" spans="1:9" ht="13.5" thickBot="1">
      <c r="A26" t="s">
        <v>54</v>
      </c>
      <c r="G26" s="202" t="s">
        <v>37</v>
      </c>
      <c r="H26" s="203"/>
      <c r="I26" s="204"/>
    </row>
    <row r="27" spans="7:9" ht="13.5" thickBot="1">
      <c r="G27" s="48" t="s">
        <v>14</v>
      </c>
      <c r="H27" s="1">
        <f>H25</f>
        <v>19866.58519893222</v>
      </c>
      <c r="I27" s="45"/>
    </row>
    <row r="28" spans="7:9" ht="13.5" thickBot="1">
      <c r="G28" s="49" t="s">
        <v>28</v>
      </c>
      <c r="H28" s="31">
        <v>15000</v>
      </c>
      <c r="I28" s="36"/>
    </row>
    <row r="29" spans="7:9" ht="13.5" thickBot="1">
      <c r="G29" s="50" t="s">
        <v>48</v>
      </c>
      <c r="H29" s="47">
        <f>H27-H28</f>
        <v>4866.585198932218</v>
      </c>
      <c r="I29" s="46"/>
    </row>
    <row r="31" ht="12.75">
      <c r="A31" t="s">
        <v>45</v>
      </c>
    </row>
    <row r="32" ht="12.75">
      <c r="A32" s="81" t="s">
        <v>148</v>
      </c>
    </row>
    <row r="33" spans="1:11" ht="12.75">
      <c r="A33" t="s">
        <v>62</v>
      </c>
      <c r="J33" t="s">
        <v>98</v>
      </c>
      <c r="K33" s="65">
        <v>200000</v>
      </c>
    </row>
    <row r="34" spans="1:11" ht="12.75">
      <c r="A34" t="s">
        <v>86</v>
      </c>
      <c r="J34" t="s">
        <v>99</v>
      </c>
      <c r="K34">
        <v>10</v>
      </c>
    </row>
    <row r="35" spans="1:11" ht="12.75">
      <c r="A35" t="s">
        <v>85</v>
      </c>
      <c r="J35" t="s">
        <v>100</v>
      </c>
      <c r="K35" s="65">
        <f>K33/K34</f>
        <v>20000</v>
      </c>
    </row>
    <row r="36" ht="12.75">
      <c r="A36" t="s">
        <v>79</v>
      </c>
    </row>
    <row r="37" spans="1:11" ht="12.75">
      <c r="A37" t="s">
        <v>83</v>
      </c>
      <c r="K37" s="73" t="s">
        <v>123</v>
      </c>
    </row>
    <row r="38" spans="1:11" ht="12.75">
      <c r="A38" t="s">
        <v>80</v>
      </c>
      <c r="I38" t="s">
        <v>112</v>
      </c>
      <c r="J38" t="s">
        <v>113</v>
      </c>
      <c r="K38">
        <v>10</v>
      </c>
    </row>
    <row r="39" spans="1:12" ht="15.75">
      <c r="A39" t="s">
        <v>81</v>
      </c>
      <c r="L39" s="72" t="s">
        <v>122</v>
      </c>
    </row>
    <row r="40" ht="12.75">
      <c r="A40" t="s">
        <v>82</v>
      </c>
    </row>
    <row r="41" ht="12.75">
      <c r="A41" t="s">
        <v>84</v>
      </c>
    </row>
    <row r="44" ht="12.75">
      <c r="A44" s="81" t="s">
        <v>165</v>
      </c>
    </row>
    <row r="45" ht="12.75">
      <c r="A45" s="81" t="s">
        <v>166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K25" sqref="K25"/>
    </sheetView>
  </sheetViews>
  <sheetFormatPr defaultColWidth="11.421875" defaultRowHeight="12.75"/>
  <sheetData>
    <row r="6" ht="13.5" thickBot="1"/>
    <row r="7" spans="5:8" ht="34.5" thickBot="1">
      <c r="E7" s="71" t="s">
        <v>64</v>
      </c>
      <c r="F7" s="71" t="s">
        <v>120</v>
      </c>
      <c r="G7" s="71" t="s">
        <v>8</v>
      </c>
      <c r="H7" s="71" t="s">
        <v>121</v>
      </c>
    </row>
    <row r="8" spans="5:8" ht="16.5" thickBot="1">
      <c r="E8" s="71">
        <v>1</v>
      </c>
      <c r="F8" s="71">
        <v>3000</v>
      </c>
      <c r="G8" s="71">
        <v>1000</v>
      </c>
      <c r="H8" s="71">
        <v>1500</v>
      </c>
    </row>
    <row r="9" spans="5:8" ht="16.5" thickBot="1">
      <c r="E9" s="71">
        <v>2</v>
      </c>
      <c r="F9" s="71">
        <v>2000</v>
      </c>
      <c r="G9" s="71">
        <v>1500</v>
      </c>
      <c r="H9" s="71">
        <v>1100</v>
      </c>
    </row>
    <row r="10" spans="5:8" ht="16.5" thickBot="1">
      <c r="E10" s="71">
        <v>3</v>
      </c>
      <c r="F10" s="71">
        <v>2500</v>
      </c>
      <c r="G10" s="71">
        <v>2000</v>
      </c>
      <c r="H10" s="71">
        <v>1100</v>
      </c>
    </row>
    <row r="11" spans="5:8" ht="16.5" thickBot="1">
      <c r="E11" s="71">
        <v>4</v>
      </c>
      <c r="F11" s="71">
        <v>3000</v>
      </c>
      <c r="G11" s="71">
        <v>2100</v>
      </c>
      <c r="H11" s="71">
        <v>1200</v>
      </c>
    </row>
    <row r="12" spans="5:8" ht="16.5" thickBot="1">
      <c r="E12" s="71">
        <v>5</v>
      </c>
      <c r="F12" s="71">
        <v>3000</v>
      </c>
      <c r="G12" s="71">
        <v>1600</v>
      </c>
      <c r="H12" s="71">
        <v>900</v>
      </c>
    </row>
    <row r="13" spans="5:8" ht="16.5" thickBot="1">
      <c r="E13" s="71">
        <v>6</v>
      </c>
      <c r="F13" s="71">
        <v>2500</v>
      </c>
      <c r="G13" s="71">
        <v>1100</v>
      </c>
      <c r="H13" s="71">
        <v>1200</v>
      </c>
    </row>
    <row r="14" spans="5:8" ht="16.5" thickBot="1">
      <c r="E14" s="71">
        <v>7</v>
      </c>
      <c r="F14" s="71">
        <v>4000</v>
      </c>
      <c r="G14" s="71">
        <v>2000</v>
      </c>
      <c r="H14" s="71">
        <v>1890</v>
      </c>
    </row>
    <row r="15" spans="5:8" ht="16.5" thickBot="1">
      <c r="E15" s="71">
        <v>8</v>
      </c>
      <c r="F15" s="71">
        <v>2500</v>
      </c>
      <c r="G15" s="71">
        <v>2100</v>
      </c>
      <c r="H15" s="71">
        <v>900</v>
      </c>
    </row>
    <row r="16" spans="5:8" ht="16.5" thickBot="1">
      <c r="E16" s="71">
        <v>9</v>
      </c>
      <c r="F16" s="71">
        <v>2800</v>
      </c>
      <c r="G16" s="71">
        <v>1600</v>
      </c>
      <c r="H16" s="71">
        <v>1300</v>
      </c>
    </row>
    <row r="17" spans="5:8" ht="16.5" thickBot="1">
      <c r="E17" s="71">
        <v>10</v>
      </c>
      <c r="F17" s="71">
        <v>3000</v>
      </c>
      <c r="G17" s="71">
        <v>1200</v>
      </c>
      <c r="H17" s="71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3"/>
  <sheetViews>
    <sheetView showGridLines="0" zoomScale="125" zoomScaleNormal="125" zoomScalePageLayoutView="0" workbookViewId="0" topLeftCell="Q1">
      <selection activeCell="AA21" sqref="AA21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  <col min="17" max="21" width="8.8515625" style="0" customWidth="1"/>
    <col min="22" max="22" width="13.28125" style="0" customWidth="1"/>
  </cols>
  <sheetData>
    <row r="2" spans="5:7" ht="12.75">
      <c r="E2" t="s">
        <v>118</v>
      </c>
      <c r="F2" s="70" t="s">
        <v>119</v>
      </c>
      <c r="G2" s="70"/>
    </row>
    <row r="4" spans="19:24" ht="18">
      <c r="S4" s="64"/>
      <c r="T4" s="206" t="s">
        <v>129</v>
      </c>
      <c r="U4" s="206"/>
      <c r="V4" s="206"/>
      <c r="W4" s="64"/>
      <c r="X4" s="64"/>
    </row>
    <row r="5" spans="19:24" ht="12.75">
      <c r="S5" s="64"/>
      <c r="T5" s="64"/>
      <c r="U5" s="64"/>
      <c r="V5" s="85" t="s">
        <v>69</v>
      </c>
      <c r="W5" s="85" t="s">
        <v>74</v>
      </c>
      <c r="X5" s="85" t="s">
        <v>75</v>
      </c>
    </row>
    <row r="6" spans="1:24" ht="12.75">
      <c r="A6" t="s">
        <v>124</v>
      </c>
      <c r="S6" s="86" t="s">
        <v>71</v>
      </c>
      <c r="T6" s="87" t="s">
        <v>126</v>
      </c>
      <c r="U6" s="64"/>
      <c r="V6" s="88">
        <v>0.0017</v>
      </c>
      <c r="W6" s="88">
        <v>0.003</v>
      </c>
      <c r="X6" s="88">
        <v>0.005</v>
      </c>
    </row>
    <row r="7" spans="1:24" ht="12.75">
      <c r="A7" t="s">
        <v>76</v>
      </c>
      <c r="S7" s="86" t="s">
        <v>133</v>
      </c>
      <c r="T7" s="87" t="s">
        <v>127</v>
      </c>
      <c r="U7" s="64"/>
      <c r="V7" s="89">
        <v>15</v>
      </c>
      <c r="W7" s="89">
        <v>20</v>
      </c>
      <c r="X7" s="89">
        <v>25</v>
      </c>
    </row>
    <row r="8" spans="1:24" ht="12.75">
      <c r="A8" t="s">
        <v>77</v>
      </c>
      <c r="F8" t="s">
        <v>65</v>
      </c>
      <c r="G8">
        <v>19</v>
      </c>
      <c r="H8" s="84" t="s">
        <v>71</v>
      </c>
      <c r="I8" s="81" t="s">
        <v>126</v>
      </c>
      <c r="J8" s="81">
        <v>0.0017</v>
      </c>
      <c r="S8" s="64"/>
      <c r="T8" s="64"/>
      <c r="U8" s="64"/>
      <c r="V8" s="89"/>
      <c r="W8" s="89"/>
      <c r="X8" s="89"/>
    </row>
    <row r="9" spans="4:24" ht="12.75">
      <c r="D9" t="s">
        <v>70</v>
      </c>
      <c r="F9" t="s">
        <v>66</v>
      </c>
      <c r="G9">
        <v>1200</v>
      </c>
      <c r="H9" s="84" t="s">
        <v>65</v>
      </c>
      <c r="I9" s="81" t="s">
        <v>127</v>
      </c>
      <c r="J9">
        <v>15000</v>
      </c>
      <c r="S9" s="64"/>
      <c r="T9" s="90" t="s">
        <v>130</v>
      </c>
      <c r="U9" s="91"/>
      <c r="V9" s="89">
        <v>1937.9326805922599</v>
      </c>
      <c r="W9" s="89">
        <v>1434.8219246752496</v>
      </c>
      <c r="X9" s="89">
        <v>1378.8007726909964</v>
      </c>
    </row>
    <row r="10" spans="6:24" ht="12.75">
      <c r="F10" t="s">
        <v>71</v>
      </c>
      <c r="G10" s="83">
        <v>0.001666666666666667</v>
      </c>
      <c r="H10" s="81" t="s">
        <v>128</v>
      </c>
      <c r="S10" s="64"/>
      <c r="T10" s="87" t="s">
        <v>134</v>
      </c>
      <c r="U10" s="64"/>
      <c r="V10" s="89">
        <f>V7-(V6*V9)</f>
        <v>11.70551444299316</v>
      </c>
      <c r="W10" s="89">
        <f>W7-(W6*W9)</f>
        <v>15.695534225974251</v>
      </c>
      <c r="X10" s="89">
        <f>X7-(X6*X9)</f>
        <v>18.105996136545016</v>
      </c>
    </row>
    <row r="11" spans="19:24" ht="12.75">
      <c r="S11" s="64"/>
      <c r="T11" s="87" t="s">
        <v>131</v>
      </c>
      <c r="U11" s="64"/>
      <c r="V11" s="89">
        <f>'Custo de materiais'!E4</f>
        <v>6.699999999999999</v>
      </c>
      <c r="W11" s="89">
        <f>'Custo de materiais'!F4</f>
        <v>8.75</v>
      </c>
      <c r="X11" s="89">
        <f>'Custo de materiais'!G4</f>
        <v>8.8</v>
      </c>
    </row>
    <row r="12" spans="19:24" ht="12.75">
      <c r="S12" s="64"/>
      <c r="T12" s="64"/>
      <c r="U12" s="64"/>
      <c r="V12" s="89"/>
      <c r="W12" s="89"/>
      <c r="X12" s="89"/>
    </row>
    <row r="13" spans="19:24" ht="12.75">
      <c r="S13" s="64"/>
      <c r="T13" s="87" t="s">
        <v>135</v>
      </c>
      <c r="U13" s="64"/>
      <c r="V13" s="89">
        <f>((1-0.18)*V10)-V11</f>
        <v>2.8985218432543913</v>
      </c>
      <c r="W13" s="89">
        <f>((1-0.18)*W10)-W11</f>
        <v>4.120338065298887</v>
      </c>
      <c r="X13" s="89">
        <f>((1-0.18)*X10)-X11</f>
        <v>6.046916831966914</v>
      </c>
    </row>
    <row r="14" spans="19:24" ht="12.75">
      <c r="S14" s="64"/>
      <c r="T14" s="87"/>
      <c r="U14" s="64"/>
      <c r="V14" s="89"/>
      <c r="W14" s="89"/>
      <c r="X14" s="89"/>
    </row>
    <row r="15" spans="19:24" ht="12.75">
      <c r="S15" s="64"/>
      <c r="T15" s="87" t="s">
        <v>132</v>
      </c>
      <c r="U15" s="64"/>
      <c r="V15" s="89">
        <f>(V13*V9)+(W13*W9)+(X13*X9)</f>
        <v>19866.58519893222</v>
      </c>
      <c r="W15" s="89"/>
      <c r="X15" s="89"/>
    </row>
    <row r="16" spans="4:24" ht="12.75">
      <c r="D16" t="s">
        <v>72</v>
      </c>
      <c r="F16" t="s">
        <v>65</v>
      </c>
      <c r="G16">
        <v>25</v>
      </c>
      <c r="I16">
        <f>G16-(G17*G18)</f>
        <v>18.999999999999996</v>
      </c>
      <c r="S16" s="64"/>
      <c r="T16" s="87" t="s">
        <v>63</v>
      </c>
      <c r="U16" s="64"/>
      <c r="V16" s="201">
        <f>V15-QUESTÕES!H28</f>
        <v>4866.585198932218</v>
      </c>
      <c r="W16" s="89"/>
      <c r="X16" s="89"/>
    </row>
    <row r="17" spans="6:24" ht="12.75">
      <c r="F17" t="s">
        <v>66</v>
      </c>
      <c r="G17">
        <v>1200</v>
      </c>
      <c r="S17" s="64"/>
      <c r="T17" s="64"/>
      <c r="U17" s="64"/>
      <c r="V17" s="64"/>
      <c r="W17" s="64"/>
      <c r="X17" s="64"/>
    </row>
    <row r="18" spans="6:24" ht="12.75">
      <c r="F18" t="s">
        <v>71</v>
      </c>
      <c r="G18">
        <v>0.005000000000000003</v>
      </c>
      <c r="S18" s="64"/>
      <c r="T18" s="74" t="s">
        <v>12</v>
      </c>
      <c r="U18" s="64"/>
      <c r="V18" s="87" t="s">
        <v>136</v>
      </c>
      <c r="W18" s="87" t="s">
        <v>137</v>
      </c>
      <c r="X18" s="64"/>
    </row>
    <row r="19" spans="19:24" ht="12.75">
      <c r="S19" s="64"/>
      <c r="T19" s="77" t="s">
        <v>3</v>
      </c>
      <c r="U19" s="64"/>
      <c r="V19" s="64">
        <f>QUESTÕES!D4</f>
        <v>4000</v>
      </c>
      <c r="W19" s="64">
        <f>QUESTÕES!E4</f>
        <v>2513.657766248353</v>
      </c>
      <c r="X19" s="64"/>
    </row>
    <row r="20" spans="19:24" ht="12.75">
      <c r="S20" s="64"/>
      <c r="T20" s="77" t="s">
        <v>4</v>
      </c>
      <c r="U20" s="64"/>
      <c r="V20" s="64">
        <f>QUESTÕES!D5</f>
        <v>9000</v>
      </c>
      <c r="W20" s="64">
        <f>QUESTÕES!E5</f>
        <v>9000.000000000002</v>
      </c>
      <c r="X20" s="64"/>
    </row>
    <row r="21" spans="19:24" ht="12.75">
      <c r="S21" s="64"/>
      <c r="T21" s="77" t="s">
        <v>5</v>
      </c>
      <c r="U21" s="64"/>
      <c r="V21" s="64">
        <f>QUESTÕES!D6</f>
        <v>2000</v>
      </c>
      <c r="W21" s="64">
        <f>QUESTÕES!E6</f>
        <v>1900.6221511834024</v>
      </c>
      <c r="X21" s="64"/>
    </row>
    <row r="22" spans="4:24" ht="12.75">
      <c r="D22" t="s">
        <v>73</v>
      </c>
      <c r="F22" t="s">
        <v>65</v>
      </c>
      <c r="G22">
        <v>20</v>
      </c>
      <c r="I22">
        <f>G22-(G23*G24)</f>
        <v>15.500000000000004</v>
      </c>
      <c r="S22" s="64"/>
      <c r="T22" s="77" t="s">
        <v>6</v>
      </c>
      <c r="U22" s="64"/>
      <c r="V22" s="64">
        <f>QUESTÕES!D7</f>
        <v>4000</v>
      </c>
      <c r="W22" s="64">
        <f>QUESTÕES!E7</f>
        <v>1932.3042637322546</v>
      </c>
      <c r="X22" s="64"/>
    </row>
    <row r="23" spans="6:24" ht="12.75">
      <c r="F23" t="s">
        <v>66</v>
      </c>
      <c r="G23">
        <v>1500</v>
      </c>
      <c r="S23" s="64"/>
      <c r="T23" s="77" t="s">
        <v>7</v>
      </c>
      <c r="U23" s="64"/>
      <c r="V23" s="64">
        <f>QUESTÕES!D8</f>
        <v>1500</v>
      </c>
      <c r="W23" s="64">
        <f>QUESTÕES!E8</f>
        <v>756.5178075324752</v>
      </c>
      <c r="X23" s="64"/>
    </row>
    <row r="24" spans="6:24" ht="12.75">
      <c r="F24" t="s">
        <v>71</v>
      </c>
      <c r="G24">
        <v>0.0029999999999999983</v>
      </c>
      <c r="S24" s="64"/>
      <c r="T24" s="77" t="s">
        <v>8</v>
      </c>
      <c r="U24" s="64"/>
      <c r="V24" s="64">
        <f>QUESTÕES!D9</f>
        <v>800</v>
      </c>
      <c r="W24" s="64">
        <f>QUESTÕES!E9</f>
        <v>634.4656357070116</v>
      </c>
      <c r="X24" s="64"/>
    </row>
    <row r="28" spans="13:15" ht="12.75">
      <c r="M28" s="61" t="s">
        <v>67</v>
      </c>
      <c r="N28" s="61" t="s">
        <v>69</v>
      </c>
      <c r="O28" t="s">
        <v>68</v>
      </c>
    </row>
    <row r="29" spans="13:15" ht="12.75">
      <c r="M29" s="61">
        <v>0</v>
      </c>
      <c r="N29" s="62">
        <v>15</v>
      </c>
      <c r="O29" s="62"/>
    </row>
    <row r="30" spans="13:15" ht="12.75">
      <c r="M30" s="61">
        <v>1000</v>
      </c>
      <c r="N30" s="62">
        <v>13.3</v>
      </c>
      <c r="O30" s="62">
        <f>(((M30-M29)/M30)/((N30-N29)/N30))</f>
        <v>-7.82352941176471</v>
      </c>
    </row>
    <row r="31" spans="13:15" ht="12.75">
      <c r="M31" s="61">
        <v>2000</v>
      </c>
      <c r="N31" s="62">
        <v>11.7</v>
      </c>
      <c r="O31" s="62">
        <f aca="true" t="shared" si="0" ref="O31:O37">(((M31-M30)/M31)/((N31-N30)/N31))</f>
        <v>-3.6562499999999964</v>
      </c>
    </row>
    <row r="32" spans="13:15" ht="12.75">
      <c r="M32" s="61">
        <v>3000</v>
      </c>
      <c r="N32" s="62">
        <v>10</v>
      </c>
      <c r="O32" s="62">
        <f t="shared" si="0"/>
        <v>-1.960784313725491</v>
      </c>
    </row>
    <row r="33" spans="13:15" ht="12.75">
      <c r="M33" s="61">
        <v>4000</v>
      </c>
      <c r="N33" s="62">
        <v>8.33</v>
      </c>
      <c r="O33" s="62">
        <f t="shared" si="0"/>
        <v>-1.2470059880239521</v>
      </c>
    </row>
    <row r="34" spans="13:16" ht="12.75">
      <c r="M34" s="61">
        <v>5000</v>
      </c>
      <c r="N34" s="62">
        <v>6.7</v>
      </c>
      <c r="O34" s="62">
        <f t="shared" si="0"/>
        <v>-0.8220858895705523</v>
      </c>
      <c r="P34" s="65">
        <f>(((M38-M29)/(M38+M29)/2))/(((N38-N29)/(N38+N29)/2))</f>
        <v>-1</v>
      </c>
    </row>
    <row r="35" spans="13:15" ht="12.75">
      <c r="M35" s="61">
        <v>6000</v>
      </c>
      <c r="N35" s="62">
        <v>5</v>
      </c>
      <c r="O35" s="62">
        <f t="shared" si="0"/>
        <v>-0.4901960784313725</v>
      </c>
    </row>
    <row r="36" spans="13:15" ht="12.75">
      <c r="M36" s="61">
        <v>7000</v>
      </c>
      <c r="N36" s="62">
        <v>3.3</v>
      </c>
      <c r="O36" s="62">
        <f t="shared" si="0"/>
        <v>-0.27731092436974786</v>
      </c>
    </row>
    <row r="37" spans="13:15" ht="12.75">
      <c r="M37" s="61">
        <v>8000</v>
      </c>
      <c r="N37" s="62">
        <v>1.7</v>
      </c>
      <c r="O37" s="62">
        <f t="shared" si="0"/>
        <v>-0.1328125</v>
      </c>
    </row>
    <row r="38" spans="13:15" ht="12.75">
      <c r="M38" s="61">
        <v>9000</v>
      </c>
      <c r="N38" s="62">
        <v>0</v>
      </c>
      <c r="O38" s="62"/>
    </row>
    <row r="40" spans="13:15" ht="12.75">
      <c r="M40" s="61" t="s">
        <v>67</v>
      </c>
      <c r="N40" s="61" t="s">
        <v>74</v>
      </c>
      <c r="O40" t="s">
        <v>68</v>
      </c>
    </row>
    <row r="41" spans="13:15" ht="12.75">
      <c r="M41" s="61">
        <v>0</v>
      </c>
      <c r="N41" s="63">
        <v>25</v>
      </c>
      <c r="O41" s="62"/>
    </row>
    <row r="42" spans="13:15" ht="12.75">
      <c r="M42" s="61">
        <v>300</v>
      </c>
      <c r="N42" s="63">
        <v>23.5</v>
      </c>
      <c r="O42" s="62">
        <f>(((M42-M41)/M42)/((N42-N41)/N42))</f>
        <v>-15.666666666666668</v>
      </c>
    </row>
    <row r="43" spans="13:15" ht="12.75">
      <c r="M43" s="61">
        <v>600</v>
      </c>
      <c r="N43" s="63">
        <f>N42-1.5</f>
        <v>22</v>
      </c>
      <c r="O43" s="62">
        <f aca="true" t="shared" si="1" ref="O43:O49">(((M43-M42)/M43)/((N43-N42)/N43))</f>
        <v>-7.333333333333334</v>
      </c>
    </row>
    <row r="44" spans="13:15" ht="12.75">
      <c r="M44" s="61">
        <v>900</v>
      </c>
      <c r="N44" s="63">
        <f aca="true" t="shared" si="2" ref="N44:N50">N43-1.5</f>
        <v>20.5</v>
      </c>
      <c r="O44" s="62">
        <f t="shared" si="1"/>
        <v>-4.555555555555555</v>
      </c>
    </row>
    <row r="45" spans="13:15" ht="12.75">
      <c r="M45" s="61">
        <v>1200</v>
      </c>
      <c r="N45" s="63">
        <f t="shared" si="2"/>
        <v>19</v>
      </c>
      <c r="O45" s="62">
        <f t="shared" si="1"/>
        <v>-3.166666666666667</v>
      </c>
    </row>
    <row r="46" spans="13:16" ht="12.75">
      <c r="M46" s="61">
        <v>1500</v>
      </c>
      <c r="N46" s="63">
        <f t="shared" si="2"/>
        <v>17.5</v>
      </c>
      <c r="O46" s="62">
        <f t="shared" si="1"/>
        <v>-2.3333333333333335</v>
      </c>
      <c r="P46" s="79">
        <f>(((M50-M41)/(M50+M41)/2))/(((N50-N41)/(N50+N41)/2))</f>
        <v>-2.7037037037037037</v>
      </c>
    </row>
    <row r="47" spans="13:15" ht="12.75">
      <c r="M47" s="61">
        <v>1800</v>
      </c>
      <c r="N47" s="63">
        <f t="shared" si="2"/>
        <v>16</v>
      </c>
      <c r="O47" s="62">
        <f t="shared" si="1"/>
        <v>-1.7777777777777777</v>
      </c>
    </row>
    <row r="48" spans="13:15" ht="12.75">
      <c r="M48" s="61">
        <v>2100</v>
      </c>
      <c r="N48" s="63">
        <f t="shared" si="2"/>
        <v>14.5</v>
      </c>
      <c r="O48" s="62">
        <f t="shared" si="1"/>
        <v>-1.380952380952381</v>
      </c>
    </row>
    <row r="49" spans="13:15" ht="12.75">
      <c r="M49" s="61">
        <v>2400</v>
      </c>
      <c r="N49" s="63">
        <f t="shared" si="2"/>
        <v>13</v>
      </c>
      <c r="O49" s="62">
        <f t="shared" si="1"/>
        <v>-1.0833333333333333</v>
      </c>
    </row>
    <row r="50" spans="13:15" ht="12.75">
      <c r="M50" s="61">
        <v>2700</v>
      </c>
      <c r="N50" s="63">
        <f t="shared" si="2"/>
        <v>11.5</v>
      </c>
      <c r="O50" s="62"/>
    </row>
    <row r="53" spans="13:15" ht="12.75">
      <c r="M53" s="61" t="s">
        <v>67</v>
      </c>
      <c r="N53" s="61" t="s">
        <v>75</v>
      </c>
      <c r="O53" t="s">
        <v>68</v>
      </c>
    </row>
    <row r="54" spans="13:15" ht="12.75">
      <c r="M54" s="61">
        <v>0</v>
      </c>
      <c r="N54" s="61">
        <v>20</v>
      </c>
      <c r="O54" s="62"/>
    </row>
    <row r="55" spans="13:15" ht="12.75">
      <c r="M55" s="61">
        <v>500</v>
      </c>
      <c r="N55" s="61">
        <v>18.5</v>
      </c>
      <c r="O55" s="62">
        <f>(((M55-M54)/M55)/((N55-N54)/N55))</f>
        <v>-12.333333333333332</v>
      </c>
    </row>
    <row r="56" spans="13:15" ht="12.75">
      <c r="M56" s="61">
        <v>1000</v>
      </c>
      <c r="N56" s="61">
        <v>17</v>
      </c>
      <c r="O56" s="62">
        <f aca="true" t="shared" si="3" ref="O56:O62">(((M56-M55)/M56)/((N56-N55)/N56))</f>
        <v>-5.666666666666666</v>
      </c>
    </row>
    <row r="57" spans="13:15" ht="12.75">
      <c r="M57" s="61">
        <v>1500</v>
      </c>
      <c r="N57" s="61">
        <v>15.5</v>
      </c>
      <c r="O57" s="62">
        <f t="shared" si="3"/>
        <v>-3.444444444444444</v>
      </c>
    </row>
    <row r="58" spans="13:15" ht="12.75">
      <c r="M58" s="61">
        <v>2000</v>
      </c>
      <c r="N58" s="63">
        <v>14</v>
      </c>
      <c r="O58" s="62">
        <f t="shared" si="3"/>
        <v>-2.3333333333333335</v>
      </c>
    </row>
    <row r="59" spans="13:16" ht="12.75">
      <c r="M59" s="61">
        <v>2500</v>
      </c>
      <c r="N59" s="63">
        <v>12.5</v>
      </c>
      <c r="O59" s="62">
        <f t="shared" si="3"/>
        <v>-1.6666666666666667</v>
      </c>
      <c r="P59" s="65">
        <f>(((M63-M54)/(M63+M54)/2))/(((N63-N54)/(N63+N54)/2))</f>
        <v>-1.962962962962963</v>
      </c>
    </row>
    <row r="60" spans="13:15" ht="12.75">
      <c r="M60" s="61">
        <v>3000</v>
      </c>
      <c r="N60" s="63">
        <v>11</v>
      </c>
      <c r="O60" s="62">
        <f t="shared" si="3"/>
        <v>-1.2222222222222223</v>
      </c>
    </row>
    <row r="61" spans="13:15" ht="12.75">
      <c r="M61" s="61">
        <v>3500</v>
      </c>
      <c r="N61" s="63">
        <v>9.5</v>
      </c>
      <c r="O61" s="62">
        <f t="shared" si="3"/>
        <v>-0.9047619047619048</v>
      </c>
    </row>
    <row r="62" spans="13:15" ht="12.75">
      <c r="M62" s="61">
        <v>4000</v>
      </c>
      <c r="N62" s="63">
        <v>8</v>
      </c>
      <c r="O62" s="62">
        <f t="shared" si="3"/>
        <v>-0.6666666666666666</v>
      </c>
    </row>
    <row r="63" spans="13:15" ht="12.75">
      <c r="M63" s="61">
        <v>4500</v>
      </c>
      <c r="N63" s="63">
        <v>6.5</v>
      </c>
      <c r="O63" s="62"/>
    </row>
  </sheetData>
  <sheetProtection/>
  <mergeCells count="1">
    <mergeCell ref="T4:V4"/>
  </mergeCells>
  <printOptions/>
  <pageMargins left="0.75" right="0.75" top="1" bottom="1" header="0.492125985" footer="0.492125985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="190" zoomScaleNormal="190" zoomScalePageLayoutView="0" workbookViewId="0" topLeftCell="A1">
      <selection activeCell="D4" sqref="D4"/>
    </sheetView>
  </sheetViews>
  <sheetFormatPr defaultColWidth="9.140625" defaultRowHeight="12.75"/>
  <cols>
    <col min="1" max="1" width="22.7109375" style="4" customWidth="1"/>
    <col min="2" max="2" width="8.421875" style="4" bestFit="1" customWidth="1"/>
    <col min="3" max="3" width="11.421875" style="4" customWidth="1"/>
    <col min="4" max="4" width="16.140625" style="4" customWidth="1"/>
    <col min="5" max="5" width="14.421875" style="4" bestFit="1" customWidth="1"/>
    <col min="6" max="6" width="16.7109375" style="4" bestFit="1" customWidth="1"/>
    <col min="7" max="7" width="12.8515625" style="126" bestFit="1" customWidth="1"/>
    <col min="8" max="13" width="9.140625" style="126" customWidth="1"/>
    <col min="14" max="16384" width="9.140625" style="4" customWidth="1"/>
  </cols>
  <sheetData>
    <row r="2" ht="13.5" thickBot="1">
      <c r="A2" s="3" t="s">
        <v>19</v>
      </c>
    </row>
    <row r="3" spans="4:12" ht="13.5" thickBot="1">
      <c r="D3" s="15" t="str">
        <f>QUESTÕES!F4</f>
        <v>Pizza muzzarela</v>
      </c>
      <c r="E3" s="16" t="str">
        <f>QUESTÕES!F5</f>
        <v>Pizza presunto</v>
      </c>
      <c r="F3" s="125" t="str">
        <f>QUESTÕES!F6</f>
        <v>Pizza marguerita</v>
      </c>
      <c r="G3" s="127"/>
      <c r="H3" s="127"/>
      <c r="I3" s="127"/>
      <c r="J3" s="127"/>
      <c r="K3" s="127"/>
      <c r="L3" s="127"/>
    </row>
    <row r="4" spans="1:13" ht="13.5" thickBot="1">
      <c r="A4" s="9" t="s">
        <v>12</v>
      </c>
      <c r="B4" s="14" t="s">
        <v>2</v>
      </c>
      <c r="C4" s="17" t="s">
        <v>21</v>
      </c>
      <c r="D4" s="192">
        <f>QUESTÕES!J4</f>
        <v>1937.9326805922599</v>
      </c>
      <c r="E4" s="193">
        <f>QUESTÕES!J5</f>
        <v>1434.8219246752496</v>
      </c>
      <c r="F4" s="194">
        <f>QUESTÕES!J6</f>
        <v>1378.8007726909964</v>
      </c>
      <c r="G4" s="127"/>
      <c r="H4" s="127"/>
      <c r="I4" s="127"/>
      <c r="J4" s="127"/>
      <c r="K4" s="127"/>
      <c r="L4" s="127"/>
      <c r="M4" s="127"/>
    </row>
    <row r="5" spans="1:12" ht="13.5" thickTop="1">
      <c r="A5" s="11" t="str">
        <f>QUESTÕES!A4</f>
        <v>Farinha de trigo</v>
      </c>
      <c r="B5" s="22" t="s">
        <v>9</v>
      </c>
      <c r="C5" s="199">
        <f aca="true" t="shared" si="0" ref="C5:C10">D5+E5+F5</f>
        <v>2513.657766248353</v>
      </c>
      <c r="D5" s="195">
        <f>QUESTÕES!C15*'Consumo de materiais'!$D$4</f>
        <v>968.9663402961299</v>
      </c>
      <c r="E5" s="195">
        <f>QUESTÕES!D15*'Consumo de materiais'!$E$4</f>
        <v>717.4109623376248</v>
      </c>
      <c r="F5" s="196">
        <f>QUESTÕES!E15*'Consumo de materiais'!$F$4</f>
        <v>827.2804636145978</v>
      </c>
      <c r="G5" s="127"/>
      <c r="H5" s="127"/>
      <c r="I5" s="127"/>
      <c r="J5" s="127"/>
      <c r="K5" s="127"/>
      <c r="L5" s="127"/>
    </row>
    <row r="6" spans="1:12" ht="12.75">
      <c r="A6" s="11" t="str">
        <f>QUESTÕES!A5</f>
        <v>Ovo</v>
      </c>
      <c r="B6" s="19" t="s">
        <v>10</v>
      </c>
      <c r="C6" s="199">
        <f t="shared" si="0"/>
        <v>9000.000000000002</v>
      </c>
      <c r="D6" s="195">
        <f>QUESTÕES!C16*'Consumo de materiais'!$D$4</f>
        <v>1937.9326805922599</v>
      </c>
      <c r="E6" s="195">
        <f>QUESTÕES!D16*'Consumo de materiais'!$E$4</f>
        <v>4304.465774025749</v>
      </c>
      <c r="F6" s="196">
        <f>QUESTÕES!E16*'Consumo de materiais'!$F$4</f>
        <v>2757.6015453819928</v>
      </c>
      <c r="G6" s="127"/>
      <c r="H6" s="127"/>
      <c r="I6" s="127"/>
      <c r="J6" s="127"/>
      <c r="K6" s="127"/>
      <c r="L6" s="127"/>
    </row>
    <row r="7" spans="1:12" ht="12.75">
      <c r="A7" s="11" t="str">
        <f>QUESTÕES!A6</f>
        <v>Leite</v>
      </c>
      <c r="B7" s="19" t="s">
        <v>11</v>
      </c>
      <c r="C7" s="199">
        <f t="shared" si="0"/>
        <v>1900.6221511834024</v>
      </c>
      <c r="D7" s="195">
        <f>QUESTÕES!C17*'Consumo de materiais'!$D$4</f>
        <v>775.173072236904</v>
      </c>
      <c r="E7" s="195">
        <f>QUESTÕES!D17*'Consumo de materiais'!$E$4</f>
        <v>573.9287698700999</v>
      </c>
      <c r="F7" s="196">
        <f>QUESTÕES!E17*'Consumo de materiais'!$F$4</f>
        <v>551.5203090763986</v>
      </c>
      <c r="G7" s="127"/>
      <c r="H7" s="127"/>
      <c r="I7" s="127"/>
      <c r="J7" s="127"/>
      <c r="K7" s="127"/>
      <c r="L7" s="127"/>
    </row>
    <row r="8" spans="1:12" ht="12.75">
      <c r="A8" s="11" t="str">
        <f>QUESTÕES!A7</f>
        <v>Queijo muzzarela</v>
      </c>
      <c r="B8" s="19" t="s">
        <v>9</v>
      </c>
      <c r="C8" s="199">
        <f t="shared" si="0"/>
        <v>1932.3042637322546</v>
      </c>
      <c r="D8" s="195">
        <f>QUESTÕES!C18*'Consumo de materiais'!$D$4</f>
        <v>1162.7596083553558</v>
      </c>
      <c r="E8" s="195">
        <f>QUESTÕES!D18*'Consumo de materiais'!$E$4</f>
        <v>286.96438493504996</v>
      </c>
      <c r="F8" s="196">
        <f>QUESTÕES!E18*'Consumo de materiais'!$F$4</f>
        <v>482.5802704418487</v>
      </c>
      <c r="G8" s="127"/>
      <c r="H8" s="127"/>
      <c r="I8" s="127"/>
      <c r="J8" s="127"/>
      <c r="K8" s="127"/>
      <c r="L8" s="127"/>
    </row>
    <row r="9" spans="1:12" ht="12.75">
      <c r="A9" s="11" t="str">
        <f>QUESTÕES!A8</f>
        <v>Molho de tomate</v>
      </c>
      <c r="B9" s="19" t="s">
        <v>9</v>
      </c>
      <c r="C9" s="199">
        <f t="shared" si="0"/>
        <v>756.5178075324752</v>
      </c>
      <c r="D9" s="195">
        <f>QUESTÕES!C19*'Consumo de materiais'!$D$4</f>
        <v>193.793268059226</v>
      </c>
      <c r="E9" s="195">
        <f>QUESTÕES!D19*'Consumo de materiais'!$E$4</f>
        <v>286.96438493504996</v>
      </c>
      <c r="F9" s="196">
        <f>QUESTÕES!E19*'Consumo de materiais'!$F$4</f>
        <v>275.7601545381993</v>
      </c>
      <c r="G9" s="127"/>
      <c r="H9" s="127"/>
      <c r="I9" s="127"/>
      <c r="J9" s="127"/>
      <c r="K9" s="127"/>
      <c r="L9" s="127"/>
    </row>
    <row r="10" spans="1:12" ht="13.5" thickBot="1">
      <c r="A10" s="12" t="str">
        <f>QUESTÕES!A9</f>
        <v>Presunto</v>
      </c>
      <c r="B10" s="52" t="s">
        <v>9</v>
      </c>
      <c r="C10" s="200">
        <f t="shared" si="0"/>
        <v>634.4656357070116</v>
      </c>
      <c r="D10" s="197">
        <f>QUESTÕES!C20*'Consumo de materiais'!$D$4</f>
        <v>0</v>
      </c>
      <c r="E10" s="197">
        <f>QUESTÕES!D20*'Consumo de materiais'!$E$4</f>
        <v>358.7054811688124</v>
      </c>
      <c r="F10" s="198">
        <f>QUESTÕES!E20*'Consumo de materiais'!$F$4</f>
        <v>275.7601545381993</v>
      </c>
      <c r="G10" s="127"/>
      <c r="H10" s="127"/>
      <c r="I10" s="127"/>
      <c r="J10" s="127"/>
      <c r="K10" s="127"/>
      <c r="L10" s="127"/>
    </row>
    <row r="11" spans="1:12" ht="12.75">
      <c r="A11" s="127">
        <f>QUESTÕES!A10</f>
        <v>0</v>
      </c>
      <c r="B11" s="127"/>
      <c r="C11" s="128"/>
      <c r="D11" s="124"/>
      <c r="E11" s="124"/>
      <c r="F11" s="124"/>
      <c r="G11" s="127"/>
      <c r="H11" s="127"/>
      <c r="I11" s="127"/>
      <c r="J11" s="127"/>
      <c r="K11" s="127"/>
      <c r="L11" s="127"/>
    </row>
    <row r="12" spans="1:12" ht="12.75">
      <c r="A12" s="127"/>
      <c r="B12" s="127"/>
      <c r="C12" s="128"/>
      <c r="D12" s="124"/>
      <c r="E12" s="124"/>
      <c r="F12" s="124"/>
      <c r="G12" s="127"/>
      <c r="H12" s="127"/>
      <c r="I12" s="127"/>
      <c r="J12" s="127"/>
      <c r="K12" s="127"/>
      <c r="L12" s="127"/>
    </row>
    <row r="13" spans="1:12" ht="12.75">
      <c r="A13" s="127"/>
      <c r="B13" s="127"/>
      <c r="C13" s="128"/>
      <c r="D13" s="124"/>
      <c r="E13" s="124"/>
      <c r="F13" s="124"/>
      <c r="G13" s="127"/>
      <c r="H13" s="127"/>
      <c r="I13" s="127"/>
      <c r="J13" s="127"/>
      <c r="K13" s="127"/>
      <c r="L13" s="127"/>
    </row>
    <row r="14" spans="1:12" ht="12.75">
      <c r="A14" s="127"/>
      <c r="B14" s="127"/>
      <c r="C14" s="128"/>
      <c r="D14" s="124"/>
      <c r="E14" s="124"/>
      <c r="F14" s="124"/>
      <c r="G14" s="127"/>
      <c r="H14" s="127"/>
      <c r="I14" s="127"/>
      <c r="J14" s="127"/>
      <c r="K14" s="127"/>
      <c r="L14" s="127"/>
    </row>
    <row r="15" spans="1:12" ht="12.75">
      <c r="A15" s="127"/>
      <c r="B15" s="127"/>
      <c r="C15" s="128"/>
      <c r="D15" s="124"/>
      <c r="E15" s="124"/>
      <c r="F15" s="124"/>
      <c r="G15" s="127"/>
      <c r="H15" s="127"/>
      <c r="I15" s="127"/>
      <c r="J15" s="127"/>
      <c r="K15" s="127"/>
      <c r="L15" s="127"/>
    </row>
    <row r="16" spans="1:12" ht="12.75">
      <c r="A16" s="127"/>
      <c r="B16" s="127"/>
      <c r="C16" s="128"/>
      <c r="D16" s="124"/>
      <c r="E16" s="124"/>
      <c r="F16" s="124"/>
      <c r="G16" s="127"/>
      <c r="H16" s="127"/>
      <c r="I16" s="127"/>
      <c r="J16" s="127"/>
      <c r="K16" s="127"/>
      <c r="L16" s="127"/>
    </row>
    <row r="17" spans="1:12" ht="12.75">
      <c r="A17" s="127"/>
      <c r="B17" s="127"/>
      <c r="C17" s="128"/>
      <c r="D17" s="124"/>
      <c r="E17" s="124"/>
      <c r="F17" s="124"/>
      <c r="G17" s="127"/>
      <c r="H17" s="127"/>
      <c r="I17" s="127"/>
      <c r="J17" s="127"/>
      <c r="K17" s="127"/>
      <c r="L17" s="127"/>
    </row>
    <row r="18" spans="1:12" ht="12.75">
      <c r="A18" s="127"/>
      <c r="B18" s="127"/>
      <c r="C18" s="128"/>
      <c r="D18" s="124"/>
      <c r="E18" s="124"/>
      <c r="F18" s="124"/>
      <c r="G18" s="127"/>
      <c r="H18" s="127"/>
      <c r="I18" s="127"/>
      <c r="J18" s="127"/>
      <c r="K18" s="127"/>
      <c r="L18" s="127"/>
    </row>
    <row r="19" spans="1:12" ht="12.75">
      <c r="A19" s="127"/>
      <c r="B19" s="127"/>
      <c r="C19" s="128"/>
      <c r="D19" s="124"/>
      <c r="E19" s="124"/>
      <c r="F19" s="124"/>
      <c r="G19" s="127"/>
      <c r="H19" s="127"/>
      <c r="I19" s="127"/>
      <c r="J19" s="127"/>
      <c r="K19" s="127"/>
      <c r="L19" s="127"/>
    </row>
    <row r="20" spans="1:12" ht="12.75">
      <c r="A20" s="127"/>
      <c r="B20" s="127"/>
      <c r="C20" s="128"/>
      <c r="D20" s="124"/>
      <c r="E20" s="124"/>
      <c r="F20" s="124"/>
      <c r="G20" s="127"/>
      <c r="H20" s="127"/>
      <c r="I20" s="127"/>
      <c r="J20" s="127"/>
      <c r="K20" s="127"/>
      <c r="L20" s="127"/>
    </row>
    <row r="21" spans="1:12" ht="12.75">
      <c r="A21" s="127"/>
      <c r="B21" s="127"/>
      <c r="C21" s="128"/>
      <c r="D21" s="124"/>
      <c r="E21" s="124"/>
      <c r="F21" s="124"/>
      <c r="G21" s="127"/>
      <c r="H21" s="127"/>
      <c r="I21" s="127"/>
      <c r="J21" s="127"/>
      <c r="K21" s="127"/>
      <c r="L21" s="127"/>
    </row>
    <row r="22" spans="1:12" ht="12.75">
      <c r="A22" s="127"/>
      <c r="B22" s="127"/>
      <c r="C22" s="128"/>
      <c r="D22" s="124"/>
      <c r="E22" s="124"/>
      <c r="F22" s="124"/>
      <c r="G22" s="127"/>
      <c r="H22" s="127"/>
      <c r="I22" s="127"/>
      <c r="J22" s="127"/>
      <c r="K22" s="127"/>
      <c r="L22" s="127"/>
    </row>
    <row r="23" spans="1:12" ht="12.75">
      <c r="A23" s="127"/>
      <c r="B23" s="127"/>
      <c r="C23" s="128"/>
      <c r="D23" s="124"/>
      <c r="E23" s="124"/>
      <c r="F23" s="124"/>
      <c r="G23" s="127"/>
      <c r="H23" s="127"/>
      <c r="I23" s="127"/>
      <c r="J23" s="127"/>
      <c r="K23" s="127"/>
      <c r="L23" s="127"/>
    </row>
    <row r="24" spans="1:12" ht="12.75">
      <c r="A24" s="127"/>
      <c r="B24" s="127"/>
      <c r="C24" s="128"/>
      <c r="D24" s="124"/>
      <c r="E24" s="124"/>
      <c r="F24" s="124"/>
      <c r="G24" s="127"/>
      <c r="H24" s="127"/>
      <c r="I24" s="127"/>
      <c r="J24" s="127"/>
      <c r="K24" s="127"/>
      <c r="L24" s="127"/>
    </row>
    <row r="25" spans="1:12" ht="12.75">
      <c r="A25" s="127"/>
      <c r="B25" s="127"/>
      <c r="C25" s="128"/>
      <c r="D25" s="124"/>
      <c r="E25" s="124"/>
      <c r="F25" s="124"/>
      <c r="G25" s="127"/>
      <c r="H25" s="127"/>
      <c r="I25" s="127"/>
      <c r="J25" s="127"/>
      <c r="K25" s="127"/>
      <c r="L25" s="127"/>
    </row>
    <row r="26" spans="1:12" ht="12.75">
      <c r="A26" s="127"/>
      <c r="B26" s="127"/>
      <c r="C26" s="128"/>
      <c r="D26" s="124"/>
      <c r="E26" s="124"/>
      <c r="F26" s="124"/>
      <c r="G26" s="127"/>
      <c r="H26" s="127"/>
      <c r="I26" s="127"/>
      <c r="J26" s="127"/>
      <c r="K26" s="127"/>
      <c r="L26" s="127"/>
    </row>
    <row r="27" spans="1:12" ht="12.75">
      <c r="A27" s="127"/>
      <c r="B27" s="127"/>
      <c r="C27" s="128"/>
      <c r="D27" s="124"/>
      <c r="E27" s="124"/>
      <c r="F27" s="124"/>
      <c r="G27" s="127"/>
      <c r="H27" s="127"/>
      <c r="I27" s="127"/>
      <c r="J27" s="127"/>
      <c r="K27" s="127"/>
      <c r="L27" s="127"/>
    </row>
    <row r="28" spans="1:12" ht="12.75">
      <c r="A28" s="127"/>
      <c r="B28" s="127"/>
      <c r="C28" s="128"/>
      <c r="D28" s="124"/>
      <c r="E28" s="124"/>
      <c r="F28" s="124"/>
      <c r="G28" s="127"/>
      <c r="H28" s="127"/>
      <c r="I28" s="127"/>
      <c r="J28" s="127"/>
      <c r="K28" s="127"/>
      <c r="L28" s="127"/>
    </row>
    <row r="29" spans="1:12" ht="12.75">
      <c r="A29" s="127"/>
      <c r="B29" s="127"/>
      <c r="C29" s="128"/>
      <c r="D29" s="124"/>
      <c r="E29" s="124"/>
      <c r="F29" s="124"/>
      <c r="G29" s="127"/>
      <c r="H29" s="127"/>
      <c r="I29" s="127"/>
      <c r="J29" s="127"/>
      <c r="K29" s="127"/>
      <c r="L29" s="127"/>
    </row>
    <row r="30" spans="1:12" ht="12.75">
      <c r="A30" s="127"/>
      <c r="B30" s="127"/>
      <c r="C30" s="128"/>
      <c r="D30" s="124"/>
      <c r="E30" s="124"/>
      <c r="F30" s="124"/>
      <c r="G30" s="127"/>
      <c r="H30" s="127"/>
      <c r="I30" s="127"/>
      <c r="J30" s="127"/>
      <c r="K30" s="127"/>
      <c r="L30" s="127"/>
    </row>
    <row r="31" spans="1:12" ht="12.75">
      <c r="A31" s="127"/>
      <c r="B31" s="127"/>
      <c r="C31" s="128"/>
      <c r="D31" s="124"/>
      <c r="E31" s="124"/>
      <c r="F31" s="124"/>
      <c r="G31" s="127"/>
      <c r="H31" s="127"/>
      <c r="I31" s="127"/>
      <c r="J31" s="127"/>
      <c r="K31" s="127"/>
      <c r="L31" s="127"/>
    </row>
    <row r="32" spans="1:12" ht="12.75">
      <c r="A32" s="127"/>
      <c r="B32" s="127"/>
      <c r="C32" s="128"/>
      <c r="D32" s="124"/>
      <c r="E32" s="124"/>
      <c r="F32" s="124"/>
      <c r="G32" s="127"/>
      <c r="H32" s="127"/>
      <c r="I32" s="127"/>
      <c r="J32" s="127"/>
      <c r="K32" s="127"/>
      <c r="L32" s="127"/>
    </row>
    <row r="33" spans="1:12" ht="12.75">
      <c r="A33" s="127"/>
      <c r="B33" s="127"/>
      <c r="C33" s="128"/>
      <c r="D33" s="124"/>
      <c r="E33" s="124"/>
      <c r="F33" s="124"/>
      <c r="G33" s="127"/>
      <c r="H33" s="127"/>
      <c r="I33" s="127"/>
      <c r="J33" s="127"/>
      <c r="K33" s="127"/>
      <c r="L33" s="127"/>
    </row>
    <row r="34" spans="1:12" ht="12.75">
      <c r="A34" s="127"/>
      <c r="B34" s="127"/>
      <c r="C34" s="128"/>
      <c r="D34" s="124"/>
      <c r="E34" s="124"/>
      <c r="F34" s="124"/>
      <c r="G34" s="127"/>
      <c r="H34" s="127"/>
      <c r="I34" s="127"/>
      <c r="J34" s="127"/>
      <c r="K34" s="127"/>
      <c r="L34" s="127"/>
    </row>
    <row r="35" spans="1:12" ht="12.75">
      <c r="A35" s="127"/>
      <c r="B35" s="127"/>
      <c r="C35" s="128"/>
      <c r="D35" s="124"/>
      <c r="E35" s="124"/>
      <c r="F35" s="124"/>
      <c r="G35" s="127"/>
      <c r="H35" s="127"/>
      <c r="I35" s="127"/>
      <c r="J35" s="127"/>
      <c r="K35" s="127"/>
      <c r="L35" s="127"/>
    </row>
    <row r="36" spans="1:12" ht="12.75">
      <c r="A36" s="127"/>
      <c r="B36" s="127"/>
      <c r="C36" s="128"/>
      <c r="D36" s="124"/>
      <c r="E36" s="124"/>
      <c r="F36" s="124"/>
      <c r="G36" s="127"/>
      <c r="H36" s="127"/>
      <c r="I36" s="127"/>
      <c r="J36" s="127"/>
      <c r="K36" s="127"/>
      <c r="L36" s="127"/>
    </row>
    <row r="37" spans="1:12" ht="12.75">
      <c r="A37" s="127"/>
      <c r="B37" s="127"/>
      <c r="C37" s="128"/>
      <c r="D37" s="124"/>
      <c r="E37" s="124"/>
      <c r="F37" s="124"/>
      <c r="G37" s="127"/>
      <c r="H37" s="127"/>
      <c r="I37" s="127"/>
      <c r="J37" s="127"/>
      <c r="K37" s="127"/>
      <c r="L37" s="127"/>
    </row>
    <row r="38" spans="1:12" ht="12.75">
      <c r="A38" s="127"/>
      <c r="B38" s="127"/>
      <c r="C38" s="128"/>
      <c r="D38" s="124"/>
      <c r="E38" s="124"/>
      <c r="F38" s="124"/>
      <c r="G38" s="127"/>
      <c r="H38" s="127"/>
      <c r="I38" s="127"/>
      <c r="J38" s="127"/>
      <c r="K38" s="127"/>
      <c r="L38" s="127"/>
    </row>
    <row r="39" spans="1:12" ht="12.75">
      <c r="A39" s="127"/>
      <c r="B39" s="127"/>
      <c r="C39" s="128"/>
      <c r="D39" s="124"/>
      <c r="E39" s="124"/>
      <c r="F39" s="124"/>
      <c r="G39" s="127"/>
      <c r="H39" s="127"/>
      <c r="I39" s="127"/>
      <c r="J39" s="127"/>
      <c r="K39" s="127"/>
      <c r="L39" s="127"/>
    </row>
    <row r="40" spans="1:12" ht="12.75">
      <c r="A40" s="127"/>
      <c r="B40" s="127"/>
      <c r="C40" s="128"/>
      <c r="D40" s="124"/>
      <c r="E40" s="124"/>
      <c r="F40" s="124"/>
      <c r="G40" s="127"/>
      <c r="H40" s="127"/>
      <c r="I40" s="127"/>
      <c r="J40" s="127"/>
      <c r="K40" s="127"/>
      <c r="L40" s="127"/>
    </row>
    <row r="41" spans="1:12" ht="12.75">
      <c r="A41" s="127"/>
      <c r="B41" s="127"/>
      <c r="C41" s="128"/>
      <c r="D41" s="124"/>
      <c r="E41" s="124"/>
      <c r="F41" s="124"/>
      <c r="G41" s="127"/>
      <c r="H41" s="127"/>
      <c r="I41" s="127"/>
      <c r="J41" s="127"/>
      <c r="K41" s="127"/>
      <c r="L41" s="127"/>
    </row>
    <row r="42" spans="1:12" ht="12.75">
      <c r="A42" s="127"/>
      <c r="B42" s="127"/>
      <c r="C42" s="128"/>
      <c r="D42" s="124"/>
      <c r="E42" s="124"/>
      <c r="F42" s="124"/>
      <c r="G42" s="127"/>
      <c r="H42" s="127"/>
      <c r="I42" s="127"/>
      <c r="J42" s="127"/>
      <c r="K42" s="127"/>
      <c r="L42" s="127"/>
    </row>
    <row r="43" spans="1:12" ht="12.75">
      <c r="A43" s="127"/>
      <c r="B43" s="127"/>
      <c r="C43" s="128"/>
      <c r="D43" s="124"/>
      <c r="E43" s="124"/>
      <c r="F43" s="124"/>
      <c r="G43" s="127"/>
      <c r="H43" s="127"/>
      <c r="I43" s="127"/>
      <c r="J43" s="127"/>
      <c r="K43" s="127"/>
      <c r="L43" s="127"/>
    </row>
    <row r="44" spans="1:12" ht="12.75">
      <c r="A44" s="127"/>
      <c r="B44" s="127"/>
      <c r="C44" s="128"/>
      <c r="D44" s="124"/>
      <c r="E44" s="124"/>
      <c r="F44" s="124"/>
      <c r="G44" s="127"/>
      <c r="H44" s="127"/>
      <c r="I44" s="127"/>
      <c r="J44" s="127"/>
      <c r="K44" s="127"/>
      <c r="L44" s="127"/>
    </row>
    <row r="45" spans="1:6" ht="12.75">
      <c r="A45" s="129"/>
      <c r="B45" s="129"/>
      <c r="C45" s="129"/>
      <c r="D45" s="100"/>
      <c r="E45" s="100"/>
      <c r="F45" s="100"/>
    </row>
    <row r="46" spans="1:3" ht="12.75">
      <c r="A46" s="130"/>
      <c r="B46" s="130"/>
      <c r="C46" s="130"/>
    </row>
    <row r="47" spans="1:3" ht="12.75">
      <c r="A47" s="130"/>
      <c r="B47" s="130"/>
      <c r="C47" s="130"/>
    </row>
    <row r="48" spans="1:3" ht="12.75">
      <c r="A48" s="130"/>
      <c r="B48" s="130"/>
      <c r="C48" s="130"/>
    </row>
    <row r="49" spans="1:3" ht="12.75">
      <c r="A49" s="130"/>
      <c r="B49" s="130"/>
      <c r="C49" s="130"/>
    </row>
    <row r="50" spans="1:3" ht="12.75">
      <c r="A50" s="130"/>
      <c r="B50" s="130"/>
      <c r="C50" s="130"/>
    </row>
    <row r="51" spans="1:3" ht="12.75">
      <c r="A51" s="130"/>
      <c r="B51" s="130"/>
      <c r="C51" s="130"/>
    </row>
    <row r="52" spans="1:3" ht="12.75">
      <c r="A52" s="130"/>
      <c r="B52" s="130"/>
      <c r="C52" s="130"/>
    </row>
    <row r="53" spans="1:3" ht="12.75">
      <c r="A53" s="130"/>
      <c r="B53" s="130"/>
      <c r="C53" s="130"/>
    </row>
    <row r="54" spans="1:3" ht="12.75">
      <c r="A54" s="130"/>
      <c r="B54" s="130"/>
      <c r="C54" s="130"/>
    </row>
    <row r="55" spans="1:3" ht="12.75">
      <c r="A55" s="130"/>
      <c r="B55" s="130"/>
      <c r="C55" s="130"/>
    </row>
    <row r="56" spans="1:3" ht="12.75">
      <c r="A56" s="130"/>
      <c r="B56" s="130"/>
      <c r="C56" s="130"/>
    </row>
    <row r="57" spans="1:5" ht="12.75">
      <c r="A57" s="130"/>
      <c r="B57" s="130"/>
      <c r="C57" s="130"/>
      <c r="D57" s="7"/>
      <c r="E57" s="7"/>
    </row>
    <row r="58" spans="1:3" ht="12.75">
      <c r="A58" s="130"/>
      <c r="B58" s="130"/>
      <c r="C58" s="130"/>
    </row>
    <row r="60" spans="4:5" ht="12.75">
      <c r="D60" s="8"/>
      <c r="E60" s="8"/>
    </row>
  </sheetData>
  <sheetProtection/>
  <printOptions/>
  <pageMargins left="0.75" right="0.75" top="1" bottom="1" header="0.492125985" footer="0.49212598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="200" zoomScaleNormal="2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5" sqref="E15"/>
    </sheetView>
  </sheetViews>
  <sheetFormatPr defaultColWidth="9.140625" defaultRowHeight="12.75"/>
  <cols>
    <col min="1" max="1" width="22.7109375" style="4" customWidth="1"/>
    <col min="2" max="2" width="8.421875" style="4" bestFit="1" customWidth="1"/>
    <col min="3" max="3" width="10.421875" style="4" bestFit="1" customWidth="1"/>
    <col min="4" max="4" width="9.28125" style="4" bestFit="1" customWidth="1"/>
    <col min="5" max="5" width="16.140625" style="4" customWidth="1"/>
    <col min="6" max="6" width="14.421875" style="4" bestFit="1" customWidth="1"/>
    <col min="7" max="7" width="16.7109375" style="4" bestFit="1" customWidth="1"/>
    <col min="8" max="9" width="9.140625" style="130" customWidth="1"/>
    <col min="10" max="10" width="12.8515625" style="130" bestFit="1" customWidth="1"/>
    <col min="11" max="16" width="9.140625" style="130" customWidth="1"/>
    <col min="17" max="16384" width="9.140625" style="4" customWidth="1"/>
  </cols>
  <sheetData>
    <row r="2" ht="13.5" thickBot="1">
      <c r="A2" s="3" t="s">
        <v>22</v>
      </c>
    </row>
    <row r="3" spans="5:15" ht="13.5" thickBot="1">
      <c r="E3" s="26" t="str">
        <f>'Consumo de materiais'!D3</f>
        <v>Pizza muzzarela</v>
      </c>
      <c r="F3" s="26" t="str">
        <f>'Consumo de materiais'!E3</f>
        <v>Pizza presunto</v>
      </c>
      <c r="G3" s="26" t="str">
        <f>'Consumo de materiais'!F3</f>
        <v>Pizza marguerita</v>
      </c>
      <c r="H3" s="146"/>
      <c r="I3" s="146"/>
      <c r="J3" s="146"/>
      <c r="K3" s="146"/>
      <c r="L3" s="146"/>
      <c r="M3" s="146"/>
      <c r="N3" s="146"/>
      <c r="O3" s="147"/>
    </row>
    <row r="4" spans="3:15" ht="13.5" thickBot="1">
      <c r="C4" s="113" t="s">
        <v>168</v>
      </c>
      <c r="D4" s="24" t="s">
        <v>23</v>
      </c>
      <c r="E4" s="218">
        <f>SUM(E7:E12)</f>
        <v>6.699999999999999</v>
      </c>
      <c r="F4" s="218">
        <f>SUM(F7:F12)</f>
        <v>8.75</v>
      </c>
      <c r="G4" s="218">
        <f>SUM(G7:G12)</f>
        <v>8.8</v>
      </c>
      <c r="H4" s="148"/>
      <c r="I4" s="148"/>
      <c r="J4" s="148"/>
      <c r="K4" s="148"/>
      <c r="L4" s="148"/>
      <c r="M4" s="148"/>
      <c r="N4" s="148"/>
      <c r="O4" s="149"/>
    </row>
    <row r="5" spans="3:15" ht="24.75" thickBot="1">
      <c r="C5" s="217" t="s">
        <v>169</v>
      </c>
      <c r="D5" s="25" t="s">
        <v>21</v>
      </c>
      <c r="E5" s="219">
        <f>E4*E6</f>
        <v>12984.148959968139</v>
      </c>
      <c r="F5" s="219">
        <f>F4*F6</f>
        <v>12554.691840908434</v>
      </c>
      <c r="G5" s="219">
        <f>G4*G6</f>
        <v>12133.446799680769</v>
      </c>
      <c r="H5" s="150"/>
      <c r="I5" s="150"/>
      <c r="J5" s="150"/>
      <c r="K5" s="150"/>
      <c r="L5" s="150"/>
      <c r="M5" s="150"/>
      <c r="N5" s="150"/>
      <c r="O5" s="151"/>
    </row>
    <row r="6" spans="1:16" ht="13.5" thickBot="1">
      <c r="A6" s="9" t="s">
        <v>12</v>
      </c>
      <c r="B6" s="10" t="s">
        <v>2</v>
      </c>
      <c r="C6" s="14" t="s">
        <v>56</v>
      </c>
      <c r="D6" s="17" t="s">
        <v>21</v>
      </c>
      <c r="E6" s="219">
        <f>'Consumo de materiais'!D4</f>
        <v>1937.9326805922599</v>
      </c>
      <c r="F6" s="219">
        <f>'Consumo de materiais'!E4</f>
        <v>1434.8219246752496</v>
      </c>
      <c r="G6" s="220">
        <f>'Consumo de materiais'!F4</f>
        <v>1378.8007726909964</v>
      </c>
      <c r="H6" s="155"/>
      <c r="I6" s="152"/>
      <c r="J6" s="152"/>
      <c r="K6" s="152"/>
      <c r="L6" s="152"/>
      <c r="M6" s="152"/>
      <c r="N6" s="152"/>
      <c r="O6" s="153"/>
      <c r="P6" s="154"/>
    </row>
    <row r="7" spans="1:15" ht="15" thickBot="1" thickTop="1">
      <c r="A7" s="11" t="str">
        <f>QUESTÕES!A4</f>
        <v>Farinha de trigo</v>
      </c>
      <c r="B7" s="11" t="str">
        <f>QUESTÕES!B4</f>
        <v>kg</v>
      </c>
      <c r="C7" s="23">
        <f>QUESTÕES!C4</f>
        <v>1</v>
      </c>
      <c r="D7" s="27"/>
      <c r="E7" s="221">
        <f>QUESTÕES!C15*'Custo de materiais'!C7</f>
        <v>0.5</v>
      </c>
      <c r="F7" s="221">
        <f>QUESTÕES!D15*'Custo de materiais'!C7</f>
        <v>0.5</v>
      </c>
      <c r="G7" s="222">
        <f>QUESTÕES!E15*'Custo de materiais'!C7</f>
        <v>0.6</v>
      </c>
      <c r="H7" s="135"/>
      <c r="I7" s="136"/>
      <c r="J7" s="136"/>
      <c r="K7" s="136"/>
      <c r="L7" s="136"/>
      <c r="M7" s="136"/>
      <c r="N7" s="136"/>
      <c r="O7" s="137"/>
    </row>
    <row r="8" spans="1:15" ht="13.5" thickBot="1">
      <c r="A8" s="11" t="str">
        <f>QUESTÕES!A5</f>
        <v>Ovo</v>
      </c>
      <c r="B8" s="11" t="str">
        <f>QUESTÕES!B5</f>
        <v>un.</v>
      </c>
      <c r="C8" s="23">
        <f>QUESTÕES!C5</f>
        <v>0.5</v>
      </c>
      <c r="D8" s="27"/>
      <c r="E8" s="221">
        <f>QUESTÕES!C16*'Custo de materiais'!C8</f>
        <v>0.5</v>
      </c>
      <c r="F8" s="221">
        <f>QUESTÕES!D16*'Custo de materiais'!C8</f>
        <v>1.5</v>
      </c>
      <c r="G8" s="222">
        <f>QUESTÕES!E16*'Custo de materiais'!C8</f>
        <v>1</v>
      </c>
      <c r="H8" s="135"/>
      <c r="I8" s="136"/>
      <c r="J8" s="136"/>
      <c r="K8" s="136"/>
      <c r="L8" s="136"/>
      <c r="M8" s="136"/>
      <c r="N8" s="136"/>
      <c r="O8" s="137"/>
    </row>
    <row r="9" spans="1:15" ht="13.5" thickBot="1">
      <c r="A9" s="11" t="str">
        <f>QUESTÕES!A6</f>
        <v>Leite</v>
      </c>
      <c r="B9" s="11" t="str">
        <f>QUESTÕES!B6</f>
        <v>L</v>
      </c>
      <c r="C9" s="23">
        <f>QUESTÕES!C6</f>
        <v>1</v>
      </c>
      <c r="D9" s="27"/>
      <c r="E9" s="221">
        <f>QUESTÕES!C17*'Custo de materiais'!C9</f>
        <v>0.4</v>
      </c>
      <c r="F9" s="221">
        <f>QUESTÕES!D17*'Custo de materiais'!C9</f>
        <v>0.4</v>
      </c>
      <c r="G9" s="222">
        <f>QUESTÕES!E17*'Custo de materiais'!C9</f>
        <v>0.4</v>
      </c>
      <c r="H9" s="135"/>
      <c r="I9" s="136"/>
      <c r="J9" s="136"/>
      <c r="K9" s="136"/>
      <c r="L9" s="136"/>
      <c r="M9" s="136"/>
      <c r="N9" s="136"/>
      <c r="O9" s="137"/>
    </row>
    <row r="10" spans="1:15" ht="13.5" thickBot="1">
      <c r="A10" s="11" t="str">
        <f>QUESTÕES!A7</f>
        <v>Queijo muzzarela</v>
      </c>
      <c r="B10" s="11" t="str">
        <f>QUESTÕES!B7</f>
        <v>kg</v>
      </c>
      <c r="C10" s="23">
        <f>QUESTÕES!C7</f>
        <v>8</v>
      </c>
      <c r="D10" s="27"/>
      <c r="E10" s="221">
        <f>QUESTÕES!C18*'Custo de materiais'!C10</f>
        <v>4.8</v>
      </c>
      <c r="F10" s="221">
        <f>QUESTÕES!D18*'Custo de materiais'!C10</f>
        <v>1.6</v>
      </c>
      <c r="G10" s="222">
        <f>QUESTÕES!E18*'Custo de materiais'!C10</f>
        <v>2.8</v>
      </c>
      <c r="H10" s="135"/>
      <c r="I10" s="136"/>
      <c r="J10" s="136"/>
      <c r="K10" s="136"/>
      <c r="L10" s="136"/>
      <c r="M10" s="136"/>
      <c r="N10" s="136"/>
      <c r="O10" s="137"/>
    </row>
    <row r="11" spans="1:15" ht="13.5" thickBot="1">
      <c r="A11" s="11" t="str">
        <f>QUESTÕES!A8</f>
        <v>Molho de tomate</v>
      </c>
      <c r="B11" s="11" t="str">
        <f>QUESTÕES!B8</f>
        <v>kg</v>
      </c>
      <c r="C11" s="23">
        <f>QUESTÕES!C8</f>
        <v>5</v>
      </c>
      <c r="D11" s="27"/>
      <c r="E11" s="221">
        <f>QUESTÕES!C19*'Custo de materiais'!C11</f>
        <v>0.5</v>
      </c>
      <c r="F11" s="221">
        <f>QUESTÕES!D19*'Custo de materiais'!C11</f>
        <v>1</v>
      </c>
      <c r="G11" s="222">
        <f>QUESTÕES!E19*'Custo de materiais'!C11</f>
        <v>1</v>
      </c>
      <c r="H11" s="135"/>
      <c r="I11" s="136"/>
      <c r="J11" s="136"/>
      <c r="K11" s="136"/>
      <c r="L11" s="136"/>
      <c r="M11" s="136"/>
      <c r="N11" s="136"/>
      <c r="O11" s="137"/>
    </row>
    <row r="12" spans="1:15" ht="13.5" thickBot="1">
      <c r="A12" s="12" t="str">
        <f>QUESTÕES!A9</f>
        <v>Presunto</v>
      </c>
      <c r="B12" s="12" t="str">
        <f>QUESTÕES!B9</f>
        <v>kg</v>
      </c>
      <c r="C12" s="156">
        <f>QUESTÕES!C9</f>
        <v>15</v>
      </c>
      <c r="D12" s="28"/>
      <c r="E12" s="223">
        <f>QUESTÕES!C20*'Custo de materiais'!C12</f>
        <v>0</v>
      </c>
      <c r="F12" s="223">
        <f>QUESTÕES!D20*'Custo de materiais'!C12</f>
        <v>3.75</v>
      </c>
      <c r="G12" s="224">
        <f>QUESTÕES!E20*'Custo de materiais'!C12</f>
        <v>3</v>
      </c>
      <c r="H12" s="135"/>
      <c r="I12" s="136"/>
      <c r="J12" s="136"/>
      <c r="K12" s="136"/>
      <c r="L12" s="136"/>
      <c r="M12" s="136"/>
      <c r="N12" s="136"/>
      <c r="O12" s="137"/>
    </row>
    <row r="13" spans="1:15" ht="12.75">
      <c r="A13" s="131"/>
      <c r="B13" s="132"/>
      <c r="C13" s="133"/>
      <c r="D13" s="134"/>
      <c r="E13" s="135"/>
      <c r="F13" s="136"/>
      <c r="G13" s="136"/>
      <c r="H13" s="136"/>
      <c r="I13" s="136"/>
      <c r="J13" s="136"/>
      <c r="K13" s="136"/>
      <c r="L13" s="136"/>
      <c r="M13" s="136"/>
      <c r="N13" s="136"/>
      <c r="O13" s="137"/>
    </row>
    <row r="14" spans="1:15" ht="12.75">
      <c r="A14" s="131"/>
      <c r="B14" s="132"/>
      <c r="C14" s="133"/>
      <c r="D14" s="134"/>
      <c r="E14" s="135"/>
      <c r="F14" s="136"/>
      <c r="G14" s="136"/>
      <c r="H14" s="136"/>
      <c r="I14" s="136"/>
      <c r="J14" s="136"/>
      <c r="K14" s="136"/>
      <c r="L14" s="136"/>
      <c r="M14" s="136"/>
      <c r="N14" s="136"/>
      <c r="O14" s="137"/>
    </row>
    <row r="15" spans="1:15" ht="12.75">
      <c r="A15" s="131"/>
      <c r="B15" s="132"/>
      <c r="C15" s="133"/>
      <c r="D15" s="134"/>
      <c r="E15" s="135"/>
      <c r="F15" s="136"/>
      <c r="G15" s="136"/>
      <c r="H15" s="136"/>
      <c r="I15" s="136"/>
      <c r="J15" s="136"/>
      <c r="K15" s="136"/>
      <c r="L15" s="136"/>
      <c r="M15" s="136"/>
      <c r="N15" s="136"/>
      <c r="O15" s="137"/>
    </row>
    <row r="16" spans="1:15" ht="12.75">
      <c r="A16" s="131"/>
      <c r="B16" s="132"/>
      <c r="C16" s="133"/>
      <c r="D16" s="134"/>
      <c r="E16" s="135"/>
      <c r="F16" s="136"/>
      <c r="G16" s="136"/>
      <c r="H16" s="136"/>
      <c r="I16" s="136"/>
      <c r="J16" s="136"/>
      <c r="K16" s="136"/>
      <c r="L16" s="136"/>
      <c r="M16" s="136"/>
      <c r="N16" s="136"/>
      <c r="O16" s="137"/>
    </row>
    <row r="17" spans="1:15" ht="12.75">
      <c r="A17" s="131"/>
      <c r="B17" s="132"/>
      <c r="C17" s="133"/>
      <c r="D17" s="134"/>
      <c r="E17" s="135"/>
      <c r="F17" s="136"/>
      <c r="G17" s="136"/>
      <c r="H17" s="136"/>
      <c r="I17" s="136"/>
      <c r="J17" s="136"/>
      <c r="K17" s="136"/>
      <c r="L17" s="136"/>
      <c r="M17" s="136"/>
      <c r="N17" s="136"/>
      <c r="O17" s="137"/>
    </row>
    <row r="18" spans="1:15" ht="12.75">
      <c r="A18" s="131"/>
      <c r="B18" s="132"/>
      <c r="C18" s="133"/>
      <c r="D18" s="134"/>
      <c r="E18" s="135"/>
      <c r="F18" s="136"/>
      <c r="G18" s="136"/>
      <c r="H18" s="136"/>
      <c r="I18" s="136"/>
      <c r="J18" s="136"/>
      <c r="K18" s="136"/>
      <c r="L18" s="136"/>
      <c r="M18" s="136"/>
      <c r="N18" s="136"/>
      <c r="O18" s="137"/>
    </row>
    <row r="19" spans="1:15" ht="12.75">
      <c r="A19" s="131"/>
      <c r="B19" s="132"/>
      <c r="C19" s="133"/>
      <c r="D19" s="134"/>
      <c r="E19" s="135"/>
      <c r="F19" s="136"/>
      <c r="G19" s="136"/>
      <c r="H19" s="136"/>
      <c r="I19" s="136"/>
      <c r="J19" s="136"/>
      <c r="K19" s="136"/>
      <c r="L19" s="136"/>
      <c r="M19" s="136"/>
      <c r="N19" s="136"/>
      <c r="O19" s="137"/>
    </row>
    <row r="20" spans="1:15" ht="12.75">
      <c r="A20" s="131"/>
      <c r="B20" s="132"/>
      <c r="C20" s="133"/>
      <c r="D20" s="134"/>
      <c r="E20" s="135"/>
      <c r="F20" s="136"/>
      <c r="G20" s="136"/>
      <c r="H20" s="136"/>
      <c r="I20" s="136"/>
      <c r="J20" s="136"/>
      <c r="K20" s="136"/>
      <c r="L20" s="136"/>
      <c r="M20" s="136"/>
      <c r="N20" s="136"/>
      <c r="O20" s="137"/>
    </row>
    <row r="21" spans="1:15" ht="12.75">
      <c r="A21" s="131"/>
      <c r="B21" s="132"/>
      <c r="C21" s="133"/>
      <c r="D21" s="134"/>
      <c r="E21" s="135"/>
      <c r="F21" s="136"/>
      <c r="G21" s="136"/>
      <c r="H21" s="136"/>
      <c r="I21" s="136"/>
      <c r="J21" s="136"/>
      <c r="K21" s="136"/>
      <c r="L21" s="136"/>
      <c r="M21" s="136"/>
      <c r="N21" s="136"/>
      <c r="O21" s="137"/>
    </row>
    <row r="22" spans="1:15" ht="12.75">
      <c r="A22" s="131"/>
      <c r="B22" s="132"/>
      <c r="C22" s="133"/>
      <c r="D22" s="134"/>
      <c r="E22" s="135"/>
      <c r="F22" s="136"/>
      <c r="G22" s="136"/>
      <c r="H22" s="136"/>
      <c r="I22" s="136"/>
      <c r="J22" s="136"/>
      <c r="K22" s="136"/>
      <c r="L22" s="136"/>
      <c r="M22" s="136"/>
      <c r="N22" s="136"/>
      <c r="O22" s="137"/>
    </row>
    <row r="23" spans="1:15" ht="12.75">
      <c r="A23" s="131"/>
      <c r="B23" s="132"/>
      <c r="C23" s="133"/>
      <c r="D23" s="134"/>
      <c r="E23" s="135"/>
      <c r="F23" s="136"/>
      <c r="G23" s="136"/>
      <c r="H23" s="136"/>
      <c r="I23" s="136"/>
      <c r="J23" s="136"/>
      <c r="K23" s="136"/>
      <c r="L23" s="136"/>
      <c r="M23" s="136"/>
      <c r="N23" s="136"/>
      <c r="O23" s="137"/>
    </row>
    <row r="24" spans="1:15" ht="12.75">
      <c r="A24" s="131"/>
      <c r="B24" s="132"/>
      <c r="C24" s="133"/>
      <c r="D24" s="134"/>
      <c r="E24" s="135"/>
      <c r="F24" s="136"/>
      <c r="G24" s="136"/>
      <c r="H24" s="136"/>
      <c r="I24" s="136"/>
      <c r="J24" s="136"/>
      <c r="K24" s="136"/>
      <c r="L24" s="136"/>
      <c r="M24" s="136"/>
      <c r="N24" s="136"/>
      <c r="O24" s="137"/>
    </row>
    <row r="25" spans="1:15" ht="12.75">
      <c r="A25" s="131"/>
      <c r="B25" s="132"/>
      <c r="C25" s="133"/>
      <c r="D25" s="134"/>
      <c r="E25" s="135"/>
      <c r="F25" s="136"/>
      <c r="G25" s="136"/>
      <c r="H25" s="136"/>
      <c r="I25" s="136"/>
      <c r="J25" s="136"/>
      <c r="K25" s="136"/>
      <c r="L25" s="136"/>
      <c r="M25" s="136"/>
      <c r="N25" s="136"/>
      <c r="O25" s="137"/>
    </row>
    <row r="26" spans="1:15" ht="12.75">
      <c r="A26" s="131"/>
      <c r="B26" s="132"/>
      <c r="C26" s="133"/>
      <c r="D26" s="134"/>
      <c r="E26" s="135"/>
      <c r="F26" s="136"/>
      <c r="G26" s="136"/>
      <c r="H26" s="136"/>
      <c r="I26" s="136"/>
      <c r="J26" s="136"/>
      <c r="K26" s="136"/>
      <c r="L26" s="136"/>
      <c r="M26" s="136"/>
      <c r="N26" s="136"/>
      <c r="O26" s="137"/>
    </row>
    <row r="27" spans="1:15" ht="12.75">
      <c r="A27" s="131"/>
      <c r="B27" s="132"/>
      <c r="C27" s="133"/>
      <c r="D27" s="134"/>
      <c r="E27" s="135"/>
      <c r="F27" s="136"/>
      <c r="G27" s="136"/>
      <c r="H27" s="136"/>
      <c r="I27" s="136"/>
      <c r="J27" s="136"/>
      <c r="K27" s="136"/>
      <c r="L27" s="136"/>
      <c r="M27" s="136"/>
      <c r="N27" s="136"/>
      <c r="O27" s="137"/>
    </row>
    <row r="28" spans="1:15" ht="12.75">
      <c r="A28" s="131"/>
      <c r="B28" s="132"/>
      <c r="C28" s="133"/>
      <c r="D28" s="134"/>
      <c r="E28" s="135"/>
      <c r="F28" s="136"/>
      <c r="G28" s="136"/>
      <c r="H28" s="136"/>
      <c r="I28" s="136"/>
      <c r="J28" s="136"/>
      <c r="K28" s="136"/>
      <c r="L28" s="136"/>
      <c r="M28" s="136"/>
      <c r="N28" s="136"/>
      <c r="O28" s="137"/>
    </row>
    <row r="29" spans="1:15" ht="12.75">
      <c r="A29" s="131"/>
      <c r="B29" s="132"/>
      <c r="C29" s="133"/>
      <c r="D29" s="134"/>
      <c r="E29" s="135"/>
      <c r="F29" s="136"/>
      <c r="G29" s="136"/>
      <c r="H29" s="136"/>
      <c r="I29" s="136"/>
      <c r="J29" s="136"/>
      <c r="K29" s="136"/>
      <c r="L29" s="136"/>
      <c r="M29" s="136"/>
      <c r="N29" s="136"/>
      <c r="O29" s="137"/>
    </row>
    <row r="30" spans="1:15" ht="12.75">
      <c r="A30" s="131"/>
      <c r="B30" s="132"/>
      <c r="C30" s="133"/>
      <c r="D30" s="134"/>
      <c r="E30" s="135"/>
      <c r="F30" s="136"/>
      <c r="G30" s="136"/>
      <c r="H30" s="136"/>
      <c r="I30" s="136"/>
      <c r="J30" s="136"/>
      <c r="K30" s="136"/>
      <c r="L30" s="136"/>
      <c r="M30" s="136"/>
      <c r="N30" s="136"/>
      <c r="O30" s="137"/>
    </row>
    <row r="31" spans="1:15" ht="12.75">
      <c r="A31" s="131"/>
      <c r="B31" s="132"/>
      <c r="C31" s="133"/>
      <c r="D31" s="134"/>
      <c r="E31" s="135"/>
      <c r="F31" s="136"/>
      <c r="G31" s="136"/>
      <c r="H31" s="136"/>
      <c r="I31" s="136"/>
      <c r="J31" s="136"/>
      <c r="K31" s="136"/>
      <c r="L31" s="136"/>
      <c r="M31" s="136"/>
      <c r="N31" s="136"/>
      <c r="O31" s="137"/>
    </row>
    <row r="32" spans="1:15" ht="12.75">
      <c r="A32" s="131"/>
      <c r="B32" s="132"/>
      <c r="C32" s="133"/>
      <c r="D32" s="134"/>
      <c r="E32" s="135"/>
      <c r="F32" s="136"/>
      <c r="G32" s="136"/>
      <c r="H32" s="136"/>
      <c r="I32" s="136"/>
      <c r="J32" s="136"/>
      <c r="K32" s="136"/>
      <c r="L32" s="136"/>
      <c r="M32" s="136"/>
      <c r="N32" s="136"/>
      <c r="O32" s="137"/>
    </row>
    <row r="33" spans="1:15" ht="12.75">
      <c r="A33" s="131"/>
      <c r="B33" s="132"/>
      <c r="C33" s="133"/>
      <c r="D33" s="134"/>
      <c r="E33" s="135"/>
      <c r="F33" s="136"/>
      <c r="G33" s="136"/>
      <c r="H33" s="136"/>
      <c r="I33" s="136"/>
      <c r="J33" s="136"/>
      <c r="K33" s="136"/>
      <c r="L33" s="136"/>
      <c r="M33" s="136"/>
      <c r="N33" s="136"/>
      <c r="O33" s="137"/>
    </row>
    <row r="34" spans="1:15" ht="12.75">
      <c r="A34" s="131"/>
      <c r="B34" s="132"/>
      <c r="C34" s="133"/>
      <c r="D34" s="134"/>
      <c r="E34" s="135"/>
      <c r="F34" s="136"/>
      <c r="G34" s="136"/>
      <c r="H34" s="136"/>
      <c r="I34" s="136"/>
      <c r="J34" s="136"/>
      <c r="K34" s="136"/>
      <c r="L34" s="136"/>
      <c r="M34" s="136"/>
      <c r="N34" s="136"/>
      <c r="O34" s="137"/>
    </row>
    <row r="35" spans="1:15" ht="12.75">
      <c r="A35" s="131"/>
      <c r="B35" s="132"/>
      <c r="C35" s="133"/>
      <c r="D35" s="134"/>
      <c r="E35" s="135"/>
      <c r="F35" s="136"/>
      <c r="G35" s="136"/>
      <c r="H35" s="136"/>
      <c r="I35" s="136"/>
      <c r="J35" s="136"/>
      <c r="K35" s="136"/>
      <c r="L35" s="136"/>
      <c r="M35" s="136"/>
      <c r="N35" s="136"/>
      <c r="O35" s="137"/>
    </row>
    <row r="36" spans="1:15" ht="12.75">
      <c r="A36" s="131"/>
      <c r="B36" s="132"/>
      <c r="C36" s="133"/>
      <c r="D36" s="134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7"/>
    </row>
    <row r="37" spans="1:15" ht="12.75">
      <c r="A37" s="131"/>
      <c r="B37" s="132"/>
      <c r="C37" s="133"/>
      <c r="D37" s="134"/>
      <c r="E37" s="135"/>
      <c r="F37" s="136"/>
      <c r="G37" s="136"/>
      <c r="H37" s="136"/>
      <c r="I37" s="136"/>
      <c r="J37" s="136"/>
      <c r="K37" s="136"/>
      <c r="L37" s="136"/>
      <c r="M37" s="136"/>
      <c r="N37" s="136"/>
      <c r="O37" s="137"/>
    </row>
    <row r="38" spans="1:15" ht="12.75">
      <c r="A38" s="131"/>
      <c r="B38" s="132"/>
      <c r="C38" s="133"/>
      <c r="D38" s="134"/>
      <c r="E38" s="135"/>
      <c r="F38" s="136"/>
      <c r="G38" s="136"/>
      <c r="H38" s="136"/>
      <c r="I38" s="136"/>
      <c r="J38" s="136"/>
      <c r="K38" s="136"/>
      <c r="L38" s="136"/>
      <c r="M38" s="136"/>
      <c r="N38" s="136"/>
      <c r="O38" s="137"/>
    </row>
    <row r="39" spans="1:15" ht="12.75">
      <c r="A39" s="131"/>
      <c r="B39" s="132"/>
      <c r="C39" s="133"/>
      <c r="D39" s="134"/>
      <c r="E39" s="135"/>
      <c r="F39" s="136"/>
      <c r="G39" s="136"/>
      <c r="H39" s="136"/>
      <c r="I39" s="136"/>
      <c r="J39" s="136"/>
      <c r="K39" s="136"/>
      <c r="L39" s="136"/>
      <c r="M39" s="136"/>
      <c r="N39" s="136"/>
      <c r="O39" s="137"/>
    </row>
    <row r="40" spans="1:15" ht="12.75">
      <c r="A40" s="131"/>
      <c r="B40" s="132"/>
      <c r="C40" s="133"/>
      <c r="D40" s="134"/>
      <c r="E40" s="135"/>
      <c r="F40" s="136"/>
      <c r="G40" s="136"/>
      <c r="H40" s="136"/>
      <c r="I40" s="136"/>
      <c r="J40" s="136"/>
      <c r="K40" s="136"/>
      <c r="L40" s="136"/>
      <c r="M40" s="136"/>
      <c r="N40" s="136"/>
      <c r="O40" s="137"/>
    </row>
    <row r="41" spans="1:15" ht="12.75">
      <c r="A41" s="131"/>
      <c r="B41" s="132"/>
      <c r="C41" s="133"/>
      <c r="D41" s="134"/>
      <c r="E41" s="135"/>
      <c r="F41" s="136"/>
      <c r="G41" s="136"/>
      <c r="H41" s="136"/>
      <c r="I41" s="136"/>
      <c r="J41" s="136"/>
      <c r="K41" s="136"/>
      <c r="L41" s="136"/>
      <c r="M41" s="136"/>
      <c r="N41" s="136"/>
      <c r="O41" s="137"/>
    </row>
    <row r="42" spans="1:15" ht="12.75">
      <c r="A42" s="131"/>
      <c r="B42" s="132"/>
      <c r="C42" s="133"/>
      <c r="D42" s="134"/>
      <c r="E42" s="135"/>
      <c r="F42" s="136"/>
      <c r="G42" s="136"/>
      <c r="H42" s="136"/>
      <c r="I42" s="136"/>
      <c r="J42" s="136"/>
      <c r="K42" s="136"/>
      <c r="L42" s="136"/>
      <c r="M42" s="136"/>
      <c r="N42" s="136"/>
      <c r="O42" s="137"/>
    </row>
    <row r="43" spans="1:15" ht="12.75">
      <c r="A43" s="131"/>
      <c r="B43" s="132"/>
      <c r="C43" s="133"/>
      <c r="D43" s="134"/>
      <c r="E43" s="135"/>
      <c r="F43" s="136"/>
      <c r="G43" s="136"/>
      <c r="H43" s="136"/>
      <c r="I43" s="136"/>
      <c r="J43" s="136"/>
      <c r="K43" s="136"/>
      <c r="L43" s="136"/>
      <c r="M43" s="136"/>
      <c r="N43" s="136"/>
      <c r="O43" s="137"/>
    </row>
    <row r="44" spans="1:15" ht="12.75">
      <c r="A44" s="131"/>
      <c r="B44" s="132"/>
      <c r="C44" s="133"/>
      <c r="D44" s="134"/>
      <c r="E44" s="135"/>
      <c r="F44" s="136"/>
      <c r="G44" s="136"/>
      <c r="H44" s="136"/>
      <c r="I44" s="136"/>
      <c r="J44" s="136"/>
      <c r="K44" s="136"/>
      <c r="L44" s="136"/>
      <c r="M44" s="136"/>
      <c r="N44" s="136"/>
      <c r="O44" s="137"/>
    </row>
    <row r="45" spans="1:15" ht="12.75">
      <c r="A45" s="131"/>
      <c r="B45" s="132"/>
      <c r="C45" s="133"/>
      <c r="D45" s="134"/>
      <c r="E45" s="135"/>
      <c r="F45" s="136"/>
      <c r="G45" s="136"/>
      <c r="H45" s="136"/>
      <c r="I45" s="136"/>
      <c r="J45" s="136"/>
      <c r="K45" s="136"/>
      <c r="L45" s="136"/>
      <c r="M45" s="136"/>
      <c r="N45" s="136"/>
      <c r="O45" s="137"/>
    </row>
    <row r="46" spans="1:15" ht="13.5" thickBot="1">
      <c r="A46" s="138"/>
      <c r="B46" s="139"/>
      <c r="C46" s="140"/>
      <c r="D46" s="141"/>
      <c r="E46" s="142"/>
      <c r="F46" s="143"/>
      <c r="G46" s="143"/>
      <c r="H46" s="143"/>
      <c r="I46" s="143"/>
      <c r="J46" s="143"/>
      <c r="K46" s="143"/>
      <c r="L46" s="143"/>
      <c r="M46" s="143"/>
      <c r="N46" s="143"/>
      <c r="O46" s="144"/>
    </row>
    <row r="47" spans="1:15" ht="13.5" thickBo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</row>
    <row r="59" spans="5:7" ht="12.75">
      <c r="E59" s="7"/>
      <c r="F59" s="7"/>
      <c r="G59" s="7"/>
    </row>
    <row r="62" spans="5:7" ht="12.75">
      <c r="E62" s="8"/>
      <c r="F62" s="8"/>
      <c r="G62" s="8"/>
    </row>
  </sheetData>
  <sheetProtection/>
  <printOptions/>
  <pageMargins left="0.75" right="0.75" top="1" bottom="1" header="0.492125985" footer="0.49212598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8"/>
  <sheetViews>
    <sheetView showZeros="0" zoomScale="150" zoomScaleNormal="15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6" sqref="I16"/>
    </sheetView>
  </sheetViews>
  <sheetFormatPr defaultColWidth="9.140625" defaultRowHeight="12.75"/>
  <cols>
    <col min="1" max="1" width="14.8515625" style="4" customWidth="1"/>
    <col min="2" max="2" width="8.28125" style="4" bestFit="1" customWidth="1"/>
    <col min="3" max="3" width="11.140625" style="4" customWidth="1"/>
    <col min="4" max="4" width="11.8515625" style="4" customWidth="1"/>
    <col min="5" max="5" width="8.140625" style="4" customWidth="1"/>
    <col min="6" max="6" width="9.00390625" style="4" customWidth="1"/>
    <col min="7" max="7" width="14.00390625" style="4" bestFit="1" customWidth="1"/>
    <col min="8" max="8" width="9.8515625" style="4" customWidth="1"/>
    <col min="9" max="9" width="11.421875" style="4" customWidth="1"/>
    <col min="10" max="10" width="10.8515625" style="4" customWidth="1"/>
    <col min="11" max="11" width="9.421875" style="4" customWidth="1"/>
    <col min="12" max="12" width="9.140625" style="4" customWidth="1"/>
    <col min="13" max="16384" width="9.140625" style="4" customWidth="1"/>
  </cols>
  <sheetData>
    <row r="1" ht="13.5" thickBot="1"/>
    <row r="2" spans="1:12" ht="42">
      <c r="A2" s="158" t="s">
        <v>24</v>
      </c>
      <c r="B2" s="159" t="s">
        <v>151</v>
      </c>
      <c r="C2" s="159" t="s">
        <v>152</v>
      </c>
      <c r="D2" s="160" t="s">
        <v>154</v>
      </c>
      <c r="E2" s="160" t="s">
        <v>25</v>
      </c>
      <c r="F2" s="160" t="s">
        <v>155</v>
      </c>
      <c r="G2" s="160" t="s">
        <v>156</v>
      </c>
      <c r="H2" s="160" t="s">
        <v>158</v>
      </c>
      <c r="I2" s="160" t="s">
        <v>159</v>
      </c>
      <c r="J2" s="160" t="s">
        <v>26</v>
      </c>
      <c r="K2" s="160" t="s">
        <v>157</v>
      </c>
      <c r="L2" s="161" t="s">
        <v>27</v>
      </c>
    </row>
    <row r="3" spans="1:12" ht="12.75">
      <c r="A3" s="162" t="str">
        <f>QUESTÕES!F4</f>
        <v>Pizza muzzarela</v>
      </c>
      <c r="B3" s="167">
        <f>QUESTÕES!H4</f>
        <v>11.70551444299316</v>
      </c>
      <c r="C3" s="164">
        <f>QUESTÕES!J4</f>
        <v>1937.9326805922599</v>
      </c>
      <c r="D3" s="165">
        <f>C3*B3</f>
        <v>22684.498982221146</v>
      </c>
      <c r="E3" s="163">
        <f>QUESTÕES!I4</f>
        <v>0.18</v>
      </c>
      <c r="F3" s="166">
        <f>D3*0.18</f>
        <v>4083.209816799806</v>
      </c>
      <c r="G3" s="112">
        <f>H3*C3</f>
        <v>12984.148959968139</v>
      </c>
      <c r="H3" s="168">
        <f>'Custo de materiais'!E4</f>
        <v>6.699999999999999</v>
      </c>
      <c r="I3" s="169">
        <f>B3*(0.82)-H3</f>
        <v>2.8985218432543913</v>
      </c>
      <c r="J3" s="170">
        <f>I3/B3</f>
        <v>0.24762020134787213</v>
      </c>
      <c r="K3" s="157">
        <f>I3*C3</f>
        <v>5617.140205453201</v>
      </c>
      <c r="L3" s="179">
        <f>K3/$K$6</f>
        <v>0.2827431161020622</v>
      </c>
    </row>
    <row r="4" spans="1:12" ht="12.75">
      <c r="A4" s="162" t="str">
        <f>QUESTÕES!F5</f>
        <v>Pizza presunto</v>
      </c>
      <c r="B4" s="167">
        <f>QUESTÕES!H5</f>
        <v>15.695534225974251</v>
      </c>
      <c r="C4" s="164">
        <f>QUESTÕES!J5</f>
        <v>1434.8219246752496</v>
      </c>
      <c r="D4" s="165">
        <f>C4*B4</f>
        <v>22520.29662691863</v>
      </c>
      <c r="E4" s="163">
        <v>0.18</v>
      </c>
      <c r="F4" s="166">
        <f>D4*0.18</f>
        <v>4053.653392845353</v>
      </c>
      <c r="G4" s="112">
        <f>H4*C4</f>
        <v>12554.691840908434</v>
      </c>
      <c r="H4" s="168">
        <f>'Custo de materiais'!F4</f>
        <v>8.75</v>
      </c>
      <c r="I4" s="169">
        <f>B4*(0.82)-H4</f>
        <v>4.120338065298885</v>
      </c>
      <c r="J4" s="170">
        <f>I4/B4</f>
        <v>0.2625165863090033</v>
      </c>
      <c r="K4" s="157">
        <f>I4*C4</f>
        <v>5911.951393164841</v>
      </c>
      <c r="L4" s="179">
        <f>K4/$K$6</f>
        <v>0.29758266626931923</v>
      </c>
    </row>
    <row r="5" spans="1:12" ht="12.75">
      <c r="A5" s="162" t="str">
        <f>QUESTÕES!F6</f>
        <v>Pizza marguerita</v>
      </c>
      <c r="B5" s="167">
        <f>QUESTÕES!H6</f>
        <v>18.105996136545016</v>
      </c>
      <c r="C5" s="164">
        <f>QUESTÕES!J6</f>
        <v>1378.8007726909964</v>
      </c>
      <c r="D5" s="165">
        <f>C5*B5</f>
        <v>24964.561463408463</v>
      </c>
      <c r="E5" s="163">
        <v>0.18</v>
      </c>
      <c r="F5" s="166">
        <f>D5*0.18</f>
        <v>4493.621063413523</v>
      </c>
      <c r="G5" s="112">
        <f>H5*C5</f>
        <v>12133.446799680769</v>
      </c>
      <c r="H5" s="168">
        <f>'Custo de materiais'!G4</f>
        <v>8.8</v>
      </c>
      <c r="I5" s="169">
        <f>B5*(0.82)-H5</f>
        <v>6.046916831966913</v>
      </c>
      <c r="J5" s="170">
        <f>I5/B5</f>
        <v>0.3339731648214515</v>
      </c>
      <c r="K5" s="157">
        <f>I5*C5</f>
        <v>8337.493600314172</v>
      </c>
      <c r="L5" s="179">
        <f>K5/$K$6</f>
        <v>0.41967421762861873</v>
      </c>
    </row>
    <row r="6" spans="1:12" ht="13.5" thickBot="1">
      <c r="A6" s="171" t="s">
        <v>153</v>
      </c>
      <c r="B6" s="172"/>
      <c r="C6" s="172">
        <f>SUM(C3:C5)</f>
        <v>4751.555377958506</v>
      </c>
      <c r="D6" s="172">
        <f>SUM(D3:D5)</f>
        <v>70169.35707254824</v>
      </c>
      <c r="E6" s="177"/>
      <c r="F6" s="172">
        <f>SUM(F3:F5)</f>
        <v>12630.484273058682</v>
      </c>
      <c r="G6" s="172">
        <f>SUM(G3:G5)</f>
        <v>37672.28760055734</v>
      </c>
      <c r="H6" s="172"/>
      <c r="I6" s="172"/>
      <c r="J6" s="173"/>
      <c r="K6" s="174">
        <f>SUM(K3:K5)</f>
        <v>19866.58519893221</v>
      </c>
      <c r="L6" s="175">
        <f>SUM(L3:L5)</f>
        <v>1.0000000000000002</v>
      </c>
    </row>
    <row r="7" spans="5:6" ht="12.75">
      <c r="E7" s="178"/>
      <c r="F7" s="176"/>
    </row>
    <row r="8" spans="7:20" ht="12.75"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</sheetData>
  <sheetProtection/>
  <printOptions/>
  <pageMargins left="0.75" right="0.75" top="1" bottom="1" header="0.492125985" footer="0.49212598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B1:EC113"/>
  <sheetViews>
    <sheetView tabSelected="1" zoomScale="120" zoomScaleNormal="120" zoomScalePageLayoutView="0" workbookViewId="0" topLeftCell="A7">
      <selection activeCell="G4" sqref="G4"/>
    </sheetView>
  </sheetViews>
  <sheetFormatPr defaultColWidth="9.140625" defaultRowHeight="12.75"/>
  <cols>
    <col min="1" max="1" width="9.00390625" style="4" customWidth="1"/>
    <col min="2" max="2" width="20.00390625" style="4" bestFit="1" customWidth="1"/>
    <col min="3" max="4" width="11.140625" style="4" bestFit="1" customWidth="1"/>
    <col min="5" max="5" width="14.00390625" style="4" bestFit="1" customWidth="1"/>
    <col min="6" max="6" width="12.28125" style="4" bestFit="1" customWidth="1"/>
    <col min="7" max="7" width="24.28125" style="4" customWidth="1"/>
    <col min="8" max="8" width="47.28125" style="4" customWidth="1"/>
    <col min="9" max="9" width="15.8515625" style="4" customWidth="1"/>
    <col min="10" max="10" width="11.8515625" style="108" customWidth="1"/>
    <col min="11" max="11" width="11.7109375" style="4" bestFit="1" customWidth="1"/>
    <col min="12" max="12" width="9.8515625" style="4" bestFit="1" customWidth="1"/>
    <col min="13" max="14" width="10.140625" style="4" bestFit="1" customWidth="1"/>
    <col min="15" max="132" width="9.140625" style="4" customWidth="1"/>
    <col min="133" max="133" width="10.140625" style="4" bestFit="1" customWidth="1"/>
    <col min="134" max="16384" width="9.140625" style="4" customWidth="1"/>
  </cols>
  <sheetData>
    <row r="1" ht="13.5" thickBot="1">
      <c r="C1" s="69" t="s">
        <v>109</v>
      </c>
    </row>
    <row r="2" spans="2:4" ht="13.5" thickBot="1">
      <c r="B2" s="202" t="s">
        <v>31</v>
      </c>
      <c r="C2" s="203"/>
      <c r="D2" s="204"/>
    </row>
    <row r="3" spans="2:10" ht="18.75" thickBot="1">
      <c r="B3" s="35" t="s">
        <v>16</v>
      </c>
      <c r="C3" s="53">
        <f>Margem!D6</f>
        <v>70169.35707254824</v>
      </c>
      <c r="D3" s="37">
        <f>C3/$C$3</f>
        <v>1</v>
      </c>
      <c r="G3"/>
      <c r="H3" s="66" t="s">
        <v>79</v>
      </c>
      <c r="I3"/>
      <c r="J3" s="109"/>
    </row>
    <row r="4" spans="2:10" ht="16.5" thickBot="1">
      <c r="B4" s="32" t="s">
        <v>29</v>
      </c>
      <c r="C4" s="30">
        <f>Margem!F6</f>
        <v>12630.484273058682</v>
      </c>
      <c r="D4" s="37">
        <f>C4/$C$3</f>
        <v>0.18</v>
      </c>
      <c r="G4" s="1">
        <f>C3*12</f>
        <v>842032.2848705789</v>
      </c>
      <c r="H4" s="93" t="s">
        <v>117</v>
      </c>
      <c r="I4"/>
      <c r="J4" s="109"/>
    </row>
    <row r="5" spans="2:10" ht="13.5" thickBot="1">
      <c r="B5" s="33" t="s">
        <v>30</v>
      </c>
      <c r="C5" s="29">
        <f>Margem!G6</f>
        <v>37672.28760055734</v>
      </c>
      <c r="D5" s="37">
        <f>C5/$C$3</f>
        <v>0.5368766249576419</v>
      </c>
      <c r="G5" s="1">
        <f>C4*12</f>
        <v>151565.8112767042</v>
      </c>
      <c r="H5" s="94" t="s">
        <v>116</v>
      </c>
      <c r="J5" s="109"/>
    </row>
    <row r="6" spans="2:10" ht="16.5" thickBot="1">
      <c r="B6" s="34" t="s">
        <v>14</v>
      </c>
      <c r="C6" s="40">
        <f>C3-C4-C5</f>
        <v>19866.58519893222</v>
      </c>
      <c r="D6" s="37">
        <f>C6/$C$3</f>
        <v>0.28312337504235807</v>
      </c>
      <c r="E6" s="215">
        <f>C19/D6</f>
        <v>52980.436524380406</v>
      </c>
      <c r="F6" s="216" t="s">
        <v>167</v>
      </c>
      <c r="G6" s="1">
        <f>G4-G5</f>
        <v>690466.4735938747</v>
      </c>
      <c r="H6" s="93" t="s">
        <v>101</v>
      </c>
      <c r="I6"/>
      <c r="J6" s="109"/>
    </row>
    <row r="7" spans="7:10" ht="13.5" thickBot="1">
      <c r="G7" s="1">
        <f>D22</f>
        <v>652067.4512066881</v>
      </c>
      <c r="H7" s="94" t="s">
        <v>139</v>
      </c>
      <c r="I7" s="67" t="s">
        <v>140</v>
      </c>
      <c r="J7" s="110"/>
    </row>
    <row r="8" spans="2:10" ht="13.5" thickBot="1">
      <c r="B8" s="202" t="s">
        <v>37</v>
      </c>
      <c r="C8" s="203"/>
      <c r="D8" s="204"/>
      <c r="G8"/>
      <c r="H8" s="95"/>
      <c r="I8" s="92" t="s">
        <v>138</v>
      </c>
      <c r="J8" s="109"/>
    </row>
    <row r="9" spans="2:10" ht="16.5" thickBot="1">
      <c r="B9" s="48" t="s">
        <v>14</v>
      </c>
      <c r="C9" s="42">
        <f>C6</f>
        <v>19866.58519893222</v>
      </c>
      <c r="D9" s="37">
        <f>C9/$C$3</f>
        <v>0.28312337504235807</v>
      </c>
      <c r="G9" s="1">
        <f>G6-G7</f>
        <v>38399.02238718665</v>
      </c>
      <c r="H9" s="93" t="s">
        <v>87</v>
      </c>
      <c r="I9"/>
      <c r="J9" s="109"/>
    </row>
    <row r="10" spans="2:10" ht="16.5" thickBot="1">
      <c r="B10" s="49" t="s">
        <v>28</v>
      </c>
      <c r="C10" s="31">
        <f>QUESTÕES!H28</f>
        <v>15000</v>
      </c>
      <c r="D10" s="37">
        <f>C10/$C$3</f>
        <v>0.2137685255472908</v>
      </c>
      <c r="G10" s="65">
        <f>SUM(G11:G13)</f>
        <v>10000</v>
      </c>
      <c r="H10" s="93" t="s">
        <v>88</v>
      </c>
      <c r="I10"/>
      <c r="J10" s="109"/>
    </row>
    <row r="11" spans="2:10" ht="13.5" thickBot="1">
      <c r="B11" s="50" t="s">
        <v>111</v>
      </c>
      <c r="C11" s="47">
        <f>C9-C10</f>
        <v>4866.585198932218</v>
      </c>
      <c r="D11" s="37">
        <f>C11/$C$3</f>
        <v>0.06935484949506728</v>
      </c>
      <c r="E11" s="30">
        <f>C11*12</f>
        <v>58399.02238718662</v>
      </c>
      <c r="G11">
        <v>0</v>
      </c>
      <c r="H11" s="94" t="s">
        <v>102</v>
      </c>
      <c r="I11"/>
      <c r="J11" s="109"/>
    </row>
    <row r="12" spans="7:10" ht="12.75">
      <c r="G12" s="65">
        <v>10000</v>
      </c>
      <c r="H12" s="94" t="s">
        <v>89</v>
      </c>
      <c r="I12"/>
      <c r="J12" s="109"/>
    </row>
    <row r="13" spans="2:10" ht="12.75">
      <c r="B13" s="4" t="s">
        <v>98</v>
      </c>
      <c r="C13" s="60">
        <f>QUESTÕES!K33</f>
        <v>200000</v>
      </c>
      <c r="G13">
        <v>0</v>
      </c>
      <c r="H13" s="94" t="s">
        <v>103</v>
      </c>
      <c r="I13"/>
      <c r="J13" s="109"/>
    </row>
    <row r="14" spans="2:10" ht="15.75">
      <c r="B14" s="4" t="s">
        <v>108</v>
      </c>
      <c r="C14" s="4">
        <v>10</v>
      </c>
      <c r="G14" s="1">
        <f>G9-G10</f>
        <v>28399.022387186647</v>
      </c>
      <c r="H14" s="93" t="s">
        <v>104</v>
      </c>
      <c r="I14" s="67"/>
      <c r="J14" s="109"/>
    </row>
    <row r="15" spans="7:10" ht="12.75">
      <c r="G15" s="1">
        <f>D21</f>
        <v>20000</v>
      </c>
      <c r="H15" s="92" t="s">
        <v>105</v>
      </c>
      <c r="I15"/>
      <c r="J15" s="109"/>
    </row>
    <row r="16" spans="7:10" ht="22.5">
      <c r="G16" s="122">
        <f>G14+G15</f>
        <v>48399.02238718665</v>
      </c>
      <c r="H16" s="123" t="s">
        <v>90</v>
      </c>
      <c r="I16" s="68" t="s">
        <v>106</v>
      </c>
      <c r="J16" s="109"/>
    </row>
    <row r="17" spans="2:10" ht="12.75">
      <c r="B17" s="4" t="s">
        <v>94</v>
      </c>
      <c r="G17"/>
      <c r="H17" s="67" t="s">
        <v>107</v>
      </c>
      <c r="I17"/>
      <c r="J17" s="109"/>
    </row>
    <row r="18" spans="2:10" ht="15.75">
      <c r="B18" s="4" t="s">
        <v>95</v>
      </c>
      <c r="C18" s="30">
        <f>C5</f>
        <v>37672.28760055734</v>
      </c>
      <c r="E18"/>
      <c r="F18"/>
      <c r="G18" s="1">
        <f>G16-G15</f>
        <v>28399.022387186647</v>
      </c>
      <c r="H18" s="93" t="s">
        <v>141</v>
      </c>
      <c r="I18"/>
      <c r="J18" s="109"/>
    </row>
    <row r="19" spans="2:10" ht="12.75">
      <c r="B19" s="4" t="s">
        <v>96</v>
      </c>
      <c r="C19" s="30">
        <f>C10</f>
        <v>15000</v>
      </c>
      <c r="E19"/>
      <c r="F19"/>
      <c r="G19" s="1">
        <f>G18*0.3</f>
        <v>8519.706716155993</v>
      </c>
      <c r="H19" s="94" t="s">
        <v>110</v>
      </c>
      <c r="I19"/>
      <c r="J19" s="109"/>
    </row>
    <row r="20" spans="3:10" ht="22.5">
      <c r="C20" s="30">
        <f>C18+C19</f>
        <v>52672.28760055734</v>
      </c>
      <c r="D20" s="30">
        <f>C20*12</f>
        <v>632067.4512066881</v>
      </c>
      <c r="G20" s="122">
        <f>G18-G19</f>
        <v>19879.315671030654</v>
      </c>
      <c r="H20" s="123" t="s">
        <v>142</v>
      </c>
      <c r="I20"/>
      <c r="J20" s="109"/>
    </row>
    <row r="21" spans="2:11" ht="12.75">
      <c r="B21" s="4" t="s">
        <v>97</v>
      </c>
      <c r="D21" s="30">
        <f>C13/C14</f>
        <v>20000</v>
      </c>
      <c r="G21" s="1"/>
      <c r="I21"/>
      <c r="J21" s="111" t="s">
        <v>80</v>
      </c>
      <c r="K21" s="113" t="s">
        <v>146</v>
      </c>
    </row>
    <row r="22" spans="2:12" ht="24.75">
      <c r="B22" s="4" t="s">
        <v>94</v>
      </c>
      <c r="C22" s="30">
        <f>(C5+C10)</f>
        <v>52672.28760055734</v>
      </c>
      <c r="D22" s="30">
        <f>D20+D21</f>
        <v>652067.4512066881</v>
      </c>
      <c r="G22" s="1"/>
      <c r="H22" s="67"/>
      <c r="I22" s="117" t="s">
        <v>150</v>
      </c>
      <c r="J22" s="121">
        <f>IRR(J24:J33)</f>
        <v>0.19229578340047393</v>
      </c>
      <c r="K22" s="121">
        <f>IRR(K24:K114)</f>
        <v>0.09937493161103195</v>
      </c>
      <c r="L22" s="119" t="s">
        <v>149</v>
      </c>
    </row>
    <row r="23" spans="7:11" ht="22.5">
      <c r="G23" s="120">
        <f>G20/C13</f>
        <v>0.09939657835515327</v>
      </c>
      <c r="H23" s="93" t="s">
        <v>147</v>
      </c>
      <c r="I23" s="81" t="s">
        <v>143</v>
      </c>
      <c r="J23" s="118" t="s">
        <v>145</v>
      </c>
      <c r="K23" s="118" t="s">
        <v>145</v>
      </c>
    </row>
    <row r="24" spans="7:15" ht="12.75">
      <c r="G24" s="30"/>
      <c r="I24" s="75">
        <v>0</v>
      </c>
      <c r="J24" s="115">
        <f>-C13</f>
        <v>-200000</v>
      </c>
      <c r="K24" s="116">
        <f>J24</f>
        <v>-200000</v>
      </c>
      <c r="L24" s="76"/>
      <c r="M24" s="76"/>
      <c r="N24" s="76"/>
      <c r="O24" s="76"/>
    </row>
    <row r="25" spans="7:15" ht="22.5">
      <c r="G25" s="190">
        <f>G16/C13</f>
        <v>0.24199511193593323</v>
      </c>
      <c r="H25" s="191" t="s">
        <v>144</v>
      </c>
      <c r="I25" s="75">
        <v>1</v>
      </c>
      <c r="J25" s="115">
        <f aca="true" t="shared" si="0" ref="J25:J34">$G$16</f>
        <v>48399.02238718665</v>
      </c>
      <c r="K25" s="107">
        <f>$G$20</f>
        <v>19879.315671030654</v>
      </c>
      <c r="L25" s="76"/>
      <c r="M25" s="76"/>
      <c r="N25" s="76"/>
      <c r="O25" s="76"/>
    </row>
    <row r="26" spans="2:15" ht="12.75">
      <c r="B26" s="70" t="s">
        <v>125</v>
      </c>
      <c r="C26" s="70"/>
      <c r="D26" s="70"/>
      <c r="E26" s="70"/>
      <c r="F26" s="70"/>
      <c r="I26" s="75">
        <v>2</v>
      </c>
      <c r="J26" s="115">
        <f t="shared" si="0"/>
        <v>48399.02238718665</v>
      </c>
      <c r="K26" s="107">
        <f aca="true" t="shared" si="1" ref="K26:K89">$G$20</f>
        <v>19879.315671030654</v>
      </c>
      <c r="L26" s="76"/>
      <c r="M26" s="76"/>
      <c r="N26" s="76"/>
      <c r="O26" s="76"/>
    </row>
    <row r="27" spans="2:15" ht="18">
      <c r="B27" s="70" t="s">
        <v>114</v>
      </c>
      <c r="C27" s="70"/>
      <c r="D27" s="70"/>
      <c r="E27" s="70"/>
      <c r="F27" s="70"/>
      <c r="G27" s="98"/>
      <c r="H27" s="99"/>
      <c r="I27" s="75">
        <v>3</v>
      </c>
      <c r="J27" s="115">
        <f t="shared" si="0"/>
        <v>48399.02238718665</v>
      </c>
      <c r="K27" s="107">
        <f t="shared" si="1"/>
        <v>19879.315671030654</v>
      </c>
      <c r="L27" s="76"/>
      <c r="M27" s="76"/>
      <c r="N27" s="76"/>
      <c r="O27" s="76"/>
    </row>
    <row r="28" spans="2:15" ht="12.75">
      <c r="B28" s="70" t="s">
        <v>115</v>
      </c>
      <c r="C28" s="70"/>
      <c r="D28" s="70"/>
      <c r="E28" s="70"/>
      <c r="F28" s="70"/>
      <c r="G28" s="100"/>
      <c r="H28" s="101"/>
      <c r="I28" s="75">
        <v>4</v>
      </c>
      <c r="J28" s="115">
        <f t="shared" si="0"/>
        <v>48399.02238718665</v>
      </c>
      <c r="K28" s="107">
        <f t="shared" si="1"/>
        <v>19879.315671030654</v>
      </c>
      <c r="L28" s="76"/>
      <c r="M28" s="76"/>
      <c r="N28" s="76"/>
      <c r="O28" s="76"/>
    </row>
    <row r="29" spans="7:15" ht="13.5" thickBot="1">
      <c r="G29" s="99"/>
      <c r="H29" s="100"/>
      <c r="I29" s="75">
        <v>5</v>
      </c>
      <c r="J29" s="115">
        <f t="shared" si="0"/>
        <v>48399.02238718665</v>
      </c>
      <c r="K29" s="107">
        <f t="shared" si="1"/>
        <v>19879.315671030654</v>
      </c>
      <c r="L29" s="106"/>
      <c r="M29" s="76"/>
      <c r="N29" s="76"/>
      <c r="O29" s="76"/>
    </row>
    <row r="30" spans="6:117" ht="12.75">
      <c r="F30" s="181" t="s">
        <v>91</v>
      </c>
      <c r="G30" s="182"/>
      <c r="H30" s="183"/>
      <c r="I30" s="180">
        <v>6</v>
      </c>
      <c r="J30" s="115">
        <f t="shared" si="0"/>
        <v>48399.02238718665</v>
      </c>
      <c r="K30" s="107">
        <f t="shared" si="1"/>
        <v>19879.315671030654</v>
      </c>
      <c r="L30" s="107">
        <f aca="true" t="shared" si="2" ref="L30:BO30">$G$24</f>
        <v>0</v>
      </c>
      <c r="M30" s="107">
        <f t="shared" si="2"/>
        <v>0</v>
      </c>
      <c r="N30" s="107">
        <f t="shared" si="2"/>
        <v>0</v>
      </c>
      <c r="O30" s="107">
        <f t="shared" si="2"/>
        <v>0</v>
      </c>
      <c r="P30" s="30">
        <f t="shared" si="2"/>
        <v>0</v>
      </c>
      <c r="Q30" s="30">
        <f t="shared" si="2"/>
        <v>0</v>
      </c>
      <c r="R30" s="30">
        <f t="shared" si="2"/>
        <v>0</v>
      </c>
      <c r="S30" s="30">
        <f t="shared" si="2"/>
        <v>0</v>
      </c>
      <c r="T30" s="30">
        <f t="shared" si="2"/>
        <v>0</v>
      </c>
      <c r="U30" s="30">
        <f t="shared" si="2"/>
        <v>0</v>
      </c>
      <c r="V30" s="30">
        <f t="shared" si="2"/>
        <v>0</v>
      </c>
      <c r="W30" s="30">
        <f t="shared" si="2"/>
        <v>0</v>
      </c>
      <c r="X30" s="30">
        <f t="shared" si="2"/>
        <v>0</v>
      </c>
      <c r="Y30" s="30">
        <f t="shared" si="2"/>
        <v>0</v>
      </c>
      <c r="Z30" s="30">
        <f t="shared" si="2"/>
        <v>0</v>
      </c>
      <c r="AA30" s="30">
        <f t="shared" si="2"/>
        <v>0</v>
      </c>
      <c r="AB30" s="30">
        <f t="shared" si="2"/>
        <v>0</v>
      </c>
      <c r="AC30" s="30">
        <f t="shared" si="2"/>
        <v>0</v>
      </c>
      <c r="AD30" s="30">
        <f t="shared" si="2"/>
        <v>0</v>
      </c>
      <c r="AE30" s="30">
        <f t="shared" si="2"/>
        <v>0</v>
      </c>
      <c r="AF30" s="30">
        <f t="shared" si="2"/>
        <v>0</v>
      </c>
      <c r="AG30" s="30">
        <f t="shared" si="2"/>
        <v>0</v>
      </c>
      <c r="AH30" s="30">
        <f t="shared" si="2"/>
        <v>0</v>
      </c>
      <c r="AI30" s="30">
        <f t="shared" si="2"/>
        <v>0</v>
      </c>
      <c r="AJ30" s="30">
        <f t="shared" si="2"/>
        <v>0</v>
      </c>
      <c r="AK30" s="30">
        <f t="shared" si="2"/>
        <v>0</v>
      </c>
      <c r="AL30" s="30">
        <f t="shared" si="2"/>
        <v>0</v>
      </c>
      <c r="AM30" s="30">
        <f t="shared" si="2"/>
        <v>0</v>
      </c>
      <c r="AN30" s="30">
        <f t="shared" si="2"/>
        <v>0</v>
      </c>
      <c r="AO30" s="30">
        <f t="shared" si="2"/>
        <v>0</v>
      </c>
      <c r="AP30" s="30">
        <f t="shared" si="2"/>
        <v>0</v>
      </c>
      <c r="AQ30" s="30">
        <f t="shared" si="2"/>
        <v>0</v>
      </c>
      <c r="AR30" s="30">
        <f t="shared" si="2"/>
        <v>0</v>
      </c>
      <c r="AS30" s="30">
        <f t="shared" si="2"/>
        <v>0</v>
      </c>
      <c r="AT30" s="30">
        <f t="shared" si="2"/>
        <v>0</v>
      </c>
      <c r="AU30" s="30">
        <f t="shared" si="2"/>
        <v>0</v>
      </c>
      <c r="AV30" s="30">
        <f t="shared" si="2"/>
        <v>0</v>
      </c>
      <c r="AW30" s="30">
        <f t="shared" si="2"/>
        <v>0</v>
      </c>
      <c r="AX30" s="30">
        <f t="shared" si="2"/>
        <v>0</v>
      </c>
      <c r="AY30" s="30">
        <f t="shared" si="2"/>
        <v>0</v>
      </c>
      <c r="AZ30" s="30">
        <f t="shared" si="2"/>
        <v>0</v>
      </c>
      <c r="BA30" s="30">
        <f t="shared" si="2"/>
        <v>0</v>
      </c>
      <c r="BB30" s="30">
        <f t="shared" si="2"/>
        <v>0</v>
      </c>
      <c r="BC30" s="30">
        <f t="shared" si="2"/>
        <v>0</v>
      </c>
      <c r="BD30" s="30">
        <f t="shared" si="2"/>
        <v>0</v>
      </c>
      <c r="BE30" s="30">
        <f t="shared" si="2"/>
        <v>0</v>
      </c>
      <c r="BF30" s="30">
        <f t="shared" si="2"/>
        <v>0</v>
      </c>
      <c r="BG30" s="30">
        <f t="shared" si="2"/>
        <v>0</v>
      </c>
      <c r="BH30" s="30">
        <f t="shared" si="2"/>
        <v>0</v>
      </c>
      <c r="BI30" s="30">
        <f t="shared" si="2"/>
        <v>0</v>
      </c>
      <c r="BJ30" s="30">
        <f t="shared" si="2"/>
        <v>0</v>
      </c>
      <c r="BK30" s="30">
        <f t="shared" si="2"/>
        <v>0</v>
      </c>
      <c r="BL30" s="30">
        <f t="shared" si="2"/>
        <v>0</v>
      </c>
      <c r="BM30" s="30">
        <f t="shared" si="2"/>
        <v>0</v>
      </c>
      <c r="BN30" s="30">
        <f t="shared" si="2"/>
        <v>0</v>
      </c>
      <c r="BO30" s="30">
        <f t="shared" si="2"/>
        <v>0</v>
      </c>
      <c r="BP30" s="30">
        <f aca="true" t="shared" si="3" ref="BP30:DM30">$G$24</f>
        <v>0</v>
      </c>
      <c r="BQ30" s="30">
        <f t="shared" si="3"/>
        <v>0</v>
      </c>
      <c r="BR30" s="30">
        <f t="shared" si="3"/>
        <v>0</v>
      </c>
      <c r="BS30" s="30">
        <f t="shared" si="3"/>
        <v>0</v>
      </c>
      <c r="BT30" s="30">
        <f t="shared" si="3"/>
        <v>0</v>
      </c>
      <c r="BU30" s="30">
        <f t="shared" si="3"/>
        <v>0</v>
      </c>
      <c r="BV30" s="30">
        <f t="shared" si="3"/>
        <v>0</v>
      </c>
      <c r="BW30" s="30">
        <f t="shared" si="3"/>
        <v>0</v>
      </c>
      <c r="BX30" s="30">
        <f t="shared" si="3"/>
        <v>0</v>
      </c>
      <c r="BY30" s="30">
        <f t="shared" si="3"/>
        <v>0</v>
      </c>
      <c r="BZ30" s="30">
        <f t="shared" si="3"/>
        <v>0</v>
      </c>
      <c r="CA30" s="30">
        <f t="shared" si="3"/>
        <v>0</v>
      </c>
      <c r="CB30" s="30">
        <f t="shared" si="3"/>
        <v>0</v>
      </c>
      <c r="CC30" s="30">
        <f t="shared" si="3"/>
        <v>0</v>
      </c>
      <c r="CD30" s="30">
        <f t="shared" si="3"/>
        <v>0</v>
      </c>
      <c r="CE30" s="30">
        <f t="shared" si="3"/>
        <v>0</v>
      </c>
      <c r="CF30" s="30">
        <f t="shared" si="3"/>
        <v>0</v>
      </c>
      <c r="CG30" s="30">
        <f t="shared" si="3"/>
        <v>0</v>
      </c>
      <c r="CH30" s="30">
        <f t="shared" si="3"/>
        <v>0</v>
      </c>
      <c r="CI30" s="30">
        <f t="shared" si="3"/>
        <v>0</v>
      </c>
      <c r="CJ30" s="30">
        <f t="shared" si="3"/>
        <v>0</v>
      </c>
      <c r="CK30" s="30">
        <f t="shared" si="3"/>
        <v>0</v>
      </c>
      <c r="CL30" s="30">
        <f t="shared" si="3"/>
        <v>0</v>
      </c>
      <c r="CM30" s="30">
        <f t="shared" si="3"/>
        <v>0</v>
      </c>
      <c r="CN30" s="30">
        <f t="shared" si="3"/>
        <v>0</v>
      </c>
      <c r="CO30" s="30">
        <f t="shared" si="3"/>
        <v>0</v>
      </c>
      <c r="CP30" s="30">
        <f t="shared" si="3"/>
        <v>0</v>
      </c>
      <c r="CQ30" s="30">
        <f t="shared" si="3"/>
        <v>0</v>
      </c>
      <c r="CR30" s="30">
        <f t="shared" si="3"/>
        <v>0</v>
      </c>
      <c r="CS30" s="30">
        <f t="shared" si="3"/>
        <v>0</v>
      </c>
      <c r="CT30" s="30">
        <f t="shared" si="3"/>
        <v>0</v>
      </c>
      <c r="CU30" s="30">
        <f t="shared" si="3"/>
        <v>0</v>
      </c>
      <c r="CV30" s="30">
        <f t="shared" si="3"/>
        <v>0</v>
      </c>
      <c r="CW30" s="30">
        <f t="shared" si="3"/>
        <v>0</v>
      </c>
      <c r="CX30" s="30">
        <f t="shared" si="3"/>
        <v>0</v>
      </c>
      <c r="CY30" s="30">
        <f t="shared" si="3"/>
        <v>0</v>
      </c>
      <c r="CZ30" s="30">
        <f t="shared" si="3"/>
        <v>0</v>
      </c>
      <c r="DA30" s="30">
        <f t="shared" si="3"/>
        <v>0</v>
      </c>
      <c r="DB30" s="30">
        <f t="shared" si="3"/>
        <v>0</v>
      </c>
      <c r="DC30" s="30">
        <f t="shared" si="3"/>
        <v>0</v>
      </c>
      <c r="DD30" s="30">
        <f t="shared" si="3"/>
        <v>0</v>
      </c>
      <c r="DE30" s="30">
        <f t="shared" si="3"/>
        <v>0</v>
      </c>
      <c r="DF30" s="30">
        <f t="shared" si="3"/>
        <v>0</v>
      </c>
      <c r="DG30" s="30">
        <f t="shared" si="3"/>
        <v>0</v>
      </c>
      <c r="DH30" s="30">
        <f t="shared" si="3"/>
        <v>0</v>
      </c>
      <c r="DI30" s="30">
        <f t="shared" si="3"/>
        <v>0</v>
      </c>
      <c r="DJ30" s="30">
        <f t="shared" si="3"/>
        <v>0</v>
      </c>
      <c r="DK30" s="30">
        <f t="shared" si="3"/>
        <v>0</v>
      </c>
      <c r="DL30" s="30">
        <f t="shared" si="3"/>
        <v>0</v>
      </c>
      <c r="DM30" s="30">
        <f t="shared" si="3"/>
        <v>0</v>
      </c>
    </row>
    <row r="31" spans="6:15" ht="12.75">
      <c r="F31" s="184" t="s">
        <v>92</v>
      </c>
      <c r="G31" s="185"/>
      <c r="H31" s="186"/>
      <c r="I31" s="180">
        <v>7</v>
      </c>
      <c r="J31" s="115">
        <f t="shared" si="0"/>
        <v>48399.02238718665</v>
      </c>
      <c r="K31" s="107">
        <f t="shared" si="1"/>
        <v>19879.315671030654</v>
      </c>
      <c r="L31" s="76"/>
      <c r="M31" s="76"/>
      <c r="N31" s="76"/>
      <c r="O31" s="76"/>
    </row>
    <row r="32" spans="6:15" ht="13.5" thickBot="1">
      <c r="F32" s="187" t="s">
        <v>93</v>
      </c>
      <c r="G32" s="188"/>
      <c r="H32" s="189"/>
      <c r="I32" s="180">
        <v>8</v>
      </c>
      <c r="J32" s="115">
        <f t="shared" si="0"/>
        <v>48399.02238718665</v>
      </c>
      <c r="K32" s="107">
        <f t="shared" si="1"/>
        <v>19879.315671030654</v>
      </c>
      <c r="L32" s="76"/>
      <c r="M32" s="76"/>
      <c r="N32" s="76"/>
      <c r="O32" s="76"/>
    </row>
    <row r="33" spans="7:15" ht="12.75">
      <c r="G33" s="103"/>
      <c r="H33" s="100"/>
      <c r="I33" s="75">
        <v>9</v>
      </c>
      <c r="J33" s="115">
        <f t="shared" si="0"/>
        <v>48399.02238718665</v>
      </c>
      <c r="K33" s="107">
        <f t="shared" si="1"/>
        <v>19879.315671030654</v>
      </c>
      <c r="L33" s="76"/>
      <c r="M33" s="76"/>
      <c r="N33" s="76"/>
      <c r="O33" s="76"/>
    </row>
    <row r="34" spans="7:15" ht="12.75">
      <c r="G34" s="100"/>
      <c r="H34" s="100"/>
      <c r="I34" s="75">
        <v>10</v>
      </c>
      <c r="J34" s="115">
        <f t="shared" si="0"/>
        <v>48399.02238718665</v>
      </c>
      <c r="K34" s="107">
        <f t="shared" si="1"/>
        <v>19879.315671030654</v>
      </c>
      <c r="L34" s="76"/>
      <c r="M34" s="76"/>
      <c r="N34" s="76"/>
      <c r="O34" s="76"/>
    </row>
    <row r="35" spans="7:15" ht="12.75">
      <c r="G35" s="100"/>
      <c r="H35" s="100"/>
      <c r="I35" s="76"/>
      <c r="J35" s="115"/>
      <c r="K35" s="107">
        <f t="shared" si="1"/>
        <v>19879.315671030654</v>
      </c>
      <c r="L35" s="76"/>
      <c r="M35" s="76"/>
      <c r="N35" s="76"/>
      <c r="O35" s="76"/>
    </row>
    <row r="36" spans="7:15" ht="12.75">
      <c r="G36" s="100"/>
      <c r="H36" s="100"/>
      <c r="I36" s="76"/>
      <c r="J36" s="115"/>
      <c r="K36" s="107">
        <f t="shared" si="1"/>
        <v>19879.315671030654</v>
      </c>
      <c r="L36" s="76"/>
      <c r="M36" s="76"/>
      <c r="N36" s="76"/>
      <c r="O36" s="76"/>
    </row>
    <row r="37" spans="7:15" ht="12.75">
      <c r="G37" s="100"/>
      <c r="H37" s="101"/>
      <c r="I37" s="76"/>
      <c r="J37" s="115"/>
      <c r="K37" s="107">
        <f t="shared" si="1"/>
        <v>19879.315671030654</v>
      </c>
      <c r="L37" s="76"/>
      <c r="M37" s="76"/>
      <c r="N37" s="76"/>
      <c r="O37" s="76"/>
    </row>
    <row r="38" spans="7:15" ht="12.75">
      <c r="G38" s="99"/>
      <c r="H38" s="100"/>
      <c r="I38" s="76"/>
      <c r="J38" s="115"/>
      <c r="K38" s="107">
        <f t="shared" si="1"/>
        <v>19879.315671030654</v>
      </c>
      <c r="L38" s="76"/>
      <c r="M38" s="76"/>
      <c r="N38" s="76"/>
      <c r="O38" s="76"/>
    </row>
    <row r="39" spans="7:133" ht="12.75">
      <c r="G39" s="102"/>
      <c r="H39" s="100"/>
      <c r="I39" s="107"/>
      <c r="J39" s="115"/>
      <c r="K39" s="107">
        <f t="shared" si="1"/>
        <v>19879.315671030654</v>
      </c>
      <c r="L39" s="107"/>
      <c r="M39" s="107"/>
      <c r="N39" s="107"/>
      <c r="O39" s="107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</row>
    <row r="40" spans="7:15" ht="12.75">
      <c r="G40" s="100"/>
      <c r="H40" s="100"/>
      <c r="I40" s="76"/>
      <c r="J40" s="115"/>
      <c r="K40" s="107">
        <f t="shared" si="1"/>
        <v>19879.315671030654</v>
      </c>
      <c r="L40" s="76"/>
      <c r="M40" s="76"/>
      <c r="N40" s="76"/>
      <c r="O40" s="76"/>
    </row>
    <row r="41" spans="7:15" ht="12.75">
      <c r="G41" s="99"/>
      <c r="H41" s="100"/>
      <c r="I41" s="76"/>
      <c r="J41" s="115"/>
      <c r="K41" s="107">
        <f t="shared" si="1"/>
        <v>19879.315671030654</v>
      </c>
      <c r="L41" s="76"/>
      <c r="M41" s="76"/>
      <c r="N41" s="76"/>
      <c r="O41" s="76"/>
    </row>
    <row r="42" spans="7:15" ht="12.75">
      <c r="G42" s="104"/>
      <c r="H42" s="100"/>
      <c r="I42" s="76"/>
      <c r="J42" s="115"/>
      <c r="K42" s="107">
        <f t="shared" si="1"/>
        <v>19879.315671030654</v>
      </c>
      <c r="L42" s="76"/>
      <c r="M42" s="76"/>
      <c r="N42" s="76"/>
      <c r="O42" s="76"/>
    </row>
    <row r="43" spans="7:15" ht="12.75">
      <c r="G43" s="100"/>
      <c r="H43" s="100"/>
      <c r="I43" s="76"/>
      <c r="J43" s="115"/>
      <c r="K43" s="107">
        <f t="shared" si="1"/>
        <v>19879.315671030654</v>
      </c>
      <c r="L43" s="76"/>
      <c r="M43" s="76"/>
      <c r="N43" s="76"/>
      <c r="O43" s="76"/>
    </row>
    <row r="44" spans="7:15" ht="12.75">
      <c r="G44" s="100"/>
      <c r="H44" s="80"/>
      <c r="I44" s="76"/>
      <c r="J44" s="115"/>
      <c r="K44" s="107">
        <f t="shared" si="1"/>
        <v>19879.315671030654</v>
      </c>
      <c r="L44" s="76"/>
      <c r="M44" s="76"/>
      <c r="N44" s="76"/>
      <c r="O44" s="76"/>
    </row>
    <row r="45" spans="7:15" ht="12.75">
      <c r="G45" s="100"/>
      <c r="H45" s="80"/>
      <c r="I45" s="76"/>
      <c r="J45" s="115"/>
      <c r="K45" s="107">
        <f t="shared" si="1"/>
        <v>19879.315671030654</v>
      </c>
      <c r="L45" s="76"/>
      <c r="M45" s="76"/>
      <c r="N45" s="76"/>
      <c r="O45" s="76"/>
    </row>
    <row r="46" spans="3:16" ht="18.75" customHeight="1">
      <c r="C46" s="96"/>
      <c r="D46" s="96"/>
      <c r="E46" s="96"/>
      <c r="G46" s="100"/>
      <c r="H46" s="105"/>
      <c r="I46" s="97"/>
      <c r="J46" s="115"/>
      <c r="K46" s="107">
        <f t="shared" si="1"/>
        <v>19879.315671030654</v>
      </c>
      <c r="L46" s="97"/>
      <c r="M46" s="97"/>
      <c r="N46" s="97"/>
      <c r="O46" s="97"/>
      <c r="P46" s="80"/>
    </row>
    <row r="47" spans="3:15" ht="15.75" customHeight="1">
      <c r="C47" s="96"/>
      <c r="D47" s="96"/>
      <c r="E47" s="96"/>
      <c r="G47" s="100"/>
      <c r="H47" s="100"/>
      <c r="I47" s="97"/>
      <c r="J47" s="115"/>
      <c r="K47" s="107">
        <f t="shared" si="1"/>
        <v>19879.315671030654</v>
      </c>
      <c r="L47" s="97"/>
      <c r="M47" s="97"/>
      <c r="N47" s="97"/>
      <c r="O47" s="76"/>
    </row>
    <row r="48" spans="3:15" ht="12.75" customHeight="1">
      <c r="C48" s="96"/>
      <c r="D48" s="96"/>
      <c r="E48" s="96"/>
      <c r="G48" s="100"/>
      <c r="H48" s="100"/>
      <c r="I48" s="64"/>
      <c r="J48" s="115"/>
      <c r="K48" s="107">
        <f t="shared" si="1"/>
        <v>19879.315671030654</v>
      </c>
      <c r="L48" s="76"/>
      <c r="M48" s="76"/>
      <c r="N48" s="76"/>
      <c r="O48" s="76"/>
    </row>
    <row r="49" spans="7:15" ht="12.75">
      <c r="G49" s="100"/>
      <c r="H49" s="100"/>
      <c r="I49" s="76"/>
      <c r="J49" s="115"/>
      <c r="K49" s="107">
        <f t="shared" si="1"/>
        <v>19879.315671030654</v>
      </c>
      <c r="L49" s="76"/>
      <c r="M49" s="76"/>
      <c r="N49" s="76"/>
      <c r="O49" s="76"/>
    </row>
    <row r="50" spans="9:15" ht="12.75">
      <c r="I50" s="76"/>
      <c r="J50" s="115"/>
      <c r="K50" s="107">
        <f t="shared" si="1"/>
        <v>19879.315671030654</v>
      </c>
      <c r="L50" s="76"/>
      <c r="M50" s="76"/>
      <c r="N50" s="76"/>
      <c r="O50" s="76"/>
    </row>
    <row r="51" spans="9:15" ht="12.75">
      <c r="I51" s="76"/>
      <c r="J51" s="115"/>
      <c r="K51" s="107">
        <f t="shared" si="1"/>
        <v>19879.315671030654</v>
      </c>
      <c r="L51" s="76"/>
      <c r="M51" s="76"/>
      <c r="N51" s="76"/>
      <c r="O51" s="76"/>
    </row>
    <row r="52" spans="9:15" ht="12.75">
      <c r="I52" s="76"/>
      <c r="J52" s="115"/>
      <c r="K52" s="107">
        <f t="shared" si="1"/>
        <v>19879.315671030654</v>
      </c>
      <c r="L52" s="76"/>
      <c r="M52" s="76"/>
      <c r="N52" s="76"/>
      <c r="O52" s="76"/>
    </row>
    <row r="53" spans="9:15" ht="12.75">
      <c r="I53" s="76"/>
      <c r="J53" s="115"/>
      <c r="K53" s="107">
        <f t="shared" si="1"/>
        <v>19879.315671030654</v>
      </c>
      <c r="L53" s="76"/>
      <c r="M53" s="76"/>
      <c r="N53" s="76"/>
      <c r="O53" s="76"/>
    </row>
    <row r="54" spans="9:15" ht="12.75">
      <c r="I54" s="76"/>
      <c r="J54" s="115"/>
      <c r="K54" s="107">
        <f t="shared" si="1"/>
        <v>19879.315671030654</v>
      </c>
      <c r="L54" s="76"/>
      <c r="M54" s="76"/>
      <c r="N54" s="76"/>
      <c r="O54" s="76"/>
    </row>
    <row r="55" spans="9:15" ht="12.75">
      <c r="I55" s="76"/>
      <c r="J55" s="115"/>
      <c r="K55" s="107">
        <f t="shared" si="1"/>
        <v>19879.315671030654</v>
      </c>
      <c r="L55" s="76"/>
      <c r="M55" s="76"/>
      <c r="N55" s="76"/>
      <c r="O55" s="76"/>
    </row>
    <row r="56" spans="9:15" ht="12.75">
      <c r="I56" s="76"/>
      <c r="J56" s="115"/>
      <c r="K56" s="107">
        <f t="shared" si="1"/>
        <v>19879.315671030654</v>
      </c>
      <c r="L56" s="76"/>
      <c r="M56" s="76"/>
      <c r="N56" s="76"/>
      <c r="O56" s="76"/>
    </row>
    <row r="57" spans="9:15" ht="12.75">
      <c r="I57" s="76"/>
      <c r="J57" s="115"/>
      <c r="K57" s="107">
        <f t="shared" si="1"/>
        <v>19879.315671030654</v>
      </c>
      <c r="L57" s="76"/>
      <c r="M57" s="76"/>
      <c r="N57" s="76"/>
      <c r="O57" s="76"/>
    </row>
    <row r="58" spans="9:15" ht="12.75">
      <c r="I58" s="76"/>
      <c r="J58" s="115"/>
      <c r="K58" s="107">
        <f t="shared" si="1"/>
        <v>19879.315671030654</v>
      </c>
      <c r="L58" s="76"/>
      <c r="M58" s="76"/>
      <c r="N58" s="76"/>
      <c r="O58" s="76"/>
    </row>
    <row r="59" spans="9:15" ht="12.75">
      <c r="I59" s="76"/>
      <c r="J59" s="115"/>
      <c r="K59" s="107">
        <f t="shared" si="1"/>
        <v>19879.315671030654</v>
      </c>
      <c r="L59" s="76"/>
      <c r="M59" s="76"/>
      <c r="N59" s="76"/>
      <c r="O59" s="76"/>
    </row>
    <row r="60" spans="9:15" ht="12.75">
      <c r="I60" s="76"/>
      <c r="J60" s="115"/>
      <c r="K60" s="107">
        <f t="shared" si="1"/>
        <v>19879.315671030654</v>
      </c>
      <c r="L60" s="76"/>
      <c r="M60" s="76"/>
      <c r="N60" s="76"/>
      <c r="O60" s="76"/>
    </row>
    <row r="61" spans="9:15" ht="12.75">
      <c r="I61" s="76"/>
      <c r="J61" s="115"/>
      <c r="K61" s="107">
        <f t="shared" si="1"/>
        <v>19879.315671030654</v>
      </c>
      <c r="L61" s="76"/>
      <c r="M61" s="76"/>
      <c r="N61" s="76"/>
      <c r="O61" s="76"/>
    </row>
    <row r="62" spans="9:15" ht="12.75">
      <c r="I62" s="76"/>
      <c r="J62" s="115"/>
      <c r="K62" s="107">
        <f t="shared" si="1"/>
        <v>19879.315671030654</v>
      </c>
      <c r="L62" s="76"/>
      <c r="M62" s="76"/>
      <c r="N62" s="76"/>
      <c r="O62" s="76"/>
    </row>
    <row r="63" spans="9:15" ht="12.75">
      <c r="I63" s="76"/>
      <c r="J63" s="115"/>
      <c r="K63" s="107">
        <f t="shared" si="1"/>
        <v>19879.315671030654</v>
      </c>
      <c r="L63" s="76"/>
      <c r="M63" s="76"/>
      <c r="N63" s="76"/>
      <c r="O63" s="76"/>
    </row>
    <row r="64" spans="9:15" ht="12.75">
      <c r="I64" s="76"/>
      <c r="J64" s="115"/>
      <c r="K64" s="107">
        <f t="shared" si="1"/>
        <v>19879.315671030654</v>
      </c>
      <c r="L64" s="76"/>
      <c r="M64" s="76"/>
      <c r="N64" s="76"/>
      <c r="O64" s="76"/>
    </row>
    <row r="65" spans="9:15" ht="12.75">
      <c r="I65" s="76"/>
      <c r="J65" s="115"/>
      <c r="K65" s="107">
        <f t="shared" si="1"/>
        <v>19879.315671030654</v>
      </c>
      <c r="L65" s="76"/>
      <c r="M65" s="76"/>
      <c r="N65" s="76"/>
      <c r="O65" s="76"/>
    </row>
    <row r="66" spans="9:15" ht="12.75">
      <c r="I66" s="76"/>
      <c r="J66" s="115"/>
      <c r="K66" s="107">
        <f t="shared" si="1"/>
        <v>19879.315671030654</v>
      </c>
      <c r="L66" s="76"/>
      <c r="M66" s="76"/>
      <c r="N66" s="76"/>
      <c r="O66" s="76"/>
    </row>
    <row r="67" spans="9:15" ht="12.75">
      <c r="I67" s="76"/>
      <c r="J67" s="115"/>
      <c r="K67" s="107">
        <f t="shared" si="1"/>
        <v>19879.315671030654</v>
      </c>
      <c r="L67" s="76"/>
      <c r="M67" s="76"/>
      <c r="N67" s="76"/>
      <c r="O67" s="76"/>
    </row>
    <row r="68" spans="9:15" ht="12.75">
      <c r="I68" s="76"/>
      <c r="J68" s="115"/>
      <c r="K68" s="107">
        <f t="shared" si="1"/>
        <v>19879.315671030654</v>
      </c>
      <c r="L68" s="76"/>
      <c r="M68" s="76"/>
      <c r="N68" s="76"/>
      <c r="O68" s="76"/>
    </row>
    <row r="69" spans="9:15" ht="12.75">
      <c r="I69" s="76"/>
      <c r="J69" s="115"/>
      <c r="K69" s="107">
        <f t="shared" si="1"/>
        <v>19879.315671030654</v>
      </c>
      <c r="L69" s="76"/>
      <c r="M69" s="76"/>
      <c r="N69" s="76"/>
      <c r="O69" s="76"/>
    </row>
    <row r="70" spans="9:15" ht="12.75">
      <c r="I70" s="76"/>
      <c r="J70" s="115"/>
      <c r="K70" s="107">
        <f t="shared" si="1"/>
        <v>19879.315671030654</v>
      </c>
      <c r="L70" s="76"/>
      <c r="M70" s="76"/>
      <c r="N70" s="76"/>
      <c r="O70" s="76"/>
    </row>
    <row r="71" spans="9:15" ht="12.75">
      <c r="I71" s="76"/>
      <c r="J71" s="115"/>
      <c r="K71" s="107">
        <f t="shared" si="1"/>
        <v>19879.315671030654</v>
      </c>
      <c r="L71" s="76"/>
      <c r="M71" s="76"/>
      <c r="N71" s="76"/>
      <c r="O71" s="76"/>
    </row>
    <row r="72" spans="9:15" ht="12.75">
      <c r="I72" s="76"/>
      <c r="J72" s="115"/>
      <c r="K72" s="107">
        <f t="shared" si="1"/>
        <v>19879.315671030654</v>
      </c>
      <c r="L72" s="76"/>
      <c r="M72" s="76"/>
      <c r="N72" s="76"/>
      <c r="O72" s="76"/>
    </row>
    <row r="73" spans="9:15" ht="12.75">
      <c r="I73" s="76"/>
      <c r="J73" s="115"/>
      <c r="K73" s="107">
        <f t="shared" si="1"/>
        <v>19879.315671030654</v>
      </c>
      <c r="L73" s="76"/>
      <c r="M73" s="76"/>
      <c r="N73" s="76"/>
      <c r="O73" s="76"/>
    </row>
    <row r="74" spans="9:15" ht="12.75">
      <c r="I74" s="76"/>
      <c r="J74" s="115"/>
      <c r="K74" s="107">
        <f t="shared" si="1"/>
        <v>19879.315671030654</v>
      </c>
      <c r="L74" s="76"/>
      <c r="M74" s="76"/>
      <c r="N74" s="76"/>
      <c r="O74" s="76"/>
    </row>
    <row r="75" spans="9:15" ht="12.75">
      <c r="I75" s="76"/>
      <c r="J75" s="115"/>
      <c r="K75" s="107">
        <f t="shared" si="1"/>
        <v>19879.315671030654</v>
      </c>
      <c r="L75" s="76"/>
      <c r="M75" s="76"/>
      <c r="N75" s="76"/>
      <c r="O75" s="76"/>
    </row>
    <row r="76" spans="9:15" ht="12.75">
      <c r="I76" s="76"/>
      <c r="J76" s="115"/>
      <c r="K76" s="107">
        <f t="shared" si="1"/>
        <v>19879.315671030654</v>
      </c>
      <c r="L76" s="76"/>
      <c r="M76" s="76"/>
      <c r="N76" s="76"/>
      <c r="O76" s="76"/>
    </row>
    <row r="77" spans="9:15" ht="12.75">
      <c r="I77" s="76"/>
      <c r="J77" s="115"/>
      <c r="K77" s="107">
        <f t="shared" si="1"/>
        <v>19879.315671030654</v>
      </c>
      <c r="L77" s="76"/>
      <c r="M77" s="76"/>
      <c r="N77" s="76"/>
      <c r="O77" s="76"/>
    </row>
    <row r="78" spans="9:15" ht="12.75">
      <c r="I78" s="76"/>
      <c r="J78" s="115"/>
      <c r="K78" s="107">
        <f t="shared" si="1"/>
        <v>19879.315671030654</v>
      </c>
      <c r="L78" s="76"/>
      <c r="M78" s="76"/>
      <c r="N78" s="76"/>
      <c r="O78" s="76"/>
    </row>
    <row r="79" spans="10:11" ht="12.75">
      <c r="J79" s="115"/>
      <c r="K79" s="107">
        <f t="shared" si="1"/>
        <v>19879.315671030654</v>
      </c>
    </row>
    <row r="80" spans="10:11" ht="12.75">
      <c r="J80" s="115"/>
      <c r="K80" s="107">
        <f t="shared" si="1"/>
        <v>19879.315671030654</v>
      </c>
    </row>
    <row r="81" spans="10:11" ht="12.75">
      <c r="J81" s="115"/>
      <c r="K81" s="107">
        <f t="shared" si="1"/>
        <v>19879.315671030654</v>
      </c>
    </row>
    <row r="82" spans="10:11" ht="12.75">
      <c r="J82" s="115"/>
      <c r="K82" s="107">
        <f t="shared" si="1"/>
        <v>19879.315671030654</v>
      </c>
    </row>
    <row r="83" spans="10:11" ht="12.75">
      <c r="J83" s="115"/>
      <c r="K83" s="107">
        <f t="shared" si="1"/>
        <v>19879.315671030654</v>
      </c>
    </row>
    <row r="84" spans="10:11" ht="12.75">
      <c r="J84" s="115"/>
      <c r="K84" s="107">
        <f t="shared" si="1"/>
        <v>19879.315671030654</v>
      </c>
    </row>
    <row r="85" spans="10:11" ht="12.75">
      <c r="J85" s="115"/>
      <c r="K85" s="107">
        <f t="shared" si="1"/>
        <v>19879.315671030654</v>
      </c>
    </row>
    <row r="86" spans="10:11" ht="12.75">
      <c r="J86" s="115"/>
      <c r="K86" s="107">
        <f t="shared" si="1"/>
        <v>19879.315671030654</v>
      </c>
    </row>
    <row r="87" spans="10:11" ht="12.75">
      <c r="J87" s="115"/>
      <c r="K87" s="107">
        <f t="shared" si="1"/>
        <v>19879.315671030654</v>
      </c>
    </row>
    <row r="88" spans="10:11" ht="12.75">
      <c r="J88" s="115"/>
      <c r="K88" s="107">
        <f t="shared" si="1"/>
        <v>19879.315671030654</v>
      </c>
    </row>
    <row r="89" spans="10:11" ht="12.75">
      <c r="J89" s="115"/>
      <c r="K89" s="107">
        <f t="shared" si="1"/>
        <v>19879.315671030654</v>
      </c>
    </row>
    <row r="90" spans="10:11" ht="12.75">
      <c r="J90" s="115"/>
      <c r="K90" s="107">
        <f aca="true" t="shared" si="4" ref="K90:K113">$G$20</f>
        <v>19879.315671030654</v>
      </c>
    </row>
    <row r="91" spans="10:11" ht="12.75">
      <c r="J91" s="115"/>
      <c r="K91" s="107">
        <f t="shared" si="4"/>
        <v>19879.315671030654</v>
      </c>
    </row>
    <row r="92" spans="10:11" ht="12.75">
      <c r="J92" s="115"/>
      <c r="K92" s="107">
        <f t="shared" si="4"/>
        <v>19879.315671030654</v>
      </c>
    </row>
    <row r="93" spans="10:11" ht="12.75">
      <c r="J93" s="115"/>
      <c r="K93" s="107">
        <f t="shared" si="4"/>
        <v>19879.315671030654</v>
      </c>
    </row>
    <row r="94" spans="10:11" ht="12.75">
      <c r="J94" s="115"/>
      <c r="K94" s="107">
        <f t="shared" si="4"/>
        <v>19879.315671030654</v>
      </c>
    </row>
    <row r="95" spans="10:11" ht="12.75">
      <c r="J95" s="115"/>
      <c r="K95" s="107">
        <f t="shared" si="4"/>
        <v>19879.315671030654</v>
      </c>
    </row>
    <row r="96" spans="10:11" ht="12.75">
      <c r="J96" s="115"/>
      <c r="K96" s="107">
        <f t="shared" si="4"/>
        <v>19879.315671030654</v>
      </c>
    </row>
    <row r="97" spans="10:11" ht="12.75">
      <c r="J97" s="115"/>
      <c r="K97" s="107">
        <f t="shared" si="4"/>
        <v>19879.315671030654</v>
      </c>
    </row>
    <row r="98" spans="10:11" ht="12.75">
      <c r="J98" s="115"/>
      <c r="K98" s="107">
        <f t="shared" si="4"/>
        <v>19879.315671030654</v>
      </c>
    </row>
    <row r="99" spans="10:11" ht="12.75">
      <c r="J99" s="115"/>
      <c r="K99" s="107">
        <f t="shared" si="4"/>
        <v>19879.315671030654</v>
      </c>
    </row>
    <row r="100" spans="10:11" ht="12.75">
      <c r="J100" s="115"/>
      <c r="K100" s="107">
        <f t="shared" si="4"/>
        <v>19879.315671030654</v>
      </c>
    </row>
    <row r="101" spans="10:11" ht="12.75">
      <c r="J101" s="115"/>
      <c r="K101" s="107">
        <f t="shared" si="4"/>
        <v>19879.315671030654</v>
      </c>
    </row>
    <row r="102" spans="10:11" ht="12.75">
      <c r="J102" s="115"/>
      <c r="K102" s="107">
        <f t="shared" si="4"/>
        <v>19879.315671030654</v>
      </c>
    </row>
    <row r="103" spans="10:11" ht="12.75">
      <c r="J103" s="115"/>
      <c r="K103" s="107">
        <f t="shared" si="4"/>
        <v>19879.315671030654</v>
      </c>
    </row>
    <row r="104" spans="10:11" ht="12.75">
      <c r="J104" s="115"/>
      <c r="K104" s="107">
        <f t="shared" si="4"/>
        <v>19879.315671030654</v>
      </c>
    </row>
    <row r="105" spans="10:11" ht="12.75">
      <c r="J105" s="115"/>
      <c r="K105" s="107">
        <f t="shared" si="4"/>
        <v>19879.315671030654</v>
      </c>
    </row>
    <row r="106" spans="10:11" ht="12.75">
      <c r="J106" s="115"/>
      <c r="K106" s="107">
        <f t="shared" si="4"/>
        <v>19879.315671030654</v>
      </c>
    </row>
    <row r="107" spans="10:11" ht="12.75">
      <c r="J107" s="115"/>
      <c r="K107" s="107">
        <f t="shared" si="4"/>
        <v>19879.315671030654</v>
      </c>
    </row>
    <row r="108" spans="10:11" ht="12.75">
      <c r="J108" s="115"/>
      <c r="K108" s="107">
        <f t="shared" si="4"/>
        <v>19879.315671030654</v>
      </c>
    </row>
    <row r="109" spans="10:11" ht="12.75">
      <c r="J109" s="115"/>
      <c r="K109" s="107">
        <f t="shared" si="4"/>
        <v>19879.315671030654</v>
      </c>
    </row>
    <row r="110" spans="10:11" ht="12.75">
      <c r="J110" s="115"/>
      <c r="K110" s="107">
        <f t="shared" si="4"/>
        <v>19879.315671030654</v>
      </c>
    </row>
    <row r="111" spans="10:11" ht="12.75">
      <c r="J111" s="115"/>
      <c r="K111" s="107">
        <f t="shared" si="4"/>
        <v>19879.315671030654</v>
      </c>
    </row>
    <row r="112" spans="10:11" ht="12.75">
      <c r="J112" s="115"/>
      <c r="K112" s="107">
        <f t="shared" si="4"/>
        <v>19879.315671030654</v>
      </c>
    </row>
    <row r="113" ht="12.75">
      <c r="K113" s="107">
        <f t="shared" si="4"/>
        <v>19879.315671030654</v>
      </c>
    </row>
  </sheetData>
  <sheetProtection/>
  <mergeCells count="2">
    <mergeCell ref="B2:D2"/>
    <mergeCell ref="B8:D8"/>
  </mergeCells>
  <printOptions/>
  <pageMargins left="0.75" right="0.75" top="1" bottom="1" header="0.492125985" footer="0.492125985"/>
  <pageSetup orientation="portrait" paperSize="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zoomScale="180" zoomScaleNormal="180" zoomScalePageLayoutView="0" workbookViewId="0" topLeftCell="A1">
      <selection activeCell="F6" sqref="F6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3" ht="12.75">
      <c r="A1" t="s">
        <v>34</v>
      </c>
      <c r="B1" s="1">
        <f>Resultado!C3/10</f>
        <v>7016.935707254825</v>
      </c>
      <c r="C1" s="82" t="s">
        <v>160</v>
      </c>
    </row>
    <row r="2" spans="1:3" ht="12.75">
      <c r="A2" t="s">
        <v>14</v>
      </c>
      <c r="B2" s="2">
        <f>Resultado!$D$6</f>
        <v>0.28312337504235807</v>
      </c>
      <c r="C2" s="81" t="s">
        <v>161</v>
      </c>
    </row>
    <row r="3" spans="1:3" ht="12.75">
      <c r="A3" t="s">
        <v>32</v>
      </c>
      <c r="B3" s="1">
        <f>Resultado!C10</f>
        <v>15000</v>
      </c>
      <c r="C3" s="81" t="s">
        <v>162</v>
      </c>
    </row>
    <row r="4" spans="1:3" ht="12.75">
      <c r="A4" s="81" t="s">
        <v>164</v>
      </c>
      <c r="B4" s="114">
        <f>Resultado!$D$5+Resultado!$D$4</f>
        <v>0.7168766249576419</v>
      </c>
      <c r="C4" s="81" t="s">
        <v>163</v>
      </c>
    </row>
    <row r="9" spans="1:5" ht="12.75">
      <c r="A9" t="s">
        <v>33</v>
      </c>
      <c r="B9" t="s">
        <v>32</v>
      </c>
      <c r="C9" t="s">
        <v>35</v>
      </c>
      <c r="D9" t="s">
        <v>36</v>
      </c>
      <c r="E9" t="s">
        <v>63</v>
      </c>
    </row>
    <row r="10" spans="1:5" ht="12.75">
      <c r="A10" s="43">
        <v>0</v>
      </c>
      <c r="B10" s="43">
        <f aca="true" t="shared" si="0" ref="B10:B21">$B$3</f>
        <v>15000</v>
      </c>
      <c r="C10" s="43">
        <f aca="true" t="shared" si="1" ref="C10:C15">A10*$B$4</f>
        <v>0</v>
      </c>
      <c r="D10" s="44">
        <f aca="true" t="shared" si="2" ref="D10:D15">C10+B10</f>
        <v>15000</v>
      </c>
      <c r="E10" s="44">
        <f>A10-D10</f>
        <v>-15000</v>
      </c>
    </row>
    <row r="11" spans="1:5" ht="12.75">
      <c r="A11" s="43">
        <f aca="true" t="shared" si="3" ref="A11:A21">A10+$B$1</f>
        <v>7016.935707254825</v>
      </c>
      <c r="B11" s="43">
        <f t="shared" si="0"/>
        <v>15000</v>
      </c>
      <c r="C11" s="43">
        <f>A11*$B$4</f>
        <v>5030.277187361603</v>
      </c>
      <c r="D11" s="44">
        <f t="shared" si="2"/>
        <v>20030.277187361604</v>
      </c>
      <c r="E11" s="44">
        <f aca="true" t="shared" si="4" ref="E11:E21">A11-D11</f>
        <v>-13013.34148010678</v>
      </c>
    </row>
    <row r="12" spans="1:5" ht="12.75">
      <c r="A12" s="43">
        <f t="shared" si="3"/>
        <v>14033.87141450965</v>
      </c>
      <c r="B12" s="43">
        <f t="shared" si="0"/>
        <v>15000</v>
      </c>
      <c r="C12" s="43">
        <f t="shared" si="1"/>
        <v>10060.554374723206</v>
      </c>
      <c r="D12" s="44">
        <f t="shared" si="2"/>
        <v>25060.554374723208</v>
      </c>
      <c r="E12" s="44">
        <f t="shared" si="4"/>
        <v>-11026.682960213559</v>
      </c>
    </row>
    <row r="13" spans="1:5" ht="12.75">
      <c r="A13" s="43">
        <f t="shared" si="3"/>
        <v>21050.807121764476</v>
      </c>
      <c r="B13" s="43">
        <f t="shared" si="0"/>
        <v>15000</v>
      </c>
      <c r="C13" s="43">
        <f t="shared" si="1"/>
        <v>15090.83156208481</v>
      </c>
      <c r="D13" s="44">
        <f t="shared" si="2"/>
        <v>30090.831562084808</v>
      </c>
      <c r="E13" s="44">
        <f t="shared" si="4"/>
        <v>-9040.024440320332</v>
      </c>
    </row>
    <row r="14" spans="1:5" ht="12.75">
      <c r="A14" s="43">
        <f t="shared" si="3"/>
        <v>28067.7428290193</v>
      </c>
      <c r="B14" s="43">
        <f t="shared" si="0"/>
        <v>15000</v>
      </c>
      <c r="C14" s="43">
        <f t="shared" si="1"/>
        <v>20121.108749446412</v>
      </c>
      <c r="D14" s="44">
        <f t="shared" si="2"/>
        <v>35121.108749446415</v>
      </c>
      <c r="E14" s="44">
        <f t="shared" si="4"/>
        <v>-7053.365920427117</v>
      </c>
    </row>
    <row r="15" spans="1:5" ht="12.75">
      <c r="A15" s="43">
        <f t="shared" si="3"/>
        <v>35084.67853627412</v>
      </c>
      <c r="B15" s="43">
        <f t="shared" si="0"/>
        <v>15000</v>
      </c>
      <c r="C15" s="43">
        <f t="shared" si="1"/>
        <v>25151.385936808012</v>
      </c>
      <c r="D15" s="44">
        <f t="shared" si="2"/>
        <v>40151.385936808016</v>
      </c>
      <c r="E15" s="44">
        <f t="shared" si="4"/>
        <v>-5066.7074005338945</v>
      </c>
    </row>
    <row r="16" spans="1:5" ht="12.75">
      <c r="A16" s="43">
        <f t="shared" si="3"/>
        <v>42101.614243528944</v>
      </c>
      <c r="B16" s="43">
        <f t="shared" si="0"/>
        <v>15000</v>
      </c>
      <c r="C16" s="43">
        <f aca="true" t="shared" si="5" ref="C16:C21">A16*$B$4</f>
        <v>30181.663124169616</v>
      </c>
      <c r="D16" s="44">
        <f aca="true" t="shared" si="6" ref="D16:D21">C16+B16</f>
        <v>45181.663124169616</v>
      </c>
      <c r="E16" s="44">
        <f t="shared" si="4"/>
        <v>-3080.048880640672</v>
      </c>
    </row>
    <row r="17" spans="1:5" ht="12.75">
      <c r="A17" s="43">
        <f t="shared" si="3"/>
        <v>49118.54995078377</v>
      </c>
      <c r="B17" s="43">
        <f t="shared" si="0"/>
        <v>15000</v>
      </c>
      <c r="C17" s="43">
        <f t="shared" si="5"/>
        <v>35211.940311531216</v>
      </c>
      <c r="D17" s="44">
        <f t="shared" si="6"/>
        <v>50211.940311531216</v>
      </c>
      <c r="E17" s="44">
        <f t="shared" si="4"/>
        <v>-1093.3903607474494</v>
      </c>
    </row>
    <row r="18" spans="1:5" ht="12.75">
      <c r="A18" s="43">
        <f t="shared" si="3"/>
        <v>56135.48565803859</v>
      </c>
      <c r="B18" s="43">
        <f t="shared" si="0"/>
        <v>15000</v>
      </c>
      <c r="C18" s="43">
        <f t="shared" si="5"/>
        <v>40242.21749889282</v>
      </c>
      <c r="D18" s="44">
        <f t="shared" si="6"/>
        <v>55242.21749889282</v>
      </c>
      <c r="E18" s="44">
        <f t="shared" si="4"/>
        <v>893.2681591457731</v>
      </c>
    </row>
    <row r="19" spans="1:5" ht="12.75">
      <c r="A19" s="43">
        <f t="shared" si="3"/>
        <v>63152.42136529341</v>
      </c>
      <c r="B19" s="43">
        <f t="shared" si="0"/>
        <v>15000</v>
      </c>
      <c r="C19" s="43">
        <f t="shared" si="5"/>
        <v>45272.49468625442</v>
      </c>
      <c r="D19" s="44">
        <f t="shared" si="6"/>
        <v>60272.49468625442</v>
      </c>
      <c r="E19" s="44">
        <f t="shared" si="4"/>
        <v>2879.9266790389956</v>
      </c>
    </row>
    <row r="20" spans="1:5" ht="12.75">
      <c r="A20" s="43">
        <f t="shared" si="3"/>
        <v>70169.35707254824</v>
      </c>
      <c r="B20" s="43">
        <f t="shared" si="0"/>
        <v>15000</v>
      </c>
      <c r="C20" s="43">
        <f t="shared" si="5"/>
        <v>50302.771873616024</v>
      </c>
      <c r="D20" s="44">
        <f t="shared" si="6"/>
        <v>65302.771873616024</v>
      </c>
      <c r="E20" s="44">
        <f t="shared" si="4"/>
        <v>4866.585198932218</v>
      </c>
    </row>
    <row r="21" spans="1:5" ht="12.75">
      <c r="A21" s="43">
        <f t="shared" si="3"/>
        <v>77186.29277980307</v>
      </c>
      <c r="B21" s="43">
        <f t="shared" si="0"/>
        <v>15000</v>
      </c>
      <c r="C21" s="43">
        <f t="shared" si="5"/>
        <v>55333.04906097763</v>
      </c>
      <c r="D21" s="44">
        <f t="shared" si="6"/>
        <v>70333.04906097763</v>
      </c>
      <c r="E21" s="44">
        <f t="shared" si="4"/>
        <v>6853.243718825441</v>
      </c>
    </row>
    <row r="22" spans="1:4" ht="12.75">
      <c r="A22" s="43"/>
      <c r="B22" s="43"/>
      <c r="C22" s="43"/>
      <c r="D22" s="44"/>
    </row>
    <row r="23" spans="1:4" ht="12.75">
      <c r="A23" s="43"/>
      <c r="B23" s="43"/>
      <c r="C23" s="43"/>
      <c r="D23" s="44"/>
    </row>
    <row r="24" spans="1:4" ht="12.75">
      <c r="A24" s="43"/>
      <c r="B24" s="43"/>
      <c r="C24" s="43"/>
      <c r="D24" s="44"/>
    </row>
    <row r="25" spans="1:4" ht="12.75">
      <c r="A25" s="43"/>
      <c r="B25" s="43"/>
      <c r="C25" s="43"/>
      <c r="D25" s="44"/>
    </row>
    <row r="26" spans="1:4" ht="12.75">
      <c r="A26" s="43"/>
      <c r="B26" s="43"/>
      <c r="C26" s="43"/>
      <c r="D26" s="44"/>
    </row>
    <row r="27" spans="1:4" ht="12.75">
      <c r="A27" s="43"/>
      <c r="B27" s="43"/>
      <c r="C27" s="43"/>
      <c r="D27" s="44"/>
    </row>
    <row r="28" spans="1:4" ht="12.75">
      <c r="A28" s="43"/>
      <c r="B28" s="43"/>
      <c r="C28" s="43"/>
      <c r="D28" s="44"/>
    </row>
    <row r="29" spans="1:4" ht="12.75">
      <c r="A29" s="43"/>
      <c r="B29" s="43"/>
      <c r="C29" s="43"/>
      <c r="D29" s="44"/>
    </row>
    <row r="30" spans="1:4" ht="12.75">
      <c r="A30" s="43"/>
      <c r="B30" s="43"/>
      <c r="C30" s="43"/>
      <c r="D30" s="44"/>
    </row>
    <row r="31" spans="1:4" ht="12.75">
      <c r="A31" s="43"/>
      <c r="B31" s="43"/>
      <c r="C31" s="43"/>
      <c r="D31" s="44"/>
    </row>
    <row r="32" spans="1:4" ht="12.75">
      <c r="A32" s="43"/>
      <c r="B32" s="43"/>
      <c r="C32" s="43"/>
      <c r="D32" s="44"/>
    </row>
    <row r="33" spans="1:4" ht="12.75">
      <c r="A33" s="43"/>
      <c r="B33" s="43"/>
      <c r="C33" s="43"/>
      <c r="D33" s="44"/>
    </row>
    <row r="34" spans="1:4" ht="12.75">
      <c r="A34" s="43"/>
      <c r="B34" s="43"/>
      <c r="C34" s="43"/>
      <c r="D34" s="44"/>
    </row>
    <row r="35" spans="1:4" ht="12.75">
      <c r="A35" s="43"/>
      <c r="B35" s="43"/>
      <c r="C35" s="43"/>
      <c r="D35" s="44"/>
    </row>
    <row r="36" spans="1:4" ht="12.75">
      <c r="A36" s="43"/>
      <c r="B36" s="43"/>
      <c r="C36" s="43"/>
      <c r="D36" s="44"/>
    </row>
    <row r="37" spans="1:4" ht="12.75">
      <c r="A37" s="43"/>
      <c r="B37" s="43"/>
      <c r="C37" s="43"/>
      <c r="D37" s="44"/>
    </row>
    <row r="38" spans="1:4" ht="12.75">
      <c r="A38" s="43"/>
      <c r="B38" s="43"/>
      <c r="C38" s="43"/>
      <c r="D38" s="44"/>
    </row>
    <row r="39" spans="1:4" ht="12.75">
      <c r="A39" s="43"/>
      <c r="B39" s="43"/>
      <c r="C39" s="43"/>
      <c r="D39" s="44"/>
    </row>
    <row r="40" spans="1:4" ht="12.75">
      <c r="A40" s="43"/>
      <c r="B40" s="43"/>
      <c r="C40" s="43"/>
      <c r="D40" s="44"/>
    </row>
    <row r="41" spans="1:4" ht="12.75">
      <c r="A41" s="43"/>
      <c r="B41" s="43"/>
      <c r="C41" s="43"/>
      <c r="D41" s="44"/>
    </row>
    <row r="42" spans="1:4" ht="12.75">
      <c r="A42" s="43"/>
      <c r="B42" s="43"/>
      <c r="C42" s="43"/>
      <c r="D42" s="44"/>
    </row>
  </sheetData>
  <sheetProtection/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2021-04-22T15:49:26Z</dcterms:modified>
  <cp:category/>
  <cp:version/>
  <cp:contentType/>
  <cp:contentStatus/>
</cp:coreProperties>
</file>