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ink/ink1.xml" ContentType="application/inkml+xml"/>
  <Override PartName="/xl/ink/ink2.xml" ContentType="application/inkml+xml"/>
  <Override PartName="/xl/ink/ink3.xml" ContentType="application/inkml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\Google Drive\pqi 3402 opIII\exercicios\"/>
    </mc:Choice>
  </mc:AlternateContent>
  <xr:revisionPtr revIDLastSave="0" documentId="13_ncr:1_{94EC8C22-FD4E-4E27-A2C6-A6BB1857B4D4}" xr6:coauthVersionLast="47" xr6:coauthVersionMax="47" xr10:uidLastSave="{00000000-0000-0000-0000-000000000000}"/>
  <bookViews>
    <workbookView xWindow="-120" yWindow="-120" windowWidth="20730" windowHeight="11160" xr2:uid="{E3F26F8F-02AD-4014-AF00-976D02F2EC0C}"/>
  </bookViews>
  <sheets>
    <sheet name="TM3.1aTM3.3 aula" sheetId="1" r:id="rId1"/>
  </sheets>
  <externalReferences>
    <externalReference r:id="rId2"/>
    <externalReference r:id="rId3"/>
    <externalReference r:id="rId4"/>
    <externalReference r:id="rId5"/>
  </externalReferences>
  <definedNames>
    <definedName name="A.">[1]vibracao!$C$12</definedName>
    <definedName name="alpha">#REF!</definedName>
    <definedName name="alpha_">#REF!</definedName>
    <definedName name="dens">[2]calculos!$C$31</definedName>
    <definedName name="F.">[3]FL06a08!$B$78</definedName>
    <definedName name="F..">[3]FL06a08!$B$191</definedName>
    <definedName name="F...">[3]Nguyen_mar!$D$125</definedName>
    <definedName name="F_">#REF!</definedName>
    <definedName name="F__">'[3]aula flash'!$C$146</definedName>
    <definedName name="F___">#REF!</definedName>
    <definedName name="FF_">#REF!</definedName>
    <definedName name="g.">[1]vibracao!$C$13</definedName>
    <definedName name="K3.">[3]FL06a08!$B$85</definedName>
    <definedName name="K3..">[3]FL06a08!$B$198</definedName>
    <definedName name="K3...">[3]Nguyen_mar!$D$132</definedName>
    <definedName name="K3_">#REF!</definedName>
    <definedName name="K3__">[3]Nguyen!$B$114</definedName>
    <definedName name="K4.">[3]FL06a08!$B$86</definedName>
    <definedName name="K4..">[3]FL06a08!$B$199</definedName>
    <definedName name="K4...">[3]Nguyen_mar!$D$133</definedName>
    <definedName name="K4_">#REF!</definedName>
    <definedName name="K4__">[3]Nguyen!$B$115</definedName>
    <definedName name="K5.">[3]FL06a08!$B$87</definedName>
    <definedName name="K5..">[3]FL06a08!$B$200</definedName>
    <definedName name="K5...">[3]Nguyen_mar!$D$134</definedName>
    <definedName name="K5_">#REF!</definedName>
    <definedName name="K5__">[3]Nguyen!$B$116</definedName>
    <definedName name="K6.">[3]FL06a08!$B$88</definedName>
    <definedName name="K6..">[3]FL06a08!$B$201</definedName>
    <definedName name="K6...">[3]Nguyen_mar!$D$135</definedName>
    <definedName name="K6_">#REF!</definedName>
    <definedName name="K6__">[3]Nguyen!$B$117</definedName>
    <definedName name="KK3_">#REF!</definedName>
    <definedName name="KK4_">#REF!</definedName>
    <definedName name="KK5_">#REF!</definedName>
    <definedName name="KK6_">#REF!</definedName>
    <definedName name="massa">[2]calculos!$C$49</definedName>
    <definedName name="P">#REF!</definedName>
    <definedName name="P_">#REF!</definedName>
    <definedName name="pm_aas">[4]dados!$T$1</definedName>
    <definedName name="pm_acet">[4]dados!$W$2</definedName>
    <definedName name="Pmsa">[2]calculos!$C$12</definedName>
    <definedName name="PMsh">[2]calculos!$C$11</definedName>
    <definedName name="rho">[2]csd!$G$2:$H$2</definedName>
    <definedName name="rho_acet">[4]dados!$W$3</definedName>
    <definedName name="solver_adj" localSheetId="0" hidden="1">'TM3.1aTM3.3 aula'!$D$109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'TM3.1aTM3.3 aula'!$D$113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  <definedName name="T">#REF!</definedName>
    <definedName name="T..">[3]Nguyen_mar!$D$131</definedName>
    <definedName name="T...">[3]Nguyen_mar!$D$131</definedName>
    <definedName name="T_">#REF!</definedName>
    <definedName name="z3.">[3]FL06a08!$B$79</definedName>
    <definedName name="z3..">[3]FL06a08!$B$192</definedName>
    <definedName name="z3...">[3]Nguyen_mar!$D$126</definedName>
    <definedName name="z3_">#REF!</definedName>
    <definedName name="z3__">[3]Nguyen!$B$108</definedName>
    <definedName name="z4.">[3]FL06a08!$B$80</definedName>
    <definedName name="z4..">[3]FL06a08!$B$193</definedName>
    <definedName name="z4...">[3]Nguyen_mar!$D$127</definedName>
    <definedName name="z4_">#REF!</definedName>
    <definedName name="z4__">[3]Nguyen!$B$109</definedName>
    <definedName name="z5.">[3]FL06a08!$B$81</definedName>
    <definedName name="z5..">[3]FL06a08!$B$194</definedName>
    <definedName name="z5...">[3]Nguyen_mar!$D$128</definedName>
    <definedName name="z5_">#REF!</definedName>
    <definedName name="z5__">[3]Nguyen!$B$110</definedName>
    <definedName name="z6.">[3]FL06a08!$B$82</definedName>
    <definedName name="z6..">[3]FL06a08!$B$195</definedName>
    <definedName name="z6...">[3]Nguyen_mar!$D$129</definedName>
    <definedName name="z6_">#REF!</definedName>
    <definedName name="z6__">[3]Nguyen!$B$111</definedName>
    <definedName name="zz3_">#REF!</definedName>
    <definedName name="zz4_">#REF!</definedName>
    <definedName name="zz5_">#REF!</definedName>
    <definedName name="zz6_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4" i="1" l="1"/>
  <c r="N12" i="1"/>
  <c r="H101" i="1" l="1"/>
  <c r="N84" i="1"/>
  <c r="N88" i="1" s="1"/>
  <c r="L84" i="1"/>
  <c r="O82" i="1"/>
  <c r="P82" i="1" s="1"/>
  <c r="U81" i="1"/>
  <c r="U84" i="1" s="1"/>
  <c r="U88" i="1" s="1"/>
  <c r="P81" i="1"/>
  <c r="O81" i="1"/>
  <c r="U80" i="1"/>
  <c r="V80" i="1" s="1"/>
  <c r="W80" i="1" s="1"/>
  <c r="X80" i="1" s="1"/>
  <c r="Y80" i="1" s="1"/>
  <c r="Z80" i="1" s="1"/>
  <c r="L79" i="1"/>
  <c r="L83" i="1" s="1"/>
  <c r="L85" i="1" s="1"/>
  <c r="L86" i="1" s="1"/>
  <c r="W77" i="1"/>
  <c r="V77" i="1"/>
  <c r="Q77" i="1"/>
  <c r="P77" i="1"/>
  <c r="O77" i="1"/>
  <c r="D77" i="1"/>
  <c r="M110" i="1" s="1"/>
  <c r="V75" i="1"/>
  <c r="U75" i="1"/>
  <c r="Q75" i="1"/>
  <c r="P75" i="1"/>
  <c r="O75" i="1"/>
  <c r="S74" i="1"/>
  <c r="O80" i="1" s="1"/>
  <c r="P80" i="1" s="1"/>
  <c r="Q80" i="1" s="1"/>
  <c r="R80" i="1" s="1"/>
  <c r="S80" i="1" s="1"/>
  <c r="N65" i="1"/>
  <c r="N64" i="1"/>
  <c r="N62" i="1"/>
  <c r="M62" i="1"/>
  <c r="N59" i="1"/>
  <c r="D47" i="1"/>
  <c r="J46" i="1"/>
  <c r="D44" i="1" s="1"/>
  <c r="D80" i="1" s="1"/>
  <c r="D19" i="1"/>
  <c r="C16" i="1"/>
  <c r="M12" i="1" s="1"/>
  <c r="C13" i="1"/>
  <c r="O12" i="1"/>
  <c r="O11" i="1"/>
  <c r="C11" i="1"/>
  <c r="D33" i="1" s="1"/>
  <c r="O10" i="1"/>
  <c r="P10" i="1" s="1"/>
  <c r="M10" i="1"/>
  <c r="N10" i="1" s="1"/>
  <c r="O9" i="1"/>
  <c r="P9" i="1" s="1"/>
  <c r="M9" i="1"/>
  <c r="N9" i="1" s="1"/>
  <c r="O8" i="1"/>
  <c r="P8" i="1" s="1"/>
  <c r="M8" i="1"/>
  <c r="N8" i="1" s="1"/>
  <c r="O7" i="1"/>
  <c r="P7" i="1" s="1"/>
  <c r="M7" i="1"/>
  <c r="N7" i="1" s="1"/>
  <c r="Q82" i="1" l="1"/>
  <c r="P84" i="1"/>
  <c r="P88" i="1" s="1"/>
  <c r="M65" i="1"/>
  <c r="M60" i="1" s="1"/>
  <c r="N60" i="1"/>
  <c r="D56" i="1"/>
  <c r="D57" i="1" s="1"/>
  <c r="H78" i="1" s="1"/>
  <c r="D79" i="1"/>
  <c r="D42" i="1"/>
  <c r="D63" i="1"/>
  <c r="H102" i="1"/>
  <c r="M11" i="1"/>
  <c r="N11" i="1" s="1"/>
  <c r="D60" i="1"/>
  <c r="R75" i="1"/>
  <c r="W75" i="1"/>
  <c r="R77" i="1"/>
  <c r="X77" i="1"/>
  <c r="Q81" i="1"/>
  <c r="V81" i="1"/>
  <c r="O84" i="1"/>
  <c r="O88" i="1" s="1"/>
  <c r="M111" i="1"/>
  <c r="M114" i="1" s="1"/>
  <c r="D110" i="1"/>
  <c r="D114" i="1" s="1"/>
  <c r="P11" i="1"/>
  <c r="P12" i="1"/>
  <c r="R81" i="1" l="1"/>
  <c r="S75" i="1"/>
  <c r="M112" i="1"/>
  <c r="M113" i="1" s="1"/>
  <c r="D100" i="1"/>
  <c r="D104" i="1" s="1"/>
  <c r="Q84" i="1"/>
  <c r="Q88" i="1" s="1"/>
  <c r="R82" i="1"/>
  <c r="Y77" i="1"/>
  <c r="D66" i="1"/>
  <c r="S77" i="1"/>
  <c r="V84" i="1"/>
  <c r="V88" i="1" s="1"/>
  <c r="W81" i="1"/>
  <c r="X75" i="1"/>
  <c r="X81" i="1" l="1"/>
  <c r="W84" i="1"/>
  <c r="W88" i="1" s="1"/>
  <c r="Z77" i="1"/>
  <c r="L67" i="1"/>
  <c r="G61" i="1"/>
  <c r="D67" i="1"/>
  <c r="G62" i="1"/>
  <c r="L66" i="1"/>
  <c r="G65" i="1"/>
  <c r="I65" i="1" s="1"/>
  <c r="S82" i="1"/>
  <c r="R84" i="1"/>
  <c r="R88" i="1" s="1"/>
  <c r="Y75" i="1"/>
  <c r="D99" i="1"/>
  <c r="D101" i="1" s="1"/>
  <c r="D102" i="1" s="1"/>
  <c r="D103" i="1" s="1"/>
  <c r="D111" i="1"/>
  <c r="D112" i="1" s="1"/>
  <c r="D113" i="1" s="1"/>
  <c r="N78" i="1"/>
  <c r="S81" i="1"/>
  <c r="Z75" i="1" l="1"/>
  <c r="S84" i="1"/>
  <c r="S88" i="1" s="1"/>
  <c r="G63" i="1"/>
  <c r="M61" i="1"/>
  <c r="N83" i="1"/>
  <c r="N85" i="1" s="1"/>
  <c r="U78" i="1"/>
  <c r="O78" i="1"/>
  <c r="Y81" i="1"/>
  <c r="X84" i="1"/>
  <c r="X88" i="1" s="1"/>
  <c r="N61" i="1"/>
  <c r="G64" i="1"/>
  <c r="I64" i="1" s="1"/>
  <c r="P78" i="1" l="1"/>
  <c r="O83" i="1"/>
  <c r="O85" i="1" s="1"/>
  <c r="D65" i="1"/>
  <c r="I63" i="1"/>
  <c r="Y84" i="1"/>
  <c r="Y88" i="1" s="1"/>
  <c r="Z81" i="1"/>
  <c r="V78" i="1"/>
  <c r="U83" i="1"/>
  <c r="U85" i="1" s="1"/>
  <c r="N86" i="1"/>
  <c r="N87" i="1" s="1"/>
  <c r="U86" i="1" l="1"/>
  <c r="U87" i="1" s="1"/>
  <c r="W78" i="1"/>
  <c r="V83" i="1"/>
  <c r="V85" i="1" s="1"/>
  <c r="Z84" i="1"/>
  <c r="Z88" i="1" s="1"/>
  <c r="O86" i="1"/>
  <c r="O87" i="1" s="1"/>
  <c r="Q78" i="1"/>
  <c r="P83" i="1"/>
  <c r="P85" i="1" s="1"/>
  <c r="V86" i="1" l="1"/>
  <c r="V87" i="1" s="1"/>
  <c r="X78" i="1"/>
  <c r="W83" i="1"/>
  <c r="W85" i="1" s="1"/>
  <c r="P86" i="1"/>
  <c r="P87" i="1" s="1"/>
  <c r="R78" i="1"/>
  <c r="Q83" i="1"/>
  <c r="Q85" i="1" s="1"/>
  <c r="Y78" i="1" l="1"/>
  <c r="X83" i="1"/>
  <c r="X85" i="1" s="1"/>
  <c r="W86" i="1"/>
  <c r="W87" i="1" s="1"/>
  <c r="Q86" i="1"/>
  <c r="Q87" i="1" s="1"/>
  <c r="S78" i="1"/>
  <c r="S83" i="1" s="1"/>
  <c r="S85" i="1" s="1"/>
  <c r="R83" i="1"/>
  <c r="R85" i="1" s="1"/>
  <c r="R86" i="1" l="1"/>
  <c r="R87" i="1" s="1"/>
  <c r="S86" i="1"/>
  <c r="S87" i="1" s="1"/>
  <c r="X86" i="1"/>
  <c r="X87" i="1" s="1"/>
  <c r="Z78" i="1"/>
  <c r="Z83" i="1" s="1"/>
  <c r="Z85" i="1" s="1"/>
  <c r="Y83" i="1"/>
  <c r="Y85" i="1" s="1"/>
  <c r="Y86" i="1" l="1"/>
  <c r="Y87" i="1" s="1"/>
  <c r="Z86" i="1"/>
  <c r="Z87" i="1" s="1"/>
</calcChain>
</file>

<file path=xl/sharedStrings.xml><?xml version="1.0" encoding="utf-8"?>
<sst xmlns="http://schemas.openxmlformats.org/spreadsheetml/2006/main" count="276" uniqueCount="220">
  <si>
    <t>--------------------------------------------------------------------------------------------------------------------------------</t>
  </si>
  <si>
    <t>TM3.1 - TM sem BM, k fase liquida, H2S em agua</t>
  </si>
  <si>
    <t xml:space="preserve"> (inspirado em Seader and Henley exemplo 3,37)</t>
  </si>
  <si>
    <t>TM3.1</t>
  </si>
  <si>
    <r>
      <t>Gás 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S puro é posto em contato com um jato cilíndrico laminar de água pura, e a taxa de absorção é medida (ver tabela). O diâmetro e a altura do jato são 1 cm e 7 cm, respec. (a) Considerando a teoria de filme, qual a espessura do filme na fase líquida. (b) O que aconteceu com a espessura do filme quando a vazão aumentou? Como você explicaria este resultado? (c) Os valores encontrados são razoáveis para difusão em liquido? A solubilidade do 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S na água é de 100 mol.m</t>
    </r>
    <r>
      <rPr>
        <vertAlign val="superscript"/>
        <sz val="11"/>
        <color theme="1"/>
        <rFont val="Calibri"/>
        <family val="2"/>
        <scheme val="minor"/>
      </rPr>
      <t>-3</t>
    </r>
    <r>
      <rPr>
        <sz val="11"/>
        <color theme="1"/>
        <rFont val="Calibri"/>
        <family val="2"/>
        <scheme val="minor"/>
      </rPr>
      <t>. A difusividade molecular do 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S em água é D</t>
    </r>
    <r>
      <rPr>
        <vertAlign val="subscript"/>
        <sz val="11"/>
        <color theme="1"/>
        <rFont val="Calibri"/>
        <family val="2"/>
        <scheme val="minor"/>
      </rPr>
      <t>AB</t>
    </r>
    <r>
      <rPr>
        <sz val="11"/>
        <color theme="1"/>
        <rFont val="Calibri"/>
        <family val="2"/>
        <scheme val="minor"/>
      </rPr>
      <t>=1,35x10</t>
    </r>
    <r>
      <rPr>
        <vertAlign val="superscript"/>
        <sz val="11"/>
        <color theme="1"/>
        <rFont val="Calibri"/>
        <family val="2"/>
        <scheme val="minor"/>
      </rPr>
      <t>-9</t>
    </r>
    <r>
      <rPr>
        <sz val="11"/>
        <color theme="1"/>
        <rFont val="Calibri"/>
        <family val="2"/>
        <scheme val="minor"/>
      </rPr>
      <t xml:space="preserve"> 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/s a 25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C. Admita que a concentração de 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S no seio do jato é nula.</t>
    </r>
  </si>
  <si>
    <t>Solução</t>
  </si>
  <si>
    <t>TM deH2S de fase gasosa (H2S puro) para fase líquida (água)</t>
  </si>
  <si>
    <t xml:space="preserve"> Vazão do jato</t>
  </si>
  <si>
    <t>Taxa de absorção</t>
  </si>
  <si>
    <t>kL</t>
  </si>
  <si>
    <t>delta</t>
  </si>
  <si>
    <t>xA_out por BM</t>
  </si>
  <si>
    <t>xa_out/xsat (1)</t>
  </si>
  <si>
    <t>(1) conclui-se que o SO2 absorvido não excede a solubilidade, como esperado</t>
  </si>
  <si>
    <t>como o gas é H2S puro, resistencia ao TM só no líquido</t>
  </si>
  <si>
    <r>
      <t>cm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/s</t>
    </r>
  </si>
  <si>
    <r>
      <t>mol/s.10</t>
    </r>
    <r>
      <rPr>
        <vertAlign val="superscript"/>
        <sz val="11"/>
        <color theme="1"/>
        <rFont val="Calibri"/>
        <family val="2"/>
        <scheme val="minor"/>
      </rPr>
      <t>6</t>
    </r>
  </si>
  <si>
    <t>m/s</t>
  </si>
  <si>
    <t>micron</t>
  </si>
  <si>
    <t>A hipotese de xa independente da posicao é boa, muito embora o valor "0" adotado não seja a melhor escolha</t>
  </si>
  <si>
    <t>solubilidade do H2S é baixa, logo conveccao desprezada</t>
  </si>
  <si>
    <t>Logo vale</t>
  </si>
  <si>
    <t>O aumento do fluxo, apesar de melhorar o TM, reduz a concentracao de so2 na fase liquida.</t>
  </si>
  <si>
    <t>xAi =</t>
  </si>
  <si>
    <t>mol/mol mist</t>
  </si>
  <si>
    <t>na interface a conc da fase liquida é a solubilidade do gas,</t>
  </si>
  <si>
    <t xml:space="preserve">xA = </t>
  </si>
  <si>
    <t>no seio do liquido a conc é 0</t>
  </si>
  <si>
    <t>cL=</t>
  </si>
  <si>
    <t>gmol/m3</t>
  </si>
  <si>
    <t>CL é a densidade da solucao, aproximada pela densidade da agua, por ser diluida (*)</t>
  </si>
  <si>
    <t>kL=kL(Na,xai-xa), ver tabela</t>
  </si>
  <si>
    <t>kL é o coef transporte de massa na fase liquida</t>
  </si>
  <si>
    <t>NA= W/A</t>
  </si>
  <si>
    <t>ver tabela</t>
  </si>
  <si>
    <t>mol/m2/s</t>
  </si>
  <si>
    <t>fluxo e vazao de H2S atraves da interface</t>
  </si>
  <si>
    <t>A=</t>
  </si>
  <si>
    <t>m2</t>
  </si>
  <si>
    <t>área interfacial = superficie lateral do jato cilindrico,</t>
  </si>
  <si>
    <t>D_L=</t>
  </si>
  <si>
    <t>m2/s</t>
  </si>
  <si>
    <t>difusividade do H2S no gas</t>
  </si>
  <si>
    <t>delta = D/kL ver tabela</t>
  </si>
  <si>
    <t>espessura da camada limite.</t>
  </si>
  <si>
    <t>xsat=csat/cL</t>
  </si>
  <si>
    <t>molA/mol_mist</t>
  </si>
  <si>
    <t>solubilidade</t>
  </si>
  <si>
    <t>(*) xA em gmol H2S/mol H2o ~ gmol H2S/mol solução</t>
  </si>
  <si>
    <t>Resumo</t>
  </si>
  <si>
    <t>(a) - ver valores de kL na tabela,</t>
  </si>
  <si>
    <t>(b)  nota-se que a espessura da camada limite diminui (k aumenta) com a vazao do líquido,</t>
  </si>
  <si>
    <t>Explicacao é que a maior turbulencia melhora o transporte de massa,</t>
  </si>
  <si>
    <t>(c) os valores são coerentes para difusao em liquido (delta entre 10 e 100 micron), ver tabela dada em aula</t>
  </si>
  <si>
    <t>Na prática também deveria ser levada em conta a difusao de água para o gás.</t>
  </si>
  <si>
    <t>TM3.2 - TM sem BM, resist liquido e vapor, H2S em agua</t>
  </si>
  <si>
    <t>(continuação do exercício anterior)</t>
  </si>
  <si>
    <t>TM3.2</t>
  </si>
  <si>
    <r>
      <t>Considere uma situação similar ao exercício anterior, trata-se também de absorver 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S em 5,142 cm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/s de água, mas neste caso a fase gasosa é uma corrente de ar contendo 1%molar de 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S. (a) Estime o coeficiente de distribuição K</t>
    </r>
    <r>
      <rPr>
        <vertAlign val="subscript"/>
        <sz val="11"/>
        <color theme="1"/>
        <rFont val="Calibri"/>
        <family val="2"/>
        <scheme val="minor"/>
      </rPr>
      <t>H2S</t>
    </r>
    <r>
      <rPr>
        <sz val="11"/>
        <color theme="1"/>
        <rFont val="Calibri"/>
        <family val="2"/>
        <scheme val="minor"/>
      </rPr>
      <t xml:space="preserve"> para o 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S a partir da solubilidade informada no exercício anterior, admitindo que nas baixas concentrações de líquido em pauta o sistema obedece a lei de Henry. (b) Calcule o valor do coeficiente global de troca de massa a partir dos coeficientes individuais. Para a fase líquida use o resultado do item anterior, e para a fase gasosa adote o valor conservador de 1000 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Calibri"/>
        <family val="2"/>
        <scheme val="minor"/>
      </rPr>
      <t>m para a espessura da camada limite. (c) Em qual fase a resistência ao transporte de massa é maior? (d) Calcule a taxa de absorção em água. Compare com o caso do exercício anterior. A difusividade molecular do 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S no ar é D</t>
    </r>
    <r>
      <rPr>
        <vertAlign val="subscript"/>
        <sz val="11"/>
        <color theme="1"/>
        <rFont val="Calibri"/>
        <family val="2"/>
        <scheme val="minor"/>
      </rPr>
      <t>AB</t>
    </r>
    <r>
      <rPr>
        <sz val="11"/>
        <color theme="1"/>
        <rFont val="Calibri"/>
        <family val="2"/>
        <scheme val="minor"/>
      </rPr>
      <t>=1,3 10</t>
    </r>
    <r>
      <rPr>
        <vertAlign val="superscript"/>
        <sz val="11"/>
        <color theme="1"/>
        <rFont val="Calibri"/>
        <family val="2"/>
        <scheme val="minor"/>
      </rPr>
      <t>-5</t>
    </r>
    <r>
      <rPr>
        <sz val="11"/>
        <color theme="1"/>
        <rFont val="Calibri"/>
        <family val="2"/>
        <scheme val="minor"/>
      </rPr>
      <t xml:space="preserve"> 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/s a 25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C. Admita concentração nula de 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S no seio do jato.</t>
    </r>
  </si>
  <si>
    <t>(a)</t>
  </si>
  <si>
    <t>Usando o dado de solubilidade do exercicio anterior, K(y)=y/x=1/0,0018=555 para y =0.</t>
  </si>
  <si>
    <t xml:space="preserve">nota </t>
  </si>
  <si>
    <t>lei de Henry  y P = x H. Logo K = y/x = H/P.  Como H=H(T), mas H&lt;&gt;H(x) e os experimentos</t>
  </si>
  <si>
    <t>lei de Raoult y P = x Psat, logo K = y/x = Psat/P = 20/1 = 20</t>
  </si>
  <si>
    <t xml:space="preserve">    são a P e T constantes, K vale para todas as condições testadas:</t>
  </si>
  <si>
    <t>(Pvapor H2S a 1 atm = 20 bar)</t>
  </si>
  <si>
    <t>KA=</t>
  </si>
  <si>
    <t>logo a hipotese de Raoult não é boa</t>
  </si>
  <si>
    <t>agora podemos determinar m_A</t>
  </si>
  <si>
    <t>em 2017 mudado para lei de Henry</t>
  </si>
  <si>
    <t>(b)</t>
  </si>
  <si>
    <t>gas é H2S diluído, logo gas e liquido resistem ao TM</t>
  </si>
  <si>
    <t>no liquido solubilidade do H2S é baixa, e no vapor conc é baixa, logo conveccao desprezada</t>
  </si>
  <si>
    <t>transporte de água para o gás desprezado, logo apenas H2S é transportado</t>
  </si>
  <si>
    <t>fr.molar de H2S no llíquido, admitida nula pois a a vazão de água é elevada (a checar com BM)</t>
  </si>
  <si>
    <t>yA* =</t>
  </si>
  <si>
    <t>ya*=Kxa, no seio do liquido</t>
  </si>
  <si>
    <t>yA =</t>
  </si>
  <si>
    <t>fr.molar de H2S no seio do gas, conhecida</t>
  </si>
  <si>
    <t>cV=P/RT</t>
  </si>
  <si>
    <t>CV é a densidade do gas a P e T conhecidos</t>
  </si>
  <si>
    <t>T=</t>
  </si>
  <si>
    <t>K</t>
  </si>
  <si>
    <t>koV  =?</t>
  </si>
  <si>
    <t>coef global de transporte de massa em m/s</t>
  </si>
  <si>
    <t>P=</t>
  </si>
  <si>
    <t>atm</t>
  </si>
  <si>
    <t>NA=?</t>
  </si>
  <si>
    <t>xxxx</t>
  </si>
  <si>
    <t>fluxo de H2S através da interface V-L</t>
  </si>
  <si>
    <t>R=</t>
  </si>
  <si>
    <t>atm m3/mol K</t>
  </si>
  <si>
    <t>área interfacial = superficie lateral do jato de dimensoes conhecida</t>
  </si>
  <si>
    <t>D_V=</t>
  </si>
  <si>
    <t>difusividade do H2S no vapor do sistema binário, conhecida</t>
  </si>
  <si>
    <t>delta_v=</t>
  </si>
  <si>
    <t>espessura de filme no lado do gás, estimada conservadoramente.</t>
  </si>
  <si>
    <t>kv=D/delta</t>
  </si>
  <si>
    <t>coef TM no gas assumindo espessura de camada limite elevada (conservadora)</t>
  </si>
  <si>
    <t>kL=</t>
  </si>
  <si>
    <t>obtido do experimento com H2S puro, exercicio anterior</t>
  </si>
  <si>
    <t>m_A=K_A cV/cL</t>
  </si>
  <si>
    <t>obtido a partir de K calculado no item a</t>
  </si>
  <si>
    <t>koV  =</t>
  </si>
  <si>
    <t>coef global de TM (global = através das 2 fases)</t>
  </si>
  <si>
    <t>x</t>
  </si>
  <si>
    <t>y</t>
  </si>
  <si>
    <t>pontos relevantes</t>
  </si>
  <si>
    <t>(c)</t>
  </si>
  <si>
    <t>A fase L controla o fluxo:</t>
  </si>
  <si>
    <t>origem</t>
  </si>
  <si>
    <t>y=Kx, reta</t>
  </si>
  <si>
    <t>kv / (m/kl)</t>
  </si>
  <si>
    <t>y=Kx</t>
  </si>
  <si>
    <t xml:space="preserve">   devido ao alto m (alto K_A)</t>
  </si>
  <si>
    <t>xai</t>
  </si>
  <si>
    <t>M</t>
  </si>
  <si>
    <t>xai,yai</t>
  </si>
  <si>
    <t>O coef de TM é maior em L:</t>
  </si>
  <si>
    <t>yai</t>
  </si>
  <si>
    <t>P</t>
  </si>
  <si>
    <t>xab,yab</t>
  </si>
  <si>
    <t xml:space="preserve">kVcV/kLcL = </t>
  </si>
  <si>
    <t>xai - xab</t>
  </si>
  <si>
    <t>E</t>
  </si>
  <si>
    <t>xab, ya*</t>
  </si>
  <si>
    <t>A força motriz é menor em L:</t>
  </si>
  <si>
    <t>yab - yai</t>
  </si>
  <si>
    <t>Dx/Dy</t>
  </si>
  <si>
    <t>N_A=</t>
  </si>
  <si>
    <t>D</t>
  </si>
  <si>
    <t>xa*,yab</t>
  </si>
  <si>
    <t xml:space="preserve">(c) </t>
  </si>
  <si>
    <t>mol/s/m2</t>
  </si>
  <si>
    <t>W_A= N_A Area</t>
  </si>
  <si>
    <t>mol/s</t>
  </si>
  <si>
    <t>Notamos que W_A é exatamente 100x menor que no caso anterior, pois a concentracao do gas é  100x menor</t>
  </si>
  <si>
    <t>TM3.3 - TM com BM, H2S em agua</t>
  </si>
  <si>
    <t>TM3.3</t>
  </si>
  <si>
    <r>
      <t>Nos exercícios anteriores, foi possível caracterizar o equilíbrio  (K) e o TM (kv, kL e koV) para a absorção de 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S do ar para a água. Deseja-se agora caracterizar um separador de um único estágio, admitindo mistura ideal em ambas as fases, num processo geometricamente similar, mas em maior escala, nas condições da tabela abaixo. Pede-se: (a) as composições das fases líquida e vapor na saída do estágio. (b) o rendimento da absorção do 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S na água. (c) Compare com a operação de um estágio de equilíbrio.</t>
    </r>
  </si>
  <si>
    <t>y2</t>
  </si>
  <si>
    <t>-</t>
  </si>
  <si>
    <t>fr molar de H2S em V na entrada</t>
  </si>
  <si>
    <t>x0</t>
  </si>
  <si>
    <t>fr molar de H2S em L na entrada</t>
  </si>
  <si>
    <t>effect of L</t>
  </si>
  <si>
    <t>A =</t>
  </si>
  <si>
    <t>L/V factor</t>
  </si>
  <si>
    <t>effect of A</t>
  </si>
  <si>
    <t xml:space="preserve">A factor = </t>
  </si>
  <si>
    <t>A</t>
  </si>
  <si>
    <t>área de contato entre as fases</t>
  </si>
  <si>
    <t>L</t>
  </si>
  <si>
    <t>vazao de líquido</t>
  </si>
  <si>
    <t>V</t>
  </si>
  <si>
    <t>vazao de gás</t>
  </si>
  <si>
    <t>koV</t>
  </si>
  <si>
    <t>coeficiente global de TM</t>
  </si>
  <si>
    <t>coeficiente de distribuição</t>
  </si>
  <si>
    <t>cV</t>
  </si>
  <si>
    <t>densidade molar do gas, considerado</t>
  </si>
  <si>
    <t xml:space="preserve">   ideal, em P=1atm e T=298K</t>
  </si>
  <si>
    <t>As seguintes simplificações são válidas para o caso em pauta:</t>
  </si>
  <si>
    <t>NTU</t>
  </si>
  <si>
    <t>Correntes diluídas, logo L e V constantes</t>
  </si>
  <si>
    <t>S</t>
  </si>
  <si>
    <t>Apenas H2S transportado entre as fases,</t>
  </si>
  <si>
    <t>y1</t>
  </si>
  <si>
    <t>Mistura ideal em cada fase</t>
  </si>
  <si>
    <t>x1</t>
  </si>
  <si>
    <t>Como a concentração é baixa, o coeficiente de distribuição independe da composicao</t>
  </si>
  <si>
    <t xml:space="preserve">SR/S=(y1/x1)/K= </t>
  </si>
  <si>
    <t xml:space="preserve">   (esta ultima hipotese a rigor não é necessaria, mas K</t>
  </si>
  <si>
    <t>A=1/S</t>
  </si>
  <si>
    <t xml:space="preserve">   deve ser conhecido nas composicoes y1 e x1)</t>
  </si>
  <si>
    <t>Entao valem as seguintes expressões</t>
  </si>
  <si>
    <t>tempo de residencia</t>
  </si>
  <si>
    <t>NTU = A koV cV /  V</t>
  </si>
  <si>
    <t>S = KV/L</t>
  </si>
  <si>
    <t>R = Lx1/Vy2</t>
  </si>
  <si>
    <t>Req = 1/(1+S) pois escoamento é V--&gt;L</t>
  </si>
  <si>
    <t>a rigor, deveriamos mudar os nomes das fases V e L</t>
  </si>
  <si>
    <t>area especifica</t>
  </si>
  <si>
    <t>m2/m3</t>
  </si>
  <si>
    <t>chute</t>
  </si>
  <si>
    <t>y1=</t>
  </si>
  <si>
    <t>mol/mol mistura</t>
  </si>
  <si>
    <t>Volume=</t>
  </si>
  <si>
    <t>m3</t>
  </si>
  <si>
    <t>ao aumentar o fator de absorção A = 1/S</t>
  </si>
  <si>
    <t>ao aumentar a área de contato</t>
  </si>
  <si>
    <t>x1=</t>
  </si>
  <si>
    <t>tal</t>
  </si>
  <si>
    <t>s</t>
  </si>
  <si>
    <t>-   aumenta a pureza do gás na saída (y1 diminui)</t>
  </si>
  <si>
    <t>R</t>
  </si>
  <si>
    <t>-  aumenta a pureza da agua na saída (x1 diminui), devido ao aumento da vazao</t>
  </si>
  <si>
    <t>-  diminui a pureza da agua na saída (x1 aumenta), aproveitando melhor o fluido absorvente.</t>
  </si>
  <si>
    <t>R_eq</t>
  </si>
  <si>
    <t>-   SR/S aumenta, mostrando que o sistema se afasta do equilíbrio. Isto ocorre</t>
  </si>
  <si>
    <t>a TM provoca perda de rendimento,</t>
  </si>
  <si>
    <t xml:space="preserve">   porque o tempo para o contato torna-se menor. </t>
  </si>
  <si>
    <t>ESTÁGIO COM TM ITERATIVO</t>
  </si>
  <si>
    <t>ESTÁGIO DE EQUILIBRIO ITERATIVO</t>
  </si>
  <si>
    <t>y1 guess</t>
  </si>
  <si>
    <t>•Balanço de massa em torno da fase auxiliar  para o componente :</t>
  </si>
  <si>
    <t>•Balanço de massa em torno da fase auxiliar para o componente transportado:</t>
  </si>
  <si>
    <t>bm</t>
  </si>
  <si>
    <t>◦Vy2+NA=Vy1</t>
  </si>
  <si>
    <t>NA</t>
  </si>
  <si>
    <t>N</t>
  </si>
  <si>
    <t>•Balanço de massa no estágio para o componente:</t>
  </si>
  <si>
    <t>◦Vy2+Lx0=Vy1+Lx1</t>
  </si>
  <si>
    <t>eq</t>
  </si>
  <si>
    <t>◦V(y2-y1)=L(x1-x0)</t>
  </si>
  <si>
    <t>dif</t>
  </si>
  <si>
    <t>•Taxa de TM unimolecular por difusão sem convecção</t>
  </si>
  <si>
    <t>•Correntes na saída em equilíbrio</t>
  </si>
  <si>
    <t xml:space="preserve">N=koV cV (Kx1 - y1) </t>
  </si>
  <si>
    <t>◦y1=K x1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</si>
</sst>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3" formatCode="_-* #,##0.00_-;\-* #,##0.00_-;_-* &quot;-&quot;??_-;_-@_-"/>
    <numFmt numFmtId="164" formatCode="0.0E+00"/>
    <numFmt numFmtId="165" formatCode="_-* #,##0_-;\-* #,##0_-;_-* &quot;-&quot;??_-;_-@_-"/>
    <numFmt numFmtId="166" formatCode="0E+00"/>
    <numFmt numFmtId="167" formatCode="#,##0.000"/>
    <numFmt numFmtId="168" formatCode="0.0000"/>
    <numFmt numFmtId="169" formatCode="0.0"/>
    <numFmt numFmtId="170" formatCode="0.000000"/>
    <numFmt numFmtId="171" formatCode="_-* #,##0.000_-;\-* #,##0.000_-;_-* &quot;-&quot;??_-;_-@_-"/>
    <numFmt numFmtId="172" formatCode="_-* #,##0.000000_-;\-* #,##0.000000_-;_-* &quot;-&quot;??_-;_-@_-"/>
    <numFmt numFmtId="173" formatCode="0.00000"/>
    <numFmt numFmtId="174" formatCode="_(* #,##0.00000_);_(* \(#,##0.00000\);_(* &quot;-&quot;??_);_(@_)"/>
    <numFmt numFmtId="175" formatCode="0.000E+00"/>
    <numFmt numFmtId="176" formatCode="_-* #,##0.0000_-;\-* #,##0.0000_-;_-* &quot;-&quot;??_-;_-@_-"/>
    <numFmt numFmtId="177" formatCode="_-* #,##0.0_-;\-* #,##0.0_-;_-* &quot;-&quot;??_-;_-@_-"/>
    <numFmt numFmtId="178" formatCode="_-* #,##0.00000_-;\-* #,##0.00000_-;_-* &quot;-&quot;??_-;_-@_-"/>
    <numFmt numFmtId="179" formatCode="_-* #,##0.00000_-;\-* #,##0.00000_-;_-* &quot;-&quot;???_-;_-@_-"/>
    <numFmt numFmtId="180" formatCode="_-* #,##0.000_-;\-* #,##0.000_-;_-* &quot;-&quot;?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i/>
      <sz val="11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name val="Calibri"/>
      <family val="2"/>
      <scheme val="minor"/>
    </font>
    <font>
      <i/>
      <sz val="11"/>
      <color theme="4" tint="-0.249977111117893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Alignment="1">
      <alignment vertical="top"/>
    </xf>
    <xf numFmtId="0" fontId="0" fillId="0" borderId="0" xfId="0" quotePrefix="1"/>
    <xf numFmtId="0" fontId="2" fillId="0" borderId="0" xfId="0" applyFont="1"/>
    <xf numFmtId="0" fontId="5" fillId="0" borderId="0" xfId="0" applyFont="1"/>
    <xf numFmtId="0" fontId="6" fillId="0" borderId="0" xfId="0" applyFont="1"/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/>
    <xf numFmtId="0" fontId="0" fillId="0" borderId="4" xfId="0" applyBorder="1"/>
    <xf numFmtId="0" fontId="0" fillId="0" borderId="0" xfId="0" applyAlignment="1">
      <alignment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/>
    </xf>
    <xf numFmtId="0" fontId="2" fillId="0" borderId="6" xfId="0" applyFont="1" applyBorder="1" applyAlignment="1">
      <alignment vertical="top" wrapText="1"/>
    </xf>
    <xf numFmtId="164" fontId="1" fillId="0" borderId="3" xfId="1" applyNumberFormat="1" applyBorder="1"/>
    <xf numFmtId="165" fontId="1" fillId="0" borderId="4" xfId="1" applyNumberFormat="1" applyBorder="1"/>
    <xf numFmtId="166" fontId="0" fillId="0" borderId="0" xfId="0" applyNumberFormat="1"/>
    <xf numFmtId="9" fontId="0" fillId="0" borderId="0" xfId="2" applyFont="1"/>
    <xf numFmtId="0" fontId="0" fillId="0" borderId="6" xfId="0" applyBorder="1" applyAlignment="1">
      <alignment vertical="top" wrapText="1"/>
    </xf>
    <xf numFmtId="165" fontId="0" fillId="0" borderId="4" xfId="1" applyNumberFormat="1" applyFont="1" applyBorder="1"/>
    <xf numFmtId="167" fontId="0" fillId="0" borderId="5" xfId="0" applyNumberFormat="1" applyBorder="1" applyAlignment="1">
      <alignment vertical="top" wrapText="1"/>
    </xf>
    <xf numFmtId="168" fontId="6" fillId="0" borderId="0" xfId="0" applyNumberFormat="1" applyFont="1"/>
    <xf numFmtId="164" fontId="7" fillId="0" borderId="3" xfId="1" applyNumberFormat="1" applyFont="1" applyBorder="1"/>
    <xf numFmtId="165" fontId="7" fillId="0" borderId="4" xfId="1" applyNumberFormat="1" applyFont="1" applyBorder="1"/>
    <xf numFmtId="169" fontId="6" fillId="0" borderId="0" xfId="0" applyNumberFormat="1" applyFont="1"/>
    <xf numFmtId="0" fontId="6" fillId="0" borderId="0" xfId="0" quotePrefix="1" applyFont="1"/>
    <xf numFmtId="170" fontId="6" fillId="0" borderId="0" xfId="0" applyNumberFormat="1" applyFont="1"/>
    <xf numFmtId="11" fontId="6" fillId="0" borderId="0" xfId="0" applyNumberFormat="1" applyFont="1"/>
    <xf numFmtId="11" fontId="0" fillId="0" borderId="0" xfId="0" applyNumberFormat="1"/>
    <xf numFmtId="0" fontId="6" fillId="0" borderId="0" xfId="0" quotePrefix="1" applyFont="1" applyAlignment="1">
      <alignment horizontal="right"/>
    </xf>
    <xf numFmtId="43" fontId="6" fillId="0" borderId="0" xfId="1" applyFont="1"/>
    <xf numFmtId="171" fontId="6" fillId="0" borderId="0" xfId="1" applyNumberFormat="1" applyFont="1"/>
    <xf numFmtId="172" fontId="6" fillId="0" borderId="0" xfId="1" applyNumberFormat="1" applyFont="1"/>
    <xf numFmtId="171" fontId="6" fillId="0" borderId="0" xfId="0" applyNumberFormat="1" applyFont="1"/>
    <xf numFmtId="11" fontId="9" fillId="0" borderId="0" xfId="0" applyNumberFormat="1" applyFont="1"/>
    <xf numFmtId="164" fontId="6" fillId="0" borderId="0" xfId="0" applyNumberFormat="1" applyFont="1"/>
    <xf numFmtId="43" fontId="9" fillId="0" borderId="0" xfId="1" applyFont="1"/>
    <xf numFmtId="11" fontId="5" fillId="0" borderId="0" xfId="0" applyNumberFormat="1" applyFont="1"/>
    <xf numFmtId="43" fontId="0" fillId="0" borderId="0" xfId="0" applyNumberFormat="1"/>
    <xf numFmtId="0" fontId="10" fillId="0" borderId="0" xfId="0" applyFont="1"/>
    <xf numFmtId="173" fontId="0" fillId="0" borderId="0" xfId="0" applyNumberFormat="1"/>
    <xf numFmtId="11" fontId="11" fillId="0" borderId="0" xfId="0" applyNumberFormat="1" applyFont="1"/>
    <xf numFmtId="173" fontId="11" fillId="0" borderId="0" xfId="0" applyNumberFormat="1" applyFont="1"/>
    <xf numFmtId="165" fontId="6" fillId="0" borderId="0" xfId="1" applyNumberFormat="1" applyFont="1"/>
    <xf numFmtId="171" fontId="0" fillId="0" borderId="0" xfId="0" applyNumberFormat="1"/>
    <xf numFmtId="174" fontId="6" fillId="0" borderId="0" xfId="0" applyNumberFormat="1" applyFont="1"/>
    <xf numFmtId="0" fontId="0" fillId="2" borderId="0" xfId="0" applyFill="1"/>
    <xf numFmtId="0" fontId="0" fillId="3" borderId="0" xfId="0" applyFill="1" applyAlignment="1">
      <alignment horizontal="right"/>
    </xf>
    <xf numFmtId="0" fontId="0" fillId="2" borderId="0" xfId="0" applyFill="1" applyAlignment="1">
      <alignment horizontal="right"/>
    </xf>
    <xf numFmtId="43" fontId="0" fillId="0" borderId="0" xfId="1" applyFont="1"/>
    <xf numFmtId="165" fontId="0" fillId="2" borderId="0" xfId="1" applyNumberFormat="1" applyFont="1" applyFill="1" applyAlignment="1">
      <alignment horizontal="right"/>
    </xf>
    <xf numFmtId="164" fontId="2" fillId="0" borderId="0" xfId="0" applyNumberFormat="1" applyFont="1"/>
    <xf numFmtId="164" fontId="0" fillId="0" borderId="0" xfId="0" applyNumberFormat="1"/>
    <xf numFmtId="43" fontId="12" fillId="0" borderId="0" xfId="1" applyFont="1"/>
    <xf numFmtId="43" fontId="13" fillId="0" borderId="0" xfId="1" applyFont="1"/>
    <xf numFmtId="1" fontId="12" fillId="0" borderId="0" xfId="0" applyNumberFormat="1" applyFont="1"/>
    <xf numFmtId="165" fontId="1" fillId="0" borderId="0" xfId="1" applyNumberFormat="1"/>
    <xf numFmtId="165" fontId="2" fillId="0" borderId="0" xfId="1" applyNumberFormat="1" applyFont="1"/>
    <xf numFmtId="175" fontId="0" fillId="0" borderId="0" xfId="0" applyNumberFormat="1"/>
    <xf numFmtId="176" fontId="0" fillId="0" borderId="0" xfId="0" applyNumberFormat="1"/>
    <xf numFmtId="2" fontId="0" fillId="0" borderId="0" xfId="0" applyNumberFormat="1"/>
    <xf numFmtId="177" fontId="0" fillId="0" borderId="0" xfId="1" applyNumberFormat="1" applyFont="1"/>
    <xf numFmtId="177" fontId="12" fillId="0" borderId="0" xfId="1" applyNumberFormat="1" applyFont="1"/>
    <xf numFmtId="2" fontId="2" fillId="0" borderId="0" xfId="0" applyNumberFormat="1" applyFont="1"/>
    <xf numFmtId="177" fontId="7" fillId="0" borderId="0" xfId="1" applyNumberFormat="1" applyFont="1"/>
    <xf numFmtId="0" fontId="12" fillId="0" borderId="0" xfId="0" applyFont="1"/>
    <xf numFmtId="43" fontId="0" fillId="0" borderId="0" xfId="0" quotePrefix="1" applyNumberFormat="1"/>
    <xf numFmtId="165" fontId="0" fillId="0" borderId="0" xfId="1" applyNumberFormat="1" applyFont="1"/>
    <xf numFmtId="43" fontId="0" fillId="0" borderId="0" xfId="1" quotePrefix="1" applyFont="1"/>
    <xf numFmtId="43" fontId="2" fillId="0" borderId="0" xfId="0" applyNumberFormat="1" applyFont="1"/>
    <xf numFmtId="165" fontId="0" fillId="0" borderId="0" xfId="0" applyNumberFormat="1"/>
    <xf numFmtId="178" fontId="0" fillId="0" borderId="0" xfId="0" applyNumberFormat="1"/>
    <xf numFmtId="176" fontId="2" fillId="0" borderId="0" xfId="0" applyNumberFormat="1" applyFont="1"/>
    <xf numFmtId="179" fontId="0" fillId="0" borderId="0" xfId="0" applyNumberFormat="1"/>
    <xf numFmtId="180" fontId="0" fillId="0" borderId="0" xfId="0" applyNumberFormat="1"/>
    <xf numFmtId="0" fontId="0" fillId="4" borderId="0" xfId="0" applyFill="1"/>
    <xf numFmtId="11" fontId="0" fillId="0" borderId="0" xfId="0" applyNumberFormat="1" applyAlignment="1">
      <alignment horizontal="left"/>
    </xf>
    <xf numFmtId="177" fontId="2" fillId="0" borderId="0" xfId="1" applyNumberFormat="1" applyFont="1"/>
    <xf numFmtId="177" fontId="7" fillId="0" borderId="0" xfId="0" applyNumberFormat="1" applyFont="1"/>
    <xf numFmtId="177" fontId="0" fillId="0" borderId="0" xfId="0" applyNumberFormat="1"/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1"/>
          <c:tx>
            <c:strRef>
              <c:f>'TM3.1aTM3.3 aula'!$M$85</c:f>
              <c:strCache>
                <c:ptCount val="1"/>
                <c:pt idx="0">
                  <c:v>y1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'TM3.1aTM3.3 aula'!$N$88:$T$88</c:f>
              <c:numCache>
                <c:formatCode>_(* #,##0.00_);_(* \(#,##0.00\);_(* "-"??_);_(@_)</c:formatCode>
                <c:ptCount val="7"/>
                <c:pt idx="0">
                  <c:v>3.5999712002303985</c:v>
                </c:pt>
                <c:pt idx="1">
                  <c:v>1.4399884800921594</c:v>
                </c:pt>
                <c:pt idx="2">
                  <c:v>0.5759953920368639</c:v>
                </c:pt>
                <c:pt idx="3">
                  <c:v>0.23039815681474554</c:v>
                </c:pt>
                <c:pt idx="4">
                  <c:v>9.2159262725898236E-2</c:v>
                </c:pt>
                <c:pt idx="5">
                  <c:v>3.6863705090359293E-2</c:v>
                </c:pt>
              </c:numCache>
            </c:numRef>
          </c:xVal>
          <c:yVal>
            <c:numRef>
              <c:f>'TM3.1aTM3.3 aula'!$N$85:$T$85</c:f>
              <c:numCache>
                <c:formatCode>_-* #,##0.0000_-;\-* #,##0.0000_-;_-* "-"??_-;_-@_-</c:formatCode>
                <c:ptCount val="7"/>
                <c:pt idx="0">
                  <c:v>2.8762177980975116E-3</c:v>
                </c:pt>
                <c:pt idx="1">
                  <c:v>4.5067582508032571E-3</c:v>
                </c:pt>
                <c:pt idx="2">
                  <c:v>6.5060542907962263E-3</c:v>
                </c:pt>
                <c:pt idx="3">
                  <c:v>8.1706027122635094E-3</c:v>
                </c:pt>
                <c:pt idx="4">
                  <c:v>9.1650489454706812E-3</c:v>
                </c:pt>
                <c:pt idx="5">
                  <c:v>9.6460543068009365E-3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FB6-4D84-B610-8D52313C29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7179552"/>
        <c:axId val="337185536"/>
      </c:scatterChart>
      <c:scatterChart>
        <c:scatterStyle val="lineMarker"/>
        <c:varyColors val="0"/>
        <c:ser>
          <c:idx val="0"/>
          <c:order val="0"/>
          <c:tx>
            <c:strRef>
              <c:f>'TM3.1aTM3.3 aula'!$M$86</c:f>
              <c:strCache>
                <c:ptCount val="1"/>
                <c:pt idx="0">
                  <c:v>x1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'TM3.1aTM3.3 aula'!$N$88:$T$88</c:f>
              <c:numCache>
                <c:formatCode>_(* #,##0.00_);_(* \(#,##0.00\);_(* "-"??_);_(@_)</c:formatCode>
                <c:ptCount val="7"/>
                <c:pt idx="0">
                  <c:v>3.5999712002303985</c:v>
                </c:pt>
                <c:pt idx="1">
                  <c:v>1.4399884800921594</c:v>
                </c:pt>
                <c:pt idx="2">
                  <c:v>0.5759953920368639</c:v>
                </c:pt>
                <c:pt idx="3">
                  <c:v>0.23039815681474554</c:v>
                </c:pt>
                <c:pt idx="4">
                  <c:v>9.2159262725898236E-2</c:v>
                </c:pt>
                <c:pt idx="5">
                  <c:v>3.6863705090359293E-2</c:v>
                </c:pt>
              </c:numCache>
            </c:numRef>
          </c:xVal>
          <c:yVal>
            <c:numRef>
              <c:f>'TM3.1aTM3.3 aula'!$N$86:$T$86</c:f>
              <c:numCache>
                <c:formatCode>0.0E+00</c:formatCode>
                <c:ptCount val="7"/>
                <c:pt idx="0">
                  <c:v>3.5618911009512443E-6</c:v>
                </c:pt>
                <c:pt idx="1">
                  <c:v>6.8665521864959289E-6</c:v>
                </c:pt>
                <c:pt idx="2">
                  <c:v>1.0918580341261791E-5</c:v>
                </c:pt>
                <c:pt idx="3">
                  <c:v>1.4292166310441331E-5</c:v>
                </c:pt>
                <c:pt idx="4">
                  <c:v>1.6307637783775755E-5</c:v>
                </c:pt>
                <c:pt idx="5">
                  <c:v>1.7282504550735527E-5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FB6-4D84-B610-8D52313C29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7196416"/>
        <c:axId val="337192064"/>
      </c:scatterChart>
      <c:valAx>
        <c:axId val="3371795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A=1/S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37185536"/>
        <c:crosses val="autoZero"/>
        <c:crossBetween val="midCat"/>
      </c:valAx>
      <c:valAx>
        <c:axId val="337185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_-* #,##0.0000_-;\-* #,##0.0000_-;_-* &quot;-&quot;??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37179552"/>
        <c:crosses val="autoZero"/>
        <c:crossBetween val="midCat"/>
      </c:valAx>
      <c:valAx>
        <c:axId val="33719206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E+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37196416"/>
        <c:crosses val="max"/>
        <c:crossBetween val="midCat"/>
      </c:valAx>
      <c:valAx>
        <c:axId val="337196416"/>
        <c:scaling>
          <c:orientation val="minMax"/>
        </c:scaling>
        <c:delete val="1"/>
        <c:axPos val="b"/>
        <c:numFmt formatCode="_(* #,##0.00_);_(* \(#,##0.00\);_(* &quot;-&quot;??_);_(@_)" sourceLinked="1"/>
        <c:majorTickMark val="out"/>
        <c:minorTickMark val="none"/>
        <c:tickLblPos val="none"/>
        <c:crossAx val="3371920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125" footer="0.3149606200000012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1"/>
          <c:tx>
            <c:strRef>
              <c:f>'TM3.1aTM3.3 aula'!$AB$85</c:f>
              <c:strCache>
                <c:ptCount val="1"/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'TM3.1aTM3.3 aula'!$U$77:$AA$77</c:f>
              <c:numCache>
                <c:formatCode>_(* #,##0.00_);_(* \(#,##0.00\);_(* "-"??_);_(@_)</c:formatCode>
                <c:ptCount val="7"/>
                <c:pt idx="0">
                  <c:v>0.2</c:v>
                </c:pt>
                <c:pt idx="1">
                  <c:v>0.44000000000000006</c:v>
                </c:pt>
                <c:pt idx="2">
                  <c:v>0.96800000000000019</c:v>
                </c:pt>
                <c:pt idx="3">
                  <c:v>2.1296000000000004</c:v>
                </c:pt>
                <c:pt idx="4">
                  <c:v>4.6851200000000013</c:v>
                </c:pt>
                <c:pt idx="5">
                  <c:v>10.307264000000004</c:v>
                </c:pt>
              </c:numCache>
            </c:numRef>
          </c:xVal>
          <c:yVal>
            <c:numRef>
              <c:f>'TM3.1aTM3.3 aula'!$U$85:$AA$85</c:f>
              <c:numCache>
                <c:formatCode>_-* #,##0.0000_-;\-* #,##0.0000_-;_-* "-"??_-;_-@_-</c:formatCode>
                <c:ptCount val="7"/>
                <c:pt idx="0">
                  <c:v>6.059062037976768E-3</c:v>
                </c:pt>
                <c:pt idx="1">
                  <c:v>4.5956608467763831E-3</c:v>
                </c:pt>
                <c:pt idx="2">
                  <c:v>3.4982434852375024E-3</c:v>
                </c:pt>
                <c:pt idx="3">
                  <c:v>2.8371004773851678E-3</c:v>
                </c:pt>
                <c:pt idx="4">
                  <c:v>2.4899775813997703E-3</c:v>
                </c:pt>
                <c:pt idx="5">
                  <c:v>2.3208219511406439E-3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FA5-4421-B94B-088F55AF95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7193152"/>
        <c:axId val="337189344"/>
      </c:scatterChart>
      <c:scatterChart>
        <c:scatterStyle val="lineMarker"/>
        <c:varyColors val="0"/>
        <c:ser>
          <c:idx val="0"/>
          <c:order val="0"/>
          <c:tx>
            <c:strRef>
              <c:f>'TM3.1aTM3.3 aula'!$AB$86</c:f>
              <c:strCache>
                <c:ptCount val="1"/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'TM3.1aTM3.3 aula'!$U$77:$AA$77</c:f>
              <c:numCache>
                <c:formatCode>_(* #,##0.00_);_(* \(#,##0.00\);_(* "-"??_);_(@_)</c:formatCode>
                <c:ptCount val="7"/>
                <c:pt idx="0">
                  <c:v>0.2</c:v>
                </c:pt>
                <c:pt idx="1">
                  <c:v>0.44000000000000006</c:v>
                </c:pt>
                <c:pt idx="2">
                  <c:v>0.96800000000000019</c:v>
                </c:pt>
                <c:pt idx="3">
                  <c:v>2.1296000000000004</c:v>
                </c:pt>
                <c:pt idx="4">
                  <c:v>4.6851200000000013</c:v>
                </c:pt>
                <c:pt idx="5">
                  <c:v>10.307264000000004</c:v>
                </c:pt>
              </c:numCache>
            </c:numRef>
          </c:xVal>
          <c:yVal>
            <c:numRef>
              <c:f>'TM3.1aTM3.3 aula'!$U$86:$AA$86</c:f>
              <c:numCache>
                <c:formatCode>0.0E+00</c:formatCode>
                <c:ptCount val="7"/>
                <c:pt idx="0">
                  <c:v>1.9704689810116163E-6</c:v>
                </c:pt>
                <c:pt idx="1">
                  <c:v>2.7021695766118088E-6</c:v>
                </c:pt>
                <c:pt idx="2">
                  <c:v>3.250878257381249E-6</c:v>
                </c:pt>
                <c:pt idx="3">
                  <c:v>3.5814497613074159E-6</c:v>
                </c:pt>
                <c:pt idx="4">
                  <c:v>3.7550112093001152E-6</c:v>
                </c:pt>
                <c:pt idx="5">
                  <c:v>3.8395890244296783E-6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FA5-4421-B94B-088F55AF95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7189888"/>
        <c:axId val="337177920"/>
      </c:scatterChart>
      <c:valAx>
        <c:axId val="3371931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 m2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37189344"/>
        <c:crosses val="autoZero"/>
        <c:crossBetween val="midCat"/>
      </c:valAx>
      <c:valAx>
        <c:axId val="33718934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_-* #,##0.0000_-;\-* #,##0.0000_-;_-* &quot;-&quot;??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37193152"/>
        <c:crosses val="autoZero"/>
        <c:crossBetween val="midCat"/>
      </c:valAx>
      <c:valAx>
        <c:axId val="337177920"/>
        <c:scaling>
          <c:orientation val="minMax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E+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37189888"/>
        <c:crosses val="max"/>
        <c:crossBetween val="midCat"/>
      </c:valAx>
      <c:valAx>
        <c:axId val="337189888"/>
        <c:scaling>
          <c:orientation val="minMax"/>
        </c:scaling>
        <c:delete val="1"/>
        <c:axPos val="b"/>
        <c:numFmt formatCode="_(* #,##0.00_);_(* \(#,##0.00\);_(* &quot;-&quot;??_);_(@_)" sourceLinked="1"/>
        <c:majorTickMark val="out"/>
        <c:minorTickMark val="none"/>
        <c:tickLblPos val="none"/>
        <c:crossAx val="3371779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125" footer="0.3149606200000012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tx>
            <c:strRef>
              <c:f>'TM3.1aTM3.3 aula'!$L$87</c:f>
              <c:strCache>
                <c:ptCount val="1"/>
                <c:pt idx="0">
                  <c:v>SR/S=(y1/x1)/K=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'TM3.1aTM3.3 aula'!$N$88:$S$88</c:f>
              <c:numCache>
                <c:formatCode>_(* #,##0.00_);_(* \(#,##0.00\);_(* "-"??_);_(@_)</c:formatCode>
                <c:ptCount val="6"/>
                <c:pt idx="0">
                  <c:v>3.5999712002303985</c:v>
                </c:pt>
                <c:pt idx="1">
                  <c:v>1.4399884800921594</c:v>
                </c:pt>
                <c:pt idx="2">
                  <c:v>0.5759953920368639</c:v>
                </c:pt>
                <c:pt idx="3">
                  <c:v>0.23039815681474554</c:v>
                </c:pt>
                <c:pt idx="4">
                  <c:v>9.2159262725898236E-2</c:v>
                </c:pt>
                <c:pt idx="5">
                  <c:v>3.6863705090359293E-2</c:v>
                </c:pt>
              </c:numCache>
            </c:numRef>
          </c:xVal>
          <c:yVal>
            <c:numRef>
              <c:f>'TM3.1aTM3.3 aula'!$N$87:$S$87</c:f>
              <c:numCache>
                <c:formatCode>0.00</c:formatCode>
                <c:ptCount val="6"/>
                <c:pt idx="0">
                  <c:v>1.4534836896018377</c:v>
                </c:pt>
                <c:pt idx="1">
                  <c:v>1.1813934758407354</c:v>
                </c:pt>
                <c:pt idx="2">
                  <c:v>1.0725573903362944</c:v>
                </c:pt>
                <c:pt idx="3">
                  <c:v>1.0290229561345181</c:v>
                </c:pt>
                <c:pt idx="4">
                  <c:v>1.0116091824538078</c:v>
                </c:pt>
                <c:pt idx="5">
                  <c:v>1.0046436729815265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9A8-4F3C-88BD-B48964733A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6340496"/>
        <c:axId val="346339408"/>
      </c:scatterChart>
      <c:valAx>
        <c:axId val="346340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 =1/S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46339408"/>
        <c:crosses val="autoZero"/>
        <c:crossBetween val="midCat"/>
      </c:valAx>
      <c:valAx>
        <c:axId val="346339408"/>
        <c:scaling>
          <c:orientation val="minMax"/>
          <c:max val="2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(y1/x1) / 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463404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/>
              <a:t>y=kX e ponto de operação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854909364626908"/>
          <c:y val="0.22347783848228886"/>
          <c:w val="0.6813167828975033"/>
          <c:h val="0.45680882231609293"/>
        </c:manualLayout>
      </c:layout>
      <c:scatterChart>
        <c:scatterStyle val="lineMarker"/>
        <c:varyColors val="0"/>
        <c:ser>
          <c:idx val="0"/>
          <c:order val="0"/>
          <c:tx>
            <c:strRef>
              <c:f>'TM3.1aTM3.3 aula'!$L$60</c:f>
              <c:strCache>
                <c:ptCount val="1"/>
                <c:pt idx="0">
                  <c:v>y=Kx</c:v>
                </c:pt>
              </c:strCache>
            </c:strRef>
          </c:tx>
          <c:marker>
            <c:symbol val="none"/>
          </c:marker>
          <c:xVal>
            <c:numRef>
              <c:f>'TM3.1aTM3.3 aula'!$M$59:$M$60</c:f>
              <c:numCache>
                <c:formatCode>0.00E+00</c:formatCode>
                <c:ptCount val="2"/>
                <c:pt idx="0" formatCode="General">
                  <c:v>0</c:v>
                </c:pt>
                <c:pt idx="1">
                  <c:v>1.8E-5</c:v>
                </c:pt>
              </c:numCache>
            </c:numRef>
          </c:xVal>
          <c:yVal>
            <c:numRef>
              <c:f>'TM3.1aTM3.3 aula'!$N$59:$N$60</c:f>
              <c:numCache>
                <c:formatCode>0.00E+00</c:formatCode>
                <c:ptCount val="2"/>
                <c:pt idx="0" formatCode="General">
                  <c:v>0</c:v>
                </c:pt>
                <c:pt idx="1">
                  <c:v>0.01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357-40BA-A067-5242A154161D}"/>
            </c:ext>
          </c:extLst>
        </c:ser>
        <c:ser>
          <c:idx val="2"/>
          <c:order val="1"/>
          <c:tx>
            <c:strRef>
              <c:f>'TM3.1aTM3.3 aula'!$L$61:$L$62</c:f>
              <c:strCache>
                <c:ptCount val="2"/>
                <c:pt idx="0">
                  <c:v>M</c:v>
                </c:pt>
                <c:pt idx="1">
                  <c:v>P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'TM3.1aTM3.3 aula'!$M$61:$M$62</c:f>
              <c:numCache>
                <c:formatCode>0.00E+00</c:formatCode>
                <c:ptCount val="2"/>
                <c:pt idx="0">
                  <c:v>1.786567213407134E-5</c:v>
                </c:pt>
                <c:pt idx="1">
                  <c:v>0</c:v>
                </c:pt>
              </c:numCache>
            </c:numRef>
          </c:xVal>
          <c:yVal>
            <c:numRef>
              <c:f>'TM3.1aTM3.3 aula'!$N$61:$N$62</c:f>
              <c:numCache>
                <c:formatCode>0.00000</c:formatCode>
                <c:ptCount val="2"/>
                <c:pt idx="0">
                  <c:v>9.9253734078174078E-3</c:v>
                </c:pt>
                <c:pt idx="1">
                  <c:v>0.01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357-40BA-A067-5242A154161D}"/>
            </c:ext>
          </c:extLst>
        </c:ser>
        <c:ser>
          <c:idx val="1"/>
          <c:order val="2"/>
          <c:tx>
            <c:strRef>
              <c:f>'TM3.1aTM3.3 aula'!$L$63:$L$65</c:f>
              <c:strCache>
                <c:ptCount val="3"/>
                <c:pt idx="0">
                  <c:v>E</c:v>
                </c:pt>
                <c:pt idx="1">
                  <c:v>P</c:v>
                </c:pt>
                <c:pt idx="2">
                  <c:v>D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'TM3.1aTM3.3 aula'!$M$63:$M$65</c:f>
              <c:numCache>
                <c:formatCode>0.00E+00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1.8E-5</c:v>
                </c:pt>
              </c:numCache>
            </c:numRef>
          </c:xVal>
          <c:yVal>
            <c:numRef>
              <c:f>'TM3.1aTM3.3 aula'!$N$63:$N$65</c:f>
              <c:numCache>
                <c:formatCode>_-* #,##0.000_-;\-* #,##0.000_-;_-* "-"??_-;_-@_-</c:formatCode>
                <c:ptCount val="3"/>
                <c:pt idx="0" formatCode="0.00E+00">
                  <c:v>0</c:v>
                </c:pt>
                <c:pt idx="1">
                  <c:v>0.01</c:v>
                </c:pt>
                <c:pt idx="2" formatCode="0.00000">
                  <c:v>0.01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357-40BA-A067-5242A1541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6356272"/>
        <c:axId val="346343760"/>
      </c:scatterChart>
      <c:valAx>
        <c:axId val="346356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46343760"/>
        <c:crosses val="autoZero"/>
        <c:crossBetween val="midCat"/>
      </c:valAx>
      <c:valAx>
        <c:axId val="346343760"/>
        <c:scaling>
          <c:orientation val="minMax"/>
          <c:max val="1.0000000000000002E-2"/>
          <c:min val="9.5000000000000032E-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46356272"/>
        <c:crosses val="autoZero"/>
        <c:crossBetween val="midCat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/>
              <a:t>y=kX e ponto de operação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854909364626908"/>
          <c:y val="0.22347783848228886"/>
          <c:w val="0.6813167828975033"/>
          <c:h val="0.45680882231609293"/>
        </c:manualLayout>
      </c:layout>
      <c:scatterChart>
        <c:scatterStyle val="lineMarker"/>
        <c:varyColors val="0"/>
        <c:ser>
          <c:idx val="0"/>
          <c:order val="0"/>
          <c:tx>
            <c:strRef>
              <c:f>'TM3.1aTM3.3 aula'!$L$60</c:f>
              <c:strCache>
                <c:ptCount val="1"/>
                <c:pt idx="0">
                  <c:v>y=Kx</c:v>
                </c:pt>
              </c:strCache>
            </c:strRef>
          </c:tx>
          <c:marker>
            <c:symbol val="none"/>
          </c:marker>
          <c:xVal>
            <c:numRef>
              <c:f>'TM3.1aTM3.3 aula'!$M$59:$M$60</c:f>
              <c:numCache>
                <c:formatCode>0.00E+00</c:formatCode>
                <c:ptCount val="2"/>
                <c:pt idx="0" formatCode="General">
                  <c:v>0</c:v>
                </c:pt>
                <c:pt idx="1">
                  <c:v>1.8E-5</c:v>
                </c:pt>
              </c:numCache>
            </c:numRef>
          </c:xVal>
          <c:yVal>
            <c:numRef>
              <c:f>'TM3.1aTM3.3 aula'!$N$59:$N$60</c:f>
              <c:numCache>
                <c:formatCode>0.00E+00</c:formatCode>
                <c:ptCount val="2"/>
                <c:pt idx="0" formatCode="General">
                  <c:v>0</c:v>
                </c:pt>
                <c:pt idx="1">
                  <c:v>0.01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3E-45AA-B145-C5FADE7F30BA}"/>
            </c:ext>
          </c:extLst>
        </c:ser>
        <c:ser>
          <c:idx val="2"/>
          <c:order val="1"/>
          <c:tx>
            <c:strRef>
              <c:f>'TM3.1aTM3.3 aula'!$L$61:$L$62</c:f>
              <c:strCache>
                <c:ptCount val="2"/>
                <c:pt idx="0">
                  <c:v>M</c:v>
                </c:pt>
                <c:pt idx="1">
                  <c:v>P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'TM3.1aTM3.3 aula'!$M$61:$M$62</c:f>
              <c:numCache>
                <c:formatCode>0.00E+00</c:formatCode>
                <c:ptCount val="2"/>
                <c:pt idx="0">
                  <c:v>1.786567213407134E-5</c:v>
                </c:pt>
                <c:pt idx="1">
                  <c:v>0</c:v>
                </c:pt>
              </c:numCache>
            </c:numRef>
          </c:xVal>
          <c:yVal>
            <c:numRef>
              <c:f>'TM3.1aTM3.3 aula'!$N$61:$N$62</c:f>
              <c:numCache>
                <c:formatCode>0.00000</c:formatCode>
                <c:ptCount val="2"/>
                <c:pt idx="0">
                  <c:v>9.9253734078174078E-3</c:v>
                </c:pt>
                <c:pt idx="1">
                  <c:v>0.01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C3E-45AA-B145-C5FADE7F30BA}"/>
            </c:ext>
          </c:extLst>
        </c:ser>
        <c:ser>
          <c:idx val="1"/>
          <c:order val="2"/>
          <c:tx>
            <c:strRef>
              <c:f>'TM3.1aTM3.3 aula'!$L$63:$L$65</c:f>
              <c:strCache>
                <c:ptCount val="3"/>
                <c:pt idx="0">
                  <c:v>E</c:v>
                </c:pt>
                <c:pt idx="1">
                  <c:v>P</c:v>
                </c:pt>
                <c:pt idx="2">
                  <c:v>D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'TM3.1aTM3.3 aula'!$M$63:$M$65</c:f>
              <c:numCache>
                <c:formatCode>0.00E+00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1.8E-5</c:v>
                </c:pt>
              </c:numCache>
            </c:numRef>
          </c:xVal>
          <c:yVal>
            <c:numRef>
              <c:f>'TM3.1aTM3.3 aula'!$N$63:$N$65</c:f>
              <c:numCache>
                <c:formatCode>_-* #,##0.000_-;\-* #,##0.000_-;_-* "-"??_-;_-@_-</c:formatCode>
                <c:ptCount val="3"/>
                <c:pt idx="0" formatCode="0.00E+00">
                  <c:v>0</c:v>
                </c:pt>
                <c:pt idx="1">
                  <c:v>0.01</c:v>
                </c:pt>
                <c:pt idx="2" formatCode="0.00000">
                  <c:v>0.01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C3E-45AA-B145-C5FADE7F30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6356272"/>
        <c:axId val="346343760"/>
      </c:scatterChart>
      <c:valAx>
        <c:axId val="346356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46343760"/>
        <c:crosses val="autoZero"/>
        <c:crossBetween val="midCat"/>
      </c:valAx>
      <c:valAx>
        <c:axId val="346343760"/>
        <c:scaling>
          <c:orientation val="minMax"/>
          <c:max val="1.0000000000000002E-2"/>
          <c:min val="9.9000000000000025E-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46356272"/>
        <c:crosses val="autoZero"/>
        <c:crossBetween val="midCat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'TM3.1aTM3.3 aula'!$K$7:$K$12</c:f>
              <c:numCache>
                <c:formatCode>General</c:formatCode>
                <c:ptCount val="6"/>
                <c:pt idx="0">
                  <c:v>0.14299999999999999</c:v>
                </c:pt>
                <c:pt idx="1">
                  <c:v>0.56799999999999995</c:v>
                </c:pt>
                <c:pt idx="2" formatCode="#,##0.000">
                  <c:v>1.278</c:v>
                </c:pt>
                <c:pt idx="3" formatCode="#,##0.000">
                  <c:v>2.3719999999999999</c:v>
                </c:pt>
                <c:pt idx="4" formatCode="#,##0.000">
                  <c:v>3.5710000000000002</c:v>
                </c:pt>
                <c:pt idx="5" formatCode="#,##0.000">
                  <c:v>5.1420000000000003</c:v>
                </c:pt>
              </c:numCache>
            </c:numRef>
          </c:xVal>
          <c:yVal>
            <c:numRef>
              <c:f>'TM3.1aTM3.3 aula'!$N$7:$N$12</c:f>
              <c:numCache>
                <c:formatCode>_-* #,##0_-;\-* #,##0_-;_-* "-"??_-;_-@_-</c:formatCode>
                <c:ptCount val="6"/>
                <c:pt idx="0">
                  <c:v>197.92033717615701</c:v>
                </c:pt>
                <c:pt idx="1">
                  <c:v>98.960168588078503</c:v>
                </c:pt>
                <c:pt idx="2">
                  <c:v>69.854236650408382</c:v>
                </c:pt>
                <c:pt idx="3">
                  <c:v>48.273252969794385</c:v>
                </c:pt>
                <c:pt idx="4">
                  <c:v>41.233403578366044</c:v>
                </c:pt>
                <c:pt idx="5">
                  <c:v>33.929200658769773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86D-414A-AD82-4785E6FA9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4917647"/>
        <c:axId val="1284905583"/>
      </c:scatterChart>
      <c:valAx>
        <c:axId val="12849176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vazão do jato (cm3/s)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84905583"/>
        <c:crosses val="autoZero"/>
        <c:crossBetween val="midCat"/>
      </c:valAx>
      <c:valAx>
        <c:axId val="12849055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espessura da camada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8491764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2.png"/><Relationship Id="rId3" Type="http://schemas.openxmlformats.org/officeDocument/2006/relationships/chart" Target="../charts/chart3.xml"/><Relationship Id="rId7" Type="http://schemas.openxmlformats.org/officeDocument/2006/relationships/customXml" Target="../ink/ink1.xml"/><Relationship Id="rId12" Type="http://schemas.openxmlformats.org/officeDocument/2006/relationships/customXml" Target="../ink/ink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11" Type="http://schemas.openxmlformats.org/officeDocument/2006/relationships/image" Target="../media/image11.png"/><Relationship Id="rId5" Type="http://schemas.openxmlformats.org/officeDocument/2006/relationships/chart" Target="../charts/chart4.xml"/><Relationship Id="rId10" Type="http://schemas.openxmlformats.org/officeDocument/2006/relationships/customXml" Target="../ink/ink2.xml"/><Relationship Id="rId4" Type="http://schemas.openxmlformats.org/officeDocument/2006/relationships/image" Target="../media/image8.emf"/><Relationship Id="rId9" Type="http://schemas.openxmlformats.org/officeDocument/2006/relationships/image" Target="../media/image10.png"/><Relationship Id="rId14" Type="http://schemas.openxmlformats.org/officeDocument/2006/relationships/chart" Target="../charts/chart6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129868</xdr:colOff>
      <xdr:row>88</xdr:row>
      <xdr:rowOff>27696</xdr:rowOff>
    </xdr:from>
    <xdr:to>
      <xdr:col>16</xdr:col>
      <xdr:colOff>106680</xdr:colOff>
      <xdr:row>99</xdr:row>
      <xdr:rowOff>145076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390525</xdr:colOff>
      <xdr:row>88</xdr:row>
      <xdr:rowOff>50482</xdr:rowOff>
    </xdr:from>
    <xdr:to>
      <xdr:col>26</xdr:col>
      <xdr:colOff>304800</xdr:colOff>
      <xdr:row>99</xdr:row>
      <xdr:rowOff>171449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29584</xdr:colOff>
      <xdr:row>88</xdr:row>
      <xdr:rowOff>47345</xdr:rowOff>
    </xdr:from>
    <xdr:to>
      <xdr:col>19</xdr:col>
      <xdr:colOff>812602</xdr:colOff>
      <xdr:row>99</xdr:row>
      <xdr:rowOff>164726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6</xdr:col>
      <xdr:colOff>47625</xdr:colOff>
      <xdr:row>94</xdr:row>
      <xdr:rowOff>180975</xdr:rowOff>
    </xdr:from>
    <xdr:to>
      <xdr:col>7</xdr:col>
      <xdr:colOff>200025</xdr:colOff>
      <xdr:row>98</xdr:row>
      <xdr:rowOff>47625</xdr:rowOff>
    </xdr:to>
    <xdr:pic>
      <xdr:nvPicPr>
        <xdr:cNvPr id="5" name="Picture 3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7285" y="20747355"/>
          <a:ext cx="975360" cy="59817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0</xdr:rowOff>
        </xdr:from>
        <xdr:to>
          <xdr:col>3</xdr:col>
          <xdr:colOff>638175</xdr:colOff>
          <xdr:row>9</xdr:row>
          <xdr:rowOff>152400</xdr:rowOff>
        </xdr:to>
        <xdr:sp macro="" textlink="">
          <xdr:nvSpPr>
            <xdr:cNvPr id="1025" name="Object 26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7</xdr:row>
          <xdr:rowOff>76200</xdr:rowOff>
        </xdr:from>
        <xdr:to>
          <xdr:col>4</xdr:col>
          <xdr:colOff>781050</xdr:colOff>
          <xdr:row>10</xdr:row>
          <xdr:rowOff>9525</xdr:rowOff>
        </xdr:to>
        <xdr:sp macro="" textlink="">
          <xdr:nvSpPr>
            <xdr:cNvPr id="1026" name="Object 27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38</xdr:row>
          <xdr:rowOff>9525</xdr:rowOff>
        </xdr:from>
        <xdr:to>
          <xdr:col>4</xdr:col>
          <xdr:colOff>742950</xdr:colOff>
          <xdr:row>39</xdr:row>
          <xdr:rowOff>95250</xdr:rowOff>
        </xdr:to>
        <xdr:sp macro="" textlink="">
          <xdr:nvSpPr>
            <xdr:cNvPr id="1027" name="Object 30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49</xdr:row>
          <xdr:rowOff>28575</xdr:rowOff>
        </xdr:from>
        <xdr:to>
          <xdr:col>4</xdr:col>
          <xdr:colOff>571500</xdr:colOff>
          <xdr:row>51</xdr:row>
          <xdr:rowOff>152400</xdr:rowOff>
        </xdr:to>
        <xdr:sp macro="" textlink="">
          <xdr:nvSpPr>
            <xdr:cNvPr id="1028" name="Object 31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390525</xdr:colOff>
          <xdr:row>49</xdr:row>
          <xdr:rowOff>66675</xdr:rowOff>
        </xdr:from>
        <xdr:to>
          <xdr:col>6</xdr:col>
          <xdr:colOff>609600</xdr:colOff>
          <xdr:row>50</xdr:row>
          <xdr:rowOff>123825</xdr:rowOff>
        </xdr:to>
        <xdr:sp macro="" textlink="">
          <xdr:nvSpPr>
            <xdr:cNvPr id="1029" name="Object 32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49</xdr:row>
          <xdr:rowOff>38100</xdr:rowOff>
        </xdr:from>
        <xdr:to>
          <xdr:col>3</xdr:col>
          <xdr:colOff>38100</xdr:colOff>
          <xdr:row>52</xdr:row>
          <xdr:rowOff>66675</xdr:rowOff>
        </xdr:to>
        <xdr:sp macro="" textlink="">
          <xdr:nvSpPr>
            <xdr:cNvPr id="1030" name="Object 33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90</xdr:row>
          <xdr:rowOff>85725</xdr:rowOff>
        </xdr:from>
        <xdr:to>
          <xdr:col>5</xdr:col>
          <xdr:colOff>228600</xdr:colOff>
          <xdr:row>94</xdr:row>
          <xdr:rowOff>152400</xdr:rowOff>
        </xdr:to>
        <xdr:sp macro="" textlink="">
          <xdr:nvSpPr>
            <xdr:cNvPr id="1031" name="Object 34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7</xdr:col>
      <xdr:colOff>604520</xdr:colOff>
      <xdr:row>57</xdr:row>
      <xdr:rowOff>171450</xdr:rowOff>
    </xdr:from>
    <xdr:to>
      <xdr:col>10</xdr:col>
      <xdr:colOff>57149</xdr:colOff>
      <xdr:row>59</xdr:row>
      <xdr:rowOff>92765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Object 21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SpPr txBox="1"/>
          </xdr:nvSpPr>
          <xdr:spPr bwMode="auto">
            <a:xfrm>
              <a:off x="6327140" y="13216890"/>
              <a:ext cx="1708149" cy="287075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wrap="square">
              <a:normAutofit/>
            </a:bodyPr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b>
                      <m:sSubPr>
                        <m:ctrlPr>
                          <a:rPr 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𝑁</m:t>
                        </m:r>
                      </m:e>
                      <m:sub>
                        <m:r>
                          <a:rPr 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𝐴</m:t>
                        </m:r>
                      </m:sub>
                    </m:sSub>
                    <m:r>
                      <a:rPr lang="en-US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𝑘</m:t>
                        </m:r>
                      </m:e>
                      <m:sub>
                        <m:r>
                          <a:rPr 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𝑉</m:t>
                        </m:r>
                      </m:sub>
                    </m:sSub>
                    <m:sSub>
                      <m:sSubPr>
                        <m:ctrlPr>
                          <a:rPr 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𝑐</m:t>
                        </m:r>
                      </m:e>
                      <m:sub>
                        <m:r>
                          <a:rPr 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𝑉</m:t>
                        </m:r>
                      </m:sub>
                    </m:sSub>
                    <m:d>
                      <m:dPr>
                        <m:ctrlPr>
                          <a:rPr 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pt-BR" b="0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𝑦</m:t>
                            </m:r>
                          </m:e>
                          <m:sub>
                            <m:r>
                              <a:rPr lang="pt-BR" b="0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𝐴𝑏</m:t>
                            </m:r>
                          </m:sub>
                        </m:sSub>
                        <m:r>
                          <a:rPr lang="pt-BR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−</m:t>
                        </m:r>
                        <m:sSub>
                          <m:sSubPr>
                            <m:ctrlPr>
                              <a:rPr lang="en-US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pt-BR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𝑦</m:t>
                            </m:r>
                          </m:e>
                          <m:sub>
                            <m:r>
                              <a:rPr lang="pt-BR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𝐴</m:t>
                            </m:r>
                            <m:r>
                              <a:rPr lang="pt-BR" b="0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e>
                    </m:d>
                  </m:oMath>
                </m:oMathPara>
              </a14:m>
              <a:endParaRPr lang="en-US"/>
            </a:p>
          </xdr:txBody>
        </xdr:sp>
      </mc:Choice>
      <mc:Fallback xmlns="">
        <xdr:sp macro="" textlink="">
          <xdr:nvSpPr>
            <xdr:cNvPr id="13" name="Object 21">
              <a:extLst>
                <a:ext uri="{FF2B5EF4-FFF2-40B4-BE49-F238E27FC236}">
                  <a16:creationId xmlns:a16="http://schemas.microsoft.com/office/drawing/2014/main" id="{7C877337-E0F5-401C-9D02-4A018C12B459}"/>
                </a:ext>
              </a:extLst>
            </xdr:cNvPr>
            <xdr:cNvSpPr txBox="1"/>
          </xdr:nvSpPr>
          <xdr:spPr bwMode="auto">
            <a:xfrm>
              <a:off x="6327140" y="13216890"/>
              <a:ext cx="1708149" cy="287075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wrap="square">
              <a:normAutofit/>
            </a:bodyPr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9pPr>
            </a:lstStyle>
            <a:p>
              <a:pPr/>
              <a:r>
                <a:rPr lang="en-US" i="0">
                  <a:solidFill>
                    <a:srgbClr val="000000"/>
                  </a:solidFill>
                  <a:latin typeface="Cambria Math" panose="02040503050406030204" pitchFamily="18" charset="0"/>
                </a:rPr>
                <a:t>𝑁_𝐴=𝑘_𝑉 𝑐_𝑉 (</a:t>
              </a:r>
              <a:r>
                <a:rPr lang="pt-BR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𝑦</a:t>
              </a:r>
              <a:r>
                <a:rPr lang="en-US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_</a:t>
              </a:r>
              <a:r>
                <a:rPr lang="pt-BR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𝐴𝑏−</a:t>
              </a:r>
              <a:r>
                <a:rPr lang="pt-BR" i="0">
                  <a:solidFill>
                    <a:srgbClr val="000000"/>
                  </a:solidFill>
                  <a:latin typeface="Cambria Math" panose="02040503050406030204" pitchFamily="18" charset="0"/>
                </a:rPr>
                <a:t>𝑦</a:t>
              </a:r>
              <a:r>
                <a:rPr lang="en-US" i="0">
                  <a:solidFill>
                    <a:srgbClr val="000000"/>
                  </a:solidFill>
                  <a:latin typeface="Cambria Math" panose="02040503050406030204" pitchFamily="18" charset="0"/>
                </a:rPr>
                <a:t>_</a:t>
              </a:r>
              <a:r>
                <a:rPr lang="pt-BR" i="0">
                  <a:solidFill>
                    <a:srgbClr val="000000"/>
                  </a:solidFill>
                  <a:latin typeface="Cambria Math" panose="02040503050406030204" pitchFamily="18" charset="0"/>
                </a:rPr>
                <a:t>𝐴</a:t>
              </a:r>
              <a:r>
                <a:rPr lang="pt-BR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𝑖 )</a:t>
              </a:r>
              <a:endParaRPr lang="en-US"/>
            </a:p>
          </xdr:txBody>
        </xdr:sp>
      </mc:Fallback>
    </mc:AlternateContent>
    <xdr:clientData/>
  </xdr:twoCellAnchor>
  <xdr:twoCellAnchor>
    <xdr:from>
      <xdr:col>6</xdr:col>
      <xdr:colOff>7620</xdr:colOff>
      <xdr:row>58</xdr:row>
      <xdr:rowOff>0</xdr:rowOff>
    </xdr:from>
    <xdr:to>
      <xdr:col>7</xdr:col>
      <xdr:colOff>769620</xdr:colOff>
      <xdr:row>59</xdr:row>
      <xdr:rowOff>99391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Object 20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SpPr txBox="1"/>
          </xdr:nvSpPr>
          <xdr:spPr bwMode="auto">
            <a:xfrm>
              <a:off x="4907280" y="13228320"/>
              <a:ext cx="1584960" cy="282271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wrap="square">
              <a:normAutofit/>
            </a:bodyPr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b>
                      <m:sSubPr>
                        <m:ctrlPr>
                          <a:rPr 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𝑁</m:t>
                        </m:r>
                      </m:e>
                      <m:sub>
                        <m:r>
                          <a:rPr 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𝐴</m:t>
                        </m:r>
                      </m:sub>
                    </m:sSub>
                    <m:r>
                      <a:rPr lang="en-US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𝑘</m:t>
                        </m:r>
                      </m:e>
                      <m:sub>
                        <m:r>
                          <a:rPr 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𝐿</m:t>
                        </m:r>
                      </m:sub>
                    </m:sSub>
                    <m:sSub>
                      <m:sSubPr>
                        <m:ctrlPr>
                          <a:rPr 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𝑐</m:t>
                        </m:r>
                      </m:e>
                      <m:sub>
                        <m:r>
                          <a:rPr 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𝐿</m:t>
                        </m:r>
                      </m:sub>
                    </m:sSub>
                    <m:d>
                      <m:dPr>
                        <m:ctrlPr>
                          <a:rPr lang="en-US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𝑥</m:t>
                            </m:r>
                          </m:e>
                          <m:sub>
                            <m:r>
                              <a:rPr lang="en-US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𝐴</m:t>
                            </m:r>
                            <m:r>
                              <a:rPr lang="pt-BR" b="0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  <m:r>
                          <a:rPr lang="pt-BR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−</m:t>
                        </m:r>
                        <m:sSub>
                          <m:sSubPr>
                            <m:ctrlPr>
                              <a:rPr lang="en-US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𝑥</m:t>
                            </m:r>
                          </m:e>
                          <m:sub>
                            <m:r>
                              <a:rPr lang="en-US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𝐴</m:t>
                            </m:r>
                            <m:r>
                              <a:rPr lang="pt-BR" b="0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𝑏</m:t>
                            </m:r>
                          </m:sub>
                        </m:sSub>
                      </m:e>
                    </m:d>
                  </m:oMath>
                </m:oMathPara>
              </a14:m>
              <a:endParaRPr lang="en-US"/>
            </a:p>
          </xdr:txBody>
        </xdr:sp>
      </mc:Choice>
      <mc:Fallback xmlns="">
        <xdr:sp macro="" textlink="">
          <xdr:nvSpPr>
            <xdr:cNvPr id="14" name="Object 20">
              <a:extLst>
                <a:ext uri="{FF2B5EF4-FFF2-40B4-BE49-F238E27FC236}">
                  <a16:creationId xmlns:a16="http://schemas.microsoft.com/office/drawing/2014/main" id="{0DC81B75-CC94-490C-B629-9DBC8BB50212}"/>
                </a:ext>
              </a:extLst>
            </xdr:cNvPr>
            <xdr:cNvSpPr txBox="1"/>
          </xdr:nvSpPr>
          <xdr:spPr bwMode="auto">
            <a:xfrm>
              <a:off x="4907280" y="13228320"/>
              <a:ext cx="1584960" cy="282271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wrap="square">
              <a:normAutofit/>
            </a:bodyPr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9pPr>
            </a:lstStyle>
            <a:p>
              <a:pPr/>
              <a:r>
                <a:rPr lang="en-US" i="0">
                  <a:solidFill>
                    <a:srgbClr val="000000"/>
                  </a:solidFill>
                  <a:latin typeface="Cambria Math" panose="02040503050406030204" pitchFamily="18" charset="0"/>
                </a:rPr>
                <a:t>𝑁_𝐴=𝑘_𝐿 𝑐_𝐿 (𝑥_𝐴</a:t>
              </a:r>
              <a:r>
                <a:rPr lang="pt-BR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𝑖−</a:t>
              </a:r>
              <a:r>
                <a:rPr lang="en-US" i="0">
                  <a:solidFill>
                    <a:srgbClr val="000000"/>
                  </a:solidFill>
                  <a:latin typeface="Cambria Math" panose="02040503050406030204" pitchFamily="18" charset="0"/>
                </a:rPr>
                <a:t>𝑥_𝐴</a:t>
              </a:r>
              <a:r>
                <a:rPr lang="pt-BR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𝑏 )</a:t>
              </a:r>
              <a:endParaRPr lang="en-US"/>
            </a:p>
          </xdr:txBody>
        </xdr:sp>
      </mc:Fallback>
    </mc:AlternateContent>
    <xdr:clientData/>
  </xdr:twoCellAnchor>
  <xdr:twoCellAnchor>
    <xdr:from>
      <xdr:col>11</xdr:col>
      <xdr:colOff>95085</xdr:colOff>
      <xdr:row>46</xdr:row>
      <xdr:rowOff>152400</xdr:rowOff>
    </xdr:from>
    <xdr:to>
      <xdr:col>14</xdr:col>
      <xdr:colOff>375286</xdr:colOff>
      <xdr:row>56</xdr:row>
      <xdr:rowOff>127273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552615</xdr:colOff>
      <xdr:row>46</xdr:row>
      <xdr:rowOff>153063</xdr:rowOff>
    </xdr:from>
    <xdr:to>
      <xdr:col>18</xdr:col>
      <xdr:colOff>170540</xdr:colOff>
      <xdr:row>56</xdr:row>
      <xdr:rowOff>127936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6</xdr:col>
      <xdr:colOff>222964</xdr:colOff>
      <xdr:row>15</xdr:row>
      <xdr:rowOff>75025</xdr:rowOff>
    </xdr:from>
    <xdr:to>
      <xdr:col>6</xdr:col>
      <xdr:colOff>228724</xdr:colOff>
      <xdr:row>15</xdr:row>
      <xdr:rowOff>95545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17" name="Tinta 16">
              <a:extLs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14:cNvPr>
            <xdr14:cNvContentPartPr/>
          </xdr14:nvContentPartPr>
          <xdr14:nvPr macro=""/>
          <xdr14:xfrm>
            <a:off x="5126040" y="21621232"/>
            <a:ext cx="5760" cy="20520"/>
          </xdr14:xfrm>
        </xdr:contentPart>
      </mc:Choice>
      <mc:Fallback xmlns="">
        <xdr:pic>
          <xdr:nvPicPr>
            <xdr:cNvPr id="17" name="Tinta 16">
              <a:extLst>
                <a:ext uri="{FF2B5EF4-FFF2-40B4-BE49-F238E27FC236}">
                  <a16:creationId xmlns:a16="http://schemas.microsoft.com/office/drawing/2014/main" id="{663812F6-7E2B-4A01-A72F-8ED6A36F638E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5121720" y="21616912"/>
              <a:ext cx="14400" cy="2916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0</xdr:colOff>
      <xdr:row>58</xdr:row>
      <xdr:rowOff>0</xdr:rowOff>
    </xdr:from>
    <xdr:to>
      <xdr:col>18</xdr:col>
      <xdr:colOff>554522</xdr:colOff>
      <xdr:row>66</xdr:row>
      <xdr:rowOff>18440</xdr:rowOff>
    </xdr:to>
    <xdr:pic>
      <xdr:nvPicPr>
        <xdr:cNvPr id="18" name="Imagem 33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957"/>
        <a:stretch>
          <a:fillRect/>
        </a:stretch>
      </xdr:blipFill>
      <xdr:spPr bwMode="auto">
        <a:xfrm>
          <a:off x="11026140" y="13228320"/>
          <a:ext cx="2436662" cy="1481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914400</xdr:colOff>
          <xdr:row>65</xdr:row>
          <xdr:rowOff>57150</xdr:rowOff>
        </xdr:from>
        <xdr:to>
          <xdr:col>6</xdr:col>
          <xdr:colOff>533400</xdr:colOff>
          <xdr:row>66</xdr:row>
          <xdr:rowOff>133350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8</xdr:col>
      <xdr:colOff>176835</xdr:colOff>
      <xdr:row>71</xdr:row>
      <xdr:rowOff>817078</xdr:rowOff>
    </xdr:from>
    <xdr:to>
      <xdr:col>10</xdr:col>
      <xdr:colOff>488331</xdr:colOff>
      <xdr:row>82</xdr:row>
      <xdr:rowOff>37494</xdr:rowOff>
    </xdr:to>
    <xdr:grpSp>
      <xdr:nvGrpSpPr>
        <xdr:cNvPr id="20" name="Group 5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pSpPr>
          <a:grpSpLocks/>
        </xdr:cNvGrpSpPr>
      </xdr:nvGrpSpPr>
      <xdr:grpSpPr bwMode="auto">
        <a:xfrm>
          <a:off x="6519364" y="16975960"/>
          <a:ext cx="1701026" cy="2066710"/>
          <a:chOff x="4208" y="1888"/>
          <a:chExt cx="1504" cy="2205"/>
        </a:xfrm>
      </xdr:grpSpPr>
      <xdr:sp macro="" textlink="">
        <xdr:nvSpPr>
          <xdr:cNvPr id="21" name="Rectangle 23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>
            <a:spLocks noChangeArrowheads="1"/>
          </xdr:cNvSpPr>
        </xdr:nvSpPr>
        <xdr:spPr bwMode="auto">
          <a:xfrm>
            <a:off x="4309" y="2471"/>
            <a:ext cx="1403" cy="895"/>
          </a:xfrm>
          <a:prstGeom prst="rect">
            <a:avLst/>
          </a:prstGeom>
          <a:solidFill>
            <a:schemeClr val="hlink"/>
          </a:solidFill>
          <a:ln w="19050">
            <a:solidFill>
              <a:schemeClr val="tx1"/>
            </a:solidFill>
            <a:miter lim="800000"/>
            <a:headEnd/>
            <a:tailEnd/>
          </a:ln>
        </xdr:spPr>
        <xdr:txBody>
          <a:bodyPr wrap="square" anchor="ctr"/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endParaRPr lang="pt-BR" altLang="pt-BR" sz="1200"/>
          </a:p>
        </xdr:txBody>
      </xdr:sp>
      <xdr:sp macro="" textlink="">
        <xdr:nvSpPr>
          <xdr:cNvPr id="22" name="Line 24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>
            <a:spLocks noChangeShapeType="1"/>
          </xdr:cNvSpPr>
        </xdr:nvSpPr>
        <xdr:spPr bwMode="auto">
          <a:xfrm>
            <a:off x="5401" y="1888"/>
            <a:ext cx="12" cy="566"/>
          </a:xfrm>
          <a:prstGeom prst="line">
            <a:avLst/>
          </a:prstGeom>
          <a:noFill/>
          <a:ln w="50800">
            <a:solidFill>
              <a:schemeClr val="hlink"/>
            </a:solidFill>
            <a:round/>
            <a:headEnd type="none" w="sm" len="sm"/>
            <a:tailEnd type="stealth" w="med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wrap="square" anchor="ctr"/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endParaRPr lang="pt-BR" sz="1200"/>
          </a:p>
        </xdr:txBody>
      </xdr:sp>
      <xdr:sp macro="" textlink="">
        <xdr:nvSpPr>
          <xdr:cNvPr id="23" name="Rectangle 25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>
            <a:spLocks noChangeArrowheads="1"/>
          </xdr:cNvSpPr>
        </xdr:nvSpPr>
        <xdr:spPr bwMode="white">
          <a:xfrm>
            <a:off x="4525" y="3661"/>
            <a:ext cx="282" cy="154"/>
          </a:xfrm>
          <a:prstGeom prst="rect">
            <a:avLst/>
          </a:prstGeom>
          <a:no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anchor="ctr"/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endParaRPr lang="pt-BR" altLang="pt-BR" sz="1200"/>
          </a:p>
        </xdr:txBody>
      </xdr:sp>
      <xdr:sp macro="" textlink="">
        <xdr:nvSpPr>
          <xdr:cNvPr id="24" name="Line 26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4677" y="3394"/>
            <a:ext cx="0" cy="568"/>
          </a:xfrm>
          <a:prstGeom prst="line">
            <a:avLst/>
          </a:prstGeom>
          <a:noFill/>
          <a:ln w="50800">
            <a:solidFill>
              <a:schemeClr val="accent2"/>
            </a:solidFill>
            <a:round/>
            <a:headEnd type="none" w="sm" len="sm"/>
            <a:tailEnd type="stealth" w="med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wrap="square" anchor="ctr"/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endParaRPr lang="pt-BR" sz="1200"/>
          </a:p>
        </xdr:txBody>
      </xdr:sp>
      <xdr:sp macro="" textlink="">
        <xdr:nvSpPr>
          <xdr:cNvPr id="25" name="Line 27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>
            <a:spLocks noChangeShapeType="1"/>
          </xdr:cNvSpPr>
        </xdr:nvSpPr>
        <xdr:spPr bwMode="auto">
          <a:xfrm>
            <a:off x="5428" y="3400"/>
            <a:ext cx="1" cy="576"/>
          </a:xfrm>
          <a:prstGeom prst="line">
            <a:avLst/>
          </a:prstGeom>
          <a:noFill/>
          <a:ln w="50800">
            <a:solidFill>
              <a:schemeClr val="hlink"/>
            </a:solidFill>
            <a:round/>
            <a:headEnd type="none" w="sm" len="sm"/>
            <a:tailEnd type="stealth" w="med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wrap="square" anchor="ctr"/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endParaRPr lang="pt-BR" sz="1200"/>
          </a:p>
        </xdr:txBody>
      </xdr:sp>
      <xdr:sp macro="" textlink="">
        <xdr:nvSpPr>
          <xdr:cNvPr id="26" name="Line 28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4678" y="1900"/>
            <a:ext cx="2" cy="512"/>
          </a:xfrm>
          <a:prstGeom prst="line">
            <a:avLst/>
          </a:prstGeom>
          <a:noFill/>
          <a:ln w="50800">
            <a:solidFill>
              <a:schemeClr val="accent2"/>
            </a:solidFill>
            <a:round/>
            <a:headEnd type="none" w="sm" len="sm"/>
            <a:tailEnd type="stealth" w="med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wrap="square" anchor="ctr"/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endParaRPr lang="pt-BR" sz="1200"/>
          </a:p>
        </xdr:txBody>
      </xdr:sp>
      <xdr:sp macro="" textlink="">
        <xdr:nvSpPr>
          <xdr:cNvPr id="27" name="Rectangle 29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SpPr>
            <a:spLocks noChangeArrowheads="1"/>
          </xdr:cNvSpPr>
        </xdr:nvSpPr>
        <xdr:spPr bwMode="white">
          <a:xfrm>
            <a:off x="4662" y="2138"/>
            <a:ext cx="282" cy="155"/>
          </a:xfrm>
          <a:prstGeom prst="rect">
            <a:avLst/>
          </a:prstGeom>
          <a:no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anchor="ctr"/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endParaRPr lang="pt-BR" altLang="pt-BR" sz="1200"/>
          </a:p>
        </xdr:txBody>
      </xdr:sp>
      <xdr:sp macro="" textlink="">
        <xdr:nvSpPr>
          <xdr:cNvPr id="28" name="Rectangle 30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SpPr>
            <a:spLocks noChangeArrowheads="1"/>
          </xdr:cNvSpPr>
        </xdr:nvSpPr>
        <xdr:spPr bwMode="auto">
          <a:xfrm>
            <a:off x="4208" y="2072"/>
            <a:ext cx="543" cy="5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128588" tIns="65088" rIns="128588" bIns="65088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r>
              <a:rPr lang="en-GB" altLang="pt-BR" sz="1200" i="1">
                <a:latin typeface="Arial" panose="020B0604020202020204" pitchFamily="34" charset="0"/>
              </a:rPr>
              <a:t>V</a:t>
            </a:r>
            <a:r>
              <a:rPr lang="en-GB" altLang="pt-BR" sz="1200">
                <a:latin typeface="Arial" panose="020B0604020202020204" pitchFamily="34" charset="0"/>
              </a:rPr>
              <a:t>, </a:t>
            </a:r>
            <a:r>
              <a:rPr lang="en-GB" altLang="pt-BR" sz="1200" i="1">
                <a:latin typeface="Arial" panose="020B0604020202020204" pitchFamily="34" charset="0"/>
              </a:rPr>
              <a:t>y</a:t>
            </a:r>
            <a:r>
              <a:rPr lang="en-GB" altLang="pt-BR" sz="1200" baseline="-25000">
                <a:latin typeface="Arial" panose="020B0604020202020204" pitchFamily="34" charset="0"/>
              </a:rPr>
              <a:t>1</a:t>
            </a:r>
          </a:p>
        </xdr:txBody>
      </xdr:sp>
      <xdr:sp macro="" textlink="">
        <xdr:nvSpPr>
          <xdr:cNvPr id="29" name="Rectangle 31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SpPr>
            <a:spLocks noChangeArrowheads="1"/>
          </xdr:cNvSpPr>
        </xdr:nvSpPr>
        <xdr:spPr bwMode="white">
          <a:xfrm>
            <a:off x="4554" y="3654"/>
            <a:ext cx="284" cy="154"/>
          </a:xfrm>
          <a:prstGeom prst="rect">
            <a:avLst/>
          </a:prstGeom>
          <a:no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anchor="ctr"/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endParaRPr lang="pt-BR" altLang="pt-BR" sz="1200"/>
          </a:p>
        </xdr:txBody>
      </xdr:sp>
      <xdr:sp macro="" textlink="">
        <xdr:nvSpPr>
          <xdr:cNvPr id="30" name="Rectangle 32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SpPr>
            <a:spLocks noChangeArrowheads="1"/>
          </xdr:cNvSpPr>
        </xdr:nvSpPr>
        <xdr:spPr bwMode="white">
          <a:xfrm>
            <a:off x="5268" y="2098"/>
            <a:ext cx="283" cy="154"/>
          </a:xfrm>
          <a:prstGeom prst="rect">
            <a:avLst/>
          </a:prstGeom>
          <a:no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anchor="ctr"/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endParaRPr lang="pt-BR" altLang="pt-BR" sz="1200"/>
          </a:p>
        </xdr:txBody>
      </xdr:sp>
      <xdr:sp macro="" textlink="">
        <xdr:nvSpPr>
          <xdr:cNvPr id="31" name="Rectangle 33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>
            <a:spLocks noChangeArrowheads="1"/>
          </xdr:cNvSpPr>
        </xdr:nvSpPr>
        <xdr:spPr bwMode="auto">
          <a:xfrm>
            <a:off x="4924" y="2037"/>
            <a:ext cx="523" cy="5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128588" tIns="65088" rIns="128588" bIns="65088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r>
              <a:rPr lang="en-GB" altLang="pt-BR" sz="1200" i="1">
                <a:latin typeface="Arial" panose="020B0604020202020204" pitchFamily="34" charset="0"/>
              </a:rPr>
              <a:t>L</a:t>
            </a:r>
            <a:r>
              <a:rPr lang="en-GB" altLang="pt-BR" sz="1200">
                <a:latin typeface="Arial" panose="020B0604020202020204" pitchFamily="34" charset="0"/>
              </a:rPr>
              <a:t>, </a:t>
            </a:r>
            <a:r>
              <a:rPr lang="en-GB" altLang="pt-BR" sz="1200" i="1">
                <a:latin typeface="Arial" panose="020B0604020202020204" pitchFamily="34" charset="0"/>
              </a:rPr>
              <a:t>x</a:t>
            </a:r>
            <a:r>
              <a:rPr lang="en-GB" altLang="pt-BR" sz="1200" baseline="-25000">
                <a:latin typeface="Arial" panose="020B0604020202020204" pitchFamily="34" charset="0"/>
              </a:rPr>
              <a:t>0</a:t>
            </a:r>
          </a:p>
        </xdr:txBody>
      </xdr:sp>
      <xdr:sp macro="" textlink="">
        <xdr:nvSpPr>
          <xdr:cNvPr id="32" name="Rectangle 34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SpPr>
            <a:spLocks noChangeArrowheads="1"/>
          </xdr:cNvSpPr>
        </xdr:nvSpPr>
        <xdr:spPr bwMode="white">
          <a:xfrm>
            <a:off x="5395" y="3578"/>
            <a:ext cx="62" cy="184"/>
          </a:xfrm>
          <a:prstGeom prst="rect">
            <a:avLst/>
          </a:prstGeom>
          <a:no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anchor="ctr"/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endParaRPr lang="pt-BR" altLang="pt-BR" sz="1200"/>
          </a:p>
        </xdr:txBody>
      </xdr:sp>
      <xdr:sp macro="" textlink="">
        <xdr:nvSpPr>
          <xdr:cNvPr id="33" name="Rectangle 35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SpPr>
            <a:spLocks noChangeArrowheads="1"/>
          </xdr:cNvSpPr>
        </xdr:nvSpPr>
        <xdr:spPr bwMode="auto">
          <a:xfrm>
            <a:off x="4983" y="3521"/>
            <a:ext cx="696" cy="3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128588" tIns="65088" rIns="128588" bIns="65088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r>
              <a:rPr lang="en-GB" altLang="pt-BR" sz="1200" i="1">
                <a:latin typeface="Arial" panose="020B0604020202020204" pitchFamily="34" charset="0"/>
              </a:rPr>
              <a:t>L</a:t>
            </a:r>
            <a:r>
              <a:rPr lang="en-GB" altLang="pt-BR" sz="1200">
                <a:latin typeface="Arial" panose="020B0604020202020204" pitchFamily="34" charset="0"/>
              </a:rPr>
              <a:t>, </a:t>
            </a:r>
            <a:r>
              <a:rPr lang="en-GB" altLang="pt-BR" sz="1200" i="1">
                <a:latin typeface="Arial" panose="020B0604020202020204" pitchFamily="34" charset="0"/>
              </a:rPr>
              <a:t>x</a:t>
            </a:r>
            <a:r>
              <a:rPr lang="en-GB" altLang="pt-BR" sz="1200" baseline="-25000">
                <a:latin typeface="Arial" panose="020B0604020202020204" pitchFamily="34" charset="0"/>
              </a:rPr>
              <a:t>1</a:t>
            </a:r>
          </a:p>
        </xdr:txBody>
      </xdr:sp>
      <xdr:sp macro="" textlink="">
        <xdr:nvSpPr>
          <xdr:cNvPr id="34" name="Line 36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SpPr>
            <a:spLocks noChangeShapeType="1"/>
          </xdr:cNvSpPr>
        </xdr:nvSpPr>
        <xdr:spPr bwMode="auto">
          <a:xfrm>
            <a:off x="4956" y="2470"/>
            <a:ext cx="0" cy="912"/>
          </a:xfrm>
          <a:prstGeom prst="line">
            <a:avLst/>
          </a:prstGeom>
          <a:noFill/>
          <a:ln w="12700">
            <a:solidFill>
              <a:schemeClr val="tx1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wrap="square" anchor="ctr"/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endParaRPr lang="pt-BR" sz="1200"/>
          </a:p>
        </xdr:txBody>
      </xdr:sp>
      <xdr:sp macro="" textlink="">
        <xdr:nvSpPr>
          <xdr:cNvPr id="35" name="Rectangle 37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SpPr>
            <a:spLocks noChangeArrowheads="1"/>
          </xdr:cNvSpPr>
        </xdr:nvSpPr>
        <xdr:spPr bwMode="auto">
          <a:xfrm>
            <a:off x="4319" y="2482"/>
            <a:ext cx="637" cy="882"/>
          </a:xfrm>
          <a:prstGeom prst="rect">
            <a:avLst/>
          </a:prstGeom>
          <a:solidFill>
            <a:schemeClr val="accent1">
              <a:lumMod val="20000"/>
              <a:lumOff val="80000"/>
            </a:schemeClr>
          </a:solidFill>
          <a:ln>
            <a:noFill/>
          </a:ln>
        </xdr:spPr>
        <xdr:txBody>
          <a:bodyPr wrap="square" anchor="ctr"/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pPr>
              <a:defRPr/>
            </a:pPr>
            <a:endParaRPr lang="pt-BR" altLang="pt-BR" sz="1200"/>
          </a:p>
        </xdr:txBody>
      </xdr:sp>
      <xdr:sp macro="" textlink="">
        <xdr:nvSpPr>
          <xdr:cNvPr id="36" name="Freeform 38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SpPr>
            <a:spLocks/>
          </xdr:cNvSpPr>
        </xdr:nvSpPr>
        <xdr:spPr bwMode="auto">
          <a:xfrm>
            <a:off x="4347" y="2886"/>
            <a:ext cx="616" cy="382"/>
          </a:xfrm>
          <a:custGeom>
            <a:avLst/>
            <a:gdLst>
              <a:gd name="T0" fmla="*/ 0 w 569"/>
              <a:gd name="T1" fmla="*/ 381 h 382"/>
              <a:gd name="T2" fmla="*/ 79389 w 569"/>
              <a:gd name="T3" fmla="*/ 381 h 382"/>
              <a:gd name="T4" fmla="*/ 158648 w 569"/>
              <a:gd name="T5" fmla="*/ 4 h 382"/>
              <a:gd name="T6" fmla="*/ 159514 w 569"/>
              <a:gd name="T7" fmla="*/ 0 h 382"/>
              <a:gd name="T8" fmla="*/ 0 60000 65536"/>
              <a:gd name="T9" fmla="*/ 0 60000 65536"/>
              <a:gd name="T10" fmla="*/ 0 60000 65536"/>
              <a:gd name="T11" fmla="*/ 0 60000 65536"/>
              <a:gd name="T12" fmla="*/ 0 w 569"/>
              <a:gd name="T13" fmla="*/ 0 h 382"/>
              <a:gd name="T14" fmla="*/ 569 w 569"/>
              <a:gd name="T15" fmla="*/ 382 h 382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569" h="382">
                <a:moveTo>
                  <a:pt x="0" y="381"/>
                </a:moveTo>
                <a:lnTo>
                  <a:pt x="284" y="381"/>
                </a:lnTo>
                <a:lnTo>
                  <a:pt x="567" y="4"/>
                </a:lnTo>
                <a:lnTo>
                  <a:pt x="568" y="0"/>
                </a:lnTo>
              </a:path>
            </a:pathLst>
          </a:custGeom>
          <a:noFill/>
          <a:ln w="25400" cap="rnd">
            <a:solidFill>
              <a:schemeClr val="tx1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wrap="square"/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endParaRPr lang="pt-BR" sz="1200"/>
          </a:p>
        </xdr:txBody>
      </xdr:sp>
      <xdr:sp macro="" textlink="">
        <xdr:nvSpPr>
          <xdr:cNvPr id="37" name="Freeform 39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SpPr>
            <a:spLocks/>
          </xdr:cNvSpPr>
        </xdr:nvSpPr>
        <xdr:spPr bwMode="auto">
          <a:xfrm>
            <a:off x="4956" y="2782"/>
            <a:ext cx="743" cy="491"/>
          </a:xfrm>
          <a:custGeom>
            <a:avLst/>
            <a:gdLst>
              <a:gd name="T0" fmla="*/ 198362 w 686"/>
              <a:gd name="T1" fmla="*/ 0 h 491"/>
              <a:gd name="T2" fmla="*/ 98436 w 686"/>
              <a:gd name="T3" fmla="*/ 0 h 491"/>
              <a:gd name="T4" fmla="*/ 0 w 686"/>
              <a:gd name="T5" fmla="*/ 485 h 491"/>
              <a:gd name="T6" fmla="*/ 0 w 686"/>
              <a:gd name="T7" fmla="*/ 490 h 491"/>
              <a:gd name="T8" fmla="*/ 0 60000 65536"/>
              <a:gd name="T9" fmla="*/ 0 60000 65536"/>
              <a:gd name="T10" fmla="*/ 0 60000 65536"/>
              <a:gd name="T11" fmla="*/ 0 60000 65536"/>
              <a:gd name="T12" fmla="*/ 0 w 686"/>
              <a:gd name="T13" fmla="*/ 0 h 491"/>
              <a:gd name="T14" fmla="*/ 686 w 686"/>
              <a:gd name="T15" fmla="*/ 491 h 491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686" h="491">
                <a:moveTo>
                  <a:pt x="685" y="0"/>
                </a:moveTo>
                <a:lnTo>
                  <a:pt x="340" y="0"/>
                </a:lnTo>
                <a:lnTo>
                  <a:pt x="0" y="485"/>
                </a:lnTo>
                <a:lnTo>
                  <a:pt x="0" y="490"/>
                </a:lnTo>
              </a:path>
            </a:pathLst>
          </a:custGeom>
          <a:noFill/>
          <a:ln w="25400" cap="rnd">
            <a:solidFill>
              <a:schemeClr val="tx1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wrap="square"/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endParaRPr lang="pt-BR" sz="1200"/>
          </a:p>
        </xdr:txBody>
      </xdr:sp>
      <xdr:sp macro="" textlink="">
        <xdr:nvSpPr>
          <xdr:cNvPr id="38" name="Rectangle 40">
            <a:extLst>
              <a:ext uri="{FF2B5EF4-FFF2-40B4-BE49-F238E27FC236}">
                <a16:creationId xmlns:a16="http://schemas.microsoft.com/office/drawing/2014/main" id="{00000000-0008-0000-0000-000026000000}"/>
              </a:ext>
            </a:extLst>
          </xdr:cNvPr>
          <xdr:cNvSpPr>
            <a:spLocks noChangeArrowheads="1"/>
          </xdr:cNvSpPr>
        </xdr:nvSpPr>
        <xdr:spPr bwMode="auto">
          <a:xfrm>
            <a:off x="4604" y="2772"/>
            <a:ext cx="350" cy="5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128588" tIns="65088" rIns="128588" bIns="65088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r>
              <a:rPr lang="en-GB" altLang="pt-BR" sz="1200">
                <a:latin typeface="Arial" panose="020B0604020202020204" pitchFamily="34" charset="0"/>
              </a:rPr>
              <a:t>y</a:t>
            </a:r>
            <a:r>
              <a:rPr lang="en-GB" altLang="pt-BR" sz="1200" baseline="30000">
                <a:latin typeface="Arial" panose="020B0604020202020204" pitchFamily="34" charset="0"/>
              </a:rPr>
              <a:t>i</a:t>
            </a:r>
          </a:p>
        </xdr:txBody>
      </xdr:sp>
      <xdr:sp macro="" textlink="">
        <xdr:nvSpPr>
          <xdr:cNvPr id="39" name="Rectangle 41">
            <a:extLst>
              <a:ext uri="{FF2B5EF4-FFF2-40B4-BE49-F238E27FC236}">
                <a16:creationId xmlns:a16="http://schemas.microsoft.com/office/drawing/2014/main" id="{00000000-0008-0000-0000-000027000000}"/>
              </a:ext>
            </a:extLst>
          </xdr:cNvPr>
          <xdr:cNvSpPr>
            <a:spLocks noChangeArrowheads="1"/>
          </xdr:cNvSpPr>
        </xdr:nvSpPr>
        <xdr:spPr bwMode="auto">
          <a:xfrm>
            <a:off x="5010" y="3097"/>
            <a:ext cx="345" cy="3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128588" tIns="65088" rIns="128588" bIns="65088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r>
              <a:rPr lang="en-GB" altLang="pt-BR" sz="1200" i="1">
                <a:latin typeface="Arial" panose="020B0604020202020204" pitchFamily="34" charset="0"/>
              </a:rPr>
              <a:t>x</a:t>
            </a:r>
            <a:r>
              <a:rPr lang="en-GB" altLang="pt-BR" sz="1200" baseline="30000">
                <a:latin typeface="Arial" panose="020B0604020202020204" pitchFamily="34" charset="0"/>
              </a:rPr>
              <a:t>i</a:t>
            </a:r>
          </a:p>
        </xdr:txBody>
      </xdr:sp>
      <xdr:sp macro="" textlink="">
        <xdr:nvSpPr>
          <xdr:cNvPr id="40" name="AutoShape 42">
            <a:extLst>
              <a:ext uri="{FF2B5EF4-FFF2-40B4-BE49-F238E27FC236}">
                <a16:creationId xmlns:a16="http://schemas.microsoft.com/office/drawing/2014/main" id="{00000000-0008-0000-0000-000028000000}"/>
              </a:ext>
            </a:extLst>
          </xdr:cNvPr>
          <xdr:cNvSpPr>
            <a:spLocks noChangeArrowheads="1"/>
          </xdr:cNvSpPr>
        </xdr:nvSpPr>
        <xdr:spPr bwMode="auto">
          <a:xfrm>
            <a:off x="4712" y="2523"/>
            <a:ext cx="410" cy="412"/>
          </a:xfrm>
          <a:prstGeom prst="leftArrow">
            <a:avLst>
              <a:gd name="adj1" fmla="val 50000"/>
              <a:gd name="adj2" fmla="val 61188"/>
            </a:avLst>
          </a:prstGeom>
          <a:solidFill>
            <a:schemeClr val="bg1"/>
          </a:solidFill>
          <a:ln w="12700">
            <a:solidFill>
              <a:schemeClr val="tx1"/>
            </a:solidFill>
            <a:miter lim="800000"/>
            <a:headEnd/>
            <a:tailEnd/>
          </a:ln>
        </xdr:spPr>
        <xdr:txBody>
          <a:bodyPr wrap="square" anchor="ctr"/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endParaRPr lang="pt-BR" altLang="pt-BR" sz="1200"/>
          </a:p>
        </xdr:txBody>
      </xdr:sp>
      <xdr:sp macro="" textlink="">
        <xdr:nvSpPr>
          <xdr:cNvPr id="41" name="Rectangle 43">
            <a:extLst>
              <a:ext uri="{FF2B5EF4-FFF2-40B4-BE49-F238E27FC236}">
                <a16:creationId xmlns:a16="http://schemas.microsoft.com/office/drawing/2014/main" id="{00000000-0008-0000-0000-000029000000}"/>
              </a:ext>
            </a:extLst>
          </xdr:cNvPr>
          <xdr:cNvSpPr>
            <a:spLocks noChangeArrowheads="1"/>
          </xdr:cNvSpPr>
        </xdr:nvSpPr>
        <xdr:spPr bwMode="auto">
          <a:xfrm>
            <a:off x="4751" y="2564"/>
            <a:ext cx="503" cy="54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128588" tIns="65088" rIns="128588" bIns="65088">
            <a:no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pPr>
              <a:spcBef>
                <a:spcPct val="50000"/>
              </a:spcBef>
            </a:pPr>
            <a:r>
              <a:rPr lang="en-GB" altLang="pt-BR" sz="1200" i="1">
                <a:latin typeface="Arial" panose="020B0604020202020204" pitchFamily="34" charset="0"/>
              </a:rPr>
              <a:t>NA</a:t>
            </a:r>
            <a:endParaRPr lang="en-GB" altLang="pt-BR" sz="1200" baseline="-25000">
              <a:latin typeface="Arial" panose="020B0604020202020204" pitchFamily="34" charset="0"/>
            </a:endParaRPr>
          </a:p>
        </xdr:txBody>
      </xdr:sp>
      <xdr:sp macro="" textlink="">
        <xdr:nvSpPr>
          <xdr:cNvPr id="42" name="Rectangle 44">
            <a:extLst>
              <a:ext uri="{FF2B5EF4-FFF2-40B4-BE49-F238E27FC236}">
                <a16:creationId xmlns:a16="http://schemas.microsoft.com/office/drawing/2014/main" id="{00000000-0008-0000-0000-00002A000000}"/>
              </a:ext>
            </a:extLst>
          </xdr:cNvPr>
          <xdr:cNvSpPr>
            <a:spLocks noChangeArrowheads="1"/>
          </xdr:cNvSpPr>
        </xdr:nvSpPr>
        <xdr:spPr bwMode="auto">
          <a:xfrm>
            <a:off x="4663" y="2476"/>
            <a:ext cx="633" cy="896"/>
          </a:xfrm>
          <a:prstGeom prst="rect">
            <a:avLst/>
          </a:prstGeom>
          <a:noFill/>
          <a:ln w="12700">
            <a:solidFill>
              <a:schemeClr val="tx1"/>
            </a:solidFill>
            <a:prstDash val="sysDot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wrap="square" anchor="ctr"/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endParaRPr lang="pt-BR" altLang="pt-BR" sz="1200"/>
          </a:p>
        </xdr:txBody>
      </xdr:sp>
      <xdr:sp macro="" textlink="">
        <xdr:nvSpPr>
          <xdr:cNvPr id="43" name="Rectangle 45">
            <a:extLst>
              <a:ext uri="{FF2B5EF4-FFF2-40B4-BE49-F238E27FC236}">
                <a16:creationId xmlns:a16="http://schemas.microsoft.com/office/drawing/2014/main" id="{00000000-0008-0000-0000-00002B000000}"/>
              </a:ext>
            </a:extLst>
          </xdr:cNvPr>
          <xdr:cNvSpPr>
            <a:spLocks noChangeArrowheads="1"/>
          </xdr:cNvSpPr>
        </xdr:nvSpPr>
        <xdr:spPr bwMode="auto">
          <a:xfrm>
            <a:off x="4215" y="3560"/>
            <a:ext cx="543" cy="5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128588" tIns="65088" rIns="128588" bIns="65088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r>
              <a:rPr lang="en-GB" altLang="pt-BR" sz="1200" i="1">
                <a:latin typeface="Arial" panose="020B0604020202020204" pitchFamily="34" charset="0"/>
              </a:rPr>
              <a:t>V</a:t>
            </a:r>
            <a:r>
              <a:rPr lang="en-GB" altLang="pt-BR" sz="1200">
                <a:latin typeface="Arial" panose="020B0604020202020204" pitchFamily="34" charset="0"/>
              </a:rPr>
              <a:t>, </a:t>
            </a:r>
            <a:r>
              <a:rPr lang="en-GB" altLang="pt-BR" sz="1200" i="1">
                <a:latin typeface="Arial" panose="020B0604020202020204" pitchFamily="34" charset="0"/>
              </a:rPr>
              <a:t>y</a:t>
            </a:r>
            <a:r>
              <a:rPr lang="en-GB" altLang="pt-BR" sz="1200" baseline="-25000">
                <a:latin typeface="Arial" panose="020B0604020202020204" pitchFamily="34" charset="0"/>
              </a:rPr>
              <a:t>2</a:t>
            </a:r>
          </a:p>
        </xdr:txBody>
      </xdr:sp>
    </xdr:grpSp>
    <xdr:clientData/>
  </xdr:twoCellAnchor>
  <xdr:twoCellAnchor editAs="oneCell">
    <xdr:from>
      <xdr:col>3</xdr:col>
      <xdr:colOff>421218</xdr:colOff>
      <xdr:row>51</xdr:row>
      <xdr:rowOff>94500</xdr:rowOff>
    </xdr:from>
    <xdr:to>
      <xdr:col>3</xdr:col>
      <xdr:colOff>423018</xdr:colOff>
      <xdr:row>51</xdr:row>
      <xdr:rowOff>94860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">
          <xdr14:nvContentPartPr>
            <xdr14:cNvPr id="1235" name="Tinta 1234">
              <a:extLst>
                <a:ext uri="{FF2B5EF4-FFF2-40B4-BE49-F238E27FC236}">
                  <a16:creationId xmlns:a16="http://schemas.microsoft.com/office/drawing/2014/main" id="{00000000-0008-0000-0000-0000D3040000}"/>
                </a:ext>
              </a:extLst>
            </xdr14:cNvPr>
            <xdr14:cNvContentPartPr/>
          </xdr14:nvContentPartPr>
          <xdr14:nvPr macro=""/>
          <xdr14:xfrm>
            <a:off x="2560680" y="12411058"/>
            <a:ext cx="1800" cy="360"/>
          </xdr14:xfrm>
        </xdr:contentPart>
      </mc:Choice>
      <mc:Fallback xmlns="">
        <xdr:pic>
          <xdr:nvPicPr>
            <xdr:cNvPr id="1235" name="Tinta 1234">
              <a:extLst>
                <a:ext uri="{FF2B5EF4-FFF2-40B4-BE49-F238E27FC236}">
                  <a16:creationId xmlns:a16="http://schemas.microsoft.com/office/drawing/2014/main" id="{B0258564-53AE-4AA6-806C-2BFD4CF30620}"/>
                </a:ext>
              </a:extLst>
            </xdr:cNvPr>
            <xdr:cNvPicPr/>
          </xdr:nvPicPr>
          <xdr:blipFill>
            <a:blip xmlns:r="http://schemas.openxmlformats.org/officeDocument/2006/relationships" r:embed="rId11"/>
            <a:stretch>
              <a:fillRect/>
            </a:stretch>
          </xdr:blipFill>
          <xdr:spPr>
            <a:xfrm>
              <a:off x="2551680" y="12402418"/>
              <a:ext cx="1944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652451</xdr:colOff>
      <xdr:row>10</xdr:row>
      <xdr:rowOff>175964</xdr:rowOff>
    </xdr:from>
    <xdr:to>
      <xdr:col>7</xdr:col>
      <xdr:colOff>652811</xdr:colOff>
      <xdr:row>10</xdr:row>
      <xdr:rowOff>176324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">
          <xdr14:nvContentPartPr>
            <xdr14:cNvPr id="1269" name="Tinta 1268">
              <a:extLst>
                <a:ext uri="{FF2B5EF4-FFF2-40B4-BE49-F238E27FC236}">
                  <a16:creationId xmlns:a16="http://schemas.microsoft.com/office/drawing/2014/main" id="{00000000-0008-0000-0000-0000F5040000}"/>
                </a:ext>
              </a:extLst>
            </xdr14:cNvPr>
            <xdr14:cNvContentPartPr/>
          </xdr14:nvContentPartPr>
          <xdr14:nvPr macro=""/>
          <xdr14:xfrm>
            <a:off x="6213586" y="3238618"/>
            <a:ext cx="360" cy="360"/>
          </xdr14:xfrm>
        </xdr:contentPart>
      </mc:Choice>
      <mc:Fallback xmlns="">
        <xdr:pic>
          <xdr:nvPicPr>
            <xdr:cNvPr id="1269" name="Tinta 1268">
              <a:extLst>
                <a:ext uri="{FF2B5EF4-FFF2-40B4-BE49-F238E27FC236}">
                  <a16:creationId xmlns:a16="http://schemas.microsoft.com/office/drawing/2014/main" id="{EB8A83E2-1A58-40EE-8626-FCB5EB0DDE16}"/>
                </a:ext>
              </a:extLst>
            </xdr:cNvPr>
            <xdr:cNvPicPr/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6204586" y="3229978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12</xdr:col>
      <xdr:colOff>117662</xdr:colOff>
      <xdr:row>12</xdr:row>
      <xdr:rowOff>101973</xdr:rowOff>
    </xdr:from>
    <xdr:to>
      <xdr:col>19</xdr:col>
      <xdr:colOff>409015</xdr:colOff>
      <xdr:row>26</xdr:row>
      <xdr:rowOff>178173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E31D7D0-FB86-4653-B4AC-C37914F7FF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seckler\Dropbox\downloads\lactos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seckler\Documents\x_IPT%20ensino\tecnologia%20de%20particulas\aulas%20de%20exercicios%20e%20provas\superados\solubilidade%20do%20sulfato%20de%20cobre%205aq%20mulli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oogle%20Drive\pqi%203402%20opIII\exercicios\exercicios%202019%203%20cascatas%20eq%20flas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seckler\Documents\x_IPT%20orientandos\prado\dados%20dos%20ensaios%20prado%20v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ctose"/>
      <sheetName val="vibracao"/>
    </sheetNames>
    <sheetDataSet>
      <sheetData sheetId="0"/>
      <sheetData sheetId="1">
        <row r="12">
          <cell r="C12">
            <v>4.8549999999999999E-3</v>
          </cell>
        </row>
        <row r="13">
          <cell r="C13">
            <v>9.8000000000000007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(L)"/>
      <sheetName val=" logn(L)"/>
      <sheetName val="n(L)"/>
      <sheetName val="vol%"/>
      <sheetName val="csd"/>
      <sheetName val="calculos"/>
      <sheetName val="solub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G2" t="str">
            <v>rho</v>
          </cell>
          <cell r="H2">
            <v>2.2859999999999998E-3</v>
          </cell>
        </row>
      </sheetData>
      <sheetData sheetId="5">
        <row r="11">
          <cell r="C11">
            <v>249.5</v>
          </cell>
        </row>
        <row r="12">
          <cell r="C12">
            <v>159.5</v>
          </cell>
        </row>
        <row r="31">
          <cell r="C31">
            <v>2286</v>
          </cell>
        </row>
        <row r="49">
          <cell r="C49">
            <v>0.12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la ex leitura diagr fase"/>
      <sheetName val="aula ex constr diagr fase"/>
      <sheetName val="aula exemplo diagr fase"/>
      <sheetName val="binario ideal seader"/>
      <sheetName val="EQ1e2"/>
      <sheetName val="EQ3 a EQ6"/>
      <sheetName val="EQ7"/>
      <sheetName val="EQ8"/>
      <sheetName val="aula flash"/>
      <sheetName val="Nguyen"/>
      <sheetName val="Nguyen_mar"/>
      <sheetName val="FL01"/>
      <sheetName val="FL02"/>
      <sheetName val="FL03a05"/>
      <sheetName val="FL06a08"/>
      <sheetName val="K Values"/>
      <sheetName val="vapor pressures"/>
      <sheetName val="alpha x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46">
          <cell r="C146">
            <v>100</v>
          </cell>
        </row>
      </sheetData>
      <sheetData sheetId="9">
        <row r="108">
          <cell r="B108">
            <v>0</v>
          </cell>
        </row>
        <row r="109">
          <cell r="B109">
            <v>0.5</v>
          </cell>
        </row>
        <row r="110">
          <cell r="B110">
            <v>0.5</v>
          </cell>
        </row>
        <row r="111">
          <cell r="B111">
            <v>0</v>
          </cell>
        </row>
        <row r="114">
          <cell r="B114">
            <v>1</v>
          </cell>
        </row>
        <row r="115">
          <cell r="B115">
            <v>1.4598835611336323</v>
          </cell>
        </row>
        <row r="116">
          <cell r="B116">
            <v>0.60615626284608481</v>
          </cell>
        </row>
        <row r="117">
          <cell r="B117">
            <v>1</v>
          </cell>
        </row>
      </sheetData>
      <sheetData sheetId="10">
        <row r="125">
          <cell r="D125">
            <v>1</v>
          </cell>
        </row>
        <row r="126">
          <cell r="D126">
            <v>0</v>
          </cell>
        </row>
        <row r="127">
          <cell r="D127">
            <v>0</v>
          </cell>
        </row>
        <row r="128">
          <cell r="D128">
            <v>0.4</v>
          </cell>
        </row>
        <row r="129">
          <cell r="D129">
            <v>0.6</v>
          </cell>
        </row>
        <row r="131">
          <cell r="D131">
            <v>360</v>
          </cell>
        </row>
        <row r="132">
          <cell r="D132">
            <v>1</v>
          </cell>
        </row>
        <row r="133">
          <cell r="D133">
            <v>1</v>
          </cell>
        </row>
        <row r="134">
          <cell r="D134">
            <v>2.8707177141012918</v>
          </cell>
        </row>
        <row r="135">
          <cell r="D135">
            <v>0.36852227455992814</v>
          </cell>
        </row>
      </sheetData>
      <sheetData sheetId="11"/>
      <sheetData sheetId="12"/>
      <sheetData sheetId="13"/>
      <sheetData sheetId="14">
        <row r="78">
          <cell r="B78">
            <v>2</v>
          </cell>
        </row>
        <row r="79">
          <cell r="B79">
            <v>0</v>
          </cell>
        </row>
        <row r="80">
          <cell r="B80">
            <v>0.5</v>
          </cell>
        </row>
        <row r="81">
          <cell r="B81">
            <v>0.5</v>
          </cell>
        </row>
        <row r="82">
          <cell r="B82">
            <v>0</v>
          </cell>
        </row>
        <row r="85">
          <cell r="B85">
            <v>1</v>
          </cell>
        </row>
        <row r="86">
          <cell r="B86">
            <v>1.5584459538686464</v>
          </cell>
        </row>
        <row r="87">
          <cell r="B87">
            <v>0.65775433809191164</v>
          </cell>
        </row>
        <row r="88">
          <cell r="B88">
            <v>1</v>
          </cell>
        </row>
        <row r="191">
          <cell r="B191">
            <v>2</v>
          </cell>
        </row>
        <row r="192">
          <cell r="B192">
            <v>0</v>
          </cell>
        </row>
        <row r="193">
          <cell r="B193">
            <v>0</v>
          </cell>
        </row>
        <row r="194">
          <cell r="B194">
            <v>0.3</v>
          </cell>
        </row>
        <row r="195">
          <cell r="B195">
            <v>0.7</v>
          </cell>
        </row>
        <row r="198">
          <cell r="B198">
            <v>1</v>
          </cell>
        </row>
        <row r="199">
          <cell r="B199">
            <v>1</v>
          </cell>
        </row>
        <row r="200">
          <cell r="B200">
            <v>5.7073643589895218</v>
          </cell>
        </row>
        <row r="201">
          <cell r="B201">
            <v>0.47695154196603928</v>
          </cell>
        </row>
      </sheetData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q"/>
      <sheetName val="Tmeta"/>
      <sheetName val="Tmeta_us"/>
      <sheetName val="dados"/>
      <sheetName val="Plan2"/>
      <sheetName val="Plan3"/>
    </sheetNames>
    <sheetDataSet>
      <sheetData sheetId="0">
        <row r="21">
          <cell r="B21" t="str">
            <v>eq_corr</v>
          </cell>
        </row>
      </sheetData>
      <sheetData sheetId="1">
        <row r="21">
          <cell r="B21" t="str">
            <v>meta_corr</v>
          </cell>
        </row>
      </sheetData>
      <sheetData sheetId="2">
        <row r="21">
          <cell r="B21" t="str">
            <v>meta_us_corr</v>
          </cell>
        </row>
      </sheetData>
      <sheetData sheetId="3">
        <row r="1">
          <cell r="T1">
            <v>180</v>
          </cell>
        </row>
        <row r="2">
          <cell r="W2">
            <v>60</v>
          </cell>
        </row>
        <row r="3">
          <cell r="W3">
            <v>1049</v>
          </cell>
        </row>
      </sheetData>
      <sheetData sheetId="4"/>
      <sheetData sheetId="5"/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1-19T02:11:55.860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1 12 760,'0'0'1566,"0"0"-1413,4-11 185</inkml:trace>
  <inkml:trace contextRef="#ctx0" brushRef="#br0" timeOffset="1">16 9 576,'0'0'2113,"0"18"-2057,0-14 16,0 1 0,0 3-72,0 0-64,0-3-1073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1-18T13:35:00.870"/>
    </inkml:context>
    <inkml:brush xml:id="br0">
      <inkml:brushProperty name="width" value="0.05" units="cm"/>
      <inkml:brushProperty name="height" value="0.05" units="cm"/>
      <inkml:brushProperty name="color" value="#5B2D90"/>
    </inkml:brush>
  </inkml:definitions>
  <inkml:trace contextRef="#ctx0" brushRef="#br0">0 1 10442,'0'0'6258,"4"0"-6258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1-18T13:37:43.187"/>
    </inkml:context>
    <inkml:brush xml:id="br0">
      <inkml:brushProperty name="width" value="0.05" units="cm"/>
      <inkml:brushProperty name="height" value="0.05" units="cm"/>
      <inkml:brushProperty name="color" value="#5B2D90"/>
    </inkml:brush>
  </inkml:definitions>
  <inkml:trace contextRef="#ctx0" brushRef="#br0">0 1 9434,'0'0'1728</inkml:trace>
</inkml: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emf"/><Relationship Id="rId18" Type="http://schemas.openxmlformats.org/officeDocument/2006/relationships/oleObject" Target="../embeddings/oleObject8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oleObject" Target="../embeddings/oleObject5.bin"/><Relationship Id="rId17" Type="http://schemas.openxmlformats.org/officeDocument/2006/relationships/image" Target="../media/image7.emf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7.bin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Relationship Id="rId14" Type="http://schemas.openxmlformats.org/officeDocument/2006/relationships/oleObject" Target="../embeddings/oleObject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E0A83-BDBF-4318-AFA0-70E6F91D5F5E}">
  <dimension ref="A1:BF121"/>
  <sheetViews>
    <sheetView tabSelected="1" zoomScale="85" zoomScaleNormal="85" workbookViewId="0">
      <selection activeCell="L22" sqref="L22"/>
    </sheetView>
  </sheetViews>
  <sheetFormatPr defaultRowHeight="15" x14ac:dyDescent="0.25"/>
  <cols>
    <col min="1" max="1" width="5.5703125" style="1" customWidth="1"/>
    <col min="2" max="2" width="12.28515625" customWidth="1"/>
    <col min="3" max="3" width="14.140625" customWidth="1"/>
    <col min="4" max="4" width="13.42578125" customWidth="1"/>
    <col min="5" max="5" width="14" customWidth="1"/>
    <col min="6" max="8" width="12" bestFit="1" customWidth="1"/>
    <col min="9" max="9" width="10.28515625" customWidth="1"/>
    <col min="10" max="10" width="10.5703125" bestFit="1" customWidth="1"/>
    <col min="16" max="16" width="9.7109375" bestFit="1" customWidth="1"/>
    <col min="20" max="20" width="12.28515625" bestFit="1" customWidth="1"/>
    <col min="22" max="22" width="9.5703125" bestFit="1" customWidth="1"/>
    <col min="44" max="44" width="11.5703125" bestFit="1" customWidth="1"/>
  </cols>
  <sheetData>
    <row r="1" spans="1:20" x14ac:dyDescent="0.25">
      <c r="B1" s="2" t="s">
        <v>0</v>
      </c>
    </row>
    <row r="2" spans="1:20" x14ac:dyDescent="0.25">
      <c r="B2" s="3" t="s">
        <v>1</v>
      </c>
      <c r="G2" t="s">
        <v>2</v>
      </c>
    </row>
    <row r="3" spans="1:20" ht="84.75" customHeight="1" x14ac:dyDescent="0.25">
      <c r="A3" s="1" t="s">
        <v>3</v>
      </c>
      <c r="B3" s="81" t="s">
        <v>4</v>
      </c>
      <c r="C3" s="81"/>
      <c r="D3" s="81"/>
      <c r="E3" s="81"/>
      <c r="F3" s="81"/>
      <c r="G3" s="81"/>
      <c r="H3" s="81"/>
      <c r="I3" s="81"/>
      <c r="J3" s="81"/>
      <c r="K3" s="81"/>
    </row>
    <row r="4" spans="1:20" ht="15.75" thickBot="1" x14ac:dyDescent="0.3">
      <c r="B4" s="4" t="s">
        <v>5</v>
      </c>
      <c r="C4" s="5"/>
      <c r="D4" s="5"/>
      <c r="E4" s="5"/>
      <c r="F4" s="5"/>
      <c r="G4" s="5"/>
      <c r="H4" s="5"/>
      <c r="I4" s="5"/>
      <c r="J4" s="5"/>
    </row>
    <row r="5" spans="1:20" ht="30.75" thickBot="1" x14ac:dyDescent="0.3">
      <c r="B5" s="5" t="s">
        <v>6</v>
      </c>
      <c r="C5" s="5"/>
      <c r="D5" s="5"/>
      <c r="E5" s="5"/>
      <c r="F5" s="5"/>
      <c r="G5" s="5"/>
      <c r="H5" s="5"/>
      <c r="I5" s="5"/>
      <c r="J5" s="5"/>
      <c r="K5" s="6" t="s">
        <v>7</v>
      </c>
      <c r="L5" s="7" t="s">
        <v>8</v>
      </c>
      <c r="M5" s="8" t="s">
        <v>9</v>
      </c>
      <c r="N5" s="9" t="s">
        <v>10</v>
      </c>
      <c r="O5" s="10" t="s">
        <v>11</v>
      </c>
      <c r="P5" s="10" t="s">
        <v>12</v>
      </c>
      <c r="Q5" s="80" t="s">
        <v>13</v>
      </c>
      <c r="R5" s="80"/>
      <c r="S5" s="80"/>
      <c r="T5" s="80"/>
    </row>
    <row r="6" spans="1:20" ht="18" customHeight="1" thickBot="1" x14ac:dyDescent="0.3">
      <c r="B6" s="5" t="s">
        <v>14</v>
      </c>
      <c r="C6" s="5"/>
      <c r="D6" s="5"/>
      <c r="E6" s="5"/>
      <c r="F6" s="5"/>
      <c r="G6" s="5"/>
      <c r="H6" s="5"/>
      <c r="I6" s="5"/>
      <c r="J6" s="5"/>
      <c r="K6" s="11" t="s">
        <v>15</v>
      </c>
      <c r="L6" s="12" t="s">
        <v>16</v>
      </c>
      <c r="M6" s="8" t="s">
        <v>17</v>
      </c>
      <c r="N6" s="9" t="s">
        <v>18</v>
      </c>
      <c r="Q6" s="80" t="s">
        <v>19</v>
      </c>
      <c r="R6" s="80"/>
      <c r="S6" s="80"/>
      <c r="T6" s="80"/>
    </row>
    <row r="7" spans="1:20" ht="15.75" thickBot="1" x14ac:dyDescent="0.3">
      <c r="B7" s="5" t="s">
        <v>20</v>
      </c>
      <c r="C7" s="5"/>
      <c r="D7" s="5"/>
      <c r="E7" s="5"/>
      <c r="F7" s="5"/>
      <c r="G7" s="5"/>
      <c r="H7" s="5"/>
      <c r="I7" s="5"/>
      <c r="J7" s="5"/>
      <c r="K7" s="11">
        <v>0.14299999999999999</v>
      </c>
      <c r="L7" s="13">
        <v>1.5</v>
      </c>
      <c r="M7" s="14">
        <f>(L7/1000000)/$C$16/$C$13/$C$11</f>
        <v>6.8209261325097992E-6</v>
      </c>
      <c r="N7" s="15">
        <f t="shared" ref="N7:N11" si="0">$C$17/M7*1000000</f>
        <v>197.92033717615701</v>
      </c>
      <c r="O7" s="16">
        <f>(L7/1000000)/((K7/18)+L7/1000000)</f>
        <v>1.8877554587595354E-4</v>
      </c>
      <c r="P7" s="17">
        <f>O7/C$11</f>
        <v>0.10487530326441863</v>
      </c>
      <c r="Q7" s="80"/>
      <c r="R7" s="80"/>
      <c r="S7" s="80"/>
      <c r="T7" s="80"/>
    </row>
    <row r="8" spans="1:20" ht="15.75" thickBot="1" x14ac:dyDescent="0.3">
      <c r="B8" s="5" t="s">
        <v>21</v>
      </c>
      <c r="C8" s="5"/>
      <c r="D8" s="5"/>
      <c r="E8" s="5"/>
      <c r="F8" s="5"/>
      <c r="G8" s="5"/>
      <c r="H8" s="5"/>
      <c r="I8" s="5"/>
      <c r="J8" s="5"/>
      <c r="K8" s="11">
        <v>0.56799999999999995</v>
      </c>
      <c r="L8" s="18">
        <v>3</v>
      </c>
      <c r="M8" s="14">
        <f t="shared" ref="M8:M12" si="1">(L8/1000000)/$C$16/$C$13/$C$11</f>
        <v>1.3641852265019598E-5</v>
      </c>
      <c r="N8" s="19">
        <f t="shared" si="0"/>
        <v>98.960168588078503</v>
      </c>
      <c r="O8" s="16">
        <f t="shared" ref="O8:O12" si="2">(L8/1000000)/((K8/18)+L8/1000000)</f>
        <v>9.5061385009171669E-5</v>
      </c>
      <c r="P8" s="17">
        <f t="shared" ref="P8:P12" si="3">O8/C$11</f>
        <v>5.2811880560650927E-2</v>
      </c>
      <c r="Q8" s="80"/>
      <c r="R8" s="80"/>
      <c r="S8" s="80"/>
      <c r="T8" s="80"/>
    </row>
    <row r="9" spans="1:20" ht="15.75" thickBot="1" x14ac:dyDescent="0.3">
      <c r="B9" s="5"/>
      <c r="C9" s="5"/>
      <c r="D9" s="5"/>
      <c r="E9" s="5"/>
      <c r="F9" s="5"/>
      <c r="G9" s="5"/>
      <c r="H9" s="5"/>
      <c r="I9" s="5"/>
      <c r="J9" s="5"/>
      <c r="K9" s="20">
        <v>1.278</v>
      </c>
      <c r="L9" s="18">
        <v>4.25</v>
      </c>
      <c r="M9" s="14">
        <f t="shared" si="1"/>
        <v>1.9325957375444427E-5</v>
      </c>
      <c r="N9" s="19">
        <f t="shared" si="0"/>
        <v>69.854236650408382</v>
      </c>
      <c r="O9" s="16">
        <f t="shared" si="2"/>
        <v>5.985557202561818E-5</v>
      </c>
      <c r="P9" s="17">
        <f t="shared" si="3"/>
        <v>3.325309556978788E-2</v>
      </c>
      <c r="Q9" s="80"/>
      <c r="R9" s="80"/>
      <c r="S9" s="80"/>
      <c r="T9" s="80"/>
    </row>
    <row r="10" spans="1:20" ht="15.75" thickBot="1" x14ac:dyDescent="0.3">
      <c r="B10" s="5"/>
      <c r="C10" s="5"/>
      <c r="D10" s="5"/>
      <c r="E10" s="5"/>
      <c r="F10" s="5"/>
      <c r="G10" s="5"/>
      <c r="H10" s="5"/>
      <c r="I10" s="5"/>
      <c r="J10" s="5"/>
      <c r="K10" s="20">
        <v>2.3719999999999999</v>
      </c>
      <c r="L10" s="18">
        <v>6.15</v>
      </c>
      <c r="M10" s="14">
        <f t="shared" si="1"/>
        <v>2.7965797143290179E-5</v>
      </c>
      <c r="N10" s="19">
        <f>$C$17/M10*1000000</f>
        <v>48.273252969794385</v>
      </c>
      <c r="O10" s="16">
        <f t="shared" si="2"/>
        <v>4.6667299295939268E-5</v>
      </c>
      <c r="P10" s="17">
        <f t="shared" si="3"/>
        <v>2.5926277386632928E-2</v>
      </c>
      <c r="Q10" s="80" t="s">
        <v>22</v>
      </c>
      <c r="R10" s="80"/>
      <c r="S10" s="80"/>
      <c r="T10" s="80"/>
    </row>
    <row r="11" spans="1:20" ht="15.75" thickBot="1" x14ac:dyDescent="0.3">
      <c r="B11" s="5" t="s">
        <v>23</v>
      </c>
      <c r="C11" s="21">
        <f>100/C13</f>
        <v>1.8E-3</v>
      </c>
      <c r="D11" s="5"/>
      <c r="E11" s="5" t="s">
        <v>24</v>
      </c>
      <c r="F11" s="5" t="s">
        <v>25</v>
      </c>
      <c r="G11" s="5"/>
      <c r="H11" s="5"/>
      <c r="I11" s="5"/>
      <c r="J11" s="5"/>
      <c r="K11" s="20">
        <v>3.5710000000000002</v>
      </c>
      <c r="L11" s="18">
        <v>7.2</v>
      </c>
      <c r="M11" s="14">
        <f t="shared" si="1"/>
        <v>3.2740445436047037E-5</v>
      </c>
      <c r="N11" s="19">
        <f t="shared" si="0"/>
        <v>41.233403578366044</v>
      </c>
      <c r="O11" s="16">
        <f t="shared" si="2"/>
        <v>3.6291037995372665E-5</v>
      </c>
      <c r="P11" s="17">
        <f t="shared" si="3"/>
        <v>2.0161687775207035E-2</v>
      </c>
      <c r="Q11" s="80"/>
      <c r="R11" s="80"/>
      <c r="S11" s="80"/>
      <c r="T11" s="80"/>
    </row>
    <row r="12" spans="1:20" ht="15.75" thickBot="1" x14ac:dyDescent="0.3">
      <c r="B12" s="5" t="s">
        <v>26</v>
      </c>
      <c r="C12" s="5">
        <v>0</v>
      </c>
      <c r="D12" s="5"/>
      <c r="E12" s="5" t="s">
        <v>24</v>
      </c>
      <c r="F12" s="5" t="s">
        <v>27</v>
      </c>
      <c r="G12" s="5"/>
      <c r="H12" s="5"/>
      <c r="I12" s="5"/>
      <c r="J12" s="5"/>
      <c r="K12" s="20">
        <v>5.1420000000000003</v>
      </c>
      <c r="L12" s="18">
        <v>8.75</v>
      </c>
      <c r="M12" s="22">
        <f t="shared" si="1"/>
        <v>3.9788735772973831E-5</v>
      </c>
      <c r="N12" s="23">
        <f>$C$17/M12*1000000</f>
        <v>33.929200658769773</v>
      </c>
      <c r="O12" s="16">
        <f t="shared" si="2"/>
        <v>3.0629166842905913E-5</v>
      </c>
      <c r="P12" s="17">
        <f t="shared" si="3"/>
        <v>1.7016203801614397E-2</v>
      </c>
    </row>
    <row r="13" spans="1:20" x14ac:dyDescent="0.25">
      <c r="B13" s="5" t="s">
        <v>28</v>
      </c>
      <c r="C13" s="24">
        <f>1000000/18</f>
        <v>55555.555555555555</v>
      </c>
      <c r="D13" s="5"/>
      <c r="E13" s="5" t="s">
        <v>29</v>
      </c>
      <c r="F13" s="5" t="s">
        <v>30</v>
      </c>
      <c r="G13" s="5"/>
      <c r="H13" s="5"/>
      <c r="I13" s="5"/>
      <c r="J13" s="5"/>
    </row>
    <row r="14" spans="1:20" x14ac:dyDescent="0.25">
      <c r="B14" s="5" t="s">
        <v>31</v>
      </c>
      <c r="C14" s="25"/>
      <c r="D14" s="5"/>
      <c r="E14" s="5" t="s">
        <v>17</v>
      </c>
      <c r="F14" s="5" t="s">
        <v>32</v>
      </c>
      <c r="G14" s="5"/>
      <c r="H14" s="5"/>
      <c r="I14" s="5"/>
      <c r="J14" s="5"/>
    </row>
    <row r="15" spans="1:20" x14ac:dyDescent="0.25">
      <c r="B15" s="5" t="s">
        <v>33</v>
      </c>
      <c r="C15" s="5" t="s">
        <v>34</v>
      </c>
      <c r="D15" s="5"/>
      <c r="E15" s="5" t="s">
        <v>35</v>
      </c>
      <c r="F15" s="5" t="s">
        <v>36</v>
      </c>
      <c r="G15" s="5"/>
      <c r="H15" s="5"/>
      <c r="I15" s="5"/>
      <c r="J15" s="5"/>
    </row>
    <row r="16" spans="1:20" x14ac:dyDescent="0.25">
      <c r="B16" s="5" t="s">
        <v>37</v>
      </c>
      <c r="C16" s="26">
        <f>0.07*PI()*0.01</f>
        <v>2.1991148575128557E-3</v>
      </c>
      <c r="D16" s="5"/>
      <c r="E16" s="5" t="s">
        <v>38</v>
      </c>
      <c r="F16" s="5" t="s">
        <v>39</v>
      </c>
      <c r="G16" s="5"/>
      <c r="H16" s="5"/>
      <c r="I16" s="5"/>
      <c r="J16" s="5"/>
    </row>
    <row r="17" spans="1:37" x14ac:dyDescent="0.25">
      <c r="A17"/>
      <c r="B17" s="5" t="s">
        <v>40</v>
      </c>
      <c r="C17" s="27">
        <v>1.3500000000000001E-9</v>
      </c>
      <c r="D17" s="5"/>
      <c r="E17" s="5" t="s">
        <v>41</v>
      </c>
      <c r="F17" s="5" t="s">
        <v>42</v>
      </c>
      <c r="G17" s="5"/>
      <c r="H17" s="5"/>
      <c r="I17" s="5"/>
      <c r="J17" s="5"/>
    </row>
    <row r="18" spans="1:37" x14ac:dyDescent="0.25">
      <c r="A18"/>
      <c r="B18" s="5" t="s">
        <v>43</v>
      </c>
      <c r="C18" s="27"/>
      <c r="D18" s="5"/>
      <c r="E18" s="5"/>
      <c r="F18" s="5" t="s">
        <v>44</v>
      </c>
      <c r="G18" s="5"/>
      <c r="H18" s="5"/>
      <c r="I18" s="5"/>
      <c r="J18" s="5"/>
    </row>
    <row r="19" spans="1:37" x14ac:dyDescent="0.25">
      <c r="A19"/>
      <c r="B19" s="5" t="s">
        <v>45</v>
      </c>
      <c r="D19" s="27">
        <f>100/C13</f>
        <v>1.8E-3</v>
      </c>
      <c r="E19" s="5" t="s">
        <v>46</v>
      </c>
      <c r="F19" s="5" t="s">
        <v>47</v>
      </c>
      <c r="G19" s="5"/>
      <c r="H19" s="5"/>
      <c r="I19" s="5"/>
      <c r="J19" s="5"/>
    </row>
    <row r="20" spans="1:37" x14ac:dyDescent="0.25">
      <c r="B20" s="5" t="s">
        <v>48</v>
      </c>
      <c r="C20" s="5"/>
      <c r="D20" s="5"/>
      <c r="E20" s="5"/>
      <c r="F20" s="5"/>
      <c r="G20" s="5"/>
      <c r="H20" s="5"/>
      <c r="I20" s="5"/>
      <c r="J20" s="5"/>
    </row>
    <row r="21" spans="1:37" x14ac:dyDescent="0.25">
      <c r="B21" s="4" t="s">
        <v>49</v>
      </c>
      <c r="C21" s="25" t="s">
        <v>50</v>
      </c>
      <c r="D21" s="5"/>
      <c r="E21" s="5"/>
      <c r="F21" s="5"/>
      <c r="G21" s="5"/>
      <c r="H21" s="5"/>
      <c r="I21" s="5"/>
      <c r="J21" s="5"/>
    </row>
    <row r="22" spans="1:37" x14ac:dyDescent="0.25">
      <c r="B22" s="5"/>
      <c r="C22" s="25" t="s">
        <v>51</v>
      </c>
      <c r="D22" s="5"/>
      <c r="E22" s="5"/>
      <c r="F22" s="5"/>
      <c r="G22" s="5"/>
      <c r="H22" s="5"/>
      <c r="I22" s="5"/>
      <c r="J22" s="5"/>
      <c r="S22" s="28"/>
    </row>
    <row r="23" spans="1:37" x14ac:dyDescent="0.25">
      <c r="B23" s="5"/>
      <c r="C23" s="5" t="s">
        <v>52</v>
      </c>
      <c r="D23" s="5"/>
      <c r="E23" s="5"/>
      <c r="F23" s="5"/>
      <c r="G23" s="5"/>
      <c r="H23" s="5"/>
      <c r="I23" s="5"/>
      <c r="J23" s="5"/>
    </row>
    <row r="24" spans="1:37" x14ac:dyDescent="0.25">
      <c r="B24" s="5"/>
      <c r="C24" s="25" t="s">
        <v>53</v>
      </c>
      <c r="D24" s="5"/>
      <c r="E24" s="5"/>
      <c r="F24" s="5"/>
      <c r="G24" s="5"/>
      <c r="H24" s="5"/>
      <c r="I24" s="5"/>
      <c r="J24" s="5"/>
      <c r="S24" s="28"/>
    </row>
    <row r="25" spans="1:37" x14ac:dyDescent="0.25">
      <c r="B25" s="5"/>
      <c r="C25" s="5" t="s">
        <v>54</v>
      </c>
      <c r="D25" s="5"/>
      <c r="E25" s="5"/>
      <c r="F25" s="5"/>
      <c r="G25" s="5"/>
      <c r="H25" s="5"/>
      <c r="I25" s="5"/>
      <c r="J25" s="5"/>
    </row>
    <row r="26" spans="1:37" x14ac:dyDescent="0.25">
      <c r="B26" s="2" t="s">
        <v>0</v>
      </c>
    </row>
    <row r="27" spans="1:37" x14ac:dyDescent="0.25">
      <c r="B27" s="3" t="s">
        <v>55</v>
      </c>
      <c r="H27" s="3" t="s">
        <v>56</v>
      </c>
    </row>
    <row r="28" spans="1:37" ht="127.9" customHeight="1" x14ac:dyDescent="0.25">
      <c r="A28" s="1" t="s">
        <v>57</v>
      </c>
      <c r="B28" s="80" t="s">
        <v>58</v>
      </c>
      <c r="C28" s="80"/>
      <c r="D28" s="80"/>
      <c r="E28" s="80"/>
      <c r="F28" s="80"/>
      <c r="G28" s="80"/>
      <c r="H28" s="80"/>
      <c r="I28" s="80"/>
      <c r="J28" s="80"/>
      <c r="K28" s="10"/>
    </row>
    <row r="29" spans="1:37" x14ac:dyDescent="0.25">
      <c r="B29" s="4" t="s">
        <v>5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</row>
    <row r="30" spans="1:37" x14ac:dyDescent="0.25">
      <c r="B30" s="29" t="s">
        <v>59</v>
      </c>
      <c r="C30" s="5" t="s">
        <v>60</v>
      </c>
      <c r="D30" s="5"/>
      <c r="E30" s="5"/>
      <c r="F30" s="5"/>
      <c r="G30" s="5"/>
      <c r="H30" s="5"/>
      <c r="I30" s="5"/>
      <c r="J30" s="4" t="s">
        <v>61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</row>
    <row r="31" spans="1:37" x14ac:dyDescent="0.25">
      <c r="B31" s="4"/>
      <c r="C31" s="5" t="s">
        <v>62</v>
      </c>
      <c r="E31" s="5"/>
      <c r="F31" s="5"/>
      <c r="G31" s="5"/>
      <c r="H31" s="5"/>
      <c r="I31" s="5"/>
      <c r="J31" s="5" t="s">
        <v>63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</row>
    <row r="32" spans="1:37" x14ac:dyDescent="0.25">
      <c r="B32" s="4"/>
      <c r="C32" s="5" t="s">
        <v>64</v>
      </c>
      <c r="D32" s="5"/>
      <c r="E32" s="5"/>
      <c r="F32" s="5"/>
      <c r="G32" s="5"/>
      <c r="H32" s="5"/>
      <c r="I32" s="5"/>
      <c r="J32" s="5" t="s">
        <v>65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</row>
    <row r="33" spans="1:37" x14ac:dyDescent="0.25">
      <c r="B33" s="4"/>
      <c r="C33" s="5" t="s">
        <v>66</v>
      </c>
      <c r="D33" s="30">
        <f>1/C11</f>
        <v>555.55555555555554</v>
      </c>
      <c r="F33" s="5"/>
      <c r="G33" s="5"/>
      <c r="H33" s="5"/>
      <c r="I33" s="5"/>
      <c r="J33" s="5" t="s">
        <v>67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</row>
    <row r="34" spans="1:37" x14ac:dyDescent="0.25">
      <c r="B34" s="4"/>
      <c r="C34" s="5" t="s">
        <v>68</v>
      </c>
      <c r="D34" s="5"/>
      <c r="E34" s="5"/>
      <c r="F34" s="5"/>
      <c r="G34" s="5"/>
      <c r="H34" s="5"/>
      <c r="I34" s="5"/>
      <c r="J34" s="5" t="s">
        <v>69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</row>
    <row r="35" spans="1:37" x14ac:dyDescent="0.25">
      <c r="B35" s="4"/>
      <c r="C35" s="5"/>
      <c r="D35" s="5"/>
      <c r="E35" s="5"/>
      <c r="F35" s="5"/>
      <c r="G35" s="5"/>
      <c r="H35" s="30"/>
      <c r="I35" s="5"/>
      <c r="K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</row>
    <row r="36" spans="1:37" x14ac:dyDescent="0.25">
      <c r="A36"/>
      <c r="B36" s="29" t="s">
        <v>70</v>
      </c>
      <c r="C36" s="5" t="s">
        <v>71</v>
      </c>
      <c r="D36" s="5"/>
      <c r="E36" s="5"/>
      <c r="F36" s="5"/>
      <c r="G36" s="5"/>
      <c r="H36" s="5"/>
      <c r="I36" s="5"/>
      <c r="K36" s="5"/>
      <c r="P36" s="5"/>
      <c r="Q36" s="5"/>
      <c r="R36" s="5"/>
      <c r="S36" s="5"/>
      <c r="T36" s="5"/>
      <c r="U36" s="5"/>
      <c r="V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</row>
    <row r="37" spans="1:37" x14ac:dyDescent="0.25">
      <c r="A37"/>
      <c r="B37" s="5"/>
      <c r="C37" s="5" t="s">
        <v>72</v>
      </c>
      <c r="D37" s="5"/>
      <c r="E37" s="5"/>
      <c r="F37" s="5"/>
      <c r="G37" s="5"/>
      <c r="H37" s="5"/>
      <c r="I37" s="5"/>
      <c r="J37" s="5"/>
      <c r="K37" s="5"/>
      <c r="P37" s="5"/>
      <c r="Q37" s="27"/>
      <c r="R37" s="5"/>
      <c r="S37" s="5"/>
      <c r="T37" s="5"/>
      <c r="U37" s="5"/>
      <c r="V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</row>
    <row r="38" spans="1:37" x14ac:dyDescent="0.25">
      <c r="A38"/>
      <c r="B38" s="5"/>
      <c r="C38" s="5" t="s">
        <v>73</v>
      </c>
      <c r="D38" s="5"/>
      <c r="E38" s="5"/>
      <c r="F38" s="5"/>
      <c r="G38" s="5"/>
      <c r="H38" s="5"/>
      <c r="I38" s="5"/>
      <c r="J38" s="5"/>
      <c r="K38" s="5"/>
      <c r="P38" s="5"/>
      <c r="Q38" s="5"/>
      <c r="R38" s="5"/>
      <c r="S38" s="5"/>
      <c r="T38" s="5"/>
      <c r="U38" s="5"/>
      <c r="V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</row>
    <row r="39" spans="1:37" x14ac:dyDescent="0.25">
      <c r="A39"/>
      <c r="B39" s="5"/>
      <c r="C39" s="5" t="s">
        <v>21</v>
      </c>
      <c r="D39" s="5"/>
      <c r="E39" s="5"/>
      <c r="F39" s="5"/>
      <c r="G39" s="5"/>
      <c r="H39" s="5"/>
      <c r="I39" s="5"/>
      <c r="J39" s="5"/>
      <c r="K39" s="5"/>
      <c r="P39" s="5"/>
      <c r="Q39" s="27"/>
      <c r="R39" s="5"/>
      <c r="S39" s="5"/>
      <c r="T39" s="5"/>
      <c r="U39" s="5"/>
      <c r="V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</row>
    <row r="40" spans="1:37" x14ac:dyDescent="0.25">
      <c r="A40"/>
      <c r="B40" s="5"/>
      <c r="C40" s="5"/>
      <c r="D40" s="5"/>
      <c r="E40" s="5"/>
      <c r="F40" s="5"/>
      <c r="G40" s="5"/>
      <c r="H40" s="5"/>
      <c r="I40" s="5"/>
      <c r="J40" s="5"/>
      <c r="K40" s="5"/>
      <c r="P40" s="5"/>
      <c r="Q40" s="5"/>
      <c r="R40" s="5"/>
      <c r="S40" s="5"/>
      <c r="T40" s="5"/>
      <c r="U40" s="5"/>
      <c r="V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</row>
    <row r="41" spans="1:37" x14ac:dyDescent="0.25">
      <c r="A41"/>
      <c r="B41" s="5"/>
      <c r="C41" s="5" t="s">
        <v>26</v>
      </c>
      <c r="D41" s="5">
        <v>0</v>
      </c>
      <c r="E41" s="5"/>
      <c r="F41" s="5" t="s">
        <v>74</v>
      </c>
      <c r="G41" s="5"/>
      <c r="H41" s="5"/>
      <c r="I41" s="5"/>
      <c r="J41" s="5"/>
      <c r="K41" s="5"/>
      <c r="P41" s="5"/>
      <c r="Q41" s="5"/>
      <c r="R41" s="5"/>
      <c r="S41" s="5"/>
      <c r="T41" s="5"/>
      <c r="U41" s="5"/>
      <c r="V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</row>
    <row r="42" spans="1:37" x14ac:dyDescent="0.25">
      <c r="A42"/>
      <c r="B42" s="5"/>
      <c r="C42" s="5" t="s">
        <v>75</v>
      </c>
      <c r="D42" s="5">
        <f>D33*D41</f>
        <v>0</v>
      </c>
      <c r="E42" s="5"/>
      <c r="F42" s="5" t="s">
        <v>76</v>
      </c>
      <c r="G42" s="5"/>
      <c r="H42" s="5"/>
      <c r="I42" s="5"/>
      <c r="J42" s="5"/>
      <c r="K42" s="5"/>
      <c r="T42" s="5"/>
      <c r="U42" s="5"/>
      <c r="V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</row>
    <row r="43" spans="1:37" x14ac:dyDescent="0.25">
      <c r="A43"/>
      <c r="B43" s="5"/>
      <c r="C43" s="5" t="s">
        <v>77</v>
      </c>
      <c r="D43" s="31">
        <v>0.01</v>
      </c>
      <c r="E43" s="5"/>
      <c r="F43" s="5" t="s">
        <v>78</v>
      </c>
      <c r="G43" s="5"/>
      <c r="H43" s="5"/>
      <c r="I43" s="5"/>
      <c r="J43" s="5"/>
      <c r="K43" s="5"/>
      <c r="T43" s="5"/>
      <c r="U43" s="5"/>
      <c r="V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</row>
    <row r="44" spans="1:37" x14ac:dyDescent="0.25">
      <c r="A44"/>
      <c r="B44" s="5"/>
      <c r="C44" s="5" t="s">
        <v>79</v>
      </c>
      <c r="D44" s="30">
        <f>J45/J46/J44</f>
        <v>40.923228024226546</v>
      </c>
      <c r="E44" s="5" t="s">
        <v>29</v>
      </c>
      <c r="F44" s="5" t="s">
        <v>80</v>
      </c>
      <c r="G44" s="5"/>
      <c r="H44" s="5"/>
      <c r="I44" s="5" t="s">
        <v>81</v>
      </c>
      <c r="J44" s="5">
        <v>298</v>
      </c>
      <c r="K44" s="5" t="s">
        <v>82</v>
      </c>
      <c r="T44" s="5"/>
      <c r="U44" s="5"/>
      <c r="V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</row>
    <row r="45" spans="1:37" x14ac:dyDescent="0.25">
      <c r="A45"/>
      <c r="B45" s="5"/>
      <c r="C45" s="5" t="s">
        <v>83</v>
      </c>
      <c r="D45" s="5"/>
      <c r="E45" s="5" t="s">
        <v>17</v>
      </c>
      <c r="F45" s="5" t="s">
        <v>84</v>
      </c>
      <c r="G45" s="5"/>
      <c r="H45" s="5"/>
      <c r="I45" s="5" t="s">
        <v>85</v>
      </c>
      <c r="J45" s="5">
        <v>1</v>
      </c>
      <c r="K45" s="5" t="s">
        <v>86</v>
      </c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</row>
    <row r="46" spans="1:37" x14ac:dyDescent="0.25">
      <c r="A46"/>
      <c r="B46" s="5"/>
      <c r="C46" s="5" t="s">
        <v>87</v>
      </c>
      <c r="D46" s="5" t="s">
        <v>88</v>
      </c>
      <c r="E46" s="5" t="s">
        <v>35</v>
      </c>
      <c r="F46" s="5" t="s">
        <v>89</v>
      </c>
      <c r="G46" s="5"/>
      <c r="H46" s="5"/>
      <c r="I46" s="5" t="s">
        <v>90</v>
      </c>
      <c r="J46" s="5">
        <f>0.000082</f>
        <v>8.2000000000000001E-5</v>
      </c>
      <c r="K46" s="5" t="s">
        <v>91</v>
      </c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</row>
    <row r="47" spans="1:37" x14ac:dyDescent="0.25">
      <c r="A47"/>
      <c r="B47" s="5"/>
      <c r="C47" s="5" t="s">
        <v>37</v>
      </c>
      <c r="D47" s="32">
        <f>0.07*PI()*0.01</f>
        <v>2.1991148575128557E-3</v>
      </c>
      <c r="E47" s="5" t="s">
        <v>38</v>
      </c>
      <c r="F47" s="5" t="s">
        <v>92</v>
      </c>
      <c r="G47" s="5"/>
      <c r="H47" s="5"/>
      <c r="I47" s="5"/>
      <c r="J47" s="5"/>
      <c r="K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</row>
    <row r="48" spans="1:37" x14ac:dyDescent="0.25">
      <c r="A48"/>
      <c r="B48" s="5"/>
      <c r="C48" s="5" t="s">
        <v>93</v>
      </c>
      <c r="D48" s="27">
        <v>1.2999999999999999E-5</v>
      </c>
      <c r="E48" s="5" t="s">
        <v>41</v>
      </c>
      <c r="F48" s="5" t="s">
        <v>94</v>
      </c>
      <c r="G48" s="5"/>
      <c r="H48" s="5"/>
      <c r="I48" s="5"/>
      <c r="J48" s="5"/>
      <c r="K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</row>
    <row r="49" spans="1:37" x14ac:dyDescent="0.25">
      <c r="B49" s="5">
        <v>1000</v>
      </c>
      <c r="C49" s="5" t="s">
        <v>95</v>
      </c>
      <c r="D49" s="5">
        <v>1000</v>
      </c>
      <c r="E49" s="5" t="s">
        <v>18</v>
      </c>
      <c r="F49" s="5" t="s">
        <v>96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33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</row>
    <row r="50" spans="1:37" x14ac:dyDescent="0.25">
      <c r="A50"/>
      <c r="B50" s="5"/>
      <c r="C50" s="5"/>
      <c r="D50" s="5"/>
      <c r="E50" s="5"/>
      <c r="F50" s="5"/>
      <c r="G50" s="5"/>
      <c r="H50" s="5"/>
      <c r="I50" s="5"/>
      <c r="J50" s="5"/>
      <c r="K50" s="5"/>
      <c r="P50" s="5"/>
      <c r="Q50" s="27"/>
      <c r="R50" s="5"/>
      <c r="S50" s="5"/>
      <c r="T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</row>
    <row r="51" spans="1:37" x14ac:dyDescent="0.25">
      <c r="A51"/>
      <c r="B51" s="5"/>
      <c r="C51" s="5"/>
      <c r="D51" s="5"/>
      <c r="E51" s="5"/>
      <c r="F51" s="5"/>
      <c r="G51" s="5"/>
      <c r="H51" s="5"/>
      <c r="I51" s="5"/>
      <c r="J51" s="5"/>
      <c r="K51" s="5"/>
      <c r="P51" s="5"/>
      <c r="Q51" s="5"/>
      <c r="R51" s="5"/>
      <c r="S51" s="5"/>
      <c r="T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</row>
    <row r="52" spans="1:37" x14ac:dyDescent="0.25">
      <c r="A52"/>
      <c r="B52" s="5"/>
      <c r="C52" s="5"/>
      <c r="D52" s="5"/>
      <c r="E52" s="5"/>
      <c r="F52" s="5"/>
      <c r="G52" s="5"/>
      <c r="H52" s="5"/>
      <c r="I52" s="5"/>
      <c r="J52" s="5"/>
      <c r="K52" s="5"/>
      <c r="P52" s="5"/>
      <c r="Q52" s="27"/>
      <c r="R52" s="5"/>
      <c r="S52" s="5"/>
      <c r="T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</row>
    <row r="53" spans="1:37" x14ac:dyDescent="0.25">
      <c r="A53"/>
      <c r="B53" s="5"/>
      <c r="C53" s="5"/>
      <c r="D53" s="5"/>
      <c r="E53" s="5"/>
      <c r="F53" s="5"/>
      <c r="G53" s="5"/>
      <c r="H53" s="5"/>
      <c r="I53" s="5"/>
      <c r="J53" s="5"/>
      <c r="K53" s="5"/>
      <c r="P53" s="5"/>
      <c r="Q53" s="5"/>
      <c r="R53" s="5"/>
      <c r="S53" s="5"/>
      <c r="T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</row>
    <row r="54" spans="1:37" x14ac:dyDescent="0.25">
      <c r="A54"/>
      <c r="B54" s="5"/>
      <c r="C54" s="5" t="s">
        <v>97</v>
      </c>
      <c r="D54" s="34">
        <f>D48/D49*1000000</f>
        <v>1.2999999999999999E-2</v>
      </c>
      <c r="E54" s="5" t="s">
        <v>17</v>
      </c>
      <c r="F54" s="5" t="s">
        <v>98</v>
      </c>
      <c r="G54" s="5"/>
      <c r="H54" s="5"/>
      <c r="I54" s="5"/>
      <c r="J54" s="5"/>
      <c r="K54" s="5"/>
      <c r="P54" s="5"/>
      <c r="Q54" s="27"/>
      <c r="R54" s="5"/>
      <c r="S54" s="5"/>
      <c r="T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</row>
    <row r="55" spans="1:37" x14ac:dyDescent="0.25">
      <c r="A55" s="35"/>
      <c r="B55" s="35"/>
      <c r="C55" s="5" t="s">
        <v>99</v>
      </c>
      <c r="D55" s="35">
        <v>4.0000000000000003E-5</v>
      </c>
      <c r="E55" s="5" t="s">
        <v>17</v>
      </c>
      <c r="F55" s="5" t="s">
        <v>100</v>
      </c>
      <c r="G55" s="5"/>
      <c r="H55" s="5"/>
      <c r="I55" s="5"/>
      <c r="J55" s="5"/>
      <c r="K55" s="5"/>
      <c r="P55" s="5"/>
      <c r="Q55" s="5"/>
      <c r="R55" s="5"/>
      <c r="S55" s="5"/>
      <c r="T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</row>
    <row r="56" spans="1:37" x14ac:dyDescent="0.25">
      <c r="A56"/>
      <c r="B56" s="5"/>
      <c r="C56" s="5" t="s">
        <v>101</v>
      </c>
      <c r="D56" s="36">
        <f>D33*D44/C13</f>
        <v>0.40923228024226543</v>
      </c>
      <c r="E56" s="5"/>
      <c r="F56" s="5" t="s">
        <v>102</v>
      </c>
      <c r="G56" s="5"/>
      <c r="H56" s="5"/>
      <c r="I56" s="5"/>
      <c r="J56" s="5"/>
      <c r="K56" s="5"/>
      <c r="P56" s="5"/>
      <c r="Q56" s="27"/>
      <c r="R56" s="5"/>
      <c r="S56" s="5"/>
      <c r="T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</row>
    <row r="57" spans="1:37" x14ac:dyDescent="0.25">
      <c r="A57"/>
      <c r="B57" s="5"/>
      <c r="C57" s="4" t="s">
        <v>103</v>
      </c>
      <c r="D57" s="37">
        <f>((1/D54)+(D56/D55))^-1</f>
        <v>9.7014569837370503E-5</v>
      </c>
      <c r="E57" s="5"/>
      <c r="F57" s="5" t="s">
        <v>104</v>
      </c>
      <c r="G57" s="5"/>
      <c r="H57" s="5"/>
      <c r="I57" s="5"/>
      <c r="J57" s="5"/>
      <c r="K57" s="5"/>
      <c r="P57" s="5"/>
      <c r="Q57" s="5"/>
      <c r="R57" s="27"/>
      <c r="S57" s="5"/>
      <c r="T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</row>
    <row r="58" spans="1:37" x14ac:dyDescent="0.25">
      <c r="A58"/>
      <c r="B58" s="5"/>
      <c r="F58" s="5"/>
      <c r="G58" s="5"/>
      <c r="H58" s="5"/>
      <c r="I58" s="5"/>
      <c r="J58" s="5"/>
      <c r="K58" s="5"/>
      <c r="M58" t="s">
        <v>105</v>
      </c>
      <c r="N58" t="s">
        <v>106</v>
      </c>
      <c r="O58" t="s">
        <v>107</v>
      </c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</row>
    <row r="59" spans="1:37" x14ac:dyDescent="0.25">
      <c r="A59"/>
      <c r="B59" s="29" t="s">
        <v>108</v>
      </c>
      <c r="C59" s="4" t="s">
        <v>109</v>
      </c>
      <c r="E59" s="5"/>
      <c r="F59" s="35"/>
      <c r="G59" s="5"/>
      <c r="H59" s="5"/>
      <c r="I59" s="5"/>
      <c r="J59" s="5"/>
      <c r="K59" s="5"/>
      <c r="L59" t="s">
        <v>110</v>
      </c>
      <c r="M59">
        <v>0</v>
      </c>
      <c r="N59" t="e">
        <f>#REF!*M59</f>
        <v>#REF!</v>
      </c>
      <c r="O59" t="s">
        <v>111</v>
      </c>
      <c r="P59" s="37"/>
      <c r="Q59" s="5"/>
      <c r="R59" s="5"/>
      <c r="S59" s="5"/>
      <c r="T59" s="5"/>
      <c r="Z59" s="29"/>
      <c r="AA59" s="5"/>
      <c r="AB59" s="37"/>
      <c r="AC59" s="5"/>
      <c r="AD59" s="35"/>
      <c r="AE59" s="5"/>
      <c r="AF59" s="5"/>
      <c r="AG59" s="5"/>
      <c r="AH59" s="5"/>
      <c r="AI59" s="5"/>
      <c r="AJ59" s="5"/>
      <c r="AK59" s="5"/>
    </row>
    <row r="60" spans="1:37" x14ac:dyDescent="0.25">
      <c r="A60"/>
      <c r="B60" s="5"/>
      <c r="C60" s="5" t="s">
        <v>112</v>
      </c>
      <c r="D60" s="38">
        <f>D54*D56/D55</f>
        <v>133.00049107873625</v>
      </c>
      <c r="E60" s="5"/>
      <c r="F60" s="35"/>
      <c r="G60" s="5"/>
      <c r="H60" s="5"/>
      <c r="I60" s="5"/>
      <c r="J60" s="5"/>
      <c r="K60" s="5"/>
      <c r="L60" s="2" t="s">
        <v>113</v>
      </c>
      <c r="M60" s="28">
        <f>M65</f>
        <v>1.8E-5</v>
      </c>
      <c r="N60" s="28">
        <f>D33*M60</f>
        <v>0.01</v>
      </c>
      <c r="O60" t="s">
        <v>111</v>
      </c>
      <c r="P60" s="5"/>
      <c r="Q60" s="5"/>
      <c r="R60" s="5"/>
      <c r="S60" s="5"/>
      <c r="T60" s="5"/>
      <c r="Z60" s="5"/>
      <c r="AA60" s="5"/>
      <c r="AB60" s="5"/>
      <c r="AC60" s="27"/>
      <c r="AD60" s="5"/>
      <c r="AE60" s="35"/>
      <c r="AF60" s="5"/>
      <c r="AG60" s="5"/>
      <c r="AH60" s="5"/>
      <c r="AI60" s="5"/>
      <c r="AJ60" s="5"/>
      <c r="AK60" s="5"/>
    </row>
    <row r="61" spans="1:37" x14ac:dyDescent="0.25">
      <c r="A61"/>
      <c r="B61" s="5"/>
      <c r="C61" t="s">
        <v>114</v>
      </c>
      <c r="E61" s="35"/>
      <c r="F61" s="39" t="s">
        <v>115</v>
      </c>
      <c r="G61" s="35">
        <f>D66/D55/C13+0</f>
        <v>1.786567213407134E-5</v>
      </c>
      <c r="H61" s="35">
        <v>1.796757742361181E-5</v>
      </c>
      <c r="I61" s="5"/>
      <c r="J61" s="5"/>
      <c r="K61" s="5"/>
      <c r="L61" t="s">
        <v>116</v>
      </c>
      <c r="M61" s="28">
        <f>G61</f>
        <v>1.786567213407134E-5</v>
      </c>
      <c r="N61" s="40">
        <f>G62</f>
        <v>9.9253734078174078E-3</v>
      </c>
      <c r="O61" t="s">
        <v>117</v>
      </c>
      <c r="P61" s="30"/>
      <c r="Q61" s="5"/>
      <c r="R61" s="5"/>
      <c r="S61" s="5"/>
      <c r="T61" s="5"/>
      <c r="Z61" s="5"/>
      <c r="AA61" s="5"/>
      <c r="AB61" s="5"/>
      <c r="AC61" s="27"/>
      <c r="AD61" s="5"/>
      <c r="AE61" s="35"/>
      <c r="AF61" s="5"/>
      <c r="AG61" s="5"/>
      <c r="AH61" s="5"/>
      <c r="AI61" s="5"/>
      <c r="AJ61" s="5"/>
      <c r="AK61" s="5"/>
    </row>
    <row r="62" spans="1:37" x14ac:dyDescent="0.25">
      <c r="A62"/>
      <c r="B62" s="5"/>
      <c r="C62" s="5" t="s">
        <v>118</v>
      </c>
      <c r="E62" s="5"/>
      <c r="F62" s="39" t="s">
        <v>119</v>
      </c>
      <c r="G62" s="35">
        <f>D43-D66/(D54*D44)</f>
        <v>9.9253734078174078E-3</v>
      </c>
      <c r="H62" s="35">
        <v>9.9819874575621179E-3</v>
      </c>
      <c r="I62" s="5"/>
      <c r="J62" s="5"/>
      <c r="K62" s="5"/>
      <c r="L62" t="s">
        <v>120</v>
      </c>
      <c r="M62" s="41">
        <f>L25</f>
        <v>0</v>
      </c>
      <c r="N62" s="42">
        <f>D43</f>
        <v>0.01</v>
      </c>
      <c r="O62" t="s">
        <v>121</v>
      </c>
      <c r="P62" s="43"/>
      <c r="Q62" s="5"/>
      <c r="R62" s="5"/>
      <c r="S62" s="5"/>
      <c r="T62" s="5"/>
      <c r="Z62" s="5"/>
      <c r="AA62" s="5"/>
      <c r="AB62" s="5"/>
      <c r="AC62" s="27"/>
      <c r="AD62" s="5"/>
      <c r="AE62" s="35"/>
      <c r="AF62" s="5"/>
      <c r="AG62" s="5"/>
      <c r="AH62" s="5"/>
      <c r="AI62" s="5"/>
      <c r="AJ62" s="5"/>
      <c r="AK62" s="5"/>
    </row>
    <row r="63" spans="1:37" x14ac:dyDescent="0.25">
      <c r="A63"/>
      <c r="B63" s="5"/>
      <c r="C63" s="5" t="s">
        <v>122</v>
      </c>
      <c r="D63" s="38">
        <f>D54*D44/D55/C13</f>
        <v>0.23940088394172526</v>
      </c>
      <c r="E63" s="5"/>
      <c r="F63" s="5" t="s">
        <v>123</v>
      </c>
      <c r="G63" s="35">
        <f>G61</f>
        <v>1.786567213407134E-5</v>
      </c>
      <c r="H63" s="35">
        <v>1.796757742361181E-5</v>
      </c>
      <c r="I63" s="30">
        <f>G63/H63</f>
        <v>0.99432837899412352</v>
      </c>
      <c r="J63" s="5"/>
      <c r="K63" s="5"/>
      <c r="L63" t="s">
        <v>124</v>
      </c>
      <c r="M63" s="28">
        <v>0</v>
      </c>
      <c r="N63" s="28">
        <v>0</v>
      </c>
      <c r="O63" t="s">
        <v>125</v>
      </c>
      <c r="P63" s="5"/>
      <c r="Q63" s="5"/>
      <c r="R63" s="5"/>
      <c r="S63" s="5"/>
      <c r="T63" s="5"/>
      <c r="Z63" s="5"/>
      <c r="AA63" s="5"/>
      <c r="AB63" s="5"/>
      <c r="AC63" s="27"/>
      <c r="AD63" s="27"/>
      <c r="AE63" s="35"/>
      <c r="AF63" s="5"/>
      <c r="AG63" s="5"/>
      <c r="AH63" s="5"/>
      <c r="AI63" s="5"/>
      <c r="AJ63" s="5"/>
      <c r="AK63" s="5"/>
    </row>
    <row r="64" spans="1:37" x14ac:dyDescent="0.25">
      <c r="A64"/>
      <c r="B64" s="5"/>
      <c r="C64" s="5" t="s">
        <v>126</v>
      </c>
      <c r="E64" s="5"/>
      <c r="F64" s="5" t="s">
        <v>127</v>
      </c>
      <c r="G64" s="35">
        <f>D43-G62</f>
        <v>7.4626592182592405E-5</v>
      </c>
      <c r="H64" s="35">
        <v>1.8012542437882348E-5</v>
      </c>
      <c r="I64" s="30">
        <f>G64/H64</f>
        <v>4.1430349124754597</v>
      </c>
      <c r="J64" s="5"/>
      <c r="K64" s="5"/>
      <c r="L64" t="s">
        <v>120</v>
      </c>
      <c r="M64" s="28">
        <v>0</v>
      </c>
      <c r="N64" s="44">
        <f>D43</f>
        <v>0.01</v>
      </c>
      <c r="O64" t="s">
        <v>121</v>
      </c>
      <c r="P64" s="5"/>
      <c r="Q64" s="5"/>
      <c r="R64" s="5"/>
      <c r="S64" s="5"/>
      <c r="T64" s="5"/>
      <c r="Z64" s="5"/>
      <c r="AA64" s="5"/>
      <c r="AB64" s="5"/>
      <c r="AC64" s="31"/>
      <c r="AD64" s="5"/>
      <c r="AE64" s="35"/>
      <c r="AF64" s="5"/>
      <c r="AG64" s="5"/>
      <c r="AH64" s="5"/>
      <c r="AI64" s="5"/>
      <c r="AJ64" s="5"/>
      <c r="AK64" s="5"/>
    </row>
    <row r="65" spans="1:58" x14ac:dyDescent="0.25">
      <c r="A65"/>
      <c r="B65" s="5"/>
      <c r="C65" s="4" t="s">
        <v>128</v>
      </c>
      <c r="D65" s="30">
        <f>G63/G64</f>
        <v>0.23940088394172626</v>
      </c>
      <c r="E65" s="5"/>
      <c r="F65" t="s">
        <v>129</v>
      </c>
      <c r="G65" s="28">
        <f>D66</f>
        <v>3.9701493631269647E-5</v>
      </c>
      <c r="H65" s="28">
        <v>9.582707959259632E-6</v>
      </c>
      <c r="I65" s="30">
        <f>G65/H65</f>
        <v>4.1430349124755148</v>
      </c>
      <c r="J65" s="5"/>
      <c r="K65" s="5"/>
      <c r="L65" t="s">
        <v>130</v>
      </c>
      <c r="M65" s="28">
        <f>D43/D33</f>
        <v>1.8E-5</v>
      </c>
      <c r="N65" s="40">
        <f>D43</f>
        <v>0.01</v>
      </c>
      <c r="O65" t="s">
        <v>131</v>
      </c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</row>
    <row r="66" spans="1:58" x14ac:dyDescent="0.25">
      <c r="A66"/>
      <c r="B66" s="29" t="s">
        <v>132</v>
      </c>
      <c r="C66" s="5" t="s">
        <v>129</v>
      </c>
      <c r="D66" s="27">
        <f>D57*D44*(D43-D42)</f>
        <v>3.9701493631269647E-5</v>
      </c>
      <c r="E66" s="35" t="s">
        <v>133</v>
      </c>
      <c r="F66" s="5"/>
      <c r="G66" s="5"/>
      <c r="H66" s="5"/>
      <c r="I66" s="5"/>
      <c r="J66" s="5"/>
      <c r="K66" s="5" t="s">
        <v>119</v>
      </c>
      <c r="L66" s="45">
        <f>D43-D66/D54/D44</f>
        <v>9.9253734078174078E-3</v>
      </c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</row>
    <row r="67" spans="1:58" x14ac:dyDescent="0.25">
      <c r="A67"/>
      <c r="B67" s="5"/>
      <c r="C67" s="5" t="s">
        <v>134</v>
      </c>
      <c r="D67" s="27">
        <f>D66*D47</f>
        <v>8.7308144509977093E-8</v>
      </c>
      <c r="E67" s="35" t="s">
        <v>135</v>
      </c>
      <c r="F67" s="5"/>
      <c r="G67" s="5"/>
      <c r="H67" s="5"/>
      <c r="I67" s="5"/>
      <c r="J67" s="5"/>
      <c r="K67" s="5" t="s">
        <v>115</v>
      </c>
      <c r="L67" s="27">
        <f>0+D66/D55/C13</f>
        <v>1.786567213407134E-5</v>
      </c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</row>
    <row r="68" spans="1:58" x14ac:dyDescent="0.25">
      <c r="A68"/>
      <c r="B68" s="5"/>
      <c r="C68" s="5" t="s">
        <v>136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</row>
    <row r="69" spans="1:58" x14ac:dyDescent="0.25">
      <c r="C69" s="5"/>
    </row>
    <row r="71" spans="1:58" x14ac:dyDescent="0.25">
      <c r="B71" s="3" t="s">
        <v>137</v>
      </c>
      <c r="E71" s="3" t="s">
        <v>56</v>
      </c>
    </row>
    <row r="72" spans="1:58" ht="74.25" customHeight="1" x14ac:dyDescent="0.25">
      <c r="A72" s="1" t="s">
        <v>138</v>
      </c>
      <c r="B72" s="80" t="s">
        <v>139</v>
      </c>
      <c r="C72" s="80"/>
      <c r="D72" s="80"/>
      <c r="E72" s="80"/>
      <c r="F72" s="80"/>
      <c r="G72" s="80"/>
      <c r="H72" s="80"/>
      <c r="I72" s="80"/>
      <c r="J72" s="80"/>
      <c r="K72" s="80"/>
    </row>
    <row r="73" spans="1:58" x14ac:dyDescent="0.25">
      <c r="C73" t="s">
        <v>140</v>
      </c>
      <c r="D73">
        <v>0.01</v>
      </c>
      <c r="E73" s="2" t="s">
        <v>141</v>
      </c>
      <c r="F73" t="s">
        <v>142</v>
      </c>
    </row>
    <row r="74" spans="1:58" x14ac:dyDescent="0.25">
      <c r="C74" t="s">
        <v>143</v>
      </c>
      <c r="D74">
        <v>0</v>
      </c>
      <c r="E74" s="2" t="s">
        <v>141</v>
      </c>
      <c r="F74" t="s">
        <v>144</v>
      </c>
      <c r="N74" s="46" t="s">
        <v>145</v>
      </c>
      <c r="O74" s="46"/>
      <c r="P74" s="47" t="s">
        <v>146</v>
      </c>
      <c r="Q74" s="47">
        <v>0.1</v>
      </c>
      <c r="R74" s="48" t="s">
        <v>147</v>
      </c>
      <c r="S74" s="49">
        <f>1/2.5</f>
        <v>0.4</v>
      </c>
      <c r="U74" s="46" t="s">
        <v>148</v>
      </c>
      <c r="V74" s="46"/>
      <c r="W74" s="47" t="s">
        <v>149</v>
      </c>
      <c r="X74" s="47">
        <v>2.2000000000000002</v>
      </c>
      <c r="Y74" s="48"/>
      <c r="Z74" s="50"/>
      <c r="AC74" s="46"/>
      <c r="AD74" s="46"/>
      <c r="AE74" s="47"/>
      <c r="AF74" s="47"/>
      <c r="AG74" s="48"/>
      <c r="AH74" s="48"/>
      <c r="AJ74" s="46"/>
      <c r="AK74" s="46"/>
      <c r="AL74" s="47"/>
      <c r="AM74" s="48"/>
      <c r="AN74" s="48"/>
      <c r="AR74" s="46"/>
      <c r="AS74" s="46"/>
      <c r="AT74" s="47"/>
      <c r="AU74" s="47"/>
      <c r="AV74" s="48"/>
      <c r="AW74" s="49"/>
      <c r="BA74" s="46"/>
      <c r="BB74" s="46"/>
      <c r="BC74" s="47"/>
      <c r="BD74" s="47"/>
      <c r="BE74" s="48"/>
      <c r="BF74" s="49"/>
    </row>
    <row r="75" spans="1:58" x14ac:dyDescent="0.25">
      <c r="C75" t="s">
        <v>150</v>
      </c>
      <c r="D75">
        <v>2</v>
      </c>
      <c r="E75" t="s">
        <v>38</v>
      </c>
      <c r="F75" t="s">
        <v>151</v>
      </c>
      <c r="L75">
        <v>0</v>
      </c>
      <c r="M75" s="46" t="s">
        <v>140</v>
      </c>
      <c r="N75" s="3">
        <v>0.01</v>
      </c>
      <c r="O75">
        <f>N75</f>
        <v>0.01</v>
      </c>
      <c r="P75">
        <f>O75</f>
        <v>0.01</v>
      </c>
      <c r="Q75">
        <f>P75</f>
        <v>0.01</v>
      </c>
      <c r="R75">
        <f>Q75</f>
        <v>0.01</v>
      </c>
      <c r="S75">
        <f>R75</f>
        <v>0.01</v>
      </c>
      <c r="U75">
        <f>N75</f>
        <v>0.01</v>
      </c>
      <c r="V75">
        <f>U75</f>
        <v>0.01</v>
      </c>
      <c r="W75">
        <f>V75</f>
        <v>0.01</v>
      </c>
      <c r="X75">
        <f>W75</f>
        <v>0.01</v>
      </c>
      <c r="Y75">
        <f>X75</f>
        <v>0.01</v>
      </c>
      <c r="Z75">
        <f>Y75</f>
        <v>0.01</v>
      </c>
      <c r="AB75" s="46"/>
      <c r="AQ75" s="46"/>
      <c r="AZ75" s="46"/>
      <c r="BA75" s="3"/>
    </row>
    <row r="76" spans="1:58" x14ac:dyDescent="0.25">
      <c r="C76" t="s">
        <v>152</v>
      </c>
      <c r="D76">
        <v>2</v>
      </c>
      <c r="E76" t="s">
        <v>135</v>
      </c>
      <c r="F76" t="s">
        <v>153</v>
      </c>
      <c r="L76">
        <v>0.01</v>
      </c>
      <c r="M76" s="46" t="s">
        <v>143</v>
      </c>
      <c r="N76" s="3">
        <v>0</v>
      </c>
      <c r="O76">
        <v>0</v>
      </c>
      <c r="P76">
        <v>0</v>
      </c>
      <c r="Q76">
        <v>0</v>
      </c>
      <c r="R76">
        <v>0</v>
      </c>
      <c r="S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B76" s="46"/>
      <c r="AQ76" s="46"/>
      <c r="AZ76" s="46"/>
      <c r="BA76" s="3"/>
    </row>
    <row r="77" spans="1:58" x14ac:dyDescent="0.25">
      <c r="C77" t="s">
        <v>154</v>
      </c>
      <c r="D77" s="28">
        <f>D76/2000</f>
        <v>1E-3</v>
      </c>
      <c r="E77" t="s">
        <v>135</v>
      </c>
      <c r="F77" t="s">
        <v>155</v>
      </c>
      <c r="L77">
        <v>1800</v>
      </c>
      <c r="M77" s="46" t="s">
        <v>150</v>
      </c>
      <c r="N77" s="77">
        <v>2</v>
      </c>
      <c r="O77" s="61">
        <f t="shared" ref="O77:S78" si="4">N77</f>
        <v>2</v>
      </c>
      <c r="P77" s="61">
        <f t="shared" si="4"/>
        <v>2</v>
      </c>
      <c r="Q77" s="61">
        <f t="shared" si="4"/>
        <v>2</v>
      </c>
      <c r="R77" s="61">
        <f t="shared" si="4"/>
        <v>2</v>
      </c>
      <c r="S77" s="61">
        <f t="shared" si="4"/>
        <v>2</v>
      </c>
      <c r="U77" s="53">
        <v>0.2</v>
      </c>
      <c r="V77" s="53">
        <f>U77*$X$74</f>
        <v>0.44000000000000006</v>
      </c>
      <c r="W77" s="54">
        <f>V77*$X$74</f>
        <v>0.96800000000000019</v>
      </c>
      <c r="X77" s="53">
        <f>W77*$X$74</f>
        <v>2.1296000000000004</v>
      </c>
      <c r="Y77" s="53">
        <f>X77*$X$74</f>
        <v>4.6851200000000013</v>
      </c>
      <c r="Z77" s="53">
        <f>Y77*$X$74</f>
        <v>10.307264000000004</v>
      </c>
      <c r="AB77" s="46"/>
      <c r="AJ77" s="55"/>
      <c r="AK77" s="55"/>
      <c r="AL77" s="55"/>
      <c r="AM77" s="55"/>
      <c r="AN77" s="55"/>
      <c r="AQ77" s="46"/>
      <c r="AR77" s="56"/>
      <c r="AS77" s="56"/>
      <c r="AT77" s="56"/>
      <c r="AU77" s="56"/>
      <c r="AV77" s="56"/>
      <c r="AW77" s="56"/>
      <c r="AZ77" s="46"/>
      <c r="BA77" s="57"/>
      <c r="BB77" s="57"/>
      <c r="BC77" s="57"/>
      <c r="BD77" s="57"/>
      <c r="BE77" s="57"/>
      <c r="BF77" s="57"/>
    </row>
    <row r="78" spans="1:58" x14ac:dyDescent="0.25">
      <c r="A78" s="52">
        <v>2.3042752468199689E-4</v>
      </c>
      <c r="C78" t="s">
        <v>156</v>
      </c>
      <c r="D78" s="52">
        <v>9.7E-5</v>
      </c>
      <c r="E78" t="s">
        <v>17</v>
      </c>
      <c r="F78" t="s">
        <v>157</v>
      </c>
      <c r="H78" s="76">
        <f>D57</f>
        <v>9.7014569837370503E-5</v>
      </c>
      <c r="L78" s="58">
        <v>1.667E-7</v>
      </c>
      <c r="M78" s="46" t="s">
        <v>156</v>
      </c>
      <c r="N78" s="51">
        <f>D78</f>
        <v>9.7E-5</v>
      </c>
      <c r="O78" s="52">
        <f t="shared" si="4"/>
        <v>9.7E-5</v>
      </c>
      <c r="P78" s="52">
        <f t="shared" si="4"/>
        <v>9.7E-5</v>
      </c>
      <c r="Q78" s="52">
        <f t="shared" si="4"/>
        <v>9.7E-5</v>
      </c>
      <c r="R78" s="52">
        <f t="shared" si="4"/>
        <v>9.7E-5</v>
      </c>
      <c r="S78" s="52">
        <f t="shared" si="4"/>
        <v>9.7E-5</v>
      </c>
      <c r="U78" s="52">
        <f>N78</f>
        <v>9.7E-5</v>
      </c>
      <c r="V78" s="52">
        <f>U78</f>
        <v>9.7E-5</v>
      </c>
      <c r="W78" s="52">
        <f>V78</f>
        <v>9.7E-5</v>
      </c>
      <c r="X78" s="52">
        <f>W78</f>
        <v>9.7E-5</v>
      </c>
      <c r="Y78" s="52">
        <f>X78</f>
        <v>9.7E-5</v>
      </c>
      <c r="Z78" s="52">
        <f>Y78</f>
        <v>9.7E-5</v>
      </c>
      <c r="AB78" s="46"/>
      <c r="AC78" s="58"/>
      <c r="AD78" s="58"/>
      <c r="AE78" s="58"/>
      <c r="AF78" s="58"/>
      <c r="AG78" s="58"/>
      <c r="AH78" s="58"/>
      <c r="AI78" s="52"/>
      <c r="AJ78" s="58"/>
      <c r="AK78" s="58"/>
      <c r="AL78" s="58"/>
      <c r="AM78" s="58"/>
      <c r="AN78" s="58"/>
      <c r="AP78" s="58"/>
      <c r="AQ78" s="46"/>
      <c r="AR78" s="52"/>
      <c r="AS78" s="52"/>
      <c r="AT78" s="52"/>
      <c r="AU78" s="52"/>
      <c r="AV78" s="52"/>
      <c r="AW78" s="52"/>
      <c r="AY78" s="58"/>
      <c r="AZ78" s="46"/>
      <c r="BA78" s="52"/>
      <c r="BB78" s="52"/>
      <c r="BC78" s="52"/>
      <c r="BD78" s="52"/>
      <c r="BE78" s="52"/>
      <c r="BF78" s="52"/>
    </row>
    <row r="79" spans="1:58" x14ac:dyDescent="0.25">
      <c r="C79" t="s">
        <v>82</v>
      </c>
      <c r="D79" s="38">
        <f>D33</f>
        <v>555.55555555555554</v>
      </c>
      <c r="E79" s="2" t="s">
        <v>141</v>
      </c>
      <c r="F79" t="s">
        <v>158</v>
      </c>
      <c r="I79" s="28"/>
      <c r="L79">
        <f>1000000/18</f>
        <v>55555.555555555555</v>
      </c>
      <c r="M79" s="46" t="s">
        <v>159</v>
      </c>
      <c r="N79" s="3">
        <v>40.92</v>
      </c>
      <c r="O79">
        <v>40.92</v>
      </c>
      <c r="P79">
        <v>40.92</v>
      </c>
      <c r="Q79">
        <v>40.92</v>
      </c>
      <c r="R79">
        <v>40.92</v>
      </c>
      <c r="S79">
        <v>40.92</v>
      </c>
      <c r="T79" s="59"/>
      <c r="U79">
        <v>40.92</v>
      </c>
      <c r="V79">
        <v>40.92</v>
      </c>
      <c r="W79">
        <v>40.92</v>
      </c>
      <c r="X79">
        <v>40.92</v>
      </c>
      <c r="Y79">
        <v>40.92</v>
      </c>
      <c r="Z79">
        <v>40.92</v>
      </c>
      <c r="AB79" s="46"/>
      <c r="AQ79" s="46"/>
      <c r="AZ79" s="46"/>
      <c r="BA79" s="3"/>
    </row>
    <row r="80" spans="1:58" x14ac:dyDescent="0.25">
      <c r="C80" t="s">
        <v>159</v>
      </c>
      <c r="D80" s="60">
        <f>D44</f>
        <v>40.923228024226546</v>
      </c>
      <c r="E80" t="s">
        <v>29</v>
      </c>
      <c r="F80" t="s">
        <v>160</v>
      </c>
      <c r="L80" s="61">
        <v>10</v>
      </c>
      <c r="M80" s="46" t="s">
        <v>152</v>
      </c>
      <c r="N80" s="53">
        <v>2</v>
      </c>
      <c r="O80" s="53">
        <f>N80*$S$74</f>
        <v>0.8</v>
      </c>
      <c r="P80" s="53">
        <f>O80*$S$74</f>
        <v>0.32000000000000006</v>
      </c>
      <c r="Q80" s="53">
        <f>P80*$S$74</f>
        <v>0.12800000000000003</v>
      </c>
      <c r="R80" s="53">
        <f>Q80*$S$74</f>
        <v>5.1200000000000016E-2</v>
      </c>
      <c r="S80" s="53">
        <f>R80*$S$74</f>
        <v>2.0480000000000009E-2</v>
      </c>
      <c r="U80" s="16">
        <f>N80</f>
        <v>2</v>
      </c>
      <c r="V80" s="16">
        <f t="shared" ref="V80:Z81" si="5">U80</f>
        <v>2</v>
      </c>
      <c r="W80" s="16">
        <f t="shared" si="5"/>
        <v>2</v>
      </c>
      <c r="X80" s="16">
        <f t="shared" si="5"/>
        <v>2</v>
      </c>
      <c r="Y80" s="16">
        <f t="shared" si="5"/>
        <v>2</v>
      </c>
      <c r="Z80" s="16">
        <f t="shared" si="5"/>
        <v>2</v>
      </c>
      <c r="AB80" s="46"/>
      <c r="AC80" s="61"/>
      <c r="AD80" s="61"/>
      <c r="AE80" s="61"/>
      <c r="AF80" s="61"/>
      <c r="AG80" s="61"/>
      <c r="AH80" s="61"/>
      <c r="AI80" s="28"/>
      <c r="AJ80" s="61"/>
      <c r="AK80" s="61"/>
      <c r="AL80" s="61"/>
      <c r="AM80" s="61"/>
      <c r="AN80" s="61"/>
      <c r="AP80" s="61"/>
      <c r="AQ80" s="46"/>
      <c r="AR80" s="62"/>
      <c r="AS80" s="62"/>
      <c r="AT80" s="62"/>
      <c r="AU80" s="62"/>
      <c r="AV80" s="62"/>
      <c r="AW80" s="62"/>
      <c r="AY80" s="61"/>
      <c r="AZ80" s="46"/>
      <c r="BA80" s="62"/>
      <c r="BB80" s="62"/>
      <c r="BC80" s="62"/>
      <c r="BD80" s="62"/>
      <c r="BE80" s="62"/>
      <c r="BF80" s="62"/>
    </row>
    <row r="81" spans="1:58" x14ac:dyDescent="0.25">
      <c r="F81" t="s">
        <v>161</v>
      </c>
      <c r="L81" s="61">
        <v>66</v>
      </c>
      <c r="M81" s="46" t="s">
        <v>154</v>
      </c>
      <c r="N81" s="78">
        <v>1E-3</v>
      </c>
      <c r="O81" s="79">
        <f t="shared" ref="O81:S82" si="6">N81</f>
        <v>1E-3</v>
      </c>
      <c r="P81" s="79">
        <f t="shared" si="6"/>
        <v>1E-3</v>
      </c>
      <c r="Q81" s="79">
        <f t="shared" si="6"/>
        <v>1E-3</v>
      </c>
      <c r="R81" s="79">
        <f t="shared" si="6"/>
        <v>1E-3</v>
      </c>
      <c r="S81" s="79">
        <f t="shared" si="6"/>
        <v>1E-3</v>
      </c>
      <c r="T81" s="63"/>
      <c r="U81" s="16">
        <f>N81</f>
        <v>1E-3</v>
      </c>
      <c r="V81" s="16">
        <f t="shared" si="5"/>
        <v>1E-3</v>
      </c>
      <c r="W81" s="16">
        <f t="shared" si="5"/>
        <v>1E-3</v>
      </c>
      <c r="X81" s="16">
        <f t="shared" si="5"/>
        <v>1E-3</v>
      </c>
      <c r="Y81" s="16">
        <f t="shared" si="5"/>
        <v>1E-3</v>
      </c>
      <c r="Z81" s="16">
        <f t="shared" si="5"/>
        <v>1E-3</v>
      </c>
      <c r="AB81" s="46"/>
      <c r="AC81" s="62"/>
      <c r="AD81" s="62"/>
      <c r="AE81" s="62"/>
      <c r="AF81" s="62"/>
      <c r="AG81" s="62"/>
      <c r="AH81" s="62"/>
      <c r="AI81" s="16"/>
      <c r="AJ81" s="61"/>
      <c r="AK81" s="61"/>
      <c r="AL81" s="61"/>
      <c r="AM81" s="61"/>
      <c r="AN81" s="61"/>
      <c r="AP81" s="61"/>
      <c r="AQ81" s="46"/>
      <c r="AR81" s="61"/>
      <c r="AS81" s="61"/>
      <c r="AT81" s="61"/>
      <c r="AU81" s="61"/>
      <c r="AV81" s="61"/>
      <c r="AW81" s="61"/>
      <c r="AY81" s="61"/>
      <c r="AZ81" s="46"/>
      <c r="BA81" s="64"/>
      <c r="BB81" s="61"/>
      <c r="BC81" s="61"/>
      <c r="BD81" s="61"/>
      <c r="BE81" s="61"/>
      <c r="BF81" s="61"/>
    </row>
    <row r="82" spans="1:58" x14ac:dyDescent="0.25">
      <c r="B82" s="65" t="s">
        <v>5</v>
      </c>
      <c r="L82" s="38">
        <v>5</v>
      </c>
      <c r="M82" s="46" t="s">
        <v>82</v>
      </c>
      <c r="N82" s="70">
        <v>555.55999999999995</v>
      </c>
      <c r="O82" s="70">
        <f t="shared" si="6"/>
        <v>555.55999999999995</v>
      </c>
      <c r="P82" s="70">
        <f t="shared" si="6"/>
        <v>555.55999999999995</v>
      </c>
      <c r="Q82" s="70">
        <f t="shared" si="6"/>
        <v>555.55999999999995</v>
      </c>
      <c r="R82" s="70">
        <f t="shared" si="6"/>
        <v>555.55999999999995</v>
      </c>
      <c r="S82" s="70">
        <f t="shared" si="6"/>
        <v>555.55999999999995</v>
      </c>
      <c r="T82" s="38"/>
      <c r="U82" s="38">
        <v>555.55999999999995</v>
      </c>
      <c r="V82" s="38">
        <v>555.55999999999995</v>
      </c>
      <c r="W82" s="38">
        <v>555.55999999999995</v>
      </c>
      <c r="X82" s="38">
        <v>555.55999999999995</v>
      </c>
      <c r="Y82" s="38">
        <v>555.55999999999995</v>
      </c>
      <c r="Z82" s="38">
        <v>555.55999999999995</v>
      </c>
      <c r="AB82" s="46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P82" s="66"/>
      <c r="AQ82" s="46"/>
      <c r="AR82" s="38"/>
      <c r="AS82" s="38"/>
      <c r="AT82" s="38"/>
      <c r="AU82" s="38"/>
      <c r="AV82" s="38"/>
      <c r="AW82" s="38"/>
      <c r="AY82" s="66"/>
      <c r="AZ82" s="46"/>
      <c r="BA82" s="38"/>
      <c r="BB82" s="38"/>
      <c r="BC82" s="38"/>
      <c r="BD82" s="38"/>
      <c r="BE82" s="38"/>
      <c r="BF82" s="38"/>
    </row>
    <row r="83" spans="1:58" x14ac:dyDescent="0.25">
      <c r="B83" t="s">
        <v>162</v>
      </c>
      <c r="L83" s="49">
        <f>L77*L78*L79/L81</f>
        <v>0.25257575757575756</v>
      </c>
      <c r="M83" s="46" t="s">
        <v>163</v>
      </c>
      <c r="N83" s="57">
        <f t="shared" ref="N83:S83" si="7">N77*N78*N79/N81</f>
        <v>7.9384799999999993</v>
      </c>
      <c r="O83" s="67">
        <f t="shared" si="7"/>
        <v>7.9384799999999993</v>
      </c>
      <c r="P83" s="67">
        <f t="shared" si="7"/>
        <v>7.9384799999999993</v>
      </c>
      <c r="Q83" s="67">
        <f t="shared" si="7"/>
        <v>7.9384799999999993</v>
      </c>
      <c r="R83" s="67">
        <f t="shared" si="7"/>
        <v>7.9384799999999993</v>
      </c>
      <c r="S83" s="67">
        <f t="shared" si="7"/>
        <v>7.9384799999999993</v>
      </c>
      <c r="U83" s="67">
        <f t="shared" ref="U83:Z83" si="8">U77*U78*U79/U81</f>
        <v>0.79384800000000011</v>
      </c>
      <c r="V83" s="67">
        <f t="shared" si="8"/>
        <v>1.7464656000000001</v>
      </c>
      <c r="W83" s="67">
        <f t="shared" si="8"/>
        <v>3.842224320000001</v>
      </c>
      <c r="X83" s="67">
        <f t="shared" si="8"/>
        <v>8.4528935040000004</v>
      </c>
      <c r="Y83" s="67">
        <f t="shared" si="8"/>
        <v>18.596365708800004</v>
      </c>
      <c r="Z83" s="67">
        <f t="shared" si="8"/>
        <v>40.912004559360021</v>
      </c>
      <c r="AB83" s="46"/>
      <c r="AC83" s="49"/>
      <c r="AD83" s="49"/>
      <c r="AE83" s="49"/>
      <c r="AF83" s="49"/>
      <c r="AG83" s="49"/>
      <c r="AH83" s="49"/>
      <c r="AI83" s="67"/>
      <c r="AJ83" s="49"/>
      <c r="AK83" s="49"/>
      <c r="AL83" s="49"/>
      <c r="AM83" s="49"/>
      <c r="AN83" s="49"/>
      <c r="AP83" s="68"/>
      <c r="AQ83" s="46"/>
      <c r="AR83" s="56"/>
      <c r="AS83" s="67"/>
      <c r="AT83" s="67"/>
      <c r="AU83" s="67"/>
      <c r="AV83" s="67"/>
      <c r="AW83" s="67"/>
      <c r="AY83" s="68"/>
      <c r="AZ83" s="46"/>
      <c r="BA83" s="56"/>
      <c r="BB83" s="67"/>
      <c r="BC83" s="67"/>
      <c r="BD83" s="67"/>
      <c r="BE83" s="67"/>
      <c r="BF83" s="67"/>
    </row>
    <row r="84" spans="1:58" x14ac:dyDescent="0.25">
      <c r="C84" t="s">
        <v>164</v>
      </c>
      <c r="L84" s="38">
        <f>L82*L81/L80</f>
        <v>33</v>
      </c>
      <c r="M84" s="46" t="s">
        <v>165</v>
      </c>
      <c r="N84" s="69">
        <f t="shared" ref="N84:S84" si="9">N82*N81/N80</f>
        <v>0.27777999999999997</v>
      </c>
      <c r="O84" s="38">
        <f t="shared" si="9"/>
        <v>0.6944499999999999</v>
      </c>
      <c r="P84" s="38">
        <f t="shared" si="9"/>
        <v>1.7361249999999995</v>
      </c>
      <c r="Q84" s="38">
        <f t="shared" si="9"/>
        <v>4.3403124999999987</v>
      </c>
      <c r="R84" s="38">
        <f t="shared" si="9"/>
        <v>10.850781249999995</v>
      </c>
      <c r="S84" s="38">
        <f t="shared" si="9"/>
        <v>27.126953124999986</v>
      </c>
      <c r="U84" s="38">
        <f t="shared" ref="U84:Z84" si="10">U82*U81/U80</f>
        <v>0.27777999999999997</v>
      </c>
      <c r="V84" s="38">
        <f t="shared" si="10"/>
        <v>0.27777999999999997</v>
      </c>
      <c r="W84" s="38">
        <f t="shared" si="10"/>
        <v>0.27777999999999997</v>
      </c>
      <c r="X84" s="38">
        <f t="shared" si="10"/>
        <v>0.27777999999999997</v>
      </c>
      <c r="Y84" s="38">
        <f t="shared" si="10"/>
        <v>0.27777999999999997</v>
      </c>
      <c r="Z84" s="38">
        <f t="shared" si="10"/>
        <v>0.27777999999999997</v>
      </c>
      <c r="AB84" s="46"/>
      <c r="AC84" s="70"/>
      <c r="AD84" s="70"/>
      <c r="AE84" s="70"/>
      <c r="AF84" s="70"/>
      <c r="AG84" s="70"/>
      <c r="AH84" s="70"/>
      <c r="AI84" s="38"/>
      <c r="AJ84" s="38"/>
      <c r="AK84" s="38"/>
      <c r="AL84" s="38"/>
      <c r="AM84" s="38"/>
      <c r="AN84" s="38"/>
      <c r="AP84" s="66"/>
      <c r="AQ84" s="46"/>
      <c r="AR84" s="38"/>
      <c r="AS84" s="38"/>
      <c r="AT84" s="38"/>
      <c r="AU84" s="38"/>
      <c r="AV84" s="38"/>
      <c r="AW84" s="38"/>
      <c r="AY84" s="66"/>
      <c r="AZ84" s="46"/>
      <c r="BA84" s="38"/>
      <c r="BB84" s="38"/>
      <c r="BC84" s="38"/>
      <c r="BD84" s="38"/>
      <c r="BE84" s="38"/>
      <c r="BF84" s="38"/>
    </row>
    <row r="85" spans="1:58" x14ac:dyDescent="0.25">
      <c r="A85"/>
      <c r="C85" t="s">
        <v>166</v>
      </c>
      <c r="L85" s="71">
        <f>(L75*(1+L83*L84)+L76*L83*L82)/(L83*(L84+1)+1)</f>
        <v>1.317203451436518E-3</v>
      </c>
      <c r="M85" s="46" t="s">
        <v>167</v>
      </c>
      <c r="N85" s="72">
        <f t="shared" ref="N85:S85" si="11">(N75*(1+N83*N84)+N76*N83*N82)/(N83*(N84+1)+1)</f>
        <v>2.8762177980975116E-3</v>
      </c>
      <c r="O85" s="59">
        <f t="shared" si="11"/>
        <v>4.5067582508032571E-3</v>
      </c>
      <c r="P85" s="59">
        <f t="shared" si="11"/>
        <v>6.5060542907962263E-3</v>
      </c>
      <c r="Q85" s="59">
        <f t="shared" si="11"/>
        <v>8.1706027122635094E-3</v>
      </c>
      <c r="R85" s="59">
        <f t="shared" si="11"/>
        <v>9.1650489454706812E-3</v>
      </c>
      <c r="S85" s="59">
        <f t="shared" si="11"/>
        <v>9.6460543068009365E-3</v>
      </c>
      <c r="U85" s="59">
        <f t="shared" ref="U85:Z85" si="12">(U75*(1+U83*U84)+U76*U83*U82)/(U83*(U84+1)+1)</f>
        <v>6.059062037976768E-3</v>
      </c>
      <c r="V85" s="59">
        <f t="shared" si="12"/>
        <v>4.5956608467763831E-3</v>
      </c>
      <c r="W85" s="59">
        <f t="shared" si="12"/>
        <v>3.4982434852375024E-3</v>
      </c>
      <c r="X85" s="59">
        <f t="shared" si="12"/>
        <v>2.8371004773851678E-3</v>
      </c>
      <c r="Y85" s="59">
        <f t="shared" si="12"/>
        <v>2.4899775813997703E-3</v>
      </c>
      <c r="Z85" s="59">
        <f t="shared" si="12"/>
        <v>2.3208219511406439E-3</v>
      </c>
      <c r="AB85" s="46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P85" s="71"/>
      <c r="AQ85" s="46"/>
      <c r="AR85" s="59"/>
      <c r="AS85" s="59"/>
      <c r="AT85" s="59"/>
      <c r="AU85" s="59"/>
      <c r="AV85" s="59"/>
      <c r="AW85" s="59"/>
      <c r="AX85" s="59"/>
      <c r="AY85" s="71"/>
      <c r="AZ85" s="46"/>
      <c r="BA85" s="59"/>
      <c r="BB85" s="59"/>
      <c r="BC85" s="59"/>
      <c r="BD85" s="59"/>
      <c r="BE85" s="59"/>
      <c r="BF85" s="59"/>
    </row>
    <row r="86" spans="1:58" x14ac:dyDescent="0.25">
      <c r="A86"/>
      <c r="C86" t="s">
        <v>168</v>
      </c>
      <c r="L86" s="73">
        <f>L76+(L81/L80)*(L75-L85)</f>
        <v>1.306457220518982E-3</v>
      </c>
      <c r="M86" s="46" t="s">
        <v>169</v>
      </c>
      <c r="N86" s="51">
        <f t="shared" ref="N86:S86" si="13">N76+(N81/N80)*(N75-N85)</f>
        <v>3.5618911009512443E-6</v>
      </c>
      <c r="O86" s="52">
        <f t="shared" si="13"/>
        <v>6.8665521864959289E-6</v>
      </c>
      <c r="P86" s="52">
        <f t="shared" si="13"/>
        <v>1.0918580341261791E-5</v>
      </c>
      <c r="Q86" s="52">
        <f t="shared" si="13"/>
        <v>1.4292166310441331E-5</v>
      </c>
      <c r="R86" s="52">
        <f t="shared" si="13"/>
        <v>1.6307637783775755E-5</v>
      </c>
      <c r="S86" s="52">
        <f t="shared" si="13"/>
        <v>1.7282504550735527E-5</v>
      </c>
      <c r="U86" s="52">
        <f t="shared" ref="U86:Z86" si="14">U76+(U81/U80)*(U75-U85)</f>
        <v>1.9704689810116163E-6</v>
      </c>
      <c r="V86" s="52">
        <f t="shared" si="14"/>
        <v>2.7021695766118088E-6</v>
      </c>
      <c r="W86" s="52">
        <f t="shared" si="14"/>
        <v>3.250878257381249E-6</v>
      </c>
      <c r="X86" s="52">
        <f t="shared" si="14"/>
        <v>3.5814497613074159E-6</v>
      </c>
      <c r="Y86" s="52">
        <f t="shared" si="14"/>
        <v>3.7550112093001152E-6</v>
      </c>
      <c r="Z86" s="52">
        <f t="shared" si="14"/>
        <v>3.8395890244296783E-6</v>
      </c>
      <c r="AB86" s="46"/>
      <c r="AC86" s="74"/>
      <c r="AD86" s="74"/>
      <c r="AE86" s="74"/>
      <c r="AF86" s="74"/>
      <c r="AG86" s="74"/>
      <c r="AH86" s="74"/>
      <c r="AI86" s="73"/>
      <c r="AJ86" s="74"/>
      <c r="AK86" s="74"/>
      <c r="AL86" s="74"/>
      <c r="AM86" s="74"/>
      <c r="AN86" s="74"/>
      <c r="AP86" s="73"/>
      <c r="AQ86" s="46"/>
      <c r="AR86" s="52"/>
      <c r="AS86" s="52"/>
      <c r="AT86" s="52"/>
      <c r="AU86" s="52"/>
      <c r="AV86" s="52"/>
      <c r="AW86" s="52"/>
      <c r="AY86" s="73"/>
      <c r="AZ86" s="46"/>
      <c r="BA86" s="52"/>
      <c r="BB86" s="52"/>
      <c r="BC86" s="52"/>
      <c r="BD86" s="52"/>
      <c r="BE86" s="52"/>
      <c r="BF86" s="52"/>
    </row>
    <row r="87" spans="1:58" x14ac:dyDescent="0.25">
      <c r="A87"/>
      <c r="C87" t="s">
        <v>170</v>
      </c>
      <c r="L87" s="46" t="s">
        <v>171</v>
      </c>
      <c r="M87" s="46"/>
      <c r="N87" s="63">
        <f t="shared" ref="N87:S87" si="15">(N85/N86)/N82</f>
        <v>1.4534836896018377</v>
      </c>
      <c r="O87" s="63">
        <f t="shared" si="15"/>
        <v>1.1813934758407354</v>
      </c>
      <c r="P87" s="63">
        <f t="shared" si="15"/>
        <v>1.0725573903362944</v>
      </c>
      <c r="Q87" s="63">
        <f t="shared" si="15"/>
        <v>1.0290229561345181</v>
      </c>
      <c r="R87" s="63">
        <f t="shared" si="15"/>
        <v>1.0116091824538078</v>
      </c>
      <c r="S87" s="63">
        <f t="shared" si="15"/>
        <v>1.0046436729815265</v>
      </c>
      <c r="U87" s="63">
        <f t="shared" ref="U87:Z87" si="16">(U85/U86)/U82</f>
        <v>5.5348368960183798</v>
      </c>
      <c r="V87" s="63">
        <f t="shared" si="16"/>
        <v>3.0612894981901717</v>
      </c>
      <c r="W87" s="63">
        <f t="shared" si="16"/>
        <v>1.936949771904624</v>
      </c>
      <c r="X87" s="63">
        <f t="shared" si="16"/>
        <v>1.4258862599566475</v>
      </c>
      <c r="Y87" s="63">
        <f t="shared" si="16"/>
        <v>1.1935846636166578</v>
      </c>
      <c r="Z87" s="63">
        <f t="shared" si="16"/>
        <v>1.0879930289166628</v>
      </c>
      <c r="AA87" s="46"/>
      <c r="AB87" s="46"/>
      <c r="AC87" s="63"/>
      <c r="AD87" s="63"/>
      <c r="AE87" s="63"/>
      <c r="AF87" s="63"/>
      <c r="AG87" s="63"/>
      <c r="AH87" s="63"/>
      <c r="AJ87" s="63"/>
      <c r="AK87" s="63"/>
      <c r="AL87" s="63"/>
      <c r="AM87" s="63"/>
      <c r="AN87" s="63"/>
      <c r="AP87" s="46"/>
      <c r="AQ87" s="46"/>
      <c r="AR87" s="63"/>
      <c r="AS87" s="63"/>
      <c r="AT87" s="63"/>
      <c r="AU87" s="63"/>
      <c r="AV87" s="63"/>
      <c r="AW87" s="63"/>
      <c r="AY87" s="46"/>
      <c r="AZ87" s="46"/>
      <c r="BA87" s="63"/>
      <c r="BB87" s="63"/>
      <c r="BC87" s="63"/>
      <c r="BD87" s="63"/>
      <c r="BE87" s="63"/>
      <c r="BF87" s="63"/>
    </row>
    <row r="88" spans="1:58" x14ac:dyDescent="0.25">
      <c r="A88"/>
      <c r="C88" t="s">
        <v>172</v>
      </c>
      <c r="M88" s="46" t="s">
        <v>173</v>
      </c>
      <c r="N88" s="38">
        <f t="shared" ref="N88:S88" si="17">1/N84</f>
        <v>3.5999712002303985</v>
      </c>
      <c r="O88" s="38">
        <f t="shared" si="17"/>
        <v>1.4399884800921594</v>
      </c>
      <c r="P88" s="38">
        <f t="shared" si="17"/>
        <v>0.5759953920368639</v>
      </c>
      <c r="Q88" s="38">
        <f t="shared" si="17"/>
        <v>0.23039815681474554</v>
      </c>
      <c r="R88" s="38">
        <f t="shared" si="17"/>
        <v>9.2159262725898236E-2</v>
      </c>
      <c r="S88" s="38">
        <f t="shared" si="17"/>
        <v>3.6863705090359293E-2</v>
      </c>
      <c r="U88" s="38">
        <f t="shared" ref="U88:Z88" si="18">1/U84</f>
        <v>3.5999712002303985</v>
      </c>
      <c r="V88" s="38">
        <f t="shared" si="18"/>
        <v>3.5999712002303985</v>
      </c>
      <c r="W88" s="38">
        <f t="shared" si="18"/>
        <v>3.5999712002303985</v>
      </c>
      <c r="X88" s="38">
        <f t="shared" si="18"/>
        <v>3.5999712002303985</v>
      </c>
      <c r="Y88" s="38">
        <f t="shared" si="18"/>
        <v>3.5999712002303985</v>
      </c>
      <c r="Z88" s="38">
        <f t="shared" si="18"/>
        <v>3.5999712002303985</v>
      </c>
      <c r="AB88" s="46"/>
      <c r="AC88" s="38"/>
      <c r="AD88" s="38"/>
      <c r="AE88" s="38"/>
      <c r="AF88" s="38"/>
      <c r="AG88" s="38"/>
      <c r="AH88" s="38"/>
      <c r="AJ88" s="38"/>
      <c r="AK88" s="38"/>
      <c r="AL88" s="38"/>
      <c r="AM88" s="38"/>
      <c r="AN88" s="38"/>
      <c r="AQ88" s="46"/>
      <c r="AR88" s="38"/>
      <c r="AS88" s="38"/>
      <c r="AT88" s="38"/>
      <c r="AU88" s="38"/>
      <c r="AV88" s="38"/>
      <c r="AW88" s="38"/>
      <c r="AZ88" s="46"/>
      <c r="BA88" s="38"/>
      <c r="BB88" s="38"/>
      <c r="BC88" s="38"/>
      <c r="BD88" s="38"/>
      <c r="BE88" s="38"/>
      <c r="BF88" s="38"/>
    </row>
    <row r="89" spans="1:58" x14ac:dyDescent="0.25">
      <c r="A89"/>
      <c r="C89" t="s">
        <v>174</v>
      </c>
      <c r="AQ89" s="46"/>
      <c r="AR89" s="38"/>
      <c r="AS89" s="38"/>
      <c r="AT89" s="38"/>
    </row>
    <row r="90" spans="1:58" x14ac:dyDescent="0.25">
      <c r="A90"/>
      <c r="C90" t="s">
        <v>175</v>
      </c>
    </row>
    <row r="95" spans="1:58" x14ac:dyDescent="0.25">
      <c r="A95"/>
      <c r="G95" t="s">
        <v>176</v>
      </c>
    </row>
    <row r="96" spans="1:58" x14ac:dyDescent="0.25">
      <c r="A96"/>
      <c r="D96" t="s">
        <v>177</v>
      </c>
      <c r="F96" t="s">
        <v>178</v>
      </c>
    </row>
    <row r="97" spans="1:35" x14ac:dyDescent="0.25">
      <c r="A97"/>
      <c r="D97" t="s">
        <v>179</v>
      </c>
    </row>
    <row r="98" spans="1:35" x14ac:dyDescent="0.25">
      <c r="A98"/>
      <c r="D98" s="75" t="s">
        <v>180</v>
      </c>
      <c r="E98" s="75"/>
      <c r="F98" s="75"/>
      <c r="I98" s="75" t="s">
        <v>181</v>
      </c>
      <c r="J98" s="75"/>
      <c r="K98" s="75"/>
      <c r="L98" s="75"/>
      <c r="M98" s="75"/>
    </row>
    <row r="99" spans="1:35" x14ac:dyDescent="0.25">
      <c r="A99"/>
      <c r="C99" t="s">
        <v>163</v>
      </c>
      <c r="D99" s="67">
        <f>D75*D78*D80/D77</f>
        <v>7.9391062366999492</v>
      </c>
      <c r="E99" s="2" t="s">
        <v>141</v>
      </c>
    </row>
    <row r="100" spans="1:35" x14ac:dyDescent="0.25">
      <c r="A100"/>
      <c r="C100" t="s">
        <v>165</v>
      </c>
      <c r="D100" s="44">
        <f>D79*D77/D76</f>
        <v>0.27777777777777779</v>
      </c>
      <c r="E100" s="2" t="s">
        <v>141</v>
      </c>
      <c r="G100" t="s">
        <v>182</v>
      </c>
      <c r="H100">
        <v>100</v>
      </c>
      <c r="I100" t="s">
        <v>183</v>
      </c>
      <c r="J100" t="s">
        <v>184</v>
      </c>
    </row>
    <row r="101" spans="1:35" x14ac:dyDescent="0.25">
      <c r="A101"/>
      <c r="C101" t="s">
        <v>185</v>
      </c>
      <c r="D101" s="71">
        <f>(D73*(1+D99*D100)+D74*D99*D79)/(D99*(D100+1)+1)</f>
        <v>2.876156094599425E-3</v>
      </c>
      <c r="E101" t="s">
        <v>186</v>
      </c>
      <c r="G101" t="s">
        <v>187</v>
      </c>
      <c r="H101">
        <f>D75/H100</f>
        <v>0.02</v>
      </c>
      <c r="I101" t="s">
        <v>188</v>
      </c>
      <c r="N101" t="s">
        <v>189</v>
      </c>
      <c r="V101" t="s">
        <v>190</v>
      </c>
    </row>
    <row r="102" spans="1:35" x14ac:dyDescent="0.25">
      <c r="A102"/>
      <c r="C102" t="s">
        <v>191</v>
      </c>
      <c r="D102" s="28">
        <f>D74+(D77/D76)*(D73-D101)</f>
        <v>3.5619219527002876E-6</v>
      </c>
      <c r="E102" t="s">
        <v>186</v>
      </c>
      <c r="G102" t="s">
        <v>192</v>
      </c>
      <c r="H102" s="67">
        <f>H101/(D77/D80+D76/C13)</f>
        <v>330.92858561122512</v>
      </c>
      <c r="I102" t="s">
        <v>193</v>
      </c>
      <c r="N102" s="2" t="s">
        <v>194</v>
      </c>
      <c r="V102" s="2" t="s">
        <v>194</v>
      </c>
    </row>
    <row r="103" spans="1:35" x14ac:dyDescent="0.25">
      <c r="A103"/>
      <c r="C103" t="s">
        <v>195</v>
      </c>
      <c r="D103" s="17">
        <f>D76*D102/(D77*D73)</f>
        <v>0.71238439054005742</v>
      </c>
      <c r="I103" s="28"/>
      <c r="N103" s="2" t="s">
        <v>196</v>
      </c>
      <c r="V103" s="2" t="s">
        <v>197</v>
      </c>
      <c r="AI103" s="2"/>
    </row>
    <row r="104" spans="1:35" x14ac:dyDescent="0.25">
      <c r="A104"/>
      <c r="C104" t="s">
        <v>198</v>
      </c>
      <c r="D104" s="17">
        <f>1/(1+D100)</f>
        <v>0.78260869565217395</v>
      </c>
      <c r="N104" s="2" t="s">
        <v>199</v>
      </c>
      <c r="AI104" s="2"/>
    </row>
    <row r="105" spans="1:35" x14ac:dyDescent="0.25">
      <c r="A105"/>
      <c r="C105" t="s">
        <v>200</v>
      </c>
      <c r="N105" t="s">
        <v>201</v>
      </c>
      <c r="AI105" s="2"/>
    </row>
    <row r="106" spans="1:35" x14ac:dyDescent="0.25">
      <c r="A106"/>
      <c r="AI106" s="2"/>
    </row>
    <row r="107" spans="1:35" x14ac:dyDescent="0.25">
      <c r="A107"/>
      <c r="AI107" s="2"/>
    </row>
    <row r="108" spans="1:35" x14ac:dyDescent="0.25">
      <c r="A108"/>
      <c r="C108" t="s">
        <v>202</v>
      </c>
      <c r="L108" t="s">
        <v>203</v>
      </c>
    </row>
    <row r="109" spans="1:35" x14ac:dyDescent="0.25">
      <c r="A109"/>
      <c r="C109" t="s">
        <v>204</v>
      </c>
      <c r="D109">
        <v>2.4857305643193502E-3</v>
      </c>
      <c r="F109" t="s">
        <v>205</v>
      </c>
      <c r="L109" t="s">
        <v>204</v>
      </c>
      <c r="M109">
        <v>2.1739130434782704E-3</v>
      </c>
      <c r="O109" t="s">
        <v>206</v>
      </c>
      <c r="AI109" s="2"/>
    </row>
    <row r="110" spans="1:35" x14ac:dyDescent="0.25">
      <c r="A110"/>
      <c r="C110" t="s">
        <v>169</v>
      </c>
      <c r="D110" s="28">
        <f>D77/D76*(D73-D109)+D74</f>
        <v>3.7571347178403249E-6</v>
      </c>
      <c r="E110" t="s">
        <v>207</v>
      </c>
      <c r="F110" t="s">
        <v>208</v>
      </c>
      <c r="L110" t="s">
        <v>209</v>
      </c>
      <c r="M110" s="28">
        <f>D77*(M109-D73)</f>
        <v>-7.82608695652173E-6</v>
      </c>
      <c r="O110" t="s">
        <v>208</v>
      </c>
    </row>
    <row r="111" spans="1:35" x14ac:dyDescent="0.25">
      <c r="C111" t="s">
        <v>210</v>
      </c>
      <c r="D111" s="28">
        <f>D78*D80*(D79*D110-D109)</f>
        <v>-1.5816029378250435E-6</v>
      </c>
      <c r="F111" t="s">
        <v>211</v>
      </c>
      <c r="L111" t="s">
        <v>169</v>
      </c>
      <c r="M111">
        <f>D77/D76*(D73-M109)+D74</f>
        <v>3.913043478260865E-6</v>
      </c>
      <c r="N111" t="s">
        <v>207</v>
      </c>
      <c r="O111" t="s">
        <v>211</v>
      </c>
    </row>
    <row r="112" spans="1:35" x14ac:dyDescent="0.25">
      <c r="A112"/>
      <c r="C112" t="s">
        <v>167</v>
      </c>
      <c r="D112" s="28">
        <f>D111*D75/D77+D73</f>
        <v>6.8367941243499134E-3</v>
      </c>
      <c r="F112" t="s">
        <v>212</v>
      </c>
      <c r="L112" t="s">
        <v>167</v>
      </c>
      <c r="M112" s="38">
        <f>D79*M111</f>
        <v>2.1739130434782583E-3</v>
      </c>
      <c r="N112" t="s">
        <v>213</v>
      </c>
      <c r="O112" t="s">
        <v>214</v>
      </c>
    </row>
    <row r="113" spans="3:15" x14ac:dyDescent="0.25">
      <c r="C113" t="s">
        <v>215</v>
      </c>
      <c r="D113" s="28">
        <f>(D112-D109)</f>
        <v>4.3510635600305632E-3</v>
      </c>
      <c r="F113" t="s">
        <v>216</v>
      </c>
      <c r="L113" t="s">
        <v>215</v>
      </c>
      <c r="M113" s="38">
        <f>M112-M109</f>
        <v>-1.214306433183765E-17</v>
      </c>
      <c r="O113" t="s">
        <v>217</v>
      </c>
    </row>
    <row r="114" spans="3:15" x14ac:dyDescent="0.25">
      <c r="C114" t="s">
        <v>195</v>
      </c>
      <c r="D114" s="17">
        <f>D76*D110/D77/D73</f>
        <v>0.75142694356806494</v>
      </c>
      <c r="F114" t="s">
        <v>218</v>
      </c>
      <c r="L114" t="s">
        <v>195</v>
      </c>
      <c r="M114" s="17">
        <f>D76*M111/D77/D73</f>
        <v>0.78260869565217295</v>
      </c>
      <c r="O114" t="s">
        <v>219</v>
      </c>
    </row>
    <row r="115" spans="3:15" x14ac:dyDescent="0.25">
      <c r="D115" s="38"/>
    </row>
    <row r="117" spans="3:15" x14ac:dyDescent="0.25">
      <c r="M117" s="28"/>
    </row>
    <row r="119" spans="3:15" x14ac:dyDescent="0.25">
      <c r="M119" s="38"/>
    </row>
    <row r="120" spans="3:15" x14ac:dyDescent="0.25">
      <c r="M120" s="38"/>
    </row>
    <row r="121" spans="3:15" x14ac:dyDescent="0.25">
      <c r="M121" s="17"/>
    </row>
  </sheetData>
  <mergeCells count="6">
    <mergeCell ref="B72:K72"/>
    <mergeCell ref="B3:K3"/>
    <mergeCell ref="Q5:T5"/>
    <mergeCell ref="Q6:T9"/>
    <mergeCell ref="Q10:T11"/>
    <mergeCell ref="B28:J28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DSMT4" shapeId="1025" r:id="rId4">
          <objectPr defaultSize="0" autoPict="0" r:id="rId5">
            <anchor moveWithCells="1">
              <from>
                <xdr:col>2</xdr:col>
                <xdr:colOff>0</xdr:colOff>
                <xdr:row>8</xdr:row>
                <xdr:rowOff>0</xdr:rowOff>
              </from>
              <to>
                <xdr:col>3</xdr:col>
                <xdr:colOff>638175</xdr:colOff>
                <xdr:row>9</xdr:row>
                <xdr:rowOff>152400</xdr:rowOff>
              </to>
            </anchor>
          </objectPr>
        </oleObject>
      </mc:Choice>
      <mc:Fallback>
        <oleObject progId="Equation.DSMT4" shapeId="1025" r:id="rId4"/>
      </mc:Fallback>
    </mc:AlternateContent>
    <mc:AlternateContent xmlns:mc="http://schemas.openxmlformats.org/markup-compatibility/2006">
      <mc:Choice Requires="x14">
        <oleObject progId="Equation.3" shapeId="1026" r:id="rId6">
          <objectPr defaultSize="0" autoPict="0" r:id="rId7">
            <anchor moveWithCells="1">
              <from>
                <xdr:col>4</xdr:col>
                <xdr:colOff>257175</xdr:colOff>
                <xdr:row>7</xdr:row>
                <xdr:rowOff>76200</xdr:rowOff>
              </from>
              <to>
                <xdr:col>4</xdr:col>
                <xdr:colOff>781050</xdr:colOff>
                <xdr:row>10</xdr:row>
                <xdr:rowOff>9525</xdr:rowOff>
              </to>
            </anchor>
          </objectPr>
        </oleObject>
      </mc:Choice>
      <mc:Fallback>
        <oleObject progId="Equation.3" shapeId="1026" r:id="rId6"/>
      </mc:Fallback>
    </mc:AlternateContent>
    <mc:AlternateContent xmlns:mc="http://schemas.openxmlformats.org/markup-compatibility/2006">
      <mc:Choice Requires="x14">
        <oleObject progId="Equation.DSMT4" shapeId="1027" r:id="rId8">
          <objectPr defaultSize="0" autoPict="0" r:id="rId9">
            <anchor moveWithCells="1">
              <from>
                <xdr:col>3</xdr:col>
                <xdr:colOff>266700</xdr:colOff>
                <xdr:row>38</xdr:row>
                <xdr:rowOff>9525</xdr:rowOff>
              </from>
              <to>
                <xdr:col>4</xdr:col>
                <xdr:colOff>742950</xdr:colOff>
                <xdr:row>39</xdr:row>
                <xdr:rowOff>95250</xdr:rowOff>
              </to>
            </anchor>
          </objectPr>
        </oleObject>
      </mc:Choice>
      <mc:Fallback>
        <oleObject progId="Equation.DSMT4" shapeId="1027" r:id="rId8"/>
      </mc:Fallback>
    </mc:AlternateContent>
    <mc:AlternateContent xmlns:mc="http://schemas.openxmlformats.org/markup-compatibility/2006">
      <mc:Choice Requires="x14">
        <oleObject progId="Equation.DSMT4" shapeId="1028" r:id="rId10">
          <objectPr defaultSize="0" autoPict="0" r:id="rId11">
            <anchor moveWithCells="1">
              <from>
                <xdr:col>3</xdr:col>
                <xdr:colOff>438150</xdr:colOff>
                <xdr:row>49</xdr:row>
                <xdr:rowOff>28575</xdr:rowOff>
              </from>
              <to>
                <xdr:col>4</xdr:col>
                <xdr:colOff>571500</xdr:colOff>
                <xdr:row>51</xdr:row>
                <xdr:rowOff>152400</xdr:rowOff>
              </to>
            </anchor>
          </objectPr>
        </oleObject>
      </mc:Choice>
      <mc:Fallback>
        <oleObject progId="Equation.DSMT4" shapeId="1028" r:id="rId10"/>
      </mc:Fallback>
    </mc:AlternateContent>
    <mc:AlternateContent xmlns:mc="http://schemas.openxmlformats.org/markup-compatibility/2006">
      <mc:Choice Requires="x14">
        <oleObject progId="Equation.DSMT4" shapeId="1029" r:id="rId12">
          <objectPr defaultSize="0" autoPict="0" r:id="rId13">
            <anchor moveWithCells="1">
              <from>
                <xdr:col>5</xdr:col>
                <xdr:colOff>390525</xdr:colOff>
                <xdr:row>49</xdr:row>
                <xdr:rowOff>66675</xdr:rowOff>
              </from>
              <to>
                <xdr:col>6</xdr:col>
                <xdr:colOff>609600</xdr:colOff>
                <xdr:row>50</xdr:row>
                <xdr:rowOff>123825</xdr:rowOff>
              </to>
            </anchor>
          </objectPr>
        </oleObject>
      </mc:Choice>
      <mc:Fallback>
        <oleObject progId="Equation.DSMT4" shapeId="1029" r:id="rId12"/>
      </mc:Fallback>
    </mc:AlternateContent>
    <mc:AlternateContent xmlns:mc="http://schemas.openxmlformats.org/markup-compatibility/2006">
      <mc:Choice Requires="x14">
        <oleObject progId="Equation.3" shapeId="1030" r:id="rId14">
          <objectPr defaultSize="0" autoPict="0" r:id="rId15">
            <anchor moveWithCells="1">
              <from>
                <xdr:col>2</xdr:col>
                <xdr:colOff>28575</xdr:colOff>
                <xdr:row>49</xdr:row>
                <xdr:rowOff>38100</xdr:rowOff>
              </from>
              <to>
                <xdr:col>3</xdr:col>
                <xdr:colOff>38100</xdr:colOff>
                <xdr:row>52</xdr:row>
                <xdr:rowOff>66675</xdr:rowOff>
              </to>
            </anchor>
          </objectPr>
        </oleObject>
      </mc:Choice>
      <mc:Fallback>
        <oleObject progId="Equation.3" shapeId="1030" r:id="rId14"/>
      </mc:Fallback>
    </mc:AlternateContent>
    <mc:AlternateContent xmlns:mc="http://schemas.openxmlformats.org/markup-compatibility/2006">
      <mc:Choice Requires="x14">
        <oleObject progId="Equation.3" shapeId="1031" r:id="rId16">
          <objectPr defaultSize="0" autoPict="0" r:id="rId17">
            <anchor moveWithCells="1">
              <from>
                <xdr:col>3</xdr:col>
                <xdr:colOff>66675</xdr:colOff>
                <xdr:row>90</xdr:row>
                <xdr:rowOff>85725</xdr:rowOff>
              </from>
              <to>
                <xdr:col>5</xdr:col>
                <xdr:colOff>228600</xdr:colOff>
                <xdr:row>94</xdr:row>
                <xdr:rowOff>152400</xdr:rowOff>
              </to>
            </anchor>
          </objectPr>
        </oleObject>
      </mc:Choice>
      <mc:Fallback>
        <oleObject progId="Equation.3" shapeId="1031" r:id="rId16"/>
      </mc:Fallback>
    </mc:AlternateContent>
    <mc:AlternateContent xmlns:mc="http://schemas.openxmlformats.org/markup-compatibility/2006">
      <mc:Choice Requires="x14">
        <oleObject progId="Equation.DSMT4" shapeId="1032" r:id="rId18">
          <objectPr defaultSize="0" autoPict="0" r:id="rId9">
            <anchor moveWithCells="1">
              <from>
                <xdr:col>4</xdr:col>
                <xdr:colOff>914400</xdr:colOff>
                <xdr:row>65</xdr:row>
                <xdr:rowOff>57150</xdr:rowOff>
              </from>
              <to>
                <xdr:col>6</xdr:col>
                <xdr:colOff>533400</xdr:colOff>
                <xdr:row>66</xdr:row>
                <xdr:rowOff>133350</xdr:rowOff>
              </to>
            </anchor>
          </objectPr>
        </oleObject>
      </mc:Choice>
      <mc:Fallback>
        <oleObject progId="Equation.DSMT4" shapeId="1032" r:id="rId1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TM3.1aTM3.3 aula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</dc:creator>
  <cp:lastModifiedBy>reviewer</cp:lastModifiedBy>
  <dcterms:created xsi:type="dcterms:W3CDTF">2021-01-19T02:11:55Z</dcterms:created>
  <dcterms:modified xsi:type="dcterms:W3CDTF">2022-01-21T22:38:18Z</dcterms:modified>
</cp:coreProperties>
</file>