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c59635310fe207ff/Documentos/USP - Ensino_Pesquisa_Gestão/GRADUAÇÃO/Disciplinas 2019_2s/"/>
    </mc:Choice>
  </mc:AlternateContent>
  <xr:revisionPtr revIDLastSave="1051" documentId="11_C85CEF1943AA12FA5BAD04EDE4BBB2E444325D59" xr6:coauthVersionLast="45" xr6:coauthVersionMax="45" xr10:uidLastSave="{C2774195-3EBE-4F89-8518-021D98D5603E}"/>
  <bookViews>
    <workbookView xWindow="-110" yWindow="-110" windowWidth="19420" windowHeight="10420" activeTab="10" xr2:uid="{00000000-000D-0000-FFFF-FFFF00000000}"/>
  </bookViews>
  <sheets>
    <sheet name="Ex1" sheetId="1" r:id="rId1"/>
    <sheet name="Ex2" sheetId="2" r:id="rId2"/>
    <sheet name="Ex3" sheetId="5" r:id="rId3"/>
    <sheet name="Ex4" sheetId="6" r:id="rId4"/>
    <sheet name="Ex5" sheetId="3" r:id="rId5"/>
    <sheet name="Ex6" sheetId="4" r:id="rId6"/>
    <sheet name="Ex8 (2)" sheetId="11" r:id="rId7"/>
    <sheet name="Ex7" sheetId="7" r:id="rId8"/>
    <sheet name="Ex8" sheetId="8" r:id="rId9"/>
    <sheet name="Simulacao" sheetId="10" r:id="rId10"/>
    <sheet name="Lucro Presumido" sheetId="12" r:id="rId11"/>
    <sheet name="Planilha3" sheetId="14" r:id="rId12"/>
    <sheet name="Planilha2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2" l="1"/>
  <c r="D40" i="12"/>
  <c r="E39" i="12"/>
  <c r="D39" i="12"/>
  <c r="E38" i="12"/>
  <c r="E37" i="12"/>
  <c r="D37" i="12"/>
  <c r="D38" i="12"/>
  <c r="D34" i="12"/>
  <c r="D33" i="12"/>
  <c r="D32" i="12"/>
  <c r="D31" i="12"/>
  <c r="D30" i="12"/>
  <c r="D29" i="12"/>
  <c r="E11" i="12"/>
  <c r="F11" i="12" s="1"/>
  <c r="P22" i="12"/>
  <c r="P9" i="12"/>
  <c r="P8" i="12"/>
  <c r="P16" i="12"/>
  <c r="D18" i="12"/>
  <c r="D23" i="12" s="1"/>
  <c r="D17" i="12"/>
  <c r="D16" i="12"/>
  <c r="E5" i="12"/>
  <c r="D5" i="12"/>
  <c r="P6" i="12"/>
  <c r="E16" i="12"/>
  <c r="F16" i="12"/>
  <c r="G16" i="12"/>
  <c r="H16" i="12"/>
  <c r="I16" i="12"/>
  <c r="J16" i="12"/>
  <c r="K16" i="12"/>
  <c r="L16" i="12"/>
  <c r="M16" i="12"/>
  <c r="N16" i="12"/>
  <c r="O16" i="12"/>
  <c r="E14" i="12"/>
  <c r="E13" i="12"/>
  <c r="D14" i="12"/>
  <c r="D13" i="12"/>
  <c r="E12" i="12"/>
  <c r="D12" i="12"/>
  <c r="O9" i="12"/>
  <c r="N9" i="12"/>
  <c r="M9" i="12"/>
  <c r="L9" i="12"/>
  <c r="K9" i="12"/>
  <c r="J9" i="12"/>
  <c r="I9" i="12"/>
  <c r="H9" i="12"/>
  <c r="G9" i="12"/>
  <c r="F9" i="12"/>
  <c r="E9" i="12"/>
  <c r="O8" i="12"/>
  <c r="N8" i="12"/>
  <c r="M8" i="12"/>
  <c r="L8" i="12"/>
  <c r="K8" i="12"/>
  <c r="J8" i="12"/>
  <c r="I8" i="12"/>
  <c r="H8" i="12"/>
  <c r="G8" i="12"/>
  <c r="F8" i="12"/>
  <c r="E8" i="12"/>
  <c r="O7" i="12"/>
  <c r="N7" i="12"/>
  <c r="M7" i="12"/>
  <c r="L7" i="12"/>
  <c r="K7" i="12"/>
  <c r="J7" i="12"/>
  <c r="I7" i="12"/>
  <c r="H7" i="12"/>
  <c r="G7" i="12"/>
  <c r="F7" i="12"/>
  <c r="E7" i="12"/>
  <c r="D9" i="12"/>
  <c r="D8" i="12"/>
  <c r="D7" i="12"/>
  <c r="P7" i="12" s="1"/>
  <c r="E40" i="12" l="1"/>
  <c r="E17" i="12"/>
  <c r="E21" i="12" s="1"/>
  <c r="G11" i="12"/>
  <c r="F18" i="12"/>
  <c r="F23" i="12" s="1"/>
  <c r="F13" i="12"/>
  <c r="F12" i="12"/>
  <c r="F5" i="12"/>
  <c r="F17" i="12"/>
  <c r="F21" i="12" s="1"/>
  <c r="F14" i="12"/>
  <c r="E18" i="12"/>
  <c r="E23" i="12" s="1"/>
  <c r="E25" i="12" s="1"/>
  <c r="E26" i="12" s="1"/>
  <c r="G18" i="12"/>
  <c r="G23" i="12" s="1"/>
  <c r="H11" i="12"/>
  <c r="G14" i="12"/>
  <c r="G5" i="12"/>
  <c r="G13" i="12"/>
  <c r="G17" i="12"/>
  <c r="G21" i="12" s="1"/>
  <c r="G12" i="12"/>
  <c r="D21" i="12"/>
  <c r="D25" i="12" s="1"/>
  <c r="D26" i="12" s="1"/>
  <c r="I12" i="11"/>
  <c r="C4" i="11"/>
  <c r="O16" i="11"/>
  <c r="O17" i="11" s="1"/>
  <c r="O18" i="11" s="1"/>
  <c r="O19" i="11" s="1"/>
  <c r="O20" i="11" s="1"/>
  <c r="O21" i="11" s="1"/>
  <c r="O22" i="11" s="1"/>
  <c r="O23" i="11" s="1"/>
  <c r="O24" i="11" s="1"/>
  <c r="O25" i="11" s="1"/>
  <c r="O26" i="11" s="1"/>
  <c r="O27" i="11" s="1"/>
  <c r="N16" i="11"/>
  <c r="N17" i="11" s="1"/>
  <c r="N18" i="11" s="1"/>
  <c r="N19" i="11" s="1"/>
  <c r="N20" i="11" s="1"/>
  <c r="N21" i="11" s="1"/>
  <c r="N22" i="11" s="1"/>
  <c r="N23" i="11" s="1"/>
  <c r="N24" i="11" s="1"/>
  <c r="N25" i="11" s="1"/>
  <c r="N26" i="11" s="1"/>
  <c r="N27" i="11" s="1"/>
  <c r="Q16" i="11"/>
  <c r="P16" i="7"/>
  <c r="N21" i="7"/>
  <c r="N22" i="7" s="1"/>
  <c r="N23" i="7" s="1"/>
  <c r="N24" i="7" s="1"/>
  <c r="N25" i="7" s="1"/>
  <c r="N26" i="7" s="1"/>
  <c r="N27" i="7" s="1"/>
  <c r="M22" i="7"/>
  <c r="M21" i="7"/>
  <c r="N17" i="7"/>
  <c r="N18" i="7" s="1"/>
  <c r="N19" i="7" s="1"/>
  <c r="N20" i="7" s="1"/>
  <c r="N16" i="7"/>
  <c r="M17" i="7"/>
  <c r="M18" i="7" s="1"/>
  <c r="M19" i="7" s="1"/>
  <c r="M20" i="7" s="1"/>
  <c r="Y9" i="7"/>
  <c r="D3" i="7"/>
  <c r="D4" i="7" s="1"/>
  <c r="L17" i="7" s="1"/>
  <c r="O17" i="7" s="1"/>
  <c r="P6" i="10"/>
  <c r="P8" i="10" s="1"/>
  <c r="N8" i="10"/>
  <c r="N10" i="10"/>
  <c r="N12" i="10" s="1"/>
  <c r="N16" i="10"/>
  <c r="N17" i="10"/>
  <c r="K6" i="10"/>
  <c r="J6" i="10"/>
  <c r="I6" i="10"/>
  <c r="H6" i="10"/>
  <c r="H9" i="10" s="1"/>
  <c r="H10" i="10" s="1"/>
  <c r="H12" i="10" s="1"/>
  <c r="G6" i="10"/>
  <c r="F6" i="10"/>
  <c r="E6" i="10"/>
  <c r="K5" i="10"/>
  <c r="J5" i="10"/>
  <c r="I5" i="10"/>
  <c r="H5" i="10"/>
  <c r="G5" i="10"/>
  <c r="F5" i="10"/>
  <c r="E5" i="10"/>
  <c r="D6" i="10"/>
  <c r="D5" i="10"/>
  <c r="C22" i="10"/>
  <c r="C25" i="10" s="1"/>
  <c r="D25" i="10" s="1"/>
  <c r="K8" i="10"/>
  <c r="J8" i="10"/>
  <c r="I8" i="10"/>
  <c r="H8" i="10"/>
  <c r="G8" i="10"/>
  <c r="F8" i="10"/>
  <c r="F9" i="10" s="1"/>
  <c r="F10" i="10" s="1"/>
  <c r="F12" i="10" s="1"/>
  <c r="E8" i="10"/>
  <c r="D8" i="10"/>
  <c r="AZ13" i="4"/>
  <c r="BD13" i="4" s="1"/>
  <c r="AN10" i="4"/>
  <c r="AR10" i="4" s="1"/>
  <c r="AP1" i="4"/>
  <c r="AE11" i="4"/>
  <c r="AA11" i="4"/>
  <c r="AC2" i="4"/>
  <c r="AA6" i="4"/>
  <c r="AC10" i="4" s="1"/>
  <c r="AC6" i="4"/>
  <c r="AE6" i="4"/>
  <c r="H24" i="3"/>
  <c r="G24" i="3"/>
  <c r="F24" i="3"/>
  <c r="E24" i="3"/>
  <c r="D24" i="3"/>
  <c r="C24" i="3"/>
  <c r="G15" i="3"/>
  <c r="E15" i="3"/>
  <c r="D16" i="5"/>
  <c r="D14" i="5"/>
  <c r="E16" i="5"/>
  <c r="G9" i="2"/>
  <c r="F25" i="12" l="1"/>
  <c r="F26" i="12" s="1"/>
  <c r="G25" i="12"/>
  <c r="G26" i="12" s="1"/>
  <c r="H14" i="12"/>
  <c r="H18" i="12"/>
  <c r="H5" i="12"/>
  <c r="H13" i="12"/>
  <c r="I11" i="12"/>
  <c r="H17" i="12"/>
  <c r="H21" i="12" s="1"/>
  <c r="H12" i="12"/>
  <c r="M23" i="7"/>
  <c r="E9" i="10"/>
  <c r="I9" i="10"/>
  <c r="I10" i="10" s="1"/>
  <c r="I12" i="10" s="1"/>
  <c r="J9" i="10"/>
  <c r="J10" i="10" s="1"/>
  <c r="J12" i="10" s="1"/>
  <c r="L16" i="7"/>
  <c r="O16" i="7" s="1"/>
  <c r="Q16" i="7" s="1"/>
  <c r="C5" i="11"/>
  <c r="C6" i="11" s="1"/>
  <c r="C7" i="11" s="1"/>
  <c r="C8" i="11" s="1"/>
  <c r="C9" i="11" s="1"/>
  <c r="C10" i="11" s="1"/>
  <c r="C11" i="11" s="1"/>
  <c r="C12" i="11" s="1"/>
  <c r="C13" i="11" s="1"/>
  <c r="C14" i="11" s="1"/>
  <c r="Q17" i="11"/>
  <c r="D3" i="11"/>
  <c r="D6" i="11"/>
  <c r="M19" i="11" s="1"/>
  <c r="P19" i="11" s="1"/>
  <c r="Q18" i="11"/>
  <c r="D5" i="11"/>
  <c r="M18" i="11" s="1"/>
  <c r="P18" i="11" s="1"/>
  <c r="M24" i="7"/>
  <c r="E11" i="10"/>
  <c r="E10" i="10"/>
  <c r="E12" i="10" s="1"/>
  <c r="P10" i="10"/>
  <c r="F11" i="10"/>
  <c r="H11" i="10"/>
  <c r="G9" i="10"/>
  <c r="K9" i="10"/>
  <c r="K10" i="10" s="1"/>
  <c r="K12" i="10" s="1"/>
  <c r="K13" i="10" s="1"/>
  <c r="K14" i="10" s="1"/>
  <c r="N13" i="10"/>
  <c r="D9" i="10"/>
  <c r="J13" i="10"/>
  <c r="J14" i="10" s="1"/>
  <c r="F13" i="10"/>
  <c r="F14" i="10" s="1"/>
  <c r="H13" i="10"/>
  <c r="H14" i="10" s="1"/>
  <c r="E13" i="10"/>
  <c r="E14" i="10" s="1"/>
  <c r="I13" i="10"/>
  <c r="I14" i="10" s="1"/>
  <c r="I5" i="12" l="1"/>
  <c r="I13" i="12"/>
  <c r="J11" i="12"/>
  <c r="I17" i="12"/>
  <c r="I14" i="12"/>
  <c r="I12" i="12"/>
  <c r="I18" i="12"/>
  <c r="I23" i="12" s="1"/>
  <c r="H23" i="12"/>
  <c r="H25" i="12" s="1"/>
  <c r="H26" i="12" s="1"/>
  <c r="D4" i="11"/>
  <c r="M17" i="11" s="1"/>
  <c r="P17" i="11" s="1"/>
  <c r="R17" i="11" s="1"/>
  <c r="M16" i="11"/>
  <c r="P16" i="11" s="1"/>
  <c r="R16" i="11" s="1"/>
  <c r="R18" i="11"/>
  <c r="D7" i="11"/>
  <c r="M20" i="11" s="1"/>
  <c r="P20" i="11" s="1"/>
  <c r="Q19" i="11"/>
  <c r="M25" i="7"/>
  <c r="P12" i="10"/>
  <c r="R12" i="10" s="1"/>
  <c r="S12" i="10" s="1"/>
  <c r="P16" i="10" s="1"/>
  <c r="P17" i="10" s="1"/>
  <c r="P13" i="10"/>
  <c r="R13" i="10" s="1"/>
  <c r="S13" i="10" s="1"/>
  <c r="E15" i="10"/>
  <c r="E16" i="10" s="1"/>
  <c r="E17" i="10" s="1"/>
  <c r="G11" i="10"/>
  <c r="G10" i="10"/>
  <c r="G12" i="10" s="1"/>
  <c r="G13" i="10" s="1"/>
  <c r="G14" i="10" s="1"/>
  <c r="D10" i="10"/>
  <c r="D12" i="10" s="1"/>
  <c r="D11" i="10"/>
  <c r="D13" i="10" s="1"/>
  <c r="D14" i="10" s="1"/>
  <c r="G15" i="10"/>
  <c r="G16" i="10" s="1"/>
  <c r="F15" i="10"/>
  <c r="I15" i="10"/>
  <c r="H15" i="10"/>
  <c r="K15" i="10"/>
  <c r="J15" i="10"/>
  <c r="J13" i="8"/>
  <c r="I13" i="8"/>
  <c r="C21" i="8"/>
  <c r="C24" i="8"/>
  <c r="G20" i="8"/>
  <c r="G16" i="8"/>
  <c r="C4" i="7"/>
  <c r="B23" i="6"/>
  <c r="I23" i="6"/>
  <c r="H23" i="6"/>
  <c r="G23" i="6"/>
  <c r="F23" i="6"/>
  <c r="E23" i="6"/>
  <c r="D23" i="6"/>
  <c r="C23" i="6"/>
  <c r="G14" i="6"/>
  <c r="E14" i="6"/>
  <c r="C18" i="6"/>
  <c r="D5" i="6"/>
  <c r="C14" i="6" s="1"/>
  <c r="I22" i="6"/>
  <c r="H22" i="6"/>
  <c r="G22" i="6"/>
  <c r="F22" i="6"/>
  <c r="E22" i="6"/>
  <c r="D22" i="6"/>
  <c r="C22" i="6"/>
  <c r="B28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E19" i="5"/>
  <c r="C19" i="5"/>
  <c r="E24" i="5"/>
  <c r="K11" i="12" l="1"/>
  <c r="J17" i="12"/>
  <c r="J21" i="12" s="1"/>
  <c r="J14" i="12"/>
  <c r="J12" i="12"/>
  <c r="J13" i="12"/>
  <c r="J18" i="12"/>
  <c r="J5" i="12"/>
  <c r="I21" i="12"/>
  <c r="I25" i="12" s="1"/>
  <c r="I26" i="12" s="1"/>
  <c r="C21" i="5"/>
  <c r="D5" i="7"/>
  <c r="L18" i="7" s="1"/>
  <c r="O18" i="7" s="1"/>
  <c r="P17" i="7"/>
  <c r="C25" i="8"/>
  <c r="C23" i="8"/>
  <c r="C27" i="8" s="1"/>
  <c r="D29" i="8" s="1"/>
  <c r="R19" i="11"/>
  <c r="Q20" i="11"/>
  <c r="R20" i="11" s="1"/>
  <c r="D8" i="11"/>
  <c r="M21" i="11" s="1"/>
  <c r="P21" i="11" s="1"/>
  <c r="D9" i="11"/>
  <c r="M22" i="11" s="1"/>
  <c r="P22" i="11" s="1"/>
  <c r="M26" i="7"/>
  <c r="C5" i="7"/>
  <c r="D6" i="7"/>
  <c r="L19" i="7" s="1"/>
  <c r="O19" i="7" s="1"/>
  <c r="D15" i="10"/>
  <c r="D16" i="10" s="1"/>
  <c r="D17" i="10" s="1"/>
  <c r="K16" i="10"/>
  <c r="K17" i="10" s="1"/>
  <c r="F16" i="10"/>
  <c r="F17" i="10" s="1"/>
  <c r="J16" i="10"/>
  <c r="J17" i="10" s="1"/>
  <c r="H16" i="10"/>
  <c r="H17" i="10" s="1"/>
  <c r="I16" i="10"/>
  <c r="I17" i="10" s="1"/>
  <c r="G17" i="10"/>
  <c r="G18" i="10" s="1"/>
  <c r="C24" i="5"/>
  <c r="C25" i="5" s="1"/>
  <c r="BG21" i="4"/>
  <c r="BD4" i="4"/>
  <c r="BD8" i="4"/>
  <c r="BB8" i="4"/>
  <c r="AZ8" i="4"/>
  <c r="AH19" i="4"/>
  <c r="AU18" i="4"/>
  <c r="AR5" i="4"/>
  <c r="AP5" i="4"/>
  <c r="AN5" i="4"/>
  <c r="S5" i="4"/>
  <c r="Q5" i="4"/>
  <c r="O5" i="4"/>
  <c r="G6" i="4"/>
  <c r="E6" i="4"/>
  <c r="C6" i="4"/>
  <c r="E10" i="4" s="1"/>
  <c r="E14" i="2"/>
  <c r="C12" i="3"/>
  <c r="C15" i="3" s="1"/>
  <c r="E9" i="2"/>
  <c r="C6" i="2"/>
  <c r="C9" i="2" s="1"/>
  <c r="C11" i="2" s="1"/>
  <c r="B5" i="1"/>
  <c r="K18" i="12" l="1"/>
  <c r="K23" i="12" s="1"/>
  <c r="K5" i="12"/>
  <c r="K13" i="12"/>
  <c r="K17" i="12"/>
  <c r="K21" i="12" s="1"/>
  <c r="K12" i="12"/>
  <c r="L11" i="12"/>
  <c r="K14" i="12"/>
  <c r="J23" i="12"/>
  <c r="J25" i="12" s="1"/>
  <c r="J26" i="12" s="1"/>
  <c r="B8" i="1"/>
  <c r="B10" i="1" s="1"/>
  <c r="B13" i="1" s="1"/>
  <c r="B14" i="1" s="1"/>
  <c r="Q9" i="4"/>
  <c r="S9" i="4" s="1"/>
  <c r="O13" i="4" s="1"/>
  <c r="BB12" i="4"/>
  <c r="M27" i="7"/>
  <c r="Q17" i="7"/>
  <c r="C6" i="7"/>
  <c r="P18" i="7"/>
  <c r="Q18" i="7"/>
  <c r="I31" i="8"/>
  <c r="I32" i="8" s="1"/>
  <c r="Q21" i="11"/>
  <c r="R21" i="11" s="1"/>
  <c r="N13" i="4"/>
  <c r="AE10" i="4"/>
  <c r="AG11" i="4" s="1"/>
  <c r="T13" i="4"/>
  <c r="P13" i="4"/>
  <c r="R13" i="4"/>
  <c r="Q13" i="4"/>
  <c r="H29" i="5"/>
  <c r="D29" i="5"/>
  <c r="G29" i="5"/>
  <c r="C29" i="5"/>
  <c r="F29" i="5"/>
  <c r="I29" i="5"/>
  <c r="E29" i="5"/>
  <c r="AP9" i="4"/>
  <c r="AR9" i="4" s="1"/>
  <c r="AS10" i="4" s="1"/>
  <c r="C16" i="8"/>
  <c r="AZ14" i="4"/>
  <c r="BD12" i="4"/>
  <c r="BE13" i="4" s="1"/>
  <c r="BA16" i="4"/>
  <c r="G10" i="4"/>
  <c r="C17" i="3"/>
  <c r="C20" i="3" s="1"/>
  <c r="C21" i="3" s="1"/>
  <c r="C14" i="2"/>
  <c r="C15" i="2" s="1"/>
  <c r="K25" i="12" l="1"/>
  <c r="K26" i="12" s="1"/>
  <c r="M11" i="12"/>
  <c r="L5" i="12"/>
  <c r="L13" i="12"/>
  <c r="L17" i="12"/>
  <c r="L14" i="12"/>
  <c r="L12" i="12"/>
  <c r="L18" i="12"/>
  <c r="F18" i="1"/>
  <c r="B18" i="1"/>
  <c r="E18" i="1"/>
  <c r="C18" i="1"/>
  <c r="D18" i="1"/>
  <c r="G18" i="1"/>
  <c r="C7" i="7"/>
  <c r="P19" i="7"/>
  <c r="D7" i="7"/>
  <c r="L20" i="7" s="1"/>
  <c r="O20" i="7" s="1"/>
  <c r="G25" i="3"/>
  <c r="C25" i="3"/>
  <c r="S13" i="4"/>
  <c r="Q22" i="11"/>
  <c r="R22" i="11" s="1"/>
  <c r="D10" i="11"/>
  <c r="M23" i="11" s="1"/>
  <c r="P23" i="11" s="1"/>
  <c r="D11" i="11"/>
  <c r="M24" i="11" s="1"/>
  <c r="P24" i="11" s="1"/>
  <c r="AO13" i="4"/>
  <c r="AN11" i="4"/>
  <c r="AB14" i="4"/>
  <c r="AB15" i="4" s="1"/>
  <c r="AA12" i="4"/>
  <c r="I18" i="1"/>
  <c r="J28" i="5"/>
  <c r="H13" i="8"/>
  <c r="I15" i="8" s="1"/>
  <c r="D30" i="8"/>
  <c r="E29" i="8" s="1"/>
  <c r="U13" i="4"/>
  <c r="W28" i="4" s="1"/>
  <c r="K13" i="8"/>
  <c r="H16" i="8" s="1"/>
  <c r="BC16" i="4"/>
  <c r="BF16" i="4" s="1"/>
  <c r="BG16" i="4" s="1"/>
  <c r="BA17" i="4"/>
  <c r="AO14" i="4"/>
  <c r="AQ13" i="4"/>
  <c r="AT13" i="4" s="1"/>
  <c r="AU13" i="4" s="1"/>
  <c r="E14" i="4"/>
  <c r="D14" i="4"/>
  <c r="G14" i="4"/>
  <c r="C14" i="4"/>
  <c r="F14" i="4"/>
  <c r="B14" i="4"/>
  <c r="F19" i="2"/>
  <c r="H19" i="2"/>
  <c r="C19" i="2"/>
  <c r="E19" i="2"/>
  <c r="D19" i="2"/>
  <c r="G19" i="2"/>
  <c r="H25" i="3"/>
  <c r="H29" i="3" s="1"/>
  <c r="E25" i="3"/>
  <c r="F25" i="3"/>
  <c r="D25" i="3"/>
  <c r="L23" i="12" l="1"/>
  <c r="M5" i="12"/>
  <c r="M13" i="12"/>
  <c r="M18" i="12"/>
  <c r="M23" i="12" s="1"/>
  <c r="N11" i="12"/>
  <c r="M17" i="12"/>
  <c r="M21" i="12" s="1"/>
  <c r="M14" i="12"/>
  <c r="M12" i="12"/>
  <c r="L21" i="12"/>
  <c r="Q19" i="7"/>
  <c r="C8" i="7"/>
  <c r="P20" i="7"/>
  <c r="D8" i="7"/>
  <c r="L21" i="7" s="1"/>
  <c r="O21" i="7" s="1"/>
  <c r="H14" i="4"/>
  <c r="K27" i="4" s="1"/>
  <c r="Q20" i="7"/>
  <c r="Q23" i="11"/>
  <c r="R23" i="11" s="1"/>
  <c r="S4" i="7"/>
  <c r="AD14" i="4"/>
  <c r="AG14" i="4" s="1"/>
  <c r="AH14" i="4" s="1"/>
  <c r="AD15" i="4"/>
  <c r="AG15" i="4" s="1"/>
  <c r="AH15" i="4" s="1"/>
  <c r="AB16" i="4"/>
  <c r="I17" i="8"/>
  <c r="I20" i="8"/>
  <c r="BC17" i="4"/>
  <c r="BF17" i="4" s="1"/>
  <c r="BG17" i="4" s="1"/>
  <c r="BA18" i="4"/>
  <c r="AO15" i="4"/>
  <c r="AQ14" i="4"/>
  <c r="AT14" i="4" s="1"/>
  <c r="AU14" i="4" s="1"/>
  <c r="I19" i="2"/>
  <c r="H27" i="3"/>
  <c r="M25" i="12" l="1"/>
  <c r="M26" i="12" s="1"/>
  <c r="L25" i="12"/>
  <c r="L26" i="12" s="1"/>
  <c r="O11" i="12"/>
  <c r="P11" i="12" s="1"/>
  <c r="P5" i="12" s="1"/>
  <c r="N17" i="12"/>
  <c r="N14" i="12"/>
  <c r="N12" i="12"/>
  <c r="N5" i="12"/>
  <c r="N18" i="12"/>
  <c r="N23" i="12" s="1"/>
  <c r="N13" i="12"/>
  <c r="Q21" i="7"/>
  <c r="C9" i="7"/>
  <c r="P21" i="7"/>
  <c r="D9" i="7"/>
  <c r="L22" i="7" s="1"/>
  <c r="O22" i="7" s="1"/>
  <c r="D10" i="7"/>
  <c r="L23" i="7" s="1"/>
  <c r="O23" i="7" s="1"/>
  <c r="Q24" i="11"/>
  <c r="R24" i="11" s="1"/>
  <c r="D12" i="11"/>
  <c r="M25" i="11" s="1"/>
  <c r="P25" i="11" s="1"/>
  <c r="S5" i="7"/>
  <c r="U4" i="7"/>
  <c r="X4" i="7" s="1"/>
  <c r="L20" i="8"/>
  <c r="N13" i="8"/>
  <c r="O13" i="8"/>
  <c r="M13" i="8"/>
  <c r="R13" i="8"/>
  <c r="P13" i="8"/>
  <c r="Q13" i="8"/>
  <c r="AD16" i="4"/>
  <c r="AG16" i="4" s="1"/>
  <c r="AH16" i="4" s="1"/>
  <c r="AB17" i="4"/>
  <c r="I23" i="8"/>
  <c r="I21" i="8"/>
  <c r="I22" i="8"/>
  <c r="I24" i="8"/>
  <c r="BC18" i="4"/>
  <c r="BF18" i="4" s="1"/>
  <c r="BG18" i="4" s="1"/>
  <c r="BA19" i="4"/>
  <c r="AQ15" i="4"/>
  <c r="AT15" i="4" s="1"/>
  <c r="AU15" i="4" s="1"/>
  <c r="AO16" i="4"/>
  <c r="N21" i="12" l="1"/>
  <c r="N25" i="12" s="1"/>
  <c r="N26" i="12" s="1"/>
  <c r="O18" i="12"/>
  <c r="O12" i="12"/>
  <c r="P12" i="12" s="1"/>
  <c r="O5" i="12"/>
  <c r="O13" i="12"/>
  <c r="P13" i="12" s="1"/>
  <c r="O17" i="12"/>
  <c r="O21" i="12" s="1"/>
  <c r="P21" i="12" s="1"/>
  <c r="O14" i="12"/>
  <c r="P14" i="12" s="1"/>
  <c r="C10" i="7"/>
  <c r="P22" i="7"/>
  <c r="Q22" i="7" s="1"/>
  <c r="D11" i="7"/>
  <c r="L24" i="7" s="1"/>
  <c r="O24" i="7" s="1"/>
  <c r="Q25" i="11"/>
  <c r="R25" i="11" s="1"/>
  <c r="D13" i="11"/>
  <c r="M26" i="11" s="1"/>
  <c r="P26" i="11" s="1"/>
  <c r="Y4" i="7"/>
  <c r="S6" i="7"/>
  <c r="U5" i="7"/>
  <c r="X5" i="7" s="1"/>
  <c r="Y5" i="7" s="1"/>
  <c r="AD17" i="4"/>
  <c r="AG17" i="4" s="1"/>
  <c r="AH17" i="4" s="1"/>
  <c r="AB18" i="4"/>
  <c r="AD18" i="4" s="1"/>
  <c r="AG18" i="4" s="1"/>
  <c r="I27" i="8"/>
  <c r="I25" i="8"/>
  <c r="BC19" i="4"/>
  <c r="BF19" i="4" s="1"/>
  <c r="BG19" i="4" s="1"/>
  <c r="BA20" i="4"/>
  <c r="BC20" i="4" s="1"/>
  <c r="BF20" i="4" s="1"/>
  <c r="BG20" i="4" s="1"/>
  <c r="BH20" i="4" s="1"/>
  <c r="AQ16" i="4"/>
  <c r="AT16" i="4" s="1"/>
  <c r="AO17" i="4"/>
  <c r="AQ17" i="4" s="1"/>
  <c r="AT17" i="4" s="1"/>
  <c r="AU17" i="4" s="1"/>
  <c r="P17" i="12" l="1"/>
  <c r="O23" i="12"/>
  <c r="P18" i="12"/>
  <c r="C11" i="7"/>
  <c r="P23" i="7"/>
  <c r="Q23" i="7" s="1"/>
  <c r="D12" i="7"/>
  <c r="L25" i="7" s="1"/>
  <c r="O25" i="7" s="1"/>
  <c r="Q26" i="11"/>
  <c r="R26" i="11" s="1"/>
  <c r="Q27" i="11"/>
  <c r="D14" i="11"/>
  <c r="M27" i="11" s="1"/>
  <c r="P27" i="11" s="1"/>
  <c r="R27" i="11" s="1"/>
  <c r="C16" i="11"/>
  <c r="S7" i="7"/>
  <c r="U6" i="7"/>
  <c r="X6" i="7" s="1"/>
  <c r="Y6" i="7" s="1"/>
  <c r="AT19" i="4"/>
  <c r="AU19" i="4" s="1"/>
  <c r="AU16" i="4"/>
  <c r="AU20" i="4" s="1"/>
  <c r="AG20" i="4"/>
  <c r="AH20" i="4" s="1"/>
  <c r="AH18" i="4"/>
  <c r="AH21" i="4" s="1"/>
  <c r="I29" i="8"/>
  <c r="BF22" i="4"/>
  <c r="BG22" i="4" s="1"/>
  <c r="BG23" i="4"/>
  <c r="C16" i="6"/>
  <c r="C19" i="6" s="1"/>
  <c r="C20" i="6" s="1"/>
  <c r="P23" i="12" l="1"/>
  <c r="O25" i="12"/>
  <c r="O26" i="12" s="1"/>
  <c r="C12" i="7"/>
  <c r="P24" i="7"/>
  <c r="Q24" i="7" s="1"/>
  <c r="AV17" i="4"/>
  <c r="I17" i="11"/>
  <c r="I18" i="11" s="1"/>
  <c r="I13" i="11"/>
  <c r="J12" i="11" s="1"/>
  <c r="Q28" i="11"/>
  <c r="R28" i="11"/>
  <c r="I21" i="11"/>
  <c r="I19" i="11"/>
  <c r="I20" i="11"/>
  <c r="S8" i="7"/>
  <c r="U8" i="7" s="1"/>
  <c r="X8" i="7" s="1"/>
  <c r="Y8" i="7" s="1"/>
  <c r="U7" i="7"/>
  <c r="X7" i="7" s="1"/>
  <c r="Y7" i="7" s="1"/>
  <c r="L21" i="8"/>
  <c r="L22" i="8" s="1"/>
  <c r="M22" i="8" s="1"/>
  <c r="E24" i="6"/>
  <c r="I24" i="6"/>
  <c r="D24" i="6"/>
  <c r="G24" i="6"/>
  <c r="F24" i="6"/>
  <c r="C24" i="6"/>
  <c r="H24" i="6"/>
  <c r="C13" i="7" l="1"/>
  <c r="P25" i="7"/>
  <c r="Q25" i="7" s="1"/>
  <c r="D13" i="7"/>
  <c r="L26" i="7" s="1"/>
  <c r="O26" i="7" s="1"/>
  <c r="I24" i="11"/>
  <c r="I22" i="11"/>
  <c r="R29" i="11"/>
  <c r="H30" i="11"/>
  <c r="X10" i="7"/>
  <c r="Y10" i="7" s="1"/>
  <c r="J23" i="6"/>
  <c r="C14" i="7" l="1"/>
  <c r="P26" i="7"/>
  <c r="Q26" i="7" s="1"/>
  <c r="D14" i="7"/>
  <c r="L27" i="7" s="1"/>
  <c r="O27" i="7" s="1"/>
  <c r="I26" i="11"/>
  <c r="H31" i="11" s="1"/>
  <c r="H32" i="11" s="1"/>
  <c r="P27" i="7" l="1"/>
  <c r="P28" i="7" s="1"/>
  <c r="C16" i="7"/>
  <c r="H21" i="7" s="1"/>
  <c r="Q27" i="7"/>
  <c r="Q28" i="7" s="1"/>
  <c r="J26" i="11"/>
  <c r="G34" i="7" l="1"/>
  <c r="Q29" i="7"/>
  <c r="H25" i="7"/>
  <c r="H24" i="7"/>
  <c r="H22" i="7"/>
  <c r="H23" i="7"/>
  <c r="H28" i="7" l="1"/>
  <c r="H26" i="7"/>
  <c r="H30" i="7"/>
  <c r="G35" i="7" l="1"/>
  <c r="G36" i="7" s="1"/>
  <c r="I30" i="7"/>
</calcChain>
</file>

<file path=xl/sharedStrings.xml><?xml version="1.0" encoding="utf-8"?>
<sst xmlns="http://schemas.openxmlformats.org/spreadsheetml/2006/main" count="766" uniqueCount="198">
  <si>
    <t>Media</t>
  </si>
  <si>
    <t>RBT 12 MESES</t>
  </si>
  <si>
    <t>x</t>
  </si>
  <si>
    <t>Parc. A Deduzir</t>
  </si>
  <si>
    <t>Aliq. Efetiva</t>
  </si>
  <si>
    <t>Aliq. Nominal</t>
  </si>
  <si>
    <t>Aliq.</t>
  </si>
  <si>
    <t>Valor Imposto (DAS)</t>
  </si>
  <si>
    <t>Faixas</t>
  </si>
  <si>
    <t>Percentual de Repartição dos Tributos</t>
  </si>
  <si>
    <t>IRPJ</t>
  </si>
  <si>
    <t>CSLL</t>
  </si>
  <si>
    <t>Cofins</t>
  </si>
  <si>
    <t>PIS/Pasep</t>
  </si>
  <si>
    <t>CPP</t>
  </si>
  <si>
    <t>ISS (*)</t>
  </si>
  <si>
    <t>1a</t>
  </si>
  <si>
    <t>2a</t>
  </si>
  <si>
    <t>3a</t>
  </si>
  <si>
    <t>4a</t>
  </si>
  <si>
    <t>5a</t>
  </si>
  <si>
    <t>33,50% (*)</t>
  </si>
  <si>
    <t>6a</t>
  </si>
  <si>
    <t>–</t>
  </si>
  <si>
    <t>ICMS</t>
  </si>
  <si>
    <t>Receita Bruta Total em 12 meses</t>
  </si>
  <si>
    <t>Alíquota</t>
  </si>
  <si>
    <t>Valor a Deduzir</t>
  </si>
  <si>
    <t>Até R$ 180.000,00</t>
  </si>
  <si>
    <t>De 180.000,01 a 360.000,00</t>
  </si>
  <si>
    <t>De 360.000,01 a 720.000,00</t>
  </si>
  <si>
    <t>De 720.000,01 a 1.800.000,00</t>
  </si>
  <si>
    <t>De 1.800.000,01 a 3.600.000,00</t>
  </si>
  <si>
    <t>De 3.600.000,01 a 4.800.000,00</t>
  </si>
  <si>
    <t xml:space="preserve">  -</t>
  </si>
  <si>
    <t>Faturamento Mensal</t>
  </si>
  <si>
    <t>IPI</t>
  </si>
  <si>
    <t>RBT 12m</t>
  </si>
  <si>
    <t>Folha Sal. Total</t>
  </si>
  <si>
    <t>Ativ 1 Comerc</t>
  </si>
  <si>
    <t>ano anterior</t>
  </si>
  <si>
    <t>ANEXO 1</t>
  </si>
  <si>
    <t>Anexo 2</t>
  </si>
  <si>
    <t xml:space="preserve">Ativ 2 Indústria </t>
  </si>
  <si>
    <t>Anexo 3</t>
  </si>
  <si>
    <t>Ativ 3 Serviços</t>
  </si>
  <si>
    <t>Ali. Efetiv</t>
  </si>
  <si>
    <t>ISS</t>
  </si>
  <si>
    <t>ISSQN</t>
  </si>
  <si>
    <t>Ativ 4 Serviços</t>
  </si>
  <si>
    <t>Repartição</t>
  </si>
  <si>
    <t>Calcular o R</t>
  </si>
  <si>
    <t>R</t>
  </si>
  <si>
    <t>Folha de Sal</t>
  </si>
  <si>
    <t>RBT</t>
  </si>
  <si>
    <t>ANEXO III</t>
  </si>
  <si>
    <t>Total</t>
  </si>
  <si>
    <t>Ativ 5 Serviços</t>
  </si>
  <si>
    <t>Média</t>
  </si>
  <si>
    <t>§  Julho/2017</t>
  </si>
  <si>
    <t>§  Agosto/2017</t>
  </si>
  <si>
    <t>§  Setembro/2017</t>
  </si>
  <si>
    <t>§  Outubro/2017</t>
  </si>
  <si>
    <t>§  Novembro/2017</t>
  </si>
  <si>
    <t>§  Dezembro/2017</t>
  </si>
  <si>
    <t>§  Janeiro/2018</t>
  </si>
  <si>
    <t>§  Fevereiro/2018</t>
  </si>
  <si>
    <t>§  Março/2018</t>
  </si>
  <si>
    <t>§  Abril/2018</t>
  </si>
  <si>
    <t>§  Maio/2018</t>
  </si>
  <si>
    <t>§  Junho/2018</t>
  </si>
  <si>
    <r>
      <t>Anexo II – Indústria (</t>
    </r>
    <r>
      <rPr>
        <b/>
        <sz val="26"/>
        <color rgb="FF404040"/>
        <rFont val="Calibri Light"/>
        <family val="2"/>
      </rPr>
      <t>Repartição)</t>
    </r>
  </si>
  <si>
    <t>menos (-)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</si>
  <si>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</si>
  <si>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</si>
  <si>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</si>
  <si>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</si>
  <si>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</si>
  <si>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</si>
  <si>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</si>
  <si>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</si>
  <si>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</si>
  <si>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</si>
  <si>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</si>
  <si>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</si>
  <si>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Faturamento</t>
  </si>
  <si>
    <t>Imposto Devido</t>
  </si>
  <si>
    <t>Presunção IR e CSLL</t>
  </si>
  <si>
    <t>IR</t>
  </si>
  <si>
    <t>IRA</t>
  </si>
  <si>
    <t>PIS</t>
  </si>
  <si>
    <t>COFINS</t>
  </si>
  <si>
    <t>SIMPLES NACIONAL</t>
  </si>
  <si>
    <t>LUCRO PRESUMIDO</t>
  </si>
  <si>
    <t>Dif.</t>
  </si>
  <si>
    <t>FATURAMENTO</t>
  </si>
  <si>
    <t>FOLHA DE SALÁRIOS</t>
  </si>
  <si>
    <t>N. empregados</t>
  </si>
  <si>
    <t xml:space="preserve">Sal (mês) </t>
  </si>
  <si>
    <t>Encargos</t>
  </si>
  <si>
    <t>Férias</t>
  </si>
  <si>
    <t>13 Sal</t>
  </si>
  <si>
    <t>FGTS</t>
  </si>
  <si>
    <t>Folha</t>
  </si>
  <si>
    <t>ANEXO</t>
  </si>
  <si>
    <t>Faturamentos</t>
  </si>
  <si>
    <t>R$</t>
  </si>
  <si>
    <t>Anexo I - Comércio (lojas em geral)</t>
  </si>
  <si>
    <r>
      <t>Anexo II – Indústria (</t>
    </r>
    <r>
      <rPr>
        <b/>
        <sz val="18"/>
        <color rgb="FF404040"/>
        <rFont val="Calibri Light"/>
        <family val="2"/>
      </rPr>
      <t>Repartição)</t>
    </r>
  </si>
  <si>
    <t>Anexo III – prestação de serviços de:</t>
  </si>
  <si>
    <t>creche, pré-escola e estabelecimento de ensino fundamental, escolas técnicas, profissionais e de ensino médio, de línguas estrangeiras, de artes, cursos técnicos de pilotagem, preparatórios para concursos, gerenciais e escolas livres, exceto as previstas nas alíneas “b” e “c” do inciso V;</t>
  </si>
  <si>
    <t>ANEXO I</t>
  </si>
  <si>
    <t>ANEXO II</t>
  </si>
  <si>
    <t>ANEXO III ou V</t>
  </si>
  <si>
    <r>
      <t xml:space="preserve">Realizou a </t>
    </r>
    <r>
      <rPr>
        <b/>
        <sz val="10"/>
        <color rgb="FFFF0000"/>
        <rFont val="Times New Roman"/>
        <family val="1"/>
      </rPr>
      <t>comercialização de rações para Cães e Gatos</t>
    </r>
    <r>
      <rPr>
        <sz val="10"/>
        <color rgb="FFFF0000"/>
        <rFont val="Times New Roman"/>
        <family val="1"/>
      </rPr>
      <t xml:space="preserve">, por R$: 135.780,00, adquiridas da Industria C&amp;G; </t>
    </r>
  </si>
  <si>
    <r>
      <rPr>
        <b/>
        <sz val="10"/>
        <color rgb="FFFF0000"/>
        <rFont val="Times New Roman"/>
        <family val="1"/>
      </rPr>
      <t>Industrializou e vendeu carrapaticidas</t>
    </r>
    <r>
      <rPr>
        <sz val="10"/>
        <color rgb="FFFF0000"/>
        <rFont val="Times New Roman"/>
        <family val="1"/>
      </rPr>
      <t xml:space="preserve">, produção na própria clínica, de lote de produção N. C00123, por R$ 20.500,00; </t>
    </r>
  </si>
  <si>
    <r>
      <t xml:space="preserve">A clínica realizou a venda de 50 </t>
    </r>
    <r>
      <rPr>
        <b/>
        <sz val="10"/>
        <color rgb="FFFF0000"/>
        <rFont val="Times New Roman"/>
        <family val="1"/>
      </rPr>
      <t>seguros saúde</t>
    </r>
    <r>
      <rPr>
        <sz val="10"/>
        <color rgb="FFFF0000"/>
        <rFont val="Times New Roman"/>
        <family val="1"/>
      </rPr>
      <t xml:space="preserve"> para animais e recebeu a comissão como corretora, no valor de R$ 8.750,00; </t>
    </r>
  </si>
  <si>
    <r>
      <t xml:space="preserve">Prestou serviços de </t>
    </r>
    <r>
      <rPr>
        <b/>
        <sz val="10"/>
        <color rgb="FFFF0000"/>
        <rFont val="Times New Roman"/>
        <family val="1"/>
      </rPr>
      <t xml:space="preserve">desenvolvimento de prótese </t>
    </r>
    <r>
      <rPr>
        <sz val="10"/>
        <color rgb="FFFF0000"/>
        <rFont val="Times New Roman"/>
        <family val="1"/>
      </rPr>
      <t>para animais, por R$: 15.450,00; e</t>
    </r>
  </si>
  <si>
    <r>
      <t xml:space="preserve">O veterinário Herico prestou </t>
    </r>
    <r>
      <rPr>
        <b/>
        <sz val="10"/>
        <color rgb="FFFF0000"/>
        <rFont val="Times New Roman"/>
        <family val="1"/>
      </rPr>
      <t>serviços de medicina veterinária</t>
    </r>
    <r>
      <rPr>
        <sz val="10"/>
        <color rgb="FFFF0000"/>
        <rFont val="Times New Roman"/>
        <family val="1"/>
      </rPr>
      <t>, mediante a realização de cirurgias em animais, por R$ 40.500,00</t>
    </r>
  </si>
  <si>
    <t>DAS</t>
  </si>
  <si>
    <t>OK</t>
  </si>
  <si>
    <t>FAIXAS</t>
  </si>
  <si>
    <t>PIS/PASEP</t>
  </si>
  <si>
    <t>1a Faixa</t>
  </si>
  <si>
    <t>2a Faixa</t>
  </si>
  <si>
    <t>3a Faixa</t>
  </si>
  <si>
    <t>4a Faixa</t>
  </si>
  <si>
    <t>40,00% (*)</t>
  </si>
  <si>
    <t>5a Faixa</t>
  </si>
  <si>
    <t>6a Faixa</t>
  </si>
  <si>
    <t>Faixa</t>
  </si>
  <si>
    <t>Percentual de ISS fixo em 5%</t>
  </si>
  <si>
    <t>(Alíquota efetiva 5%) x 32,00%</t>
  </si>
  <si>
    <t>Alíquota efetiva 5%) x 31,33%</t>
  </si>
  <si>
    <t>(Alíquota efetiva 5%) x 30,13%</t>
  </si>
  <si>
    <t>5a Faixa, com alíquota efetiva superior a 12,5%</t>
  </si>
  <si>
    <t>Alíquota efetiva 5%) x 6,54%</t>
  </si>
  <si>
    <t>PIS/COFINS</t>
  </si>
  <si>
    <t>LAIR</t>
  </si>
  <si>
    <t>Custo</t>
  </si>
  <si>
    <t>Hoje</t>
  </si>
  <si>
    <t>Tributos totais</t>
  </si>
  <si>
    <t>CUSTOS/Desp</t>
  </si>
  <si>
    <t>Aluguel</t>
  </si>
  <si>
    <t>Condomino/Agua/Energia/Limpeza</t>
  </si>
  <si>
    <t>Pessaol</t>
  </si>
  <si>
    <t>Lucro Liquido</t>
  </si>
  <si>
    <t>Impactos entre pequesno e Graandes (LUCRO REAL)</t>
  </si>
  <si>
    <t>Comparativa de tres fontes</t>
  </si>
  <si>
    <t>Contador PF</t>
  </si>
  <si>
    <t>Medico PJ</t>
  </si>
  <si>
    <t>Herança</t>
  </si>
  <si>
    <t>investimento mercado financeiro</t>
  </si>
  <si>
    <t>Amanhã</t>
  </si>
  <si>
    <t>Análsie Comparativa</t>
  </si>
  <si>
    <t>Apuração pelo Lucro Presumido</t>
  </si>
  <si>
    <t>Aliq. Nomninal</t>
  </si>
  <si>
    <t>Vr$ a Deduzir</t>
  </si>
  <si>
    <t>Aliq. Efeti</t>
  </si>
  <si>
    <t xml:space="preserve">Fatur. Mês </t>
  </si>
  <si>
    <t>Tributos A recolher</t>
  </si>
  <si>
    <t>Opção: Simples Nacional Ou Lucro Presumido</t>
  </si>
  <si>
    <r>
      <t>(*) O percentual efetivo máximo devido ao ISS será de 5%, transferindo-se a diferença, de forma proporcional, aos tributos federais da mesma faixa de receita bruta anual. Sendo assim, n</t>
    </r>
    <r>
      <rPr>
        <b/>
        <sz val="8"/>
        <color rgb="FF000000"/>
        <rFont val="Raleway"/>
      </rPr>
      <t>a 5a faixa, quando a alíquota efetiva for superior a 12,5%</t>
    </r>
    <r>
      <rPr>
        <sz val="8"/>
        <color rgb="FF000000"/>
        <rFont val="Raleway"/>
      </rPr>
      <t>, a repartição será:</t>
    </r>
  </si>
  <si>
    <t>Caclulo R</t>
  </si>
  <si>
    <t>ANEXO IIII</t>
  </si>
  <si>
    <t>Faturamento (mês)</t>
  </si>
  <si>
    <t>Venda de Mercad. (Toner)</t>
  </si>
  <si>
    <t>Classificação Fiscal</t>
  </si>
  <si>
    <t>Pis</t>
  </si>
  <si>
    <t>Lucro Presumido</t>
  </si>
  <si>
    <t>LP (Serv)</t>
  </si>
  <si>
    <t>LP (Merc -IR)</t>
  </si>
  <si>
    <t>LP (Merc -CSLL)</t>
  </si>
  <si>
    <t>os cartuchos originais da hp 122 pto xl e 60 color - a classificação fiscal é 84439923</t>
  </si>
  <si>
    <t>o tonner original da hp 05a - a classificação fiscal é 84439933</t>
  </si>
  <si>
    <t>impressora laserjet mono hp p1102w wireless - a classificação fiscal é 84433233</t>
  </si>
  <si>
    <t>impressora jato de tinta deskjet 1000 - a classificação fiscal é 84433231</t>
  </si>
  <si>
    <t>impressora multifuncional officejet j4500 - a classificação fiscal é 84433111</t>
  </si>
  <si>
    <t>pen drive usb de 4 gb smart - a classificação fiscal é 85235190</t>
  </si>
  <si>
    <t>SP =&gt; SP</t>
  </si>
  <si>
    <t xml:space="preserve">Comsumidor </t>
  </si>
  <si>
    <t>PJ</t>
  </si>
  <si>
    <t>Serviços Gráficos</t>
  </si>
  <si>
    <t>Total Tributação</t>
  </si>
  <si>
    <t>Simulação</t>
  </si>
  <si>
    <t>Crédito</t>
  </si>
  <si>
    <t>Compra Toner (ICMS)</t>
  </si>
  <si>
    <t>MVA (FISCO)</t>
  </si>
  <si>
    <t>Base ICMS ST</t>
  </si>
  <si>
    <t>ICMS ST</t>
  </si>
  <si>
    <t>Crédito Compra</t>
  </si>
  <si>
    <t>ICMS ST FINAL</t>
  </si>
  <si>
    <t>Venda REAL</t>
  </si>
  <si>
    <t>C. ICMS</t>
  </si>
  <si>
    <t xml:space="preserve">ICMS a pagar </t>
  </si>
  <si>
    <t>Diferença</t>
  </si>
  <si>
    <t>OperaçÕes</t>
  </si>
  <si>
    <t>https://www.systax.com.br/classificacaofiscal/ncm/84439933-cartuchos-revelador-toners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</si>
</sst>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;[Red]\-&quot;R$&quot;#,##0.00"/>
    <numFmt numFmtId="165" formatCode="0.0%"/>
    <numFmt numFmtId="166" formatCode="0.000%"/>
    <numFmt numFmtId="167" formatCode="_-* #,##0.000_-;\-* #,##0.000_-;_-* &quot;-&quot;???_-;_-@_-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4F5354"/>
      <name val="Open Sans"/>
    </font>
    <font>
      <sz val="10"/>
      <color theme="1"/>
      <name val="Calibri"/>
      <family val="2"/>
      <scheme val="minor"/>
    </font>
    <font>
      <sz val="10"/>
      <color rgb="FF4F5354"/>
      <name val="Open Sans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Arial"/>
      <family val="2"/>
    </font>
    <font>
      <b/>
      <sz val="10"/>
      <color theme="0"/>
      <name val="Open Sans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4F5354"/>
      <name val="Arial"/>
      <family val="2"/>
    </font>
    <font>
      <sz val="10"/>
      <color rgb="FF4F5354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26"/>
      <color rgb="FF404040"/>
      <name val="Calibri Light"/>
      <family val="2"/>
    </font>
    <font>
      <b/>
      <sz val="26"/>
      <color rgb="FF404040"/>
      <name val="Calibri Light"/>
      <family val="2"/>
    </font>
    <font>
      <b/>
      <sz val="8"/>
      <color rgb="FF4F5354"/>
      <name val="Open Sans"/>
    </font>
    <font>
      <sz val="8"/>
      <color rgb="FF4F5354"/>
      <name val="Open Sans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4F5354"/>
      <name val="Open Sans"/>
      <family val="2"/>
    </font>
    <font>
      <sz val="18"/>
      <color rgb="FF404040"/>
      <name val="Calibri Light"/>
      <family val="2"/>
    </font>
    <font>
      <b/>
      <sz val="18"/>
      <color rgb="FF404040"/>
      <name val="Calibri Light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0"/>
      <name val="Calibri"/>
      <family val="2"/>
      <scheme val="minor"/>
    </font>
    <font>
      <sz val="8"/>
      <color rgb="FF000000"/>
      <name val="Raleway"/>
    </font>
    <font>
      <b/>
      <sz val="8"/>
      <color rgb="FF3F3F3F"/>
      <name val="Raleway"/>
    </font>
    <font>
      <sz val="8"/>
      <color theme="1"/>
      <name val="Raleway"/>
    </font>
    <font>
      <sz val="8"/>
      <name val="Calibri"/>
      <family val="2"/>
      <scheme val="minor"/>
    </font>
    <font>
      <b/>
      <sz val="8"/>
      <color theme="1"/>
      <name val="Raleway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8"/>
      <color rgb="FF000000"/>
      <name val="Raleway"/>
    </font>
    <font>
      <sz val="7"/>
      <color rgb="FF565656"/>
      <name val="Open Sans"/>
      <family val="2"/>
    </font>
    <font>
      <sz val="8"/>
      <color theme="1"/>
      <name val="Calibri"/>
      <family val="2"/>
      <scheme val="minor"/>
    </font>
    <font>
      <sz val="8"/>
      <color rgb="FF565656"/>
      <name val="Open Sans"/>
      <family val="2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B38"/>
        <bgColor indexed="64"/>
      </patternFill>
    </fill>
    <fill>
      <patternFill patternType="solid">
        <fgColor rgb="FFDEECCE"/>
        <bgColor indexed="64"/>
      </patternFill>
    </fill>
    <fill>
      <patternFill patternType="solid">
        <fgColor rgb="FFEFF6E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ABA7A"/>
        <bgColor indexed="64"/>
      </patternFill>
    </fill>
  </fills>
  <borders count="5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 style="thick">
        <color rgb="FFFFFFFF"/>
      </bottom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99CB38"/>
      </left>
      <right/>
      <top style="medium">
        <color rgb="FF99CB38"/>
      </top>
      <bottom style="medium">
        <color rgb="FF99CB38"/>
      </bottom>
      <diagonal/>
    </border>
    <border>
      <left/>
      <right style="medium">
        <color rgb="FF99CB38"/>
      </right>
      <top style="medium">
        <color rgb="FF99CB38"/>
      </top>
      <bottom style="medium">
        <color rgb="FF99CB38"/>
      </bottom>
      <diagonal/>
    </border>
    <border>
      <left/>
      <right/>
      <top style="medium">
        <color rgb="FF99CB38"/>
      </top>
      <bottom style="medium">
        <color rgb="FF99CB38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99CB38"/>
      </left>
      <right/>
      <top style="medium">
        <color rgb="FF99CB38"/>
      </top>
      <bottom/>
      <diagonal/>
    </border>
    <border>
      <left/>
      <right/>
      <top style="medium">
        <color rgb="FF99CB38"/>
      </top>
      <bottom/>
      <diagonal/>
    </border>
    <border>
      <left/>
      <right style="medium">
        <color rgb="FF99CB38"/>
      </right>
      <top style="medium">
        <color rgb="FF99CB38"/>
      </top>
      <bottom/>
      <diagonal/>
    </border>
    <border>
      <left style="medium">
        <color rgb="FF99CB38"/>
      </left>
      <right/>
      <top/>
      <bottom style="medium">
        <color rgb="FF99CB38"/>
      </bottom>
      <diagonal/>
    </border>
    <border>
      <left/>
      <right/>
      <top/>
      <bottom style="medium">
        <color rgb="FF99CB38"/>
      </bottom>
      <diagonal/>
    </border>
    <border>
      <left/>
      <right style="medium">
        <color rgb="FF99CB38"/>
      </right>
      <top/>
      <bottom style="medium">
        <color rgb="FF99CB3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111111"/>
      </bottom>
      <diagonal/>
    </border>
    <border>
      <left/>
      <right style="medium">
        <color rgb="FFDDDDDD"/>
      </right>
      <top/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E5E5E5"/>
      </left>
      <right style="medium">
        <color rgb="FFDDDDDD"/>
      </right>
      <top/>
      <bottom/>
      <diagonal/>
    </border>
    <border>
      <left/>
      <right style="medium">
        <color rgb="FFE5E5E5"/>
      </right>
      <top/>
      <bottom/>
      <diagonal/>
    </border>
    <border>
      <left style="medium">
        <color rgb="FFE5E5E5"/>
      </left>
      <right style="medium">
        <color rgb="FFDDDDDD"/>
      </right>
      <top style="medium">
        <color rgb="FFDDDDDD"/>
      </top>
      <bottom/>
      <diagonal/>
    </border>
    <border>
      <left/>
      <right style="medium">
        <color rgb="FFE5E5E5"/>
      </right>
      <top style="medium">
        <color rgb="FFDDDDDD"/>
      </top>
      <bottom/>
      <diagonal/>
    </border>
    <border>
      <left style="medium">
        <color rgb="FFE5E5E5"/>
      </left>
      <right style="medium">
        <color rgb="FFDDDDDD"/>
      </right>
      <top style="medium">
        <color rgb="FFDDDDDD"/>
      </top>
      <bottom style="medium">
        <color rgb="FF111111"/>
      </bottom>
      <diagonal/>
    </border>
    <border>
      <left/>
      <right style="medium">
        <color rgb="FFDDDDDD"/>
      </right>
      <top style="medium">
        <color rgb="FFDDDDDD"/>
      </top>
      <bottom style="medium">
        <color rgb="FF111111"/>
      </bottom>
      <diagonal/>
    </border>
    <border>
      <left/>
      <right style="medium">
        <color rgb="FFE5E5E5"/>
      </right>
      <top style="medium">
        <color rgb="FFDDDDDD"/>
      </top>
      <bottom style="medium">
        <color rgb="FF111111"/>
      </bottom>
      <diagonal/>
    </border>
    <border>
      <left/>
      <right/>
      <top style="medium">
        <color rgb="FF11111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438">
    <xf numFmtId="0" fontId="0" fillId="0" borderId="0" xfId="0"/>
    <xf numFmtId="17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2" borderId="0" xfId="0" applyFill="1"/>
    <xf numFmtId="0" fontId="3" fillId="4" borderId="5" xfId="0" applyFont="1" applyFill="1" applyBorder="1" applyAlignment="1">
      <alignment horizontal="center" vertical="center" wrapText="1" readingOrder="1"/>
    </xf>
    <xf numFmtId="0" fontId="4" fillId="5" borderId="6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6" fillId="4" borderId="5" xfId="0" applyFont="1" applyFill="1" applyBorder="1" applyAlignment="1">
      <alignment horizontal="center" vertical="center" wrapText="1" readingOrder="1"/>
    </xf>
    <xf numFmtId="0" fontId="7" fillId="4" borderId="5" xfId="0" applyFont="1" applyFill="1" applyBorder="1" applyAlignment="1">
      <alignment horizontal="center" vertical="center" wrapText="1" readingOrder="1"/>
    </xf>
    <xf numFmtId="0" fontId="8" fillId="5" borderId="6" xfId="0" applyFont="1" applyFill="1" applyBorder="1" applyAlignment="1">
      <alignment horizontal="center" vertical="center" wrapText="1" readingOrder="1"/>
    </xf>
    <xf numFmtId="10" fontId="8" fillId="5" borderId="6" xfId="0" applyNumberFormat="1" applyFont="1" applyFill="1" applyBorder="1" applyAlignment="1">
      <alignment horizontal="center" vertical="center" wrapText="1" readingOrder="1"/>
    </xf>
    <xf numFmtId="10" fontId="9" fillId="5" borderId="6" xfId="0" applyNumberFormat="1" applyFont="1" applyFill="1" applyBorder="1" applyAlignment="1">
      <alignment horizontal="center" vertical="center" wrapText="1" readingOrder="1"/>
    </xf>
    <xf numFmtId="0" fontId="8" fillId="4" borderId="6" xfId="0" applyFont="1" applyFill="1" applyBorder="1" applyAlignment="1">
      <alignment horizontal="center" vertical="center" wrapText="1" readingOrder="1"/>
    </xf>
    <xf numFmtId="10" fontId="8" fillId="4" borderId="6" xfId="0" applyNumberFormat="1" applyFont="1" applyFill="1" applyBorder="1" applyAlignment="1">
      <alignment horizontal="center" vertical="center" wrapText="1" readingOrder="1"/>
    </xf>
    <xf numFmtId="10" fontId="9" fillId="4" borderId="6" xfId="0" applyNumberFormat="1" applyFont="1" applyFill="1" applyBorder="1" applyAlignment="1">
      <alignment horizontal="center" vertical="center" wrapText="1" readingOrder="1"/>
    </xf>
    <xf numFmtId="0" fontId="9" fillId="4" borderId="6" xfId="0" applyFont="1" applyFill="1" applyBorder="1" applyAlignment="1">
      <alignment horizontal="center" vertical="center" wrapText="1" readingOrder="1"/>
    </xf>
    <xf numFmtId="10" fontId="0" fillId="0" borderId="0" xfId="2" applyNumberFormat="1" applyFont="1"/>
    <xf numFmtId="164" fontId="0" fillId="0" borderId="0" xfId="1" applyNumberFormat="1" applyFont="1"/>
    <xf numFmtId="10" fontId="10" fillId="0" borderId="0" xfId="1" applyNumberFormat="1" applyFont="1"/>
    <xf numFmtId="0" fontId="0" fillId="0" borderId="8" xfId="0" applyBorder="1"/>
    <xf numFmtId="10" fontId="10" fillId="0" borderId="9" xfId="1" applyNumberFormat="1" applyFont="1" applyBorder="1"/>
    <xf numFmtId="43" fontId="10" fillId="2" borderId="0" xfId="0" applyNumberFormat="1" applyFont="1" applyFill="1"/>
    <xf numFmtId="0" fontId="10" fillId="2" borderId="0" xfId="0" applyFont="1" applyFill="1"/>
    <xf numFmtId="43" fontId="10" fillId="2" borderId="0" xfId="1" applyFont="1" applyFill="1"/>
    <xf numFmtId="0" fontId="11" fillId="3" borderId="1" xfId="0" applyFont="1" applyFill="1" applyBorder="1" applyAlignment="1">
      <alignment horizontal="center" vertical="center" wrapText="1" readingOrder="1"/>
    </xf>
    <xf numFmtId="0" fontId="12" fillId="0" borderId="0" xfId="0" applyFont="1"/>
    <xf numFmtId="0" fontId="13" fillId="4" borderId="5" xfId="0" applyFont="1" applyFill="1" applyBorder="1" applyAlignment="1">
      <alignment horizontal="center" vertical="center" wrapText="1" readingOrder="1"/>
    </xf>
    <xf numFmtId="9" fontId="13" fillId="4" borderId="5" xfId="0" applyNumberFormat="1" applyFont="1" applyFill="1" applyBorder="1" applyAlignment="1">
      <alignment horizontal="center" vertical="center" wrapText="1" readingOrder="1"/>
    </xf>
    <xf numFmtId="0" fontId="13" fillId="5" borderId="6" xfId="0" applyFont="1" applyFill="1" applyBorder="1" applyAlignment="1">
      <alignment horizontal="center" vertical="center" wrapText="1" readingOrder="1"/>
    </xf>
    <xf numFmtId="10" fontId="13" fillId="5" borderId="6" xfId="0" applyNumberFormat="1" applyFont="1" applyFill="1" applyBorder="1" applyAlignment="1">
      <alignment horizontal="center" vertical="center" wrapText="1" readingOrder="1"/>
    </xf>
    <xf numFmtId="164" fontId="13" fillId="5" borderId="6" xfId="0" applyNumberFormat="1" applyFont="1" applyFill="1" applyBorder="1" applyAlignment="1">
      <alignment horizontal="center" vertical="center" wrapText="1" readingOrder="1"/>
    </xf>
    <xf numFmtId="0" fontId="13" fillId="4" borderId="6" xfId="0" applyFont="1" applyFill="1" applyBorder="1" applyAlignment="1">
      <alignment horizontal="center" vertical="center" wrapText="1" readingOrder="1"/>
    </xf>
    <xf numFmtId="10" fontId="13" fillId="4" borderId="6" xfId="0" applyNumberFormat="1" applyFont="1" applyFill="1" applyBorder="1" applyAlignment="1">
      <alignment horizontal="center" vertical="center" wrapText="1" readingOrder="1"/>
    </xf>
    <xf numFmtId="164" fontId="13" fillId="4" borderId="6" xfId="0" applyNumberFormat="1" applyFont="1" applyFill="1" applyBorder="1" applyAlignment="1">
      <alignment horizontal="center" vertical="center" wrapText="1" readingOrder="1"/>
    </xf>
    <xf numFmtId="9" fontId="13" fillId="5" borderId="6" xfId="0" applyNumberFormat="1" applyFont="1" applyFill="1" applyBorder="1" applyAlignment="1">
      <alignment horizontal="center" vertical="center" wrapText="1" readingOrder="1"/>
    </xf>
    <xf numFmtId="0" fontId="12" fillId="2" borderId="0" xfId="0" applyFont="1" applyFill="1"/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0" fontId="10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3" fontId="12" fillId="0" borderId="0" xfId="1" applyFont="1"/>
    <xf numFmtId="43" fontId="12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0" fontId="12" fillId="0" borderId="0" xfId="2" applyNumberFormat="1" applyFont="1" applyAlignment="1">
      <alignment horizontal="center" vertical="center"/>
    </xf>
    <xf numFmtId="43" fontId="12" fillId="0" borderId="0" xfId="0" applyNumberFormat="1" applyFont="1" applyAlignment="1">
      <alignment horizontal="center" vertical="center"/>
    </xf>
    <xf numFmtId="164" fontId="12" fillId="0" borderId="0" xfId="1" applyNumberFormat="1" applyFont="1" applyAlignment="1">
      <alignment horizontal="center" vertical="center"/>
    </xf>
    <xf numFmtId="17" fontId="12" fillId="0" borderId="0" xfId="0" applyNumberFormat="1" applyFont="1"/>
    <xf numFmtId="10" fontId="14" fillId="0" borderId="9" xfId="1" applyNumberFormat="1" applyFont="1" applyBorder="1"/>
    <xf numFmtId="10" fontId="14" fillId="0" borderId="0" xfId="1" applyNumberFormat="1" applyFont="1"/>
    <xf numFmtId="0" fontId="7" fillId="3" borderId="1" xfId="0" applyFont="1" applyFill="1" applyBorder="1" applyAlignment="1">
      <alignment horizontal="center" vertical="center" wrapText="1" readingOrder="1"/>
    </xf>
    <xf numFmtId="10" fontId="5" fillId="3" borderId="1" xfId="0" applyNumberFormat="1" applyFont="1" applyFill="1" applyBorder="1" applyAlignment="1">
      <alignment horizontal="center" vertical="center" wrapText="1" readingOrder="1"/>
    </xf>
    <xf numFmtId="10" fontId="7" fillId="3" borderId="1" xfId="0" applyNumberFormat="1" applyFont="1" applyFill="1" applyBorder="1" applyAlignment="1">
      <alignment horizontal="center" vertical="center" wrapText="1" readingOrder="1"/>
    </xf>
    <xf numFmtId="43" fontId="12" fillId="0" borderId="0" xfId="0" applyNumberFormat="1" applyFont="1"/>
    <xf numFmtId="43" fontId="15" fillId="2" borderId="0" xfId="1" applyFont="1" applyFill="1"/>
    <xf numFmtId="0" fontId="13" fillId="5" borderId="10" xfId="0" applyFont="1" applyFill="1" applyBorder="1" applyAlignment="1">
      <alignment horizontal="center" vertical="center" wrapText="1" readingOrder="1"/>
    </xf>
    <xf numFmtId="10" fontId="13" fillId="5" borderId="10" xfId="0" applyNumberFormat="1" applyFont="1" applyFill="1" applyBorder="1" applyAlignment="1">
      <alignment horizontal="center" vertical="center" wrapText="1" readingOrder="1"/>
    </xf>
    <xf numFmtId="164" fontId="13" fillId="5" borderId="10" xfId="0" applyNumberFormat="1" applyFont="1" applyFill="1" applyBorder="1" applyAlignment="1">
      <alignment horizontal="center" vertical="center" wrapText="1" readingOrder="1"/>
    </xf>
    <xf numFmtId="0" fontId="13" fillId="5" borderId="11" xfId="0" applyFont="1" applyFill="1" applyBorder="1" applyAlignment="1">
      <alignment horizontal="center" vertical="center" wrapText="1" readingOrder="1"/>
    </xf>
    <xf numFmtId="9" fontId="13" fillId="5" borderId="11" xfId="0" applyNumberFormat="1" applyFont="1" applyFill="1" applyBorder="1" applyAlignment="1">
      <alignment horizontal="center" vertical="center" wrapText="1" readingOrder="1"/>
    </xf>
    <xf numFmtId="164" fontId="13" fillId="5" borderId="11" xfId="0" applyNumberFormat="1" applyFont="1" applyFill="1" applyBorder="1" applyAlignment="1">
      <alignment horizontal="center" vertical="center" wrapText="1" readingOrder="1"/>
    </xf>
    <xf numFmtId="0" fontId="13" fillId="4" borderId="12" xfId="0" applyFont="1" applyFill="1" applyBorder="1" applyAlignment="1">
      <alignment horizontal="center" vertical="center" wrapText="1" readingOrder="1"/>
    </xf>
    <xf numFmtId="10" fontId="13" fillId="4" borderId="13" xfId="0" applyNumberFormat="1" applyFont="1" applyFill="1" applyBorder="1" applyAlignment="1">
      <alignment horizontal="center" vertical="center" wrapText="1" readingOrder="1"/>
    </xf>
    <xf numFmtId="164" fontId="13" fillId="4" borderId="14" xfId="0" applyNumberFormat="1" applyFont="1" applyFill="1" applyBorder="1" applyAlignment="1">
      <alignment horizontal="center" vertical="center" wrapText="1" readingOrder="1"/>
    </xf>
    <xf numFmtId="17" fontId="12" fillId="2" borderId="0" xfId="0" applyNumberFormat="1" applyFont="1" applyFill="1"/>
    <xf numFmtId="0" fontId="12" fillId="0" borderId="7" xfId="0" applyFont="1" applyBorder="1"/>
    <xf numFmtId="10" fontId="2" fillId="3" borderId="1" xfId="0" applyNumberFormat="1" applyFont="1" applyFill="1" applyBorder="1" applyAlignment="1">
      <alignment horizontal="center" vertical="center" wrapText="1" readingOrder="1"/>
    </xf>
    <xf numFmtId="10" fontId="3" fillId="3" borderId="1" xfId="0" applyNumberFormat="1" applyFont="1" applyFill="1" applyBorder="1" applyAlignment="1">
      <alignment horizontal="center" vertical="center" wrapText="1" readingOrder="1"/>
    </xf>
    <xf numFmtId="10" fontId="3" fillId="3" borderId="15" xfId="0" applyNumberFormat="1" applyFont="1" applyFill="1" applyBorder="1" applyAlignment="1">
      <alignment horizontal="center" vertical="center" wrapText="1" readingOrder="1"/>
    </xf>
    <xf numFmtId="10" fontId="3" fillId="3" borderId="16" xfId="0" applyNumberFormat="1" applyFont="1" applyFill="1" applyBorder="1" applyAlignment="1">
      <alignment horizontal="center" vertical="center" wrapText="1" readingOrder="1"/>
    </xf>
    <xf numFmtId="0" fontId="16" fillId="7" borderId="0" xfId="0" applyFont="1" applyFill="1"/>
    <xf numFmtId="0" fontId="16" fillId="6" borderId="0" xfId="0" applyFont="1" applyFill="1"/>
    <xf numFmtId="0" fontId="4" fillId="2" borderId="6" xfId="0" applyFont="1" applyFill="1" applyBorder="1" applyAlignment="1">
      <alignment horizontal="center" wrapText="1" readingOrder="1"/>
    </xf>
    <xf numFmtId="10" fontId="4" fillId="2" borderId="6" xfId="0" applyNumberFormat="1" applyFont="1" applyFill="1" applyBorder="1" applyAlignment="1">
      <alignment horizontal="center" wrapText="1" readingOrder="1"/>
    </xf>
    <xf numFmtId="0" fontId="17" fillId="5" borderId="6" xfId="0" applyFont="1" applyFill="1" applyBorder="1" applyAlignment="1">
      <alignment horizontal="center" wrapText="1"/>
    </xf>
    <xf numFmtId="0" fontId="18" fillId="8" borderId="12" xfId="0" applyFont="1" applyFill="1" applyBorder="1" applyAlignment="1">
      <alignment horizontal="center" vertical="center" wrapText="1" readingOrder="1"/>
    </xf>
    <xf numFmtId="10" fontId="18" fillId="8" borderId="13" xfId="0" applyNumberFormat="1" applyFont="1" applyFill="1" applyBorder="1" applyAlignment="1">
      <alignment horizontal="center" vertical="center" wrapText="1" readingOrder="1"/>
    </xf>
    <xf numFmtId="164" fontId="18" fillId="8" borderId="14" xfId="0" applyNumberFormat="1" applyFont="1" applyFill="1" applyBorder="1" applyAlignment="1">
      <alignment horizontal="center" vertical="center" wrapText="1" readingOrder="1"/>
    </xf>
    <xf numFmtId="0" fontId="17" fillId="0" borderId="6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165" fontId="12" fillId="0" borderId="0" xfId="2" applyNumberFormat="1" applyFont="1"/>
    <xf numFmtId="0" fontId="12" fillId="0" borderId="0" xfId="0" applyFont="1" applyAlignment="1">
      <alignment horizontal="center"/>
    </xf>
    <xf numFmtId="10" fontId="19" fillId="0" borderId="0" xfId="2" applyNumberFormat="1" applyFont="1" applyAlignment="1">
      <alignment horizontal="center"/>
    </xf>
    <xf numFmtId="165" fontId="12" fillId="0" borderId="0" xfId="2" applyNumberFormat="1" applyFont="1" applyAlignment="1">
      <alignment horizontal="center"/>
    </xf>
    <xf numFmtId="10" fontId="12" fillId="0" borderId="0" xfId="2" applyNumberFormat="1" applyFont="1" applyAlignment="1">
      <alignment horizontal="center"/>
    </xf>
    <xf numFmtId="166" fontId="12" fillId="0" borderId="0" xfId="2" applyNumberFormat="1" applyFont="1" applyAlignment="1">
      <alignment horizontal="center"/>
    </xf>
    <xf numFmtId="167" fontId="12" fillId="0" borderId="0" xfId="0" applyNumberFormat="1" applyFont="1"/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21" fillId="0" borderId="0" xfId="0" applyFont="1" applyAlignment="1">
      <alignment horizontal="justify" vertical="center"/>
    </xf>
    <xf numFmtId="0" fontId="21" fillId="0" borderId="0" xfId="0" applyFont="1"/>
    <xf numFmtId="0" fontId="24" fillId="5" borderId="6" xfId="0" applyFont="1" applyFill="1" applyBorder="1" applyAlignment="1">
      <alignment horizontal="center" vertical="center" wrapText="1" readingOrder="1"/>
    </xf>
    <xf numFmtId="164" fontId="24" fillId="5" borderId="6" xfId="0" applyNumberFormat="1" applyFont="1" applyFill="1" applyBorder="1" applyAlignment="1">
      <alignment horizontal="center" vertical="center" wrapText="1" readingOrder="1"/>
    </xf>
    <xf numFmtId="0" fontId="24" fillId="4" borderId="6" xfId="0" applyFont="1" applyFill="1" applyBorder="1" applyAlignment="1">
      <alignment horizontal="center" vertical="center" wrapText="1" readingOrder="1"/>
    </xf>
    <xf numFmtId="164" fontId="24" fillId="4" borderId="6" xfId="0" applyNumberFormat="1" applyFont="1" applyFill="1" applyBorder="1" applyAlignment="1">
      <alignment horizontal="center" vertical="center" wrapText="1" readingOrder="1"/>
    </xf>
    <xf numFmtId="43" fontId="21" fillId="0" borderId="0" xfId="1" applyFont="1" applyAlignment="1">
      <alignment horizontal="justify" vertical="center"/>
    </xf>
    <xf numFmtId="0" fontId="25" fillId="4" borderId="5" xfId="0" applyFont="1" applyFill="1" applyBorder="1" applyAlignment="1">
      <alignment horizontal="center" vertical="center" wrapText="1" readingOrder="1"/>
    </xf>
    <xf numFmtId="0" fontId="27" fillId="5" borderId="6" xfId="0" applyFont="1" applyFill="1" applyBorder="1" applyAlignment="1">
      <alignment horizontal="center" vertical="center" wrapText="1" readingOrder="1"/>
    </xf>
    <xf numFmtId="10" fontId="27" fillId="4" borderId="6" xfId="0" applyNumberFormat="1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horizontal="justify" vertical="center"/>
    </xf>
    <xf numFmtId="165" fontId="24" fillId="5" borderId="6" xfId="0" applyNumberFormat="1" applyFont="1" applyFill="1" applyBorder="1" applyAlignment="1">
      <alignment horizontal="center" vertical="center" wrapText="1" readingOrder="1"/>
    </xf>
    <xf numFmtId="165" fontId="24" fillId="4" borderId="6" xfId="0" applyNumberFormat="1" applyFont="1" applyFill="1" applyBorder="1" applyAlignment="1">
      <alignment horizontal="center" vertical="center" wrapText="1" readingOrder="1"/>
    </xf>
    <xf numFmtId="10" fontId="0" fillId="0" borderId="0" xfId="0" applyNumberFormat="1"/>
    <xf numFmtId="0" fontId="5" fillId="3" borderId="17" xfId="0" applyFont="1" applyFill="1" applyBorder="1" applyAlignment="1">
      <alignment horizontal="center" vertical="center" wrapText="1" readingOrder="1"/>
    </xf>
    <xf numFmtId="0" fontId="8" fillId="5" borderId="17" xfId="0" applyFont="1" applyFill="1" applyBorder="1" applyAlignment="1">
      <alignment horizontal="center" vertical="center" wrapText="1" readingOrder="1"/>
    </xf>
    <xf numFmtId="0" fontId="8" fillId="5" borderId="19" xfId="0" applyFont="1" applyFill="1" applyBorder="1" applyAlignment="1">
      <alignment horizontal="center" vertical="center" wrapText="1" readingOrder="1"/>
    </xf>
    <xf numFmtId="0" fontId="9" fillId="5" borderId="19" xfId="0" applyFont="1" applyFill="1" applyBorder="1" applyAlignment="1">
      <alignment horizontal="center" vertical="center" wrapText="1" readingOrder="1"/>
    </xf>
    <xf numFmtId="0" fontId="9" fillId="5" borderId="18" xfId="0" applyFont="1" applyFill="1" applyBorder="1" applyAlignment="1">
      <alignment horizontal="center" vertical="center" wrapText="1" readingOrder="1"/>
    </xf>
    <xf numFmtId="0" fontId="8" fillId="9" borderId="17" xfId="0" applyFont="1" applyFill="1" applyBorder="1" applyAlignment="1">
      <alignment horizontal="center" vertical="center" wrapText="1" readingOrder="1"/>
    </xf>
    <xf numFmtId="10" fontId="8" fillId="9" borderId="19" xfId="0" applyNumberFormat="1" applyFont="1" applyFill="1" applyBorder="1" applyAlignment="1">
      <alignment horizontal="center" vertical="center" wrapText="1" readingOrder="1"/>
    </xf>
    <xf numFmtId="10" fontId="9" fillId="9" borderId="19" xfId="0" applyNumberFormat="1" applyFont="1" applyFill="1" applyBorder="1" applyAlignment="1">
      <alignment horizontal="center" vertical="center" wrapText="1" readingOrder="1"/>
    </xf>
    <xf numFmtId="10" fontId="9" fillId="9" borderId="18" xfId="0" applyNumberFormat="1" applyFont="1" applyFill="1" applyBorder="1" applyAlignment="1">
      <alignment horizontal="center" vertical="center" wrapText="1" readingOrder="1"/>
    </xf>
    <xf numFmtId="10" fontId="8" fillId="5" borderId="19" xfId="0" applyNumberFormat="1" applyFont="1" applyFill="1" applyBorder="1" applyAlignment="1">
      <alignment horizontal="center" vertical="center" wrapText="1" readingOrder="1"/>
    </xf>
    <xf numFmtId="10" fontId="9" fillId="5" borderId="19" xfId="0" applyNumberFormat="1" applyFont="1" applyFill="1" applyBorder="1" applyAlignment="1">
      <alignment horizontal="center" vertical="center" wrapText="1" readingOrder="1"/>
    </xf>
    <xf numFmtId="10" fontId="9" fillId="5" borderId="18" xfId="0" applyNumberFormat="1" applyFont="1" applyFill="1" applyBorder="1" applyAlignment="1">
      <alignment horizontal="center" vertical="center" wrapText="1" readingOrder="1"/>
    </xf>
    <xf numFmtId="43" fontId="21" fillId="0" borderId="0" xfId="1" applyFont="1"/>
    <xf numFmtId="0" fontId="22" fillId="0" borderId="0" xfId="0" applyFont="1"/>
    <xf numFmtId="43" fontId="22" fillId="0" borderId="0" xfId="0" applyNumberFormat="1" applyFont="1"/>
    <xf numFmtId="43" fontId="21" fillId="0" borderId="0" xfId="0" applyNumberFormat="1" applyFont="1"/>
    <xf numFmtId="10" fontId="21" fillId="0" borderId="0" xfId="2" applyNumberFormat="1" applyFont="1"/>
    <xf numFmtId="164" fontId="21" fillId="0" borderId="0" xfId="1" applyNumberFormat="1" applyFont="1"/>
    <xf numFmtId="0" fontId="21" fillId="0" borderId="8" xfId="0" applyFont="1" applyBorder="1"/>
    <xf numFmtId="10" fontId="26" fillId="0" borderId="9" xfId="1" applyNumberFormat="1" applyFont="1" applyBorder="1"/>
    <xf numFmtId="17" fontId="21" fillId="0" borderId="0" xfId="0" applyNumberFormat="1" applyFont="1"/>
    <xf numFmtId="10" fontId="26" fillId="0" borderId="0" xfId="1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43" fontId="21" fillId="0" borderId="0" xfId="1" applyFont="1" applyAlignment="1">
      <alignment horizontal="center" vertical="center"/>
    </xf>
    <xf numFmtId="0" fontId="26" fillId="2" borderId="0" xfId="0" applyFont="1" applyFill="1"/>
    <xf numFmtId="43" fontId="26" fillId="2" borderId="0" xfId="1" applyFont="1" applyFill="1"/>
    <xf numFmtId="0" fontId="23" fillId="3" borderId="10" xfId="0" applyFont="1" applyFill="1" applyBorder="1" applyAlignment="1">
      <alignment horizontal="center" vertical="center" wrapText="1" readingOrder="1"/>
    </xf>
    <xf numFmtId="0" fontId="24" fillId="5" borderId="11" xfId="0" applyFont="1" applyFill="1" applyBorder="1" applyAlignment="1">
      <alignment horizontal="center" vertical="center" wrapText="1" readingOrder="1"/>
    </xf>
    <xf numFmtId="165" fontId="24" fillId="5" borderId="11" xfId="0" applyNumberFormat="1" applyFont="1" applyFill="1" applyBorder="1" applyAlignment="1">
      <alignment horizontal="center" vertical="center" wrapText="1" readingOrder="1"/>
    </xf>
    <xf numFmtId="164" fontId="24" fillId="5" borderId="11" xfId="0" applyNumberFormat="1" applyFont="1" applyFill="1" applyBorder="1" applyAlignment="1">
      <alignment horizontal="center" vertical="center" wrapText="1" readingOrder="1"/>
    </xf>
    <xf numFmtId="0" fontId="24" fillId="4" borderId="12" xfId="0" applyFont="1" applyFill="1" applyBorder="1" applyAlignment="1">
      <alignment horizontal="center" vertical="center" wrapText="1" readingOrder="1"/>
    </xf>
    <xf numFmtId="165" fontId="24" fillId="4" borderId="13" xfId="0" applyNumberFormat="1" applyFont="1" applyFill="1" applyBorder="1" applyAlignment="1">
      <alignment horizontal="center" vertical="center" wrapText="1" readingOrder="1"/>
    </xf>
    <xf numFmtId="0" fontId="24" fillId="4" borderId="14" xfId="0" applyFont="1" applyFill="1" applyBorder="1" applyAlignment="1">
      <alignment horizontal="center" vertical="center" wrapText="1" readingOrder="1"/>
    </xf>
    <xf numFmtId="0" fontId="28" fillId="0" borderId="0" xfId="0" applyFont="1"/>
    <xf numFmtId="17" fontId="21" fillId="0" borderId="0" xfId="0" applyNumberFormat="1" applyFont="1" applyAlignment="1">
      <alignment horizontal="justify" vertical="center"/>
    </xf>
    <xf numFmtId="0" fontId="24" fillId="4" borderId="11" xfId="0" applyFont="1" applyFill="1" applyBorder="1" applyAlignment="1">
      <alignment horizontal="center" vertical="center" wrapText="1" readingOrder="1"/>
    </xf>
    <xf numFmtId="165" fontId="24" fillId="4" borderId="11" xfId="0" applyNumberFormat="1" applyFont="1" applyFill="1" applyBorder="1" applyAlignment="1">
      <alignment horizontal="center" vertical="center" wrapText="1" readingOrder="1"/>
    </xf>
    <xf numFmtId="164" fontId="24" fillId="4" borderId="11" xfId="0" applyNumberFormat="1" applyFont="1" applyFill="1" applyBorder="1" applyAlignment="1">
      <alignment horizontal="center" vertical="center" wrapText="1" readingOrder="1"/>
    </xf>
    <xf numFmtId="0" fontId="24" fillId="5" borderId="12" xfId="0" applyFont="1" applyFill="1" applyBorder="1" applyAlignment="1">
      <alignment horizontal="center" vertical="center" wrapText="1" readingOrder="1"/>
    </xf>
    <xf numFmtId="165" fontId="24" fillId="5" borderId="13" xfId="0" applyNumberFormat="1" applyFont="1" applyFill="1" applyBorder="1" applyAlignment="1">
      <alignment horizontal="center" vertical="center" wrapText="1" readingOrder="1"/>
    </xf>
    <xf numFmtId="164" fontId="24" fillId="5" borderId="14" xfId="0" applyNumberFormat="1" applyFont="1" applyFill="1" applyBorder="1" applyAlignment="1">
      <alignment horizontal="center" vertical="center" wrapText="1" readingOrder="1"/>
    </xf>
    <xf numFmtId="0" fontId="8" fillId="4" borderId="10" xfId="0" applyFont="1" applyFill="1" applyBorder="1" applyAlignment="1">
      <alignment horizontal="center" vertical="center" wrapText="1" readingOrder="1"/>
    </xf>
    <xf numFmtId="0" fontId="8" fillId="4" borderId="11" xfId="0" applyFont="1" applyFill="1" applyBorder="1" applyAlignment="1">
      <alignment horizontal="center" vertical="center" wrapText="1" readingOrder="1"/>
    </xf>
    <xf numFmtId="10" fontId="13" fillId="5" borderId="11" xfId="0" applyNumberFormat="1" applyFont="1" applyFill="1" applyBorder="1" applyAlignment="1">
      <alignment horizontal="center" vertical="center" wrapText="1" readingOrder="1"/>
    </xf>
    <xf numFmtId="0" fontId="8" fillId="5" borderId="12" xfId="0" applyFont="1" applyFill="1" applyBorder="1" applyAlignment="1">
      <alignment horizontal="center" vertical="center" wrapText="1" readingOrder="1"/>
    </xf>
    <xf numFmtId="0" fontId="13" fillId="4" borderId="13" xfId="0" applyFont="1" applyFill="1" applyBorder="1" applyAlignment="1">
      <alignment horizontal="center" vertical="center" wrapText="1" readingOrder="1"/>
    </xf>
    <xf numFmtId="43" fontId="12" fillId="2" borderId="0" xfId="0" applyNumberFormat="1" applyFont="1" applyFill="1"/>
    <xf numFmtId="9" fontId="0" fillId="0" borderId="0" xfId="0" applyNumberFormat="1"/>
    <xf numFmtId="164" fontId="0" fillId="0" borderId="0" xfId="0" applyNumberFormat="1"/>
    <xf numFmtId="0" fontId="30" fillId="3" borderId="1" xfId="0" applyFont="1" applyFill="1" applyBorder="1" applyAlignment="1">
      <alignment horizontal="center" vertical="center" wrapText="1" readingOrder="1"/>
    </xf>
    <xf numFmtId="0" fontId="31" fillId="4" borderId="5" xfId="0" applyFont="1" applyFill="1" applyBorder="1" applyAlignment="1">
      <alignment horizontal="center" vertical="center" wrapText="1" readingOrder="1"/>
    </xf>
    <xf numFmtId="0" fontId="31" fillId="5" borderId="6" xfId="0" applyFont="1" applyFill="1" applyBorder="1" applyAlignment="1">
      <alignment horizontal="center" vertical="center" wrapText="1" readingOrder="1"/>
    </xf>
    <xf numFmtId="9" fontId="31" fillId="5" borderId="6" xfId="0" applyNumberFormat="1" applyFont="1" applyFill="1" applyBorder="1" applyAlignment="1">
      <alignment horizontal="center" vertical="center" wrapText="1" readingOrder="1"/>
    </xf>
    <xf numFmtId="164" fontId="31" fillId="5" borderId="6" xfId="0" applyNumberFormat="1" applyFont="1" applyFill="1" applyBorder="1" applyAlignment="1">
      <alignment horizontal="center" vertical="center" wrapText="1" readingOrder="1"/>
    </xf>
    <xf numFmtId="0" fontId="31" fillId="4" borderId="6" xfId="0" applyFont="1" applyFill="1" applyBorder="1" applyAlignment="1">
      <alignment horizontal="center" vertical="center" wrapText="1" readingOrder="1"/>
    </xf>
    <xf numFmtId="10" fontId="31" fillId="4" borderId="6" xfId="0" applyNumberFormat="1" applyFont="1" applyFill="1" applyBorder="1" applyAlignment="1">
      <alignment horizontal="center" vertical="center" wrapText="1" readingOrder="1"/>
    </xf>
    <xf numFmtId="164" fontId="31" fillId="4" borderId="6" xfId="0" applyNumberFormat="1" applyFont="1" applyFill="1" applyBorder="1" applyAlignment="1">
      <alignment horizontal="center" vertical="center" wrapText="1" readingOrder="1"/>
    </xf>
    <xf numFmtId="9" fontId="31" fillId="4" borderId="6" xfId="0" applyNumberFormat="1" applyFont="1" applyFill="1" applyBorder="1" applyAlignment="1">
      <alignment horizontal="center" vertical="center" wrapText="1" readingOrder="1"/>
    </xf>
    <xf numFmtId="166" fontId="0" fillId="0" borderId="0" xfId="2" applyNumberFormat="1" applyFont="1"/>
    <xf numFmtId="166" fontId="0" fillId="0" borderId="0" xfId="0" applyNumberFormat="1"/>
    <xf numFmtId="167" fontId="0" fillId="0" borderId="0" xfId="0" applyNumberFormat="1"/>
    <xf numFmtId="0" fontId="20" fillId="0" borderId="0" xfId="0" applyFont="1"/>
    <xf numFmtId="9" fontId="20" fillId="0" borderId="0" xfId="0" applyNumberFormat="1" applyFont="1"/>
    <xf numFmtId="0" fontId="10" fillId="0" borderId="0" xfId="0" applyFont="1"/>
    <xf numFmtId="10" fontId="10" fillId="0" borderId="0" xfId="0" applyNumberFormat="1" applyFont="1"/>
    <xf numFmtId="43" fontId="10" fillId="0" borderId="0" xfId="0" applyNumberFormat="1" applyFont="1"/>
    <xf numFmtId="9" fontId="10" fillId="0" borderId="0" xfId="0" applyNumberFormat="1" applyFont="1"/>
    <xf numFmtId="167" fontId="10" fillId="0" borderId="0" xfId="0" applyNumberFormat="1" applyFont="1"/>
    <xf numFmtId="43" fontId="10" fillId="0" borderId="0" xfId="1" applyFont="1"/>
    <xf numFmtId="43" fontId="20" fillId="2" borderId="0" xfId="1" applyFont="1" applyFill="1"/>
    <xf numFmtId="9" fontId="31" fillId="4" borderId="5" xfId="0" applyNumberFormat="1" applyFont="1" applyFill="1" applyBorder="1" applyAlignment="1">
      <alignment horizontal="center" vertical="center" wrapText="1" readingOrder="1"/>
    </xf>
    <xf numFmtId="10" fontId="31" fillId="5" borderId="6" xfId="0" applyNumberFormat="1" applyFont="1" applyFill="1" applyBorder="1" applyAlignment="1">
      <alignment horizontal="center" vertical="center" wrapText="1" readingOrder="1"/>
    </xf>
    <xf numFmtId="10" fontId="32" fillId="0" borderId="0" xfId="0" applyNumberFormat="1" applyFont="1" applyAlignment="1">
      <alignment horizontal="center" vertical="center" readingOrder="1"/>
    </xf>
    <xf numFmtId="9" fontId="12" fillId="0" borderId="0" xfId="2" applyFont="1"/>
    <xf numFmtId="9" fontId="12" fillId="0" borderId="0" xfId="1" applyNumberFormat="1" applyFont="1"/>
    <xf numFmtId="0" fontId="9" fillId="5" borderId="6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right"/>
    </xf>
    <xf numFmtId="17" fontId="12" fillId="0" borderId="0" xfId="0" applyNumberFormat="1" applyFont="1" applyAlignment="1">
      <alignment horizontal="right"/>
    </xf>
    <xf numFmtId="0" fontId="6" fillId="4" borderId="5" xfId="0" applyFont="1" applyFill="1" applyBorder="1" applyAlignment="1">
      <alignment horizontal="right" vertical="center" wrapText="1" readingOrder="1"/>
    </xf>
    <xf numFmtId="0" fontId="8" fillId="5" borderId="6" xfId="0" applyFont="1" applyFill="1" applyBorder="1" applyAlignment="1">
      <alignment horizontal="right" vertical="center" wrapText="1" readingOrder="1"/>
    </xf>
    <xf numFmtId="0" fontId="15" fillId="0" borderId="0" xfId="0" applyFont="1" applyAlignment="1">
      <alignment horizontal="right"/>
    </xf>
    <xf numFmtId="43" fontId="15" fillId="0" borderId="0" xfId="1" applyFont="1"/>
    <xf numFmtId="9" fontId="15" fillId="0" borderId="0" xfId="2" applyFont="1"/>
    <xf numFmtId="17" fontId="15" fillId="0" borderId="0" xfId="0" applyNumberFormat="1" applyFont="1" applyAlignment="1">
      <alignment horizontal="right"/>
    </xf>
    <xf numFmtId="0" fontId="15" fillId="2" borderId="0" xfId="0" applyFont="1" applyFill="1" applyAlignment="1">
      <alignment horizontal="right"/>
    </xf>
    <xf numFmtId="0" fontId="6" fillId="4" borderId="21" xfId="0" applyFont="1" applyFill="1" applyBorder="1" applyAlignment="1">
      <alignment horizontal="center" vertical="center" wrapText="1" readingOrder="1"/>
    </xf>
    <xf numFmtId="0" fontId="7" fillId="4" borderId="21" xfId="0" applyFont="1" applyFill="1" applyBorder="1" applyAlignment="1">
      <alignment horizontal="center" vertical="center" wrapText="1" readingOrder="1"/>
    </xf>
    <xf numFmtId="10" fontId="8" fillId="4" borderId="11" xfId="0" applyNumberFormat="1" applyFont="1" applyFill="1" applyBorder="1" applyAlignment="1">
      <alignment horizontal="center" vertical="center" wrapText="1" readingOrder="1"/>
    </xf>
    <xf numFmtId="10" fontId="9" fillId="4" borderId="11" xfId="0" applyNumberFormat="1" applyFont="1" applyFill="1" applyBorder="1" applyAlignment="1">
      <alignment horizontal="center" vertical="center" wrapText="1" readingOrder="1"/>
    </xf>
    <xf numFmtId="10" fontId="8" fillId="5" borderId="13" xfId="0" applyNumberFormat="1" applyFont="1" applyFill="1" applyBorder="1" applyAlignment="1">
      <alignment horizontal="center" vertical="center" wrapText="1" readingOrder="1"/>
    </xf>
    <xf numFmtId="10" fontId="9" fillId="5" borderId="14" xfId="0" applyNumberFormat="1" applyFont="1" applyFill="1" applyBorder="1" applyAlignment="1">
      <alignment horizontal="center" vertical="center" wrapText="1" readingOrder="1"/>
    </xf>
    <xf numFmtId="0" fontId="13" fillId="4" borderId="21" xfId="0" applyFont="1" applyFill="1" applyBorder="1" applyAlignment="1">
      <alignment horizontal="center" vertical="center" wrapText="1" readingOrder="1"/>
    </xf>
    <xf numFmtId="9" fontId="13" fillId="4" borderId="21" xfId="0" applyNumberFormat="1" applyFont="1" applyFill="1" applyBorder="1" applyAlignment="1">
      <alignment horizontal="center" vertical="center" wrapText="1" readingOrder="1"/>
    </xf>
    <xf numFmtId="0" fontId="13" fillId="4" borderId="11" xfId="0" applyFont="1" applyFill="1" applyBorder="1" applyAlignment="1">
      <alignment horizontal="center" vertical="center" wrapText="1" readingOrder="1"/>
    </xf>
    <xf numFmtId="10" fontId="13" fillId="4" borderId="11" xfId="0" applyNumberFormat="1" applyFont="1" applyFill="1" applyBorder="1" applyAlignment="1">
      <alignment horizontal="center" vertical="center" wrapText="1" readingOrder="1"/>
    </xf>
    <xf numFmtId="164" fontId="13" fillId="4" borderId="11" xfId="0" applyNumberFormat="1" applyFont="1" applyFill="1" applyBorder="1" applyAlignment="1">
      <alignment horizontal="center" vertical="center" wrapText="1" readingOrder="1"/>
    </xf>
    <xf numFmtId="0" fontId="13" fillId="5" borderId="12" xfId="0" applyFont="1" applyFill="1" applyBorder="1" applyAlignment="1">
      <alignment horizontal="center" vertical="center" wrapText="1" readingOrder="1"/>
    </xf>
    <xf numFmtId="10" fontId="13" fillId="5" borderId="13" xfId="0" applyNumberFormat="1" applyFont="1" applyFill="1" applyBorder="1" applyAlignment="1">
      <alignment horizontal="center" vertical="center" wrapText="1" readingOrder="1"/>
    </xf>
    <xf numFmtId="164" fontId="13" fillId="5" borderId="14" xfId="0" applyNumberFormat="1" applyFont="1" applyFill="1" applyBorder="1" applyAlignment="1">
      <alignment horizontal="center" vertical="center" wrapText="1" readingOrder="1"/>
    </xf>
    <xf numFmtId="43" fontId="20" fillId="0" borderId="0" xfId="1" applyFont="1"/>
    <xf numFmtId="0" fontId="20" fillId="0" borderId="0" xfId="0" applyFont="1" applyAlignment="1">
      <alignment horizontal="right"/>
    </xf>
    <xf numFmtId="43" fontId="20" fillId="0" borderId="0" xfId="1" applyFont="1" applyAlignment="1">
      <alignment horizontal="right"/>
    </xf>
    <xf numFmtId="2" fontId="0" fillId="0" borderId="0" xfId="1" applyNumberFormat="1" applyFont="1"/>
    <xf numFmtId="0" fontId="34" fillId="3" borderId="1" xfId="0" applyFont="1" applyFill="1" applyBorder="1" applyAlignment="1">
      <alignment horizontal="center" vertical="center" wrapText="1" readingOrder="1"/>
    </xf>
    <xf numFmtId="17" fontId="20" fillId="0" borderId="0" xfId="0" applyNumberFormat="1" applyFont="1"/>
    <xf numFmtId="0" fontId="8" fillId="5" borderId="10" xfId="0" applyFont="1" applyFill="1" applyBorder="1" applyAlignment="1">
      <alignment horizontal="center" vertical="center" wrapText="1" readingOrder="1"/>
    </xf>
    <xf numFmtId="10" fontId="8" fillId="5" borderId="10" xfId="0" applyNumberFormat="1" applyFont="1" applyFill="1" applyBorder="1" applyAlignment="1">
      <alignment horizontal="center" vertical="center" wrapText="1" readingOrder="1"/>
    </xf>
    <xf numFmtId="10" fontId="9" fillId="5" borderId="10" xfId="0" applyNumberFormat="1" applyFont="1" applyFill="1" applyBorder="1" applyAlignment="1">
      <alignment horizontal="center" vertical="center" wrapText="1" readingOrder="1"/>
    </xf>
    <xf numFmtId="0" fontId="8" fillId="5" borderId="11" xfId="0" applyFont="1" applyFill="1" applyBorder="1" applyAlignment="1">
      <alignment horizontal="center" vertical="center" wrapText="1" readingOrder="1"/>
    </xf>
    <xf numFmtId="10" fontId="8" fillId="5" borderId="11" xfId="0" applyNumberFormat="1" applyFont="1" applyFill="1" applyBorder="1" applyAlignment="1">
      <alignment horizontal="center" vertical="center" wrapText="1" readingOrder="1"/>
    </xf>
    <xf numFmtId="10" fontId="9" fillId="5" borderId="11" xfId="0" applyNumberFormat="1" applyFont="1" applyFill="1" applyBorder="1" applyAlignment="1">
      <alignment horizontal="center" vertical="center" wrapText="1" readingOrder="1"/>
    </xf>
    <xf numFmtId="0" fontId="8" fillId="4" borderId="12" xfId="0" applyFont="1" applyFill="1" applyBorder="1" applyAlignment="1">
      <alignment horizontal="center" vertical="center" wrapText="1" readingOrder="1"/>
    </xf>
    <xf numFmtId="10" fontId="8" fillId="4" borderId="13" xfId="0" applyNumberFormat="1" applyFont="1" applyFill="1" applyBorder="1" applyAlignment="1">
      <alignment horizontal="center" vertical="center" wrapText="1" readingOrder="1"/>
    </xf>
    <xf numFmtId="10" fontId="9" fillId="4" borderId="14" xfId="0" applyNumberFormat="1" applyFont="1" applyFill="1" applyBorder="1" applyAlignment="1">
      <alignment horizontal="center" vertical="center" wrapText="1" readingOrder="1"/>
    </xf>
    <xf numFmtId="43" fontId="22" fillId="0" borderId="0" xfId="1" applyFont="1" applyAlignment="1">
      <alignment horizontal="justify" vertical="center"/>
    </xf>
    <xf numFmtId="43" fontId="26" fillId="2" borderId="20" xfId="0" applyNumberFormat="1" applyFont="1" applyFill="1" applyBorder="1" applyAlignment="1"/>
    <xf numFmtId="10" fontId="25" fillId="4" borderId="6" xfId="0" applyNumberFormat="1" applyFont="1" applyFill="1" applyBorder="1" applyAlignment="1">
      <alignment horizontal="center" vertical="center" wrapText="1" readingOrder="1"/>
    </xf>
    <xf numFmtId="0" fontId="8" fillId="5" borderId="22" xfId="0" applyFont="1" applyFill="1" applyBorder="1" applyAlignment="1">
      <alignment horizontal="center" vertical="center" wrapText="1" readingOrder="1"/>
    </xf>
    <xf numFmtId="0" fontId="8" fillId="5" borderId="23" xfId="0" applyFont="1" applyFill="1" applyBorder="1" applyAlignment="1">
      <alignment horizontal="center" vertical="center" wrapText="1" readingOrder="1"/>
    </xf>
    <xf numFmtId="0" fontId="9" fillId="5" borderId="23" xfId="0" applyFont="1" applyFill="1" applyBorder="1" applyAlignment="1">
      <alignment horizontal="center" vertical="center" wrapText="1" readingOrder="1"/>
    </xf>
    <xf numFmtId="0" fontId="9" fillId="5" borderId="24" xfId="0" applyFont="1" applyFill="1" applyBorder="1" applyAlignment="1">
      <alignment horizontal="center" vertical="center" wrapText="1" readingOrder="1"/>
    </xf>
    <xf numFmtId="0" fontId="8" fillId="5" borderId="25" xfId="0" applyFont="1" applyFill="1" applyBorder="1" applyAlignment="1">
      <alignment horizontal="center" vertical="center" wrapText="1" readingOrder="1"/>
    </xf>
    <xf numFmtId="10" fontId="8" fillId="5" borderId="26" xfId="0" applyNumberFormat="1" applyFont="1" applyFill="1" applyBorder="1" applyAlignment="1">
      <alignment horizontal="center" vertical="center" wrapText="1" readingOrder="1"/>
    </xf>
    <xf numFmtId="10" fontId="9" fillId="5" borderId="26" xfId="0" applyNumberFormat="1" applyFont="1" applyFill="1" applyBorder="1" applyAlignment="1">
      <alignment horizontal="center" vertical="center" wrapText="1" readingOrder="1"/>
    </xf>
    <xf numFmtId="10" fontId="9" fillId="5" borderId="27" xfId="0" applyNumberFormat="1" applyFont="1" applyFill="1" applyBorder="1" applyAlignment="1">
      <alignment horizontal="center" vertical="center" wrapText="1" readingOrder="1"/>
    </xf>
    <xf numFmtId="0" fontId="8" fillId="9" borderId="8" xfId="0" applyFont="1" applyFill="1" applyBorder="1" applyAlignment="1">
      <alignment horizontal="center" vertical="center" wrapText="1" readingOrder="1"/>
    </xf>
    <xf numFmtId="10" fontId="8" fillId="9" borderId="28" xfId="0" applyNumberFormat="1" applyFont="1" applyFill="1" applyBorder="1" applyAlignment="1">
      <alignment horizontal="center" vertical="center" wrapText="1" readingOrder="1"/>
    </xf>
    <xf numFmtId="10" fontId="9" fillId="9" borderId="28" xfId="0" applyNumberFormat="1" applyFont="1" applyFill="1" applyBorder="1" applyAlignment="1">
      <alignment horizontal="center" vertical="center" wrapText="1" readingOrder="1"/>
    </xf>
    <xf numFmtId="10" fontId="9" fillId="9" borderId="9" xfId="0" applyNumberFormat="1" applyFont="1" applyFill="1" applyBorder="1" applyAlignment="1">
      <alignment horizontal="center" vertical="center" wrapText="1" readingOrder="1"/>
    </xf>
    <xf numFmtId="0" fontId="35" fillId="0" borderId="0" xfId="0" applyFont="1"/>
    <xf numFmtId="17" fontId="22" fillId="0" borderId="0" xfId="0" applyNumberFormat="1" applyFont="1"/>
    <xf numFmtId="0" fontId="8" fillId="9" borderId="22" xfId="0" applyFont="1" applyFill="1" applyBorder="1" applyAlignment="1">
      <alignment horizontal="center" vertical="center" wrapText="1" readingOrder="1"/>
    </xf>
    <xf numFmtId="10" fontId="8" fillId="9" borderId="23" xfId="0" applyNumberFormat="1" applyFont="1" applyFill="1" applyBorder="1" applyAlignment="1">
      <alignment horizontal="center" vertical="center" wrapText="1" readingOrder="1"/>
    </xf>
    <xf numFmtId="10" fontId="9" fillId="9" borderId="23" xfId="0" applyNumberFormat="1" applyFont="1" applyFill="1" applyBorder="1" applyAlignment="1">
      <alignment horizontal="center" vertical="center" wrapText="1" readingOrder="1"/>
    </xf>
    <xf numFmtId="10" fontId="9" fillId="9" borderId="24" xfId="0" applyNumberFormat="1" applyFont="1" applyFill="1" applyBorder="1" applyAlignment="1">
      <alignment horizontal="center" vertical="center" wrapText="1" readingOrder="1"/>
    </xf>
    <xf numFmtId="0" fontId="8" fillId="9" borderId="25" xfId="0" applyFont="1" applyFill="1" applyBorder="1" applyAlignment="1">
      <alignment horizontal="center" vertical="center" wrapText="1" readingOrder="1"/>
    </xf>
    <xf numFmtId="10" fontId="8" fillId="9" borderId="26" xfId="0" applyNumberFormat="1" applyFont="1" applyFill="1" applyBorder="1" applyAlignment="1">
      <alignment horizontal="center" vertical="center" wrapText="1" readingOrder="1"/>
    </xf>
    <xf numFmtId="10" fontId="9" fillId="9" borderId="26" xfId="0" applyNumberFormat="1" applyFont="1" applyFill="1" applyBorder="1" applyAlignment="1">
      <alignment horizontal="center" vertical="center" wrapText="1" readingOrder="1"/>
    </xf>
    <xf numFmtId="10" fontId="9" fillId="9" borderId="27" xfId="0" applyNumberFormat="1" applyFont="1" applyFill="1" applyBorder="1" applyAlignment="1">
      <alignment horizontal="center" vertical="center" wrapText="1" readingOrder="1"/>
    </xf>
    <xf numFmtId="0" fontId="8" fillId="5" borderId="8" xfId="0" applyFont="1" applyFill="1" applyBorder="1" applyAlignment="1">
      <alignment horizontal="center" vertical="center" wrapText="1" readingOrder="1"/>
    </xf>
    <xf numFmtId="10" fontId="8" fillId="5" borderId="28" xfId="0" applyNumberFormat="1" applyFont="1" applyFill="1" applyBorder="1" applyAlignment="1">
      <alignment horizontal="center" vertical="center" wrapText="1" readingOrder="1"/>
    </xf>
    <xf numFmtId="10" fontId="9" fillId="5" borderId="28" xfId="0" applyNumberFormat="1" applyFont="1" applyFill="1" applyBorder="1" applyAlignment="1">
      <alignment horizontal="center" vertical="center" wrapText="1" readingOrder="1"/>
    </xf>
    <xf numFmtId="10" fontId="9" fillId="5" borderId="9" xfId="0" applyNumberFormat="1" applyFont="1" applyFill="1" applyBorder="1" applyAlignment="1">
      <alignment horizontal="center" vertical="center" wrapText="1" readingOrder="1"/>
    </xf>
    <xf numFmtId="0" fontId="15" fillId="0" borderId="0" xfId="0" applyFont="1"/>
    <xf numFmtId="10" fontId="8" fillId="4" borderId="10" xfId="0" applyNumberFormat="1" applyFont="1" applyFill="1" applyBorder="1" applyAlignment="1">
      <alignment horizontal="center" vertical="center" wrapText="1" readingOrder="1"/>
    </xf>
    <xf numFmtId="10" fontId="9" fillId="4" borderId="10" xfId="0" applyNumberFormat="1" applyFont="1" applyFill="1" applyBorder="1" applyAlignment="1">
      <alignment horizontal="center" vertical="center" wrapText="1" readingOrder="1"/>
    </xf>
    <xf numFmtId="0" fontId="12" fillId="6" borderId="0" xfId="0" applyFont="1" applyFill="1"/>
    <xf numFmtId="0" fontId="8" fillId="5" borderId="0" xfId="0" applyFont="1" applyFill="1" applyBorder="1" applyAlignment="1">
      <alignment horizontal="center" vertical="center" wrapText="1" readingOrder="1"/>
    </xf>
    <xf numFmtId="10" fontId="8" fillId="5" borderId="0" xfId="0" applyNumberFormat="1" applyFont="1" applyFill="1" applyBorder="1" applyAlignment="1">
      <alignment horizontal="center" vertical="center" wrapText="1" readingOrder="1"/>
    </xf>
    <xf numFmtId="10" fontId="9" fillId="5" borderId="0" xfId="0" applyNumberFormat="1" applyFont="1" applyFill="1" applyBorder="1" applyAlignment="1">
      <alignment horizontal="center" vertical="center" wrapText="1" readingOrder="1"/>
    </xf>
    <xf numFmtId="0" fontId="8" fillId="4" borderId="0" xfId="0" applyFont="1" applyFill="1" applyBorder="1" applyAlignment="1">
      <alignment horizontal="center" vertical="center" wrapText="1" readingOrder="1"/>
    </xf>
    <xf numFmtId="10" fontId="8" fillId="4" borderId="0" xfId="0" applyNumberFormat="1" applyFont="1" applyFill="1" applyBorder="1" applyAlignment="1">
      <alignment horizontal="center" vertical="center" wrapText="1" readingOrder="1"/>
    </xf>
    <xf numFmtId="10" fontId="9" fillId="4" borderId="0" xfId="0" applyNumberFormat="1" applyFont="1" applyFill="1" applyBorder="1" applyAlignment="1">
      <alignment horizontal="center" vertical="center" wrapText="1" readingOrder="1"/>
    </xf>
    <xf numFmtId="0" fontId="19" fillId="0" borderId="0" xfId="0" applyFont="1"/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0" fontId="19" fillId="0" borderId="8" xfId="0" applyFont="1" applyBorder="1"/>
    <xf numFmtId="0" fontId="37" fillId="0" borderId="28" xfId="0" applyFont="1" applyBorder="1" applyAlignment="1">
      <alignment horizontal="left" vertical="center"/>
    </xf>
    <xf numFmtId="0" fontId="12" fillId="0" borderId="28" xfId="0" applyFont="1" applyBorder="1"/>
    <xf numFmtId="0" fontId="12" fillId="0" borderId="9" xfId="0" applyFont="1" applyBorder="1"/>
    <xf numFmtId="0" fontId="19" fillId="0" borderId="29" xfId="0" applyFont="1" applyBorder="1"/>
    <xf numFmtId="0" fontId="37" fillId="0" borderId="30" xfId="0" applyFont="1" applyBorder="1" applyAlignment="1">
      <alignment horizontal="left" vertical="center"/>
    </xf>
    <xf numFmtId="0" fontId="12" fillId="0" borderId="30" xfId="0" applyFont="1" applyBorder="1"/>
    <xf numFmtId="0" fontId="12" fillId="0" borderId="31" xfId="0" applyFont="1" applyBorder="1"/>
    <xf numFmtId="0" fontId="12" fillId="0" borderId="32" xfId="0" applyFont="1" applyBorder="1"/>
    <xf numFmtId="0" fontId="12" fillId="0" borderId="33" xfId="0" applyFont="1" applyBorder="1"/>
    <xf numFmtId="165" fontId="39" fillId="6" borderId="0" xfId="2" applyNumberFormat="1" applyFont="1" applyFill="1"/>
    <xf numFmtId="10" fontId="14" fillId="0" borderId="7" xfId="1" applyNumberFormat="1" applyFont="1" applyBorder="1"/>
    <xf numFmtId="0" fontId="9" fillId="4" borderId="11" xfId="0" applyFont="1" applyFill="1" applyBorder="1" applyAlignment="1">
      <alignment horizontal="center" vertical="center" wrapText="1" readingOrder="1"/>
    </xf>
    <xf numFmtId="0" fontId="9" fillId="5" borderId="14" xfId="0" applyFont="1" applyFill="1" applyBorder="1" applyAlignment="1">
      <alignment horizontal="center" vertical="center" wrapText="1" readingOrder="1"/>
    </xf>
    <xf numFmtId="0" fontId="8" fillId="9" borderId="0" xfId="0" applyFont="1" applyFill="1" applyBorder="1" applyAlignment="1">
      <alignment horizontal="center" vertical="center" wrapText="1" readingOrder="1"/>
    </xf>
    <xf numFmtId="10" fontId="8" fillId="9" borderId="0" xfId="0" applyNumberFormat="1" applyFont="1" applyFill="1" applyBorder="1" applyAlignment="1">
      <alignment horizontal="center" vertical="center" wrapText="1" readingOrder="1"/>
    </xf>
    <xf numFmtId="10" fontId="9" fillId="9" borderId="0" xfId="0" applyNumberFormat="1" applyFont="1" applyFill="1" applyBorder="1" applyAlignment="1">
      <alignment horizontal="center" vertical="center" wrapText="1" readingOrder="1"/>
    </xf>
    <xf numFmtId="43" fontId="15" fillId="2" borderId="0" xfId="0" applyNumberFormat="1" applyFont="1" applyFill="1"/>
    <xf numFmtId="0" fontId="5" fillId="3" borderId="10" xfId="0" applyFont="1" applyFill="1" applyBorder="1" applyAlignment="1">
      <alignment horizontal="center" vertical="center" wrapText="1" readingOrder="1"/>
    </xf>
    <xf numFmtId="0" fontId="6" fillId="4" borderId="0" xfId="0" applyFont="1" applyFill="1" applyBorder="1" applyAlignment="1">
      <alignment horizontal="center" vertical="center" wrapText="1" readingOrder="1"/>
    </xf>
    <xf numFmtId="0" fontId="7" fillId="4" borderId="0" xfId="0" applyFont="1" applyFill="1" applyBorder="1" applyAlignment="1">
      <alignment horizontal="center" vertical="center" wrapText="1" readingOrder="1"/>
    </xf>
    <xf numFmtId="0" fontId="9" fillId="4" borderId="0" xfId="0" applyFont="1" applyFill="1" applyBorder="1" applyAlignment="1">
      <alignment horizontal="center" vertical="center" wrapText="1" readingOrder="1"/>
    </xf>
    <xf numFmtId="10" fontId="8" fillId="5" borderId="8" xfId="0" applyNumberFormat="1" applyFont="1" applyFill="1" applyBorder="1" applyAlignment="1">
      <alignment horizontal="center" vertical="center" wrapText="1" readingOrder="1"/>
    </xf>
    <xf numFmtId="10" fontId="8" fillId="5" borderId="9" xfId="0" applyNumberFormat="1" applyFont="1" applyFill="1" applyBorder="1" applyAlignment="1">
      <alignment horizontal="center" vertical="center" wrapText="1" readingOrder="1"/>
    </xf>
    <xf numFmtId="166" fontId="12" fillId="0" borderId="0" xfId="2" applyNumberFormat="1" applyFont="1"/>
    <xf numFmtId="43" fontId="14" fillId="0" borderId="0" xfId="1" applyNumberFormat="1" applyFont="1"/>
    <xf numFmtId="9" fontId="12" fillId="0" borderId="0" xfId="0" applyNumberFormat="1" applyFont="1"/>
    <xf numFmtId="166" fontId="15" fillId="0" borderId="0" xfId="2" applyNumberFormat="1" applyFont="1" applyAlignment="1">
      <alignment horizontal="center"/>
    </xf>
    <xf numFmtId="167" fontId="15" fillId="0" borderId="0" xfId="0" applyNumberFormat="1" applyFont="1"/>
    <xf numFmtId="10" fontId="12" fillId="6" borderId="0" xfId="2" applyNumberFormat="1" applyFont="1" applyFill="1"/>
    <xf numFmtId="0" fontId="15" fillId="0" borderId="0" xfId="0" applyFont="1" applyAlignment="1">
      <alignment horizontal="center"/>
    </xf>
    <xf numFmtId="165" fontId="15" fillId="0" borderId="0" xfId="2" applyNumberFormat="1" applyFont="1" applyAlignment="1">
      <alignment horizontal="center"/>
    </xf>
    <xf numFmtId="10" fontId="15" fillId="0" borderId="0" xfId="2" applyNumberFormat="1" applyFont="1" applyAlignment="1">
      <alignment horizontal="center"/>
    </xf>
    <xf numFmtId="17" fontId="15" fillId="0" borderId="0" xfId="0" applyNumberFormat="1" applyFont="1"/>
    <xf numFmtId="166" fontId="15" fillId="2" borderId="0" xfId="2" applyNumberFormat="1" applyFont="1" applyFill="1"/>
    <xf numFmtId="0" fontId="37" fillId="0" borderId="28" xfId="0" applyFont="1" applyBorder="1" applyAlignment="1">
      <alignment horizontal="left"/>
    </xf>
    <xf numFmtId="43" fontId="15" fillId="0" borderId="0" xfId="0" applyNumberFormat="1" applyFont="1"/>
    <xf numFmtId="0" fontId="41" fillId="10" borderId="37" xfId="0" applyFont="1" applyFill="1" applyBorder="1" applyAlignment="1">
      <alignment horizontal="left" vertical="center" wrapText="1" indent="1"/>
    </xf>
    <xf numFmtId="10" fontId="42" fillId="9" borderId="40" xfId="0" applyNumberFormat="1" applyFont="1" applyFill="1" applyBorder="1" applyAlignment="1">
      <alignment horizontal="center" vertical="center" wrapText="1"/>
    </xf>
    <xf numFmtId="10" fontId="42" fillId="9" borderId="38" xfId="0" applyNumberFormat="1" applyFont="1" applyFill="1" applyBorder="1" applyAlignment="1">
      <alignment horizontal="center" vertical="center" wrapText="1"/>
    </xf>
    <xf numFmtId="0" fontId="42" fillId="9" borderId="38" xfId="0" applyFont="1" applyFill="1" applyBorder="1" applyAlignment="1">
      <alignment horizontal="center" vertical="center" wrapText="1"/>
    </xf>
    <xf numFmtId="10" fontId="42" fillId="9" borderId="41" xfId="0" applyNumberFormat="1" applyFont="1" applyFill="1" applyBorder="1" applyAlignment="1">
      <alignment horizontal="center" vertical="center" wrapText="1"/>
    </xf>
    <xf numFmtId="10" fontId="42" fillId="9" borderId="42" xfId="0" applyNumberFormat="1" applyFont="1" applyFill="1" applyBorder="1" applyAlignment="1">
      <alignment horizontal="center" vertical="center" wrapText="1"/>
    </xf>
    <xf numFmtId="10" fontId="42" fillId="9" borderId="39" xfId="0" applyNumberFormat="1" applyFont="1" applyFill="1" applyBorder="1" applyAlignment="1">
      <alignment horizontal="center" vertical="center" wrapText="1"/>
    </xf>
    <xf numFmtId="0" fontId="42" fillId="9" borderId="39" xfId="0" applyFont="1" applyFill="1" applyBorder="1" applyAlignment="1">
      <alignment horizontal="center" vertical="center" wrapText="1"/>
    </xf>
    <xf numFmtId="10" fontId="42" fillId="9" borderId="43" xfId="0" applyNumberFormat="1" applyFont="1" applyFill="1" applyBorder="1" applyAlignment="1">
      <alignment horizontal="center" vertical="center" wrapText="1"/>
    </xf>
    <xf numFmtId="0" fontId="42" fillId="9" borderId="42" xfId="0" applyFont="1" applyFill="1" applyBorder="1" applyAlignment="1">
      <alignment horizontal="center" vertical="center" wrapText="1"/>
    </xf>
    <xf numFmtId="0" fontId="42" fillId="9" borderId="43" xfId="0" applyFont="1" applyFill="1" applyBorder="1" applyAlignment="1">
      <alignment horizontal="center" vertical="center" wrapText="1"/>
    </xf>
    <xf numFmtId="0" fontId="42" fillId="9" borderId="44" xfId="0" applyFont="1" applyFill="1" applyBorder="1" applyAlignment="1">
      <alignment horizontal="center" vertical="center" wrapText="1"/>
    </xf>
    <xf numFmtId="0" fontId="42" fillId="9" borderId="45" xfId="0" applyFont="1" applyFill="1" applyBorder="1" applyAlignment="1">
      <alignment horizontal="center" vertical="center" wrapText="1"/>
    </xf>
    <xf numFmtId="0" fontId="42" fillId="9" borderId="46" xfId="0" applyFont="1" applyFill="1" applyBorder="1" applyAlignment="1">
      <alignment horizontal="center" vertical="center" wrapText="1"/>
    </xf>
    <xf numFmtId="165" fontId="0" fillId="0" borderId="0" xfId="0" applyNumberFormat="1"/>
    <xf numFmtId="43" fontId="20" fillId="0" borderId="0" xfId="0" applyNumberFormat="1" applyFont="1"/>
    <xf numFmtId="43" fontId="0" fillId="0" borderId="48" xfId="1" applyFont="1" applyBorder="1"/>
    <xf numFmtId="43" fontId="0" fillId="0" borderId="49" xfId="0" applyNumberFormat="1" applyBorder="1"/>
    <xf numFmtId="9" fontId="0" fillId="0" borderId="49" xfId="0" applyNumberFormat="1" applyBorder="1"/>
    <xf numFmtId="43" fontId="20" fillId="0" borderId="49" xfId="0" applyNumberFormat="1" applyFont="1" applyBorder="1"/>
    <xf numFmtId="10" fontId="0" fillId="0" borderId="50" xfId="2" applyNumberFormat="1" applyFont="1" applyBorder="1"/>
    <xf numFmtId="43" fontId="0" fillId="0" borderId="51" xfId="1" applyFont="1" applyBorder="1"/>
    <xf numFmtId="43" fontId="0" fillId="0" borderId="32" xfId="1" applyFont="1" applyBorder="1"/>
    <xf numFmtId="43" fontId="0" fillId="0" borderId="52" xfId="0" applyNumberFormat="1" applyBorder="1"/>
    <xf numFmtId="43" fontId="0" fillId="0" borderId="33" xfId="0" applyNumberFormat="1" applyBorder="1"/>
    <xf numFmtId="9" fontId="0" fillId="0" borderId="52" xfId="0" applyNumberFormat="1" applyBorder="1"/>
    <xf numFmtId="9" fontId="0" fillId="0" borderId="33" xfId="0" applyNumberFormat="1" applyBorder="1"/>
    <xf numFmtId="43" fontId="20" fillId="0" borderId="52" xfId="0" applyNumberFormat="1" applyFont="1" applyBorder="1"/>
    <xf numFmtId="43" fontId="20" fillId="0" borderId="33" xfId="0" applyNumberFormat="1" applyFont="1" applyBorder="1"/>
    <xf numFmtId="10" fontId="0" fillId="0" borderId="29" xfId="2" applyNumberFormat="1" applyFont="1" applyBorder="1"/>
    <xf numFmtId="10" fontId="0" fillId="0" borderId="31" xfId="2" applyNumberFormat="1" applyFont="1" applyBorder="1"/>
    <xf numFmtId="166" fontId="33" fillId="6" borderId="8" xfId="2" applyNumberFormat="1" applyFont="1" applyFill="1" applyBorder="1"/>
    <xf numFmtId="166" fontId="33" fillId="6" borderId="28" xfId="2" applyNumberFormat="1" applyFont="1" applyFill="1" applyBorder="1"/>
    <xf numFmtId="166" fontId="33" fillId="6" borderId="7" xfId="2" applyNumberFormat="1" applyFont="1" applyFill="1" applyBorder="1"/>
    <xf numFmtId="166" fontId="33" fillId="6" borderId="9" xfId="2" applyNumberFormat="1" applyFont="1" applyFill="1" applyBorder="1"/>
    <xf numFmtId="44" fontId="0" fillId="0" borderId="0" xfId="3" applyFont="1"/>
    <xf numFmtId="44" fontId="0" fillId="0" borderId="0" xfId="0" applyNumberFormat="1"/>
    <xf numFmtId="43" fontId="0" fillId="2" borderId="49" xfId="0" applyNumberFormat="1" applyFill="1" applyBorder="1"/>
    <xf numFmtId="0" fontId="31" fillId="4" borderId="21" xfId="0" applyFont="1" applyFill="1" applyBorder="1" applyAlignment="1">
      <alignment horizontal="center" vertical="center" wrapText="1" readingOrder="1"/>
    </xf>
    <xf numFmtId="10" fontId="31" fillId="4" borderId="21" xfId="0" applyNumberFormat="1" applyFont="1" applyFill="1" applyBorder="1" applyAlignment="1">
      <alignment horizontal="center" vertical="center" wrapText="1" readingOrder="1"/>
    </xf>
    <xf numFmtId="0" fontId="31" fillId="4" borderId="11" xfId="0" applyFont="1" applyFill="1" applyBorder="1" applyAlignment="1">
      <alignment horizontal="center" vertical="center" wrapText="1" readingOrder="1"/>
    </xf>
    <xf numFmtId="10" fontId="31" fillId="4" borderId="11" xfId="0" applyNumberFormat="1" applyFont="1" applyFill="1" applyBorder="1" applyAlignment="1">
      <alignment horizontal="center" vertical="center" wrapText="1" readingOrder="1"/>
    </xf>
    <xf numFmtId="164" fontId="31" fillId="4" borderId="11" xfId="0" applyNumberFormat="1" applyFont="1" applyFill="1" applyBorder="1" applyAlignment="1">
      <alignment horizontal="center" vertical="center" wrapText="1" readingOrder="1"/>
    </xf>
    <xf numFmtId="0" fontId="31" fillId="5" borderId="12" xfId="0" applyFont="1" applyFill="1" applyBorder="1" applyAlignment="1">
      <alignment horizontal="center" vertical="center" wrapText="1" readingOrder="1"/>
    </xf>
    <xf numFmtId="9" fontId="31" fillId="5" borderId="13" xfId="0" applyNumberFormat="1" applyFont="1" applyFill="1" applyBorder="1" applyAlignment="1">
      <alignment horizontal="center" vertical="center" wrapText="1" readingOrder="1"/>
    </xf>
    <xf numFmtId="164" fontId="31" fillId="5" borderId="14" xfId="0" applyNumberFormat="1" applyFont="1" applyFill="1" applyBorder="1" applyAlignment="1">
      <alignment horizontal="center" vertical="center" wrapText="1" readingOrder="1"/>
    </xf>
    <xf numFmtId="0" fontId="0" fillId="0" borderId="53" xfId="0" applyBorder="1"/>
    <xf numFmtId="0" fontId="10" fillId="0" borderId="0" xfId="0" applyFont="1" applyBorder="1"/>
    <xf numFmtId="10" fontId="10" fillId="0" borderId="0" xfId="0" applyNumberFormat="1" applyFont="1" applyBorder="1"/>
    <xf numFmtId="43" fontId="10" fillId="0" borderId="0" xfId="0" applyNumberFormat="1" applyFont="1" applyBorder="1"/>
    <xf numFmtId="0" fontId="0" fillId="0" borderId="0" xfId="0" applyBorder="1"/>
    <xf numFmtId="9" fontId="10" fillId="0" borderId="0" xfId="0" applyNumberFormat="1" applyFont="1" applyBorder="1"/>
    <xf numFmtId="0" fontId="20" fillId="0" borderId="0" xfId="0" applyFont="1" applyBorder="1"/>
    <xf numFmtId="9" fontId="20" fillId="0" borderId="0" xfId="0" applyNumberFormat="1" applyFont="1" applyBorder="1"/>
    <xf numFmtId="43" fontId="20" fillId="2" borderId="0" xfId="1" applyFont="1" applyFill="1" applyBorder="1"/>
    <xf numFmtId="43" fontId="10" fillId="0" borderId="0" xfId="1" applyFont="1" applyBorder="1"/>
    <xf numFmtId="0" fontId="10" fillId="0" borderId="30" xfId="0" applyFont="1" applyBorder="1"/>
    <xf numFmtId="10" fontId="10" fillId="0" borderId="30" xfId="0" applyNumberFormat="1" applyFont="1" applyBorder="1"/>
    <xf numFmtId="43" fontId="10" fillId="0" borderId="30" xfId="0" applyNumberFormat="1" applyFont="1" applyBorder="1"/>
    <xf numFmtId="0" fontId="0" fillId="0" borderId="30" xfId="0" applyBorder="1"/>
    <xf numFmtId="167" fontId="0" fillId="0" borderId="53" xfId="0" applyNumberFormat="1" applyBorder="1"/>
    <xf numFmtId="43" fontId="0" fillId="0" borderId="0" xfId="0" applyNumberFormat="1" applyBorder="1"/>
    <xf numFmtId="167" fontId="0" fillId="0" borderId="30" xfId="0" applyNumberFormat="1" applyBorder="1"/>
    <xf numFmtId="43" fontId="20" fillId="0" borderId="53" xfId="1" applyFont="1" applyBorder="1"/>
    <xf numFmtId="10" fontId="10" fillId="2" borderId="30" xfId="2" applyNumberFormat="1" applyFont="1" applyFill="1" applyBorder="1"/>
    <xf numFmtId="0" fontId="44" fillId="9" borderId="0" xfId="0" applyFont="1" applyFill="1" applyBorder="1" applyAlignment="1">
      <alignment horizontal="center" vertical="center" wrapText="1"/>
    </xf>
    <xf numFmtId="0" fontId="33" fillId="0" borderId="0" xfId="0" applyFont="1"/>
    <xf numFmtId="43" fontId="33" fillId="0" borderId="0" xfId="0" applyNumberFormat="1" applyFont="1"/>
    <xf numFmtId="165" fontId="33" fillId="0" borderId="0" xfId="2" applyNumberFormat="1" applyFont="1" applyAlignment="1">
      <alignment horizontal="center" vertical="center"/>
    </xf>
    <xf numFmtId="10" fontId="33" fillId="0" borderId="0" xfId="2" applyNumberFormat="1" applyFont="1"/>
    <xf numFmtId="165" fontId="19" fillId="0" borderId="0" xfId="2" applyNumberFormat="1" applyFont="1" applyAlignment="1">
      <alignment horizontal="center" vertical="center"/>
    </xf>
    <xf numFmtId="0" fontId="45" fillId="0" borderId="0" xfId="0" applyFont="1"/>
    <xf numFmtId="43" fontId="45" fillId="0" borderId="0" xfId="0" applyNumberFormat="1" applyFont="1"/>
    <xf numFmtId="165" fontId="45" fillId="0" borderId="0" xfId="2" applyNumberFormat="1" applyFont="1" applyAlignment="1">
      <alignment horizontal="center" vertical="center"/>
    </xf>
    <xf numFmtId="164" fontId="45" fillId="0" borderId="0" xfId="0" applyNumberFormat="1" applyFont="1"/>
    <xf numFmtId="10" fontId="45" fillId="0" borderId="0" xfId="2" applyNumberFormat="1" applyFont="1"/>
    <xf numFmtId="0" fontId="46" fillId="0" borderId="0" xfId="0" applyFont="1"/>
    <xf numFmtId="43" fontId="46" fillId="0" borderId="0" xfId="0" applyNumberFormat="1" applyFont="1"/>
    <xf numFmtId="165" fontId="46" fillId="0" borderId="0" xfId="2" applyNumberFormat="1" applyFont="1" applyAlignment="1">
      <alignment horizontal="center" vertical="center"/>
    </xf>
    <xf numFmtId="164" fontId="46" fillId="0" borderId="0" xfId="0" applyNumberFormat="1" applyFont="1"/>
    <xf numFmtId="10" fontId="46" fillId="0" borderId="0" xfId="2" applyNumberFormat="1" applyFont="1"/>
    <xf numFmtId="0" fontId="44" fillId="9" borderId="42" xfId="0" applyFont="1" applyFill="1" applyBorder="1" applyAlignment="1">
      <alignment horizontal="center" vertical="center" wrapText="1"/>
    </xf>
    <xf numFmtId="10" fontId="44" fillId="9" borderId="39" xfId="0" applyNumberFormat="1" applyFont="1" applyFill="1" applyBorder="1" applyAlignment="1">
      <alignment horizontal="center" vertical="center" wrapText="1"/>
    </xf>
    <xf numFmtId="0" fontId="44" fillId="9" borderId="39" xfId="0" applyFont="1" applyFill="1" applyBorder="1" applyAlignment="1">
      <alignment horizontal="center" vertical="center" wrapText="1"/>
    </xf>
    <xf numFmtId="10" fontId="44" fillId="9" borderId="43" xfId="0" applyNumberFormat="1" applyFont="1" applyFill="1" applyBorder="1" applyAlignment="1">
      <alignment horizontal="center" vertical="center" wrapText="1"/>
    </xf>
    <xf numFmtId="0" fontId="31" fillId="5" borderId="11" xfId="0" applyFont="1" applyFill="1" applyBorder="1" applyAlignment="1">
      <alignment horizontal="center" vertical="center" wrapText="1" readingOrder="1"/>
    </xf>
    <xf numFmtId="9" fontId="31" fillId="5" borderId="11" xfId="0" applyNumberFormat="1" applyFont="1" applyFill="1" applyBorder="1" applyAlignment="1">
      <alignment horizontal="center" vertical="center" wrapText="1" readingOrder="1"/>
    </xf>
    <xf numFmtId="164" fontId="31" fillId="5" borderId="11" xfId="0" applyNumberFormat="1" applyFont="1" applyFill="1" applyBorder="1" applyAlignment="1">
      <alignment horizontal="center" vertical="center" wrapText="1" readingOrder="1"/>
    </xf>
    <xf numFmtId="0" fontId="31" fillId="5" borderId="0" xfId="0" applyFont="1" applyFill="1" applyBorder="1" applyAlignment="1">
      <alignment horizontal="center" vertical="center" wrapText="1" readingOrder="1"/>
    </xf>
    <xf numFmtId="9" fontId="31" fillId="5" borderId="0" xfId="0" applyNumberFormat="1" applyFont="1" applyFill="1" applyBorder="1" applyAlignment="1">
      <alignment horizontal="center" vertical="center" wrapText="1" readingOrder="1"/>
    </xf>
    <xf numFmtId="164" fontId="31" fillId="5" borderId="0" xfId="0" applyNumberFormat="1" applyFont="1" applyFill="1" applyBorder="1" applyAlignment="1">
      <alignment horizontal="center" vertical="center" wrapText="1" readingOrder="1"/>
    </xf>
    <xf numFmtId="0" fontId="31" fillId="4" borderId="8" xfId="0" applyFont="1" applyFill="1" applyBorder="1" applyAlignment="1">
      <alignment horizontal="center" vertical="center" wrapText="1" readingOrder="1"/>
    </xf>
    <xf numFmtId="10" fontId="31" fillId="4" borderId="28" xfId="0" applyNumberFormat="1" applyFont="1" applyFill="1" applyBorder="1" applyAlignment="1">
      <alignment horizontal="center" vertical="center" wrapText="1" readingOrder="1"/>
    </xf>
    <xf numFmtId="164" fontId="31" fillId="4" borderId="9" xfId="0" applyNumberFormat="1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19" xfId="0" applyFont="1" applyFill="1" applyBorder="1" applyAlignment="1">
      <alignment horizontal="center" vertical="center" wrapText="1" readingOrder="1"/>
    </xf>
    <xf numFmtId="0" fontId="5" fillId="3" borderId="18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wrapText="1"/>
    </xf>
    <xf numFmtId="0" fontId="5" fillId="3" borderId="34" xfId="0" applyFont="1" applyFill="1" applyBorder="1" applyAlignment="1">
      <alignment horizontal="center" vertical="center" wrapText="1" readingOrder="1"/>
    </xf>
    <xf numFmtId="0" fontId="5" fillId="3" borderId="35" xfId="0" applyFont="1" applyFill="1" applyBorder="1" applyAlignment="1">
      <alignment horizontal="center" vertical="center" wrapText="1" readingOrder="1"/>
    </xf>
    <xf numFmtId="0" fontId="5" fillId="3" borderId="36" xfId="0" applyFont="1" applyFill="1" applyBorder="1" applyAlignment="1">
      <alignment horizontal="center" vertical="center" wrapText="1" readingOrder="1"/>
    </xf>
    <xf numFmtId="0" fontId="40" fillId="0" borderId="47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43" fontId="51" fillId="0" borderId="0" xfId="1" applyFont="1"/>
    <xf numFmtId="9" fontId="49" fillId="0" borderId="0" xfId="0" applyNumberFormat="1" applyFont="1"/>
    <xf numFmtId="43" fontId="49" fillId="0" borderId="0" xfId="0" applyNumberFormat="1" applyFont="1"/>
    <xf numFmtId="10" fontId="49" fillId="0" borderId="0" xfId="0" applyNumberFormat="1" applyFont="1"/>
    <xf numFmtId="165" fontId="49" fillId="0" borderId="0" xfId="0" applyNumberFormat="1" applyFont="1"/>
    <xf numFmtId="9" fontId="51" fillId="0" borderId="0" xfId="0" applyNumberFormat="1" applyFont="1"/>
    <xf numFmtId="0" fontId="49" fillId="2" borderId="0" xfId="0" applyFont="1" applyFill="1"/>
    <xf numFmtId="43" fontId="49" fillId="0" borderId="0" xfId="1" applyFont="1"/>
    <xf numFmtId="0" fontId="52" fillId="0" borderId="0" xfId="0" applyFont="1"/>
    <xf numFmtId="0" fontId="53" fillId="0" borderId="0" xfId="0" applyFont="1"/>
    <xf numFmtId="43" fontId="53" fillId="0" borderId="0" xfId="1" applyFont="1"/>
    <xf numFmtId="10" fontId="49" fillId="0" borderId="0" xfId="2" applyNumberFormat="1" applyFont="1"/>
    <xf numFmtId="0" fontId="51" fillId="2" borderId="0" xfId="0" applyFont="1" applyFill="1"/>
    <xf numFmtId="0" fontId="49" fillId="0" borderId="51" xfId="0" applyFont="1" applyBorder="1"/>
    <xf numFmtId="0" fontId="49" fillId="0" borderId="54" xfId="0" applyFont="1" applyBorder="1"/>
    <xf numFmtId="0" fontId="49" fillId="0" borderId="32" xfId="0" applyFont="1" applyBorder="1"/>
    <xf numFmtId="0" fontId="49" fillId="0" borderId="52" xfId="0" applyFont="1" applyBorder="1"/>
    <xf numFmtId="9" fontId="49" fillId="0" borderId="0" xfId="0" applyNumberFormat="1" applyFont="1" applyBorder="1"/>
    <xf numFmtId="0" fontId="49" fillId="0" borderId="0" xfId="0" applyFont="1" applyBorder="1"/>
    <xf numFmtId="0" fontId="49" fillId="0" borderId="33" xfId="0" applyFont="1" applyBorder="1"/>
    <xf numFmtId="0" fontId="49" fillId="2" borderId="52" xfId="0" applyFont="1" applyFill="1" applyBorder="1"/>
    <xf numFmtId="0" fontId="49" fillId="2" borderId="0" xfId="0" applyFont="1" applyFill="1" applyBorder="1"/>
    <xf numFmtId="0" fontId="49" fillId="0" borderId="29" xfId="0" applyFont="1" applyBorder="1"/>
    <xf numFmtId="0" fontId="49" fillId="0" borderId="30" xfId="0" applyFont="1" applyBorder="1"/>
    <xf numFmtId="0" fontId="49" fillId="0" borderId="31" xfId="0" applyFont="1" applyBorder="1"/>
    <xf numFmtId="0" fontId="54" fillId="0" borderId="52" xfId="0" applyFont="1" applyBorder="1"/>
    <xf numFmtId="9" fontId="54" fillId="0" borderId="0" xfId="0" applyNumberFormat="1" applyFont="1" applyBorder="1"/>
    <xf numFmtId="0" fontId="55" fillId="0" borderId="0" xfId="4"/>
  </cellXfs>
  <cellStyles count="5">
    <cellStyle name="Hiperlink" xfId="4" builtinId="8"/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82176</xdr:colOff>
      <xdr:row>0</xdr:row>
      <xdr:rowOff>22412</xdr:rowOff>
    </xdr:from>
    <xdr:to>
      <xdr:col>17</xdr:col>
      <xdr:colOff>313764</xdr:colOff>
      <xdr:row>13</xdr:row>
      <xdr:rowOff>67236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221" t="11803" r="8490" b="8055"/>
        <a:stretch/>
      </xdr:blipFill>
      <xdr:spPr>
        <a:xfrm>
          <a:off x="5812117" y="22412"/>
          <a:ext cx="4706471" cy="2181412"/>
        </a:xfrm>
        <a:prstGeom prst="rect">
          <a:avLst/>
        </a:prstGeom>
      </xdr:spPr>
    </xdr:pic>
    <xdr:clientData/>
  </xdr:twoCellAnchor>
  <xdr:twoCellAnchor editAs="oneCell">
    <xdr:from>
      <xdr:col>0</xdr:col>
      <xdr:colOff>82178</xdr:colOff>
      <xdr:row>19</xdr:row>
      <xdr:rowOff>149412</xdr:rowOff>
    </xdr:from>
    <xdr:to>
      <xdr:col>6</xdr:col>
      <xdr:colOff>335689</xdr:colOff>
      <xdr:row>25</xdr:row>
      <xdr:rowOff>157022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18F98D1-B4F0-47BB-9871-843E7687D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178" y="3346824"/>
          <a:ext cx="5288687" cy="1202904"/>
        </a:xfrm>
        <a:custGeom>
          <a:avLst/>
          <a:gdLst>
            <a:gd name="connsiteX0" fmla="*/ 0 w 5288687"/>
            <a:gd name="connsiteY0" fmla="*/ 0 h 1202904"/>
            <a:gd name="connsiteX1" fmla="*/ 640519 w 5288687"/>
            <a:gd name="connsiteY1" fmla="*/ 0 h 1202904"/>
            <a:gd name="connsiteX2" fmla="*/ 1122377 w 5288687"/>
            <a:gd name="connsiteY2" fmla="*/ 0 h 1202904"/>
            <a:gd name="connsiteX3" fmla="*/ 1657122 w 5288687"/>
            <a:gd name="connsiteY3" fmla="*/ 0 h 1202904"/>
            <a:gd name="connsiteX4" fmla="*/ 2350528 w 5288687"/>
            <a:gd name="connsiteY4" fmla="*/ 0 h 1202904"/>
            <a:gd name="connsiteX5" fmla="*/ 2991046 w 5288687"/>
            <a:gd name="connsiteY5" fmla="*/ 0 h 1202904"/>
            <a:gd name="connsiteX6" fmla="*/ 3525791 w 5288687"/>
            <a:gd name="connsiteY6" fmla="*/ 0 h 1202904"/>
            <a:gd name="connsiteX7" fmla="*/ 4113423 w 5288687"/>
            <a:gd name="connsiteY7" fmla="*/ 0 h 1202904"/>
            <a:gd name="connsiteX8" fmla="*/ 4753942 w 5288687"/>
            <a:gd name="connsiteY8" fmla="*/ 0 h 1202904"/>
            <a:gd name="connsiteX9" fmla="*/ 5288687 w 5288687"/>
            <a:gd name="connsiteY9" fmla="*/ 0 h 1202904"/>
            <a:gd name="connsiteX10" fmla="*/ 5288687 w 5288687"/>
            <a:gd name="connsiteY10" fmla="*/ 412997 h 1202904"/>
            <a:gd name="connsiteX11" fmla="*/ 5288687 w 5288687"/>
            <a:gd name="connsiteY11" fmla="*/ 813965 h 1202904"/>
            <a:gd name="connsiteX12" fmla="*/ 5288687 w 5288687"/>
            <a:gd name="connsiteY12" fmla="*/ 1202904 h 1202904"/>
            <a:gd name="connsiteX13" fmla="*/ 4806829 w 5288687"/>
            <a:gd name="connsiteY13" fmla="*/ 1202904 h 1202904"/>
            <a:gd name="connsiteX14" fmla="*/ 4166310 w 5288687"/>
            <a:gd name="connsiteY14" fmla="*/ 1202904 h 1202904"/>
            <a:gd name="connsiteX15" fmla="*/ 3578678 w 5288687"/>
            <a:gd name="connsiteY15" fmla="*/ 1202904 h 1202904"/>
            <a:gd name="connsiteX16" fmla="*/ 3149707 w 5288687"/>
            <a:gd name="connsiteY16" fmla="*/ 1202904 h 1202904"/>
            <a:gd name="connsiteX17" fmla="*/ 2456301 w 5288687"/>
            <a:gd name="connsiteY17" fmla="*/ 1202904 h 1202904"/>
            <a:gd name="connsiteX18" fmla="*/ 2027330 w 5288687"/>
            <a:gd name="connsiteY18" fmla="*/ 1202904 h 1202904"/>
            <a:gd name="connsiteX19" fmla="*/ 1386811 w 5288687"/>
            <a:gd name="connsiteY19" fmla="*/ 1202904 h 1202904"/>
            <a:gd name="connsiteX20" fmla="*/ 746292 w 5288687"/>
            <a:gd name="connsiteY20" fmla="*/ 1202904 h 1202904"/>
            <a:gd name="connsiteX21" fmla="*/ 0 w 5288687"/>
            <a:gd name="connsiteY21" fmla="*/ 1202904 h 1202904"/>
            <a:gd name="connsiteX22" fmla="*/ 0 w 5288687"/>
            <a:gd name="connsiteY22" fmla="*/ 789907 h 1202904"/>
            <a:gd name="connsiteX23" fmla="*/ 0 w 5288687"/>
            <a:gd name="connsiteY23" fmla="*/ 364881 h 1202904"/>
            <a:gd name="connsiteX24" fmla="*/ 0 w 5288687"/>
            <a:gd name="connsiteY24" fmla="*/ 0 h 12029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</a:cxnLst>
          <a:rect l="l" t="t" r="r" b="b"/>
          <a:pathLst>
            <a:path w="5288687" h="1202904" fill="none" extrusionOk="0">
              <a:moveTo>
                <a:pt x="0" y="0"/>
              </a:moveTo>
              <a:cubicBezTo>
                <a:pt x="220857" y="-57101"/>
                <a:pt x="353279" y="70501"/>
                <a:pt x="640519" y="0"/>
              </a:cubicBezTo>
              <a:cubicBezTo>
                <a:pt x="927759" y="-70501"/>
                <a:pt x="888677" y="40670"/>
                <a:pt x="1122377" y="0"/>
              </a:cubicBezTo>
              <a:cubicBezTo>
                <a:pt x="1356077" y="-40670"/>
                <a:pt x="1473743" y="972"/>
                <a:pt x="1657122" y="0"/>
              </a:cubicBezTo>
              <a:cubicBezTo>
                <a:pt x="1840501" y="-972"/>
                <a:pt x="2148540" y="45490"/>
                <a:pt x="2350528" y="0"/>
              </a:cubicBezTo>
              <a:cubicBezTo>
                <a:pt x="2552516" y="-45490"/>
                <a:pt x="2855077" y="6758"/>
                <a:pt x="2991046" y="0"/>
              </a:cubicBezTo>
              <a:cubicBezTo>
                <a:pt x="3127015" y="-6758"/>
                <a:pt x="3357086" y="13056"/>
                <a:pt x="3525791" y="0"/>
              </a:cubicBezTo>
              <a:cubicBezTo>
                <a:pt x="3694497" y="-13056"/>
                <a:pt x="3847248" y="37773"/>
                <a:pt x="4113423" y="0"/>
              </a:cubicBezTo>
              <a:cubicBezTo>
                <a:pt x="4379598" y="-37773"/>
                <a:pt x="4569138" y="29239"/>
                <a:pt x="4753942" y="0"/>
              </a:cubicBezTo>
              <a:cubicBezTo>
                <a:pt x="4938746" y="-29239"/>
                <a:pt x="5036797" y="36127"/>
                <a:pt x="5288687" y="0"/>
              </a:cubicBezTo>
              <a:cubicBezTo>
                <a:pt x="5329158" y="132130"/>
                <a:pt x="5284779" y="269363"/>
                <a:pt x="5288687" y="412997"/>
              </a:cubicBezTo>
              <a:cubicBezTo>
                <a:pt x="5292595" y="556631"/>
                <a:pt x="5286291" y="651488"/>
                <a:pt x="5288687" y="813965"/>
              </a:cubicBezTo>
              <a:cubicBezTo>
                <a:pt x="5291083" y="976442"/>
                <a:pt x="5268430" y="1073725"/>
                <a:pt x="5288687" y="1202904"/>
              </a:cubicBezTo>
              <a:cubicBezTo>
                <a:pt x="5150670" y="1212713"/>
                <a:pt x="5037480" y="1177640"/>
                <a:pt x="4806829" y="1202904"/>
              </a:cubicBezTo>
              <a:cubicBezTo>
                <a:pt x="4576178" y="1228168"/>
                <a:pt x="4363533" y="1173456"/>
                <a:pt x="4166310" y="1202904"/>
              </a:cubicBezTo>
              <a:cubicBezTo>
                <a:pt x="3969087" y="1232352"/>
                <a:pt x="3853673" y="1182975"/>
                <a:pt x="3578678" y="1202904"/>
              </a:cubicBezTo>
              <a:cubicBezTo>
                <a:pt x="3303683" y="1222833"/>
                <a:pt x="3272379" y="1177437"/>
                <a:pt x="3149707" y="1202904"/>
              </a:cubicBezTo>
              <a:cubicBezTo>
                <a:pt x="3027035" y="1228371"/>
                <a:pt x="2631719" y="1185142"/>
                <a:pt x="2456301" y="1202904"/>
              </a:cubicBezTo>
              <a:cubicBezTo>
                <a:pt x="2280883" y="1220666"/>
                <a:pt x="2223341" y="1200481"/>
                <a:pt x="2027330" y="1202904"/>
              </a:cubicBezTo>
              <a:cubicBezTo>
                <a:pt x="1831319" y="1205327"/>
                <a:pt x="1578203" y="1161343"/>
                <a:pt x="1386811" y="1202904"/>
              </a:cubicBezTo>
              <a:cubicBezTo>
                <a:pt x="1195419" y="1244465"/>
                <a:pt x="908008" y="1153027"/>
                <a:pt x="746292" y="1202904"/>
              </a:cubicBezTo>
              <a:cubicBezTo>
                <a:pt x="584576" y="1252781"/>
                <a:pt x="354673" y="1115297"/>
                <a:pt x="0" y="1202904"/>
              </a:cubicBezTo>
              <a:cubicBezTo>
                <a:pt x="-29057" y="1091075"/>
                <a:pt x="26653" y="922400"/>
                <a:pt x="0" y="789907"/>
              </a:cubicBezTo>
              <a:cubicBezTo>
                <a:pt x="-26653" y="657414"/>
                <a:pt x="42821" y="534880"/>
                <a:pt x="0" y="364881"/>
              </a:cubicBezTo>
              <a:cubicBezTo>
                <a:pt x="-42821" y="194882"/>
                <a:pt x="24940" y="128788"/>
                <a:pt x="0" y="0"/>
              </a:cubicBezTo>
              <a:close/>
            </a:path>
            <a:path w="5288687" h="1202904" stroke="0" extrusionOk="0">
              <a:moveTo>
                <a:pt x="0" y="0"/>
              </a:moveTo>
              <a:cubicBezTo>
                <a:pt x="167567" y="-32677"/>
                <a:pt x="266284" y="32784"/>
                <a:pt x="428971" y="0"/>
              </a:cubicBezTo>
              <a:cubicBezTo>
                <a:pt x="591658" y="-32784"/>
                <a:pt x="971271" y="16294"/>
                <a:pt x="1122377" y="0"/>
              </a:cubicBezTo>
              <a:cubicBezTo>
                <a:pt x="1273483" y="-16294"/>
                <a:pt x="1364455" y="49375"/>
                <a:pt x="1604235" y="0"/>
              </a:cubicBezTo>
              <a:cubicBezTo>
                <a:pt x="1844015" y="-49375"/>
                <a:pt x="1960854" y="37393"/>
                <a:pt x="2086093" y="0"/>
              </a:cubicBezTo>
              <a:cubicBezTo>
                <a:pt x="2211332" y="-37393"/>
                <a:pt x="2465141" y="6973"/>
                <a:pt x="2726612" y="0"/>
              </a:cubicBezTo>
              <a:cubicBezTo>
                <a:pt x="2988083" y="-6973"/>
                <a:pt x="2982453" y="48876"/>
                <a:pt x="3208470" y="0"/>
              </a:cubicBezTo>
              <a:cubicBezTo>
                <a:pt x="3434487" y="-48876"/>
                <a:pt x="3677636" y="10795"/>
                <a:pt x="3796102" y="0"/>
              </a:cubicBezTo>
              <a:cubicBezTo>
                <a:pt x="3914568" y="-10795"/>
                <a:pt x="4228788" y="50659"/>
                <a:pt x="4436621" y="0"/>
              </a:cubicBezTo>
              <a:cubicBezTo>
                <a:pt x="4644454" y="-50659"/>
                <a:pt x="4970777" y="86030"/>
                <a:pt x="5288687" y="0"/>
              </a:cubicBezTo>
              <a:cubicBezTo>
                <a:pt x="5313190" y="123875"/>
                <a:pt x="5287144" y="237371"/>
                <a:pt x="5288687" y="400968"/>
              </a:cubicBezTo>
              <a:cubicBezTo>
                <a:pt x="5290230" y="564565"/>
                <a:pt x="5273609" y="677895"/>
                <a:pt x="5288687" y="789907"/>
              </a:cubicBezTo>
              <a:cubicBezTo>
                <a:pt x="5303765" y="901919"/>
                <a:pt x="5286907" y="1022359"/>
                <a:pt x="5288687" y="1202904"/>
              </a:cubicBezTo>
              <a:cubicBezTo>
                <a:pt x="5173130" y="1230554"/>
                <a:pt x="4982736" y="1198857"/>
                <a:pt x="4859716" y="1202904"/>
              </a:cubicBezTo>
              <a:cubicBezTo>
                <a:pt x="4736696" y="1206951"/>
                <a:pt x="4501544" y="1159641"/>
                <a:pt x="4377858" y="1202904"/>
              </a:cubicBezTo>
              <a:cubicBezTo>
                <a:pt x="4254172" y="1246167"/>
                <a:pt x="3937456" y="1135307"/>
                <a:pt x="3790226" y="1202904"/>
              </a:cubicBezTo>
              <a:cubicBezTo>
                <a:pt x="3642996" y="1270501"/>
                <a:pt x="3442100" y="1129767"/>
                <a:pt x="3096820" y="1202904"/>
              </a:cubicBezTo>
              <a:cubicBezTo>
                <a:pt x="2751540" y="1276041"/>
                <a:pt x="2652761" y="1147573"/>
                <a:pt x="2509188" y="1202904"/>
              </a:cubicBezTo>
              <a:cubicBezTo>
                <a:pt x="2365615" y="1258235"/>
                <a:pt x="2192225" y="1190864"/>
                <a:pt x="2027330" y="1202904"/>
              </a:cubicBezTo>
              <a:cubicBezTo>
                <a:pt x="1862435" y="1214944"/>
                <a:pt x="1759270" y="1197897"/>
                <a:pt x="1598359" y="1202904"/>
              </a:cubicBezTo>
              <a:cubicBezTo>
                <a:pt x="1437448" y="1207911"/>
                <a:pt x="1298540" y="1202562"/>
                <a:pt x="1169387" y="1202904"/>
              </a:cubicBezTo>
              <a:cubicBezTo>
                <a:pt x="1040234" y="1203246"/>
                <a:pt x="890429" y="1180844"/>
                <a:pt x="740416" y="1202904"/>
              </a:cubicBezTo>
              <a:cubicBezTo>
                <a:pt x="590403" y="1224964"/>
                <a:pt x="344669" y="1183699"/>
                <a:pt x="0" y="1202904"/>
              </a:cubicBezTo>
              <a:cubicBezTo>
                <a:pt x="-40663" y="1035250"/>
                <a:pt x="23227" y="985627"/>
                <a:pt x="0" y="777878"/>
              </a:cubicBezTo>
              <a:cubicBezTo>
                <a:pt x="-23227" y="570129"/>
                <a:pt x="39143" y="509086"/>
                <a:pt x="0" y="364881"/>
              </a:cubicBezTo>
              <a:cubicBezTo>
                <a:pt x="-39143" y="220676"/>
                <a:pt x="38149" y="134254"/>
                <a:pt x="0" y="0"/>
              </a:cubicBezTo>
              <a:close/>
            </a:path>
          </a:pathLst>
        </a:custGeom>
        <a:ln w="28575">
          <a:solidFill>
            <a:srgbClr val="FF0000"/>
          </a:solidFill>
          <a:extLst>
            <a:ext uri="{C807C97D-BFC1-408E-A445-0C87EB9F89A2}">
              <ask:lineSketchStyleProps xmlns:ask="http://schemas.microsoft.com/office/drawing/2018/sketchyshapes" sd="3891586342">
                <a:prstGeom prst="rect">
                  <a:avLst/>
                </a:prstGeom>
                <ask:type>
                  <ask:lineSketchScribble/>
                </ask:type>
              </ask:lineSketchStyleProps>
            </a:ext>
          </a:extLst>
        </a:ln>
      </xdr:spPr>
    </xdr:pic>
    <xdr:clientData/>
  </xdr:twoCellAnchor>
  <xdr:twoCellAnchor>
    <xdr:from>
      <xdr:col>6</xdr:col>
      <xdr:colOff>552824</xdr:colOff>
      <xdr:row>16</xdr:row>
      <xdr:rowOff>119529</xdr:rowOff>
    </xdr:from>
    <xdr:to>
      <xdr:col>8</xdr:col>
      <xdr:colOff>373530</xdr:colOff>
      <xdr:row>19</xdr:row>
      <xdr:rowOff>22412</xdr:rowOff>
    </xdr:to>
    <xdr:cxnSp macro="">
      <xdr:nvCxnSpPr>
        <xdr:cNvPr id="5" name="Conector de Seta Reta 4">
          <a:extLst>
            <a:ext uri="{FF2B5EF4-FFF2-40B4-BE49-F238E27FC236}">
              <a16:creationId xmlns:a16="http://schemas.microsoft.com/office/drawing/2014/main" id="{5D169FAE-D12B-46B2-A71D-348807D7EEE2}"/>
            </a:ext>
          </a:extLst>
        </xdr:cNvPr>
        <xdr:cNvCxnSpPr/>
      </xdr:nvCxnSpPr>
      <xdr:spPr>
        <a:xfrm flipH="1" flipV="1">
          <a:off x="5588000" y="2771588"/>
          <a:ext cx="515471" cy="44823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235857</xdr:colOff>
      <xdr:row>21</xdr:row>
      <xdr:rowOff>91247</xdr:rowOff>
    </xdr:from>
    <xdr:to>
      <xdr:col>10</xdr:col>
      <xdr:colOff>1805214</xdr:colOff>
      <xdr:row>32</xdr:row>
      <xdr:rowOff>115241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E2440C3-06FF-4A4D-AD58-9329033F6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857" y="4264104"/>
          <a:ext cx="8708571" cy="2019708"/>
        </a:xfrm>
        <a:custGeom>
          <a:avLst/>
          <a:gdLst>
            <a:gd name="connsiteX0" fmla="*/ 0 w 8708571"/>
            <a:gd name="connsiteY0" fmla="*/ 0 h 2019708"/>
            <a:gd name="connsiteX1" fmla="*/ 493486 w 8708571"/>
            <a:gd name="connsiteY1" fmla="*/ 0 h 2019708"/>
            <a:gd name="connsiteX2" fmla="*/ 986971 w 8708571"/>
            <a:gd name="connsiteY2" fmla="*/ 0 h 2019708"/>
            <a:gd name="connsiteX3" fmla="*/ 1306286 w 8708571"/>
            <a:gd name="connsiteY3" fmla="*/ 0 h 2019708"/>
            <a:gd name="connsiteX4" fmla="*/ 1973943 w 8708571"/>
            <a:gd name="connsiteY4" fmla="*/ 0 h 2019708"/>
            <a:gd name="connsiteX5" fmla="*/ 2467428 w 8708571"/>
            <a:gd name="connsiteY5" fmla="*/ 0 h 2019708"/>
            <a:gd name="connsiteX6" fmla="*/ 3135086 w 8708571"/>
            <a:gd name="connsiteY6" fmla="*/ 0 h 2019708"/>
            <a:gd name="connsiteX7" fmla="*/ 3802743 w 8708571"/>
            <a:gd name="connsiteY7" fmla="*/ 0 h 2019708"/>
            <a:gd name="connsiteX8" fmla="*/ 4122057 w 8708571"/>
            <a:gd name="connsiteY8" fmla="*/ 0 h 2019708"/>
            <a:gd name="connsiteX9" fmla="*/ 4876800 w 8708571"/>
            <a:gd name="connsiteY9" fmla="*/ 0 h 2019708"/>
            <a:gd name="connsiteX10" fmla="*/ 5370285 w 8708571"/>
            <a:gd name="connsiteY10" fmla="*/ 0 h 2019708"/>
            <a:gd name="connsiteX11" fmla="*/ 5689600 w 8708571"/>
            <a:gd name="connsiteY11" fmla="*/ 0 h 2019708"/>
            <a:gd name="connsiteX12" fmla="*/ 6444343 w 8708571"/>
            <a:gd name="connsiteY12" fmla="*/ 0 h 2019708"/>
            <a:gd name="connsiteX13" fmla="*/ 6763657 w 8708571"/>
            <a:gd name="connsiteY13" fmla="*/ 0 h 2019708"/>
            <a:gd name="connsiteX14" fmla="*/ 7431314 w 8708571"/>
            <a:gd name="connsiteY14" fmla="*/ 0 h 2019708"/>
            <a:gd name="connsiteX15" fmla="*/ 7750628 w 8708571"/>
            <a:gd name="connsiteY15" fmla="*/ 0 h 2019708"/>
            <a:gd name="connsiteX16" fmla="*/ 8157028 w 8708571"/>
            <a:gd name="connsiteY16" fmla="*/ 0 h 2019708"/>
            <a:gd name="connsiteX17" fmla="*/ 8708571 w 8708571"/>
            <a:gd name="connsiteY17" fmla="*/ 0 h 2019708"/>
            <a:gd name="connsiteX18" fmla="*/ 8708571 w 8708571"/>
            <a:gd name="connsiteY18" fmla="*/ 525124 h 2019708"/>
            <a:gd name="connsiteX19" fmla="*/ 8708571 w 8708571"/>
            <a:gd name="connsiteY19" fmla="*/ 1070445 h 2019708"/>
            <a:gd name="connsiteX20" fmla="*/ 8708571 w 8708571"/>
            <a:gd name="connsiteY20" fmla="*/ 2019708 h 2019708"/>
            <a:gd name="connsiteX21" fmla="*/ 8128000 w 8708571"/>
            <a:gd name="connsiteY21" fmla="*/ 2019708 h 2019708"/>
            <a:gd name="connsiteX22" fmla="*/ 7460342 w 8708571"/>
            <a:gd name="connsiteY22" fmla="*/ 2019708 h 2019708"/>
            <a:gd name="connsiteX23" fmla="*/ 6705600 w 8708571"/>
            <a:gd name="connsiteY23" fmla="*/ 2019708 h 2019708"/>
            <a:gd name="connsiteX24" fmla="*/ 6125028 w 8708571"/>
            <a:gd name="connsiteY24" fmla="*/ 2019708 h 2019708"/>
            <a:gd name="connsiteX25" fmla="*/ 5370285 w 8708571"/>
            <a:gd name="connsiteY25" fmla="*/ 2019708 h 2019708"/>
            <a:gd name="connsiteX26" fmla="*/ 4615543 w 8708571"/>
            <a:gd name="connsiteY26" fmla="*/ 2019708 h 2019708"/>
            <a:gd name="connsiteX27" fmla="*/ 4296228 w 8708571"/>
            <a:gd name="connsiteY27" fmla="*/ 2019708 h 2019708"/>
            <a:gd name="connsiteX28" fmla="*/ 3541486 w 8708571"/>
            <a:gd name="connsiteY28" fmla="*/ 2019708 h 2019708"/>
            <a:gd name="connsiteX29" fmla="*/ 3048000 w 8708571"/>
            <a:gd name="connsiteY29" fmla="*/ 2019708 h 2019708"/>
            <a:gd name="connsiteX30" fmla="*/ 2728686 w 8708571"/>
            <a:gd name="connsiteY30" fmla="*/ 2019708 h 2019708"/>
            <a:gd name="connsiteX31" fmla="*/ 1973943 w 8708571"/>
            <a:gd name="connsiteY31" fmla="*/ 2019708 h 2019708"/>
            <a:gd name="connsiteX32" fmla="*/ 1393371 w 8708571"/>
            <a:gd name="connsiteY32" fmla="*/ 2019708 h 2019708"/>
            <a:gd name="connsiteX33" fmla="*/ 986971 w 8708571"/>
            <a:gd name="connsiteY33" fmla="*/ 2019708 h 2019708"/>
            <a:gd name="connsiteX34" fmla="*/ 667657 w 8708571"/>
            <a:gd name="connsiteY34" fmla="*/ 2019708 h 2019708"/>
            <a:gd name="connsiteX35" fmla="*/ 0 w 8708571"/>
            <a:gd name="connsiteY35" fmla="*/ 2019708 h 2019708"/>
            <a:gd name="connsiteX36" fmla="*/ 0 w 8708571"/>
            <a:gd name="connsiteY36" fmla="*/ 1534978 h 2019708"/>
            <a:gd name="connsiteX37" fmla="*/ 0 w 8708571"/>
            <a:gd name="connsiteY37" fmla="*/ 1030051 h 2019708"/>
            <a:gd name="connsiteX38" fmla="*/ 0 w 8708571"/>
            <a:gd name="connsiteY38" fmla="*/ 585715 h 2019708"/>
            <a:gd name="connsiteX39" fmla="*/ 0 w 8708571"/>
            <a:gd name="connsiteY39" fmla="*/ 0 h 20197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</a:cxnLst>
          <a:rect l="l" t="t" r="r" b="b"/>
          <a:pathLst>
            <a:path w="8708571" h="2019708" fill="none" extrusionOk="0">
              <a:moveTo>
                <a:pt x="0" y="0"/>
              </a:moveTo>
              <a:cubicBezTo>
                <a:pt x="106986" y="-2965"/>
                <a:pt x="288114" y="56655"/>
                <a:pt x="493486" y="0"/>
              </a:cubicBezTo>
              <a:cubicBezTo>
                <a:pt x="698858" y="-56655"/>
                <a:pt x="798746" y="42197"/>
                <a:pt x="986971" y="0"/>
              </a:cubicBezTo>
              <a:cubicBezTo>
                <a:pt x="1175196" y="-42197"/>
                <a:pt x="1167761" y="38179"/>
                <a:pt x="1306286" y="0"/>
              </a:cubicBezTo>
              <a:cubicBezTo>
                <a:pt x="1444812" y="-38179"/>
                <a:pt x="1813869" y="1943"/>
                <a:pt x="1973943" y="0"/>
              </a:cubicBezTo>
              <a:cubicBezTo>
                <a:pt x="2134017" y="-1943"/>
                <a:pt x="2221824" y="23589"/>
                <a:pt x="2467428" y="0"/>
              </a:cubicBezTo>
              <a:cubicBezTo>
                <a:pt x="2713033" y="-23589"/>
                <a:pt x="2874039" y="65684"/>
                <a:pt x="3135086" y="0"/>
              </a:cubicBezTo>
              <a:cubicBezTo>
                <a:pt x="3396133" y="-65684"/>
                <a:pt x="3562525" y="6722"/>
                <a:pt x="3802743" y="0"/>
              </a:cubicBezTo>
              <a:cubicBezTo>
                <a:pt x="4042961" y="-6722"/>
                <a:pt x="4023211" y="35525"/>
                <a:pt x="4122057" y="0"/>
              </a:cubicBezTo>
              <a:cubicBezTo>
                <a:pt x="4220903" y="-35525"/>
                <a:pt x="4571739" y="84043"/>
                <a:pt x="4876800" y="0"/>
              </a:cubicBezTo>
              <a:cubicBezTo>
                <a:pt x="5181861" y="-84043"/>
                <a:pt x="5252933" y="38528"/>
                <a:pt x="5370285" y="0"/>
              </a:cubicBezTo>
              <a:cubicBezTo>
                <a:pt x="5487638" y="-38528"/>
                <a:pt x="5606823" y="8273"/>
                <a:pt x="5689600" y="0"/>
              </a:cubicBezTo>
              <a:cubicBezTo>
                <a:pt x="5772378" y="-8273"/>
                <a:pt x="6267268" y="39305"/>
                <a:pt x="6444343" y="0"/>
              </a:cubicBezTo>
              <a:cubicBezTo>
                <a:pt x="6621418" y="-39305"/>
                <a:pt x="6642620" y="27697"/>
                <a:pt x="6763657" y="0"/>
              </a:cubicBezTo>
              <a:cubicBezTo>
                <a:pt x="6884694" y="-27697"/>
                <a:pt x="7187456" y="68656"/>
                <a:pt x="7431314" y="0"/>
              </a:cubicBezTo>
              <a:cubicBezTo>
                <a:pt x="7675172" y="-68656"/>
                <a:pt x="7649797" y="20406"/>
                <a:pt x="7750628" y="0"/>
              </a:cubicBezTo>
              <a:cubicBezTo>
                <a:pt x="7851459" y="-20406"/>
                <a:pt x="8038054" y="1672"/>
                <a:pt x="8157028" y="0"/>
              </a:cubicBezTo>
              <a:cubicBezTo>
                <a:pt x="8276002" y="-1672"/>
                <a:pt x="8581074" y="45822"/>
                <a:pt x="8708571" y="0"/>
              </a:cubicBezTo>
              <a:cubicBezTo>
                <a:pt x="8710844" y="186897"/>
                <a:pt x="8679098" y="313752"/>
                <a:pt x="8708571" y="525124"/>
              </a:cubicBezTo>
              <a:cubicBezTo>
                <a:pt x="8738044" y="736496"/>
                <a:pt x="8702143" y="810327"/>
                <a:pt x="8708571" y="1070445"/>
              </a:cubicBezTo>
              <a:cubicBezTo>
                <a:pt x="8714999" y="1330563"/>
                <a:pt x="8676157" y="1815253"/>
                <a:pt x="8708571" y="2019708"/>
              </a:cubicBezTo>
              <a:cubicBezTo>
                <a:pt x="8529441" y="2048295"/>
                <a:pt x="8368512" y="1994065"/>
                <a:pt x="8128000" y="2019708"/>
              </a:cubicBezTo>
              <a:cubicBezTo>
                <a:pt x="7887488" y="2045351"/>
                <a:pt x="7703101" y="2019648"/>
                <a:pt x="7460342" y="2019708"/>
              </a:cubicBezTo>
              <a:cubicBezTo>
                <a:pt x="7217583" y="2019768"/>
                <a:pt x="7074062" y="1982141"/>
                <a:pt x="6705600" y="2019708"/>
              </a:cubicBezTo>
              <a:cubicBezTo>
                <a:pt x="6337138" y="2057275"/>
                <a:pt x="6336095" y="2004259"/>
                <a:pt x="6125028" y="2019708"/>
              </a:cubicBezTo>
              <a:cubicBezTo>
                <a:pt x="5913961" y="2035157"/>
                <a:pt x="5741315" y="1938482"/>
                <a:pt x="5370285" y="2019708"/>
              </a:cubicBezTo>
              <a:cubicBezTo>
                <a:pt x="4999255" y="2100934"/>
                <a:pt x="4840039" y="1938826"/>
                <a:pt x="4615543" y="2019708"/>
              </a:cubicBezTo>
              <a:cubicBezTo>
                <a:pt x="4391047" y="2100590"/>
                <a:pt x="4364201" y="2000475"/>
                <a:pt x="4296228" y="2019708"/>
              </a:cubicBezTo>
              <a:cubicBezTo>
                <a:pt x="4228255" y="2038941"/>
                <a:pt x="3786240" y="2003715"/>
                <a:pt x="3541486" y="2019708"/>
              </a:cubicBezTo>
              <a:cubicBezTo>
                <a:pt x="3296732" y="2035701"/>
                <a:pt x="3224304" y="1988146"/>
                <a:pt x="3048000" y="2019708"/>
              </a:cubicBezTo>
              <a:cubicBezTo>
                <a:pt x="2871696" y="2051270"/>
                <a:pt x="2866993" y="2019311"/>
                <a:pt x="2728686" y="2019708"/>
              </a:cubicBezTo>
              <a:cubicBezTo>
                <a:pt x="2590379" y="2020105"/>
                <a:pt x="2236588" y="1975539"/>
                <a:pt x="1973943" y="2019708"/>
              </a:cubicBezTo>
              <a:cubicBezTo>
                <a:pt x="1711298" y="2063877"/>
                <a:pt x="1588327" y="2002288"/>
                <a:pt x="1393371" y="2019708"/>
              </a:cubicBezTo>
              <a:cubicBezTo>
                <a:pt x="1198415" y="2037128"/>
                <a:pt x="1183159" y="1975177"/>
                <a:pt x="986971" y="2019708"/>
              </a:cubicBezTo>
              <a:cubicBezTo>
                <a:pt x="790783" y="2064239"/>
                <a:pt x="807301" y="1997113"/>
                <a:pt x="667657" y="2019708"/>
              </a:cubicBezTo>
              <a:cubicBezTo>
                <a:pt x="528013" y="2042303"/>
                <a:pt x="215689" y="1966164"/>
                <a:pt x="0" y="2019708"/>
              </a:cubicBezTo>
              <a:cubicBezTo>
                <a:pt x="-34747" y="1859705"/>
                <a:pt x="40705" y="1739874"/>
                <a:pt x="0" y="1534978"/>
              </a:cubicBezTo>
              <a:cubicBezTo>
                <a:pt x="-40705" y="1330082"/>
                <a:pt x="10158" y="1170392"/>
                <a:pt x="0" y="1030051"/>
              </a:cubicBezTo>
              <a:cubicBezTo>
                <a:pt x="-10158" y="889710"/>
                <a:pt x="44188" y="777612"/>
                <a:pt x="0" y="585715"/>
              </a:cubicBezTo>
              <a:cubicBezTo>
                <a:pt x="-44188" y="393818"/>
                <a:pt x="64334" y="226988"/>
                <a:pt x="0" y="0"/>
              </a:cubicBezTo>
              <a:close/>
            </a:path>
            <a:path w="8708571" h="2019708" stroke="0" extrusionOk="0">
              <a:moveTo>
                <a:pt x="0" y="0"/>
              </a:moveTo>
              <a:cubicBezTo>
                <a:pt x="304170" y="-10746"/>
                <a:pt x="380019" y="54134"/>
                <a:pt x="754743" y="0"/>
              </a:cubicBezTo>
              <a:cubicBezTo>
                <a:pt x="1129467" y="-54134"/>
                <a:pt x="1130486" y="5747"/>
                <a:pt x="1248229" y="0"/>
              </a:cubicBezTo>
              <a:cubicBezTo>
                <a:pt x="1365972" y="-5747"/>
                <a:pt x="1481511" y="21503"/>
                <a:pt x="1567543" y="0"/>
              </a:cubicBezTo>
              <a:cubicBezTo>
                <a:pt x="1653575" y="-21503"/>
                <a:pt x="1865858" y="43728"/>
                <a:pt x="2061028" y="0"/>
              </a:cubicBezTo>
              <a:cubicBezTo>
                <a:pt x="2256198" y="-43728"/>
                <a:pt x="2298861" y="22872"/>
                <a:pt x="2380343" y="0"/>
              </a:cubicBezTo>
              <a:cubicBezTo>
                <a:pt x="2461826" y="-22872"/>
                <a:pt x="2908456" y="28343"/>
                <a:pt x="3048000" y="0"/>
              </a:cubicBezTo>
              <a:cubicBezTo>
                <a:pt x="3187544" y="-28343"/>
                <a:pt x="3298914" y="43857"/>
                <a:pt x="3454400" y="0"/>
              </a:cubicBezTo>
              <a:cubicBezTo>
                <a:pt x="3609886" y="-43857"/>
                <a:pt x="3963257" y="45156"/>
                <a:pt x="4209143" y="0"/>
              </a:cubicBezTo>
              <a:cubicBezTo>
                <a:pt x="4455029" y="-45156"/>
                <a:pt x="4499141" y="32167"/>
                <a:pt x="4702628" y="0"/>
              </a:cubicBezTo>
              <a:cubicBezTo>
                <a:pt x="4906115" y="-32167"/>
                <a:pt x="5142821" y="42680"/>
                <a:pt x="5283200" y="0"/>
              </a:cubicBezTo>
              <a:cubicBezTo>
                <a:pt x="5423579" y="-42680"/>
                <a:pt x="5732690" y="21550"/>
                <a:pt x="5950857" y="0"/>
              </a:cubicBezTo>
              <a:cubicBezTo>
                <a:pt x="6169024" y="-21550"/>
                <a:pt x="6228612" y="30800"/>
                <a:pt x="6357257" y="0"/>
              </a:cubicBezTo>
              <a:cubicBezTo>
                <a:pt x="6485902" y="-30800"/>
                <a:pt x="6811691" y="897"/>
                <a:pt x="7024914" y="0"/>
              </a:cubicBezTo>
              <a:cubicBezTo>
                <a:pt x="7238137" y="-897"/>
                <a:pt x="7320116" y="1026"/>
                <a:pt x="7431314" y="0"/>
              </a:cubicBezTo>
              <a:cubicBezTo>
                <a:pt x="7542512" y="-1026"/>
                <a:pt x="7634517" y="31539"/>
                <a:pt x="7837714" y="0"/>
              </a:cubicBezTo>
              <a:cubicBezTo>
                <a:pt x="8040911" y="-31539"/>
                <a:pt x="8363705" y="12235"/>
                <a:pt x="8708571" y="0"/>
              </a:cubicBezTo>
              <a:cubicBezTo>
                <a:pt x="8765335" y="101056"/>
                <a:pt x="8678916" y="347896"/>
                <a:pt x="8708571" y="484730"/>
              </a:cubicBezTo>
              <a:cubicBezTo>
                <a:pt x="8738226" y="621564"/>
                <a:pt x="8700735" y="816655"/>
                <a:pt x="8708571" y="929066"/>
              </a:cubicBezTo>
              <a:cubicBezTo>
                <a:pt x="8716407" y="1041477"/>
                <a:pt x="8648036" y="1269258"/>
                <a:pt x="8708571" y="1433993"/>
              </a:cubicBezTo>
              <a:cubicBezTo>
                <a:pt x="8769106" y="1598728"/>
                <a:pt x="8663715" y="1888734"/>
                <a:pt x="8708571" y="2019708"/>
              </a:cubicBezTo>
              <a:cubicBezTo>
                <a:pt x="8477503" y="2043490"/>
                <a:pt x="8337277" y="1995476"/>
                <a:pt x="8215085" y="2019708"/>
              </a:cubicBezTo>
              <a:cubicBezTo>
                <a:pt x="8092893" y="2043940"/>
                <a:pt x="7874326" y="2002057"/>
                <a:pt x="7721600" y="2019708"/>
              </a:cubicBezTo>
              <a:cubicBezTo>
                <a:pt x="7568875" y="2037359"/>
                <a:pt x="7230057" y="1973743"/>
                <a:pt x="6966857" y="2019708"/>
              </a:cubicBezTo>
              <a:cubicBezTo>
                <a:pt x="6703657" y="2065673"/>
                <a:pt x="6774304" y="2001470"/>
                <a:pt x="6647543" y="2019708"/>
              </a:cubicBezTo>
              <a:cubicBezTo>
                <a:pt x="6520782" y="2037946"/>
                <a:pt x="6276077" y="1969211"/>
                <a:pt x="5979885" y="2019708"/>
              </a:cubicBezTo>
              <a:cubicBezTo>
                <a:pt x="5683693" y="2070205"/>
                <a:pt x="5819908" y="1994509"/>
                <a:pt x="5660571" y="2019708"/>
              </a:cubicBezTo>
              <a:cubicBezTo>
                <a:pt x="5501234" y="2044907"/>
                <a:pt x="5207959" y="1985253"/>
                <a:pt x="4905828" y="2019708"/>
              </a:cubicBezTo>
              <a:cubicBezTo>
                <a:pt x="4603697" y="2054163"/>
                <a:pt x="4347085" y="1978201"/>
                <a:pt x="4151086" y="2019708"/>
              </a:cubicBezTo>
              <a:cubicBezTo>
                <a:pt x="3955087" y="2061215"/>
                <a:pt x="3901628" y="2013747"/>
                <a:pt x="3831771" y="2019708"/>
              </a:cubicBezTo>
              <a:cubicBezTo>
                <a:pt x="3761915" y="2025669"/>
                <a:pt x="3468434" y="1984193"/>
                <a:pt x="3338286" y="2019708"/>
              </a:cubicBezTo>
              <a:cubicBezTo>
                <a:pt x="3208138" y="2055223"/>
                <a:pt x="3036604" y="2003885"/>
                <a:pt x="2931886" y="2019708"/>
              </a:cubicBezTo>
              <a:cubicBezTo>
                <a:pt x="2827168" y="2035531"/>
                <a:pt x="2580429" y="2002791"/>
                <a:pt x="2438400" y="2019708"/>
              </a:cubicBezTo>
              <a:cubicBezTo>
                <a:pt x="2296371" y="2036625"/>
                <a:pt x="2038808" y="1965383"/>
                <a:pt x="1770743" y="2019708"/>
              </a:cubicBezTo>
              <a:cubicBezTo>
                <a:pt x="1502678" y="2074033"/>
                <a:pt x="1344978" y="1988569"/>
                <a:pt x="1190171" y="2019708"/>
              </a:cubicBezTo>
              <a:cubicBezTo>
                <a:pt x="1035364" y="2050847"/>
                <a:pt x="251433" y="1999839"/>
                <a:pt x="0" y="2019708"/>
              </a:cubicBezTo>
              <a:cubicBezTo>
                <a:pt x="-24255" y="1817256"/>
                <a:pt x="3747" y="1728255"/>
                <a:pt x="0" y="1474387"/>
              </a:cubicBezTo>
              <a:cubicBezTo>
                <a:pt x="-3747" y="1220519"/>
                <a:pt x="38910" y="1117139"/>
                <a:pt x="0" y="989657"/>
              </a:cubicBezTo>
              <a:cubicBezTo>
                <a:pt x="-38910" y="862175"/>
                <a:pt x="49204" y="722706"/>
                <a:pt x="0" y="484730"/>
              </a:cubicBezTo>
              <a:cubicBezTo>
                <a:pt x="-49204" y="246754"/>
                <a:pt x="21576" y="222321"/>
                <a:pt x="0" y="0"/>
              </a:cubicBezTo>
              <a:close/>
            </a:path>
          </a:pathLst>
        </a:custGeom>
        <a:ln w="38100">
          <a:solidFill>
            <a:srgbClr val="FF0000"/>
          </a:solidFill>
          <a:extLst>
            <a:ext uri="{C807C97D-BFC1-408E-A445-0C87EB9F89A2}">
              <ask:lineSketchStyleProps xmlns:ask="http://schemas.microsoft.com/office/drawing/2018/sketchyshapes" sd="1548455">
                <a:prstGeom prst="rect">
                  <a:avLst/>
                </a:prstGeom>
                <ask:type>
                  <ask:lineSketchScribble/>
                </ask:type>
              </ask:lineSketchStyleProps>
            </a:ext>
          </a:extLst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183903</xdr:colOff>
      <xdr:row>20</xdr:row>
      <xdr:rowOff>130297</xdr:rowOff>
    </xdr:from>
    <xdr:to>
      <xdr:col>19</xdr:col>
      <xdr:colOff>473363</xdr:colOff>
      <xdr:row>37</xdr:row>
      <xdr:rowOff>156260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7F4561E-D23D-4390-BE26-43C9802BD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6546" y="3913083"/>
          <a:ext cx="6276603" cy="2838106"/>
        </a:xfrm>
        <a:custGeom>
          <a:avLst/>
          <a:gdLst>
            <a:gd name="connsiteX0" fmla="*/ 0 w 6276603"/>
            <a:gd name="connsiteY0" fmla="*/ 0 h 2838106"/>
            <a:gd name="connsiteX1" fmla="*/ 570600 w 6276603"/>
            <a:gd name="connsiteY1" fmla="*/ 0 h 2838106"/>
            <a:gd name="connsiteX2" fmla="*/ 1203967 w 6276603"/>
            <a:gd name="connsiteY2" fmla="*/ 0 h 2838106"/>
            <a:gd name="connsiteX3" fmla="*/ 1586269 w 6276603"/>
            <a:gd name="connsiteY3" fmla="*/ 0 h 2838106"/>
            <a:gd name="connsiteX4" fmla="*/ 2282401 w 6276603"/>
            <a:gd name="connsiteY4" fmla="*/ 0 h 2838106"/>
            <a:gd name="connsiteX5" fmla="*/ 2853001 w 6276603"/>
            <a:gd name="connsiteY5" fmla="*/ 0 h 2838106"/>
            <a:gd name="connsiteX6" fmla="*/ 3298070 w 6276603"/>
            <a:gd name="connsiteY6" fmla="*/ 0 h 2838106"/>
            <a:gd name="connsiteX7" fmla="*/ 3805904 w 6276603"/>
            <a:gd name="connsiteY7" fmla="*/ 0 h 2838106"/>
            <a:gd name="connsiteX8" fmla="*/ 4439270 w 6276603"/>
            <a:gd name="connsiteY8" fmla="*/ 0 h 2838106"/>
            <a:gd name="connsiteX9" fmla="*/ 4884338 w 6276603"/>
            <a:gd name="connsiteY9" fmla="*/ 0 h 2838106"/>
            <a:gd name="connsiteX10" fmla="*/ 5580471 w 6276603"/>
            <a:gd name="connsiteY10" fmla="*/ 0 h 2838106"/>
            <a:gd name="connsiteX11" fmla="*/ 6276603 w 6276603"/>
            <a:gd name="connsiteY11" fmla="*/ 0 h 2838106"/>
            <a:gd name="connsiteX12" fmla="*/ 6276603 w 6276603"/>
            <a:gd name="connsiteY12" fmla="*/ 482478 h 2838106"/>
            <a:gd name="connsiteX13" fmla="*/ 6276603 w 6276603"/>
            <a:gd name="connsiteY13" fmla="*/ 1078480 h 2838106"/>
            <a:gd name="connsiteX14" fmla="*/ 6276603 w 6276603"/>
            <a:gd name="connsiteY14" fmla="*/ 1617720 h 2838106"/>
            <a:gd name="connsiteX15" fmla="*/ 6276603 w 6276603"/>
            <a:gd name="connsiteY15" fmla="*/ 2128580 h 2838106"/>
            <a:gd name="connsiteX16" fmla="*/ 6276603 w 6276603"/>
            <a:gd name="connsiteY16" fmla="*/ 2838106 h 2838106"/>
            <a:gd name="connsiteX17" fmla="*/ 5580471 w 6276603"/>
            <a:gd name="connsiteY17" fmla="*/ 2838106 h 2838106"/>
            <a:gd name="connsiteX18" fmla="*/ 5072636 w 6276603"/>
            <a:gd name="connsiteY18" fmla="*/ 2838106 h 2838106"/>
            <a:gd name="connsiteX19" fmla="*/ 4376504 w 6276603"/>
            <a:gd name="connsiteY19" fmla="*/ 2838106 h 2838106"/>
            <a:gd name="connsiteX20" fmla="*/ 3868670 w 6276603"/>
            <a:gd name="connsiteY20" fmla="*/ 2838106 h 2838106"/>
            <a:gd name="connsiteX21" fmla="*/ 3298070 w 6276603"/>
            <a:gd name="connsiteY21" fmla="*/ 2838106 h 2838106"/>
            <a:gd name="connsiteX22" fmla="*/ 2790235 w 6276603"/>
            <a:gd name="connsiteY22" fmla="*/ 2838106 h 2838106"/>
            <a:gd name="connsiteX23" fmla="*/ 2156869 w 6276603"/>
            <a:gd name="connsiteY23" fmla="*/ 2838106 h 2838106"/>
            <a:gd name="connsiteX24" fmla="*/ 1711801 w 6276603"/>
            <a:gd name="connsiteY24" fmla="*/ 2838106 h 2838106"/>
            <a:gd name="connsiteX25" fmla="*/ 1015668 w 6276603"/>
            <a:gd name="connsiteY25" fmla="*/ 2838106 h 2838106"/>
            <a:gd name="connsiteX26" fmla="*/ 570600 w 6276603"/>
            <a:gd name="connsiteY26" fmla="*/ 2838106 h 2838106"/>
            <a:gd name="connsiteX27" fmla="*/ 0 w 6276603"/>
            <a:gd name="connsiteY27" fmla="*/ 2838106 h 2838106"/>
            <a:gd name="connsiteX28" fmla="*/ 0 w 6276603"/>
            <a:gd name="connsiteY28" fmla="*/ 2355628 h 2838106"/>
            <a:gd name="connsiteX29" fmla="*/ 0 w 6276603"/>
            <a:gd name="connsiteY29" fmla="*/ 1759626 h 2838106"/>
            <a:gd name="connsiteX30" fmla="*/ 0 w 6276603"/>
            <a:gd name="connsiteY30" fmla="*/ 1277148 h 2838106"/>
            <a:gd name="connsiteX31" fmla="*/ 0 w 6276603"/>
            <a:gd name="connsiteY31" fmla="*/ 766289 h 2838106"/>
            <a:gd name="connsiteX32" fmla="*/ 0 w 6276603"/>
            <a:gd name="connsiteY32" fmla="*/ 0 h 28381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</a:cxnLst>
          <a:rect l="l" t="t" r="r" b="b"/>
          <a:pathLst>
            <a:path w="6276603" h="2838106" fill="none" extrusionOk="0">
              <a:moveTo>
                <a:pt x="0" y="0"/>
              </a:moveTo>
              <a:cubicBezTo>
                <a:pt x="236250" y="-48478"/>
                <a:pt x="401556" y="3328"/>
                <a:pt x="570600" y="0"/>
              </a:cubicBezTo>
              <a:cubicBezTo>
                <a:pt x="739644" y="-3328"/>
                <a:pt x="1024769" y="0"/>
                <a:pt x="1203967" y="0"/>
              </a:cubicBezTo>
              <a:cubicBezTo>
                <a:pt x="1383165" y="0"/>
                <a:pt x="1496155" y="3019"/>
                <a:pt x="1586269" y="0"/>
              </a:cubicBezTo>
              <a:cubicBezTo>
                <a:pt x="1676383" y="-3019"/>
                <a:pt x="1960011" y="8483"/>
                <a:pt x="2282401" y="0"/>
              </a:cubicBezTo>
              <a:cubicBezTo>
                <a:pt x="2604791" y="-8483"/>
                <a:pt x="2717644" y="29000"/>
                <a:pt x="2853001" y="0"/>
              </a:cubicBezTo>
              <a:cubicBezTo>
                <a:pt x="2988358" y="-29000"/>
                <a:pt x="3113401" y="32286"/>
                <a:pt x="3298070" y="0"/>
              </a:cubicBezTo>
              <a:cubicBezTo>
                <a:pt x="3482739" y="-32286"/>
                <a:pt x="3586805" y="58232"/>
                <a:pt x="3805904" y="0"/>
              </a:cubicBezTo>
              <a:cubicBezTo>
                <a:pt x="4025003" y="-58232"/>
                <a:pt x="4191661" y="75463"/>
                <a:pt x="4439270" y="0"/>
              </a:cubicBezTo>
              <a:cubicBezTo>
                <a:pt x="4686879" y="-75463"/>
                <a:pt x="4730677" y="44200"/>
                <a:pt x="4884338" y="0"/>
              </a:cubicBezTo>
              <a:cubicBezTo>
                <a:pt x="5037999" y="-44200"/>
                <a:pt x="5318783" y="80072"/>
                <a:pt x="5580471" y="0"/>
              </a:cubicBezTo>
              <a:cubicBezTo>
                <a:pt x="5842159" y="-80072"/>
                <a:pt x="5963814" y="61202"/>
                <a:pt x="6276603" y="0"/>
              </a:cubicBezTo>
              <a:cubicBezTo>
                <a:pt x="6326500" y="171484"/>
                <a:pt x="6253692" y="360568"/>
                <a:pt x="6276603" y="482478"/>
              </a:cubicBezTo>
              <a:cubicBezTo>
                <a:pt x="6299514" y="604388"/>
                <a:pt x="6218300" y="903108"/>
                <a:pt x="6276603" y="1078480"/>
              </a:cubicBezTo>
              <a:cubicBezTo>
                <a:pt x="6334906" y="1253852"/>
                <a:pt x="6234861" y="1385641"/>
                <a:pt x="6276603" y="1617720"/>
              </a:cubicBezTo>
              <a:cubicBezTo>
                <a:pt x="6318345" y="1849799"/>
                <a:pt x="6255757" y="1971572"/>
                <a:pt x="6276603" y="2128580"/>
              </a:cubicBezTo>
              <a:cubicBezTo>
                <a:pt x="6297449" y="2285588"/>
                <a:pt x="6226859" y="2662669"/>
                <a:pt x="6276603" y="2838106"/>
              </a:cubicBezTo>
              <a:cubicBezTo>
                <a:pt x="6028983" y="2877081"/>
                <a:pt x="5885056" y="2778009"/>
                <a:pt x="5580471" y="2838106"/>
              </a:cubicBezTo>
              <a:cubicBezTo>
                <a:pt x="5275886" y="2898203"/>
                <a:pt x="5238869" y="2832075"/>
                <a:pt x="5072636" y="2838106"/>
              </a:cubicBezTo>
              <a:cubicBezTo>
                <a:pt x="4906403" y="2844137"/>
                <a:pt x="4614753" y="2798065"/>
                <a:pt x="4376504" y="2838106"/>
              </a:cubicBezTo>
              <a:cubicBezTo>
                <a:pt x="4138255" y="2878147"/>
                <a:pt x="3990592" y="2837830"/>
                <a:pt x="3868670" y="2838106"/>
              </a:cubicBezTo>
              <a:cubicBezTo>
                <a:pt x="3746748" y="2838382"/>
                <a:pt x="3474207" y="2797927"/>
                <a:pt x="3298070" y="2838106"/>
              </a:cubicBezTo>
              <a:cubicBezTo>
                <a:pt x="3121933" y="2878285"/>
                <a:pt x="2966538" y="2789509"/>
                <a:pt x="2790235" y="2838106"/>
              </a:cubicBezTo>
              <a:cubicBezTo>
                <a:pt x="2613933" y="2886703"/>
                <a:pt x="2350029" y="2809047"/>
                <a:pt x="2156869" y="2838106"/>
              </a:cubicBezTo>
              <a:cubicBezTo>
                <a:pt x="1963709" y="2867165"/>
                <a:pt x="1804056" y="2795900"/>
                <a:pt x="1711801" y="2838106"/>
              </a:cubicBezTo>
              <a:cubicBezTo>
                <a:pt x="1619546" y="2880312"/>
                <a:pt x="1203685" y="2796874"/>
                <a:pt x="1015668" y="2838106"/>
              </a:cubicBezTo>
              <a:cubicBezTo>
                <a:pt x="827651" y="2879338"/>
                <a:pt x="749682" y="2822704"/>
                <a:pt x="570600" y="2838106"/>
              </a:cubicBezTo>
              <a:cubicBezTo>
                <a:pt x="391518" y="2853508"/>
                <a:pt x="236032" y="2816317"/>
                <a:pt x="0" y="2838106"/>
              </a:cubicBezTo>
              <a:cubicBezTo>
                <a:pt x="-29177" y="2691585"/>
                <a:pt x="7105" y="2525382"/>
                <a:pt x="0" y="2355628"/>
              </a:cubicBezTo>
              <a:cubicBezTo>
                <a:pt x="-7105" y="2185874"/>
                <a:pt x="26031" y="1880487"/>
                <a:pt x="0" y="1759626"/>
              </a:cubicBezTo>
              <a:cubicBezTo>
                <a:pt x="-26031" y="1638765"/>
                <a:pt x="9388" y="1405859"/>
                <a:pt x="0" y="1277148"/>
              </a:cubicBezTo>
              <a:cubicBezTo>
                <a:pt x="-9388" y="1148437"/>
                <a:pt x="38008" y="953894"/>
                <a:pt x="0" y="766289"/>
              </a:cubicBezTo>
              <a:cubicBezTo>
                <a:pt x="-38008" y="578684"/>
                <a:pt x="80959" y="308939"/>
                <a:pt x="0" y="0"/>
              </a:cubicBezTo>
              <a:close/>
            </a:path>
            <a:path w="6276603" h="2838106" stroke="0" extrusionOk="0">
              <a:moveTo>
                <a:pt x="0" y="0"/>
              </a:moveTo>
              <a:cubicBezTo>
                <a:pt x="242062" y="-47182"/>
                <a:pt x="351944" y="35220"/>
                <a:pt x="570600" y="0"/>
              </a:cubicBezTo>
              <a:cubicBezTo>
                <a:pt x="789256" y="-35220"/>
                <a:pt x="816184" y="48541"/>
                <a:pt x="1015668" y="0"/>
              </a:cubicBezTo>
              <a:cubicBezTo>
                <a:pt x="1215152" y="-48541"/>
                <a:pt x="1253751" y="5406"/>
                <a:pt x="1397971" y="0"/>
              </a:cubicBezTo>
              <a:cubicBezTo>
                <a:pt x="1542191" y="-5406"/>
                <a:pt x="1923042" y="49470"/>
                <a:pt x="2094103" y="0"/>
              </a:cubicBezTo>
              <a:cubicBezTo>
                <a:pt x="2265164" y="-49470"/>
                <a:pt x="2366677" y="57172"/>
                <a:pt x="2601937" y="0"/>
              </a:cubicBezTo>
              <a:cubicBezTo>
                <a:pt x="2837197" y="-57172"/>
                <a:pt x="3031019" y="60267"/>
                <a:pt x="3172538" y="0"/>
              </a:cubicBezTo>
              <a:cubicBezTo>
                <a:pt x="3314057" y="-60267"/>
                <a:pt x="3450321" y="36447"/>
                <a:pt x="3680372" y="0"/>
              </a:cubicBezTo>
              <a:cubicBezTo>
                <a:pt x="3910423" y="-36447"/>
                <a:pt x="3939867" y="9420"/>
                <a:pt x="4188206" y="0"/>
              </a:cubicBezTo>
              <a:cubicBezTo>
                <a:pt x="4436545" y="-9420"/>
                <a:pt x="4733931" y="37783"/>
                <a:pt x="4884338" y="0"/>
              </a:cubicBezTo>
              <a:cubicBezTo>
                <a:pt x="5034745" y="-37783"/>
                <a:pt x="5346180" y="7591"/>
                <a:pt x="5580471" y="0"/>
              </a:cubicBezTo>
              <a:cubicBezTo>
                <a:pt x="5814762" y="-7591"/>
                <a:pt x="6006015" y="40378"/>
                <a:pt x="6276603" y="0"/>
              </a:cubicBezTo>
              <a:cubicBezTo>
                <a:pt x="6324178" y="281143"/>
                <a:pt x="6255137" y="316784"/>
                <a:pt x="6276603" y="567621"/>
              </a:cubicBezTo>
              <a:cubicBezTo>
                <a:pt x="6298069" y="818458"/>
                <a:pt x="6269691" y="910942"/>
                <a:pt x="6276603" y="1135242"/>
              </a:cubicBezTo>
              <a:cubicBezTo>
                <a:pt x="6283515" y="1359542"/>
                <a:pt x="6217604" y="1602963"/>
                <a:pt x="6276603" y="1731245"/>
              </a:cubicBezTo>
              <a:cubicBezTo>
                <a:pt x="6335602" y="1859527"/>
                <a:pt x="6227722" y="2401383"/>
                <a:pt x="6276603" y="2838106"/>
              </a:cubicBezTo>
              <a:cubicBezTo>
                <a:pt x="6131953" y="2844141"/>
                <a:pt x="5946906" y="2804152"/>
                <a:pt x="5706003" y="2838106"/>
              </a:cubicBezTo>
              <a:cubicBezTo>
                <a:pt x="5465100" y="2872060"/>
                <a:pt x="5432129" y="2794038"/>
                <a:pt x="5323701" y="2838106"/>
              </a:cubicBezTo>
              <a:cubicBezTo>
                <a:pt x="5215273" y="2882174"/>
                <a:pt x="4944149" y="2800785"/>
                <a:pt x="4690334" y="2838106"/>
              </a:cubicBezTo>
              <a:cubicBezTo>
                <a:pt x="4436519" y="2875427"/>
                <a:pt x="4420015" y="2805185"/>
                <a:pt x="4308032" y="2838106"/>
              </a:cubicBezTo>
              <a:cubicBezTo>
                <a:pt x="4196049" y="2871027"/>
                <a:pt x="4112303" y="2834690"/>
                <a:pt x="3925730" y="2838106"/>
              </a:cubicBezTo>
              <a:cubicBezTo>
                <a:pt x="3739157" y="2841522"/>
                <a:pt x="3638390" y="2832903"/>
                <a:pt x="3480662" y="2838106"/>
              </a:cubicBezTo>
              <a:cubicBezTo>
                <a:pt x="3322934" y="2843309"/>
                <a:pt x="3188938" y="2821523"/>
                <a:pt x="2910061" y="2838106"/>
              </a:cubicBezTo>
              <a:cubicBezTo>
                <a:pt x="2631184" y="2854689"/>
                <a:pt x="2536870" y="2810948"/>
                <a:pt x="2276695" y="2838106"/>
              </a:cubicBezTo>
              <a:cubicBezTo>
                <a:pt x="2016520" y="2865264"/>
                <a:pt x="2056079" y="2814606"/>
                <a:pt x="1894393" y="2838106"/>
              </a:cubicBezTo>
              <a:cubicBezTo>
                <a:pt x="1732707" y="2861606"/>
                <a:pt x="1617955" y="2809301"/>
                <a:pt x="1449325" y="2838106"/>
              </a:cubicBezTo>
              <a:cubicBezTo>
                <a:pt x="1280695" y="2866911"/>
                <a:pt x="1024112" y="2825721"/>
                <a:pt x="753192" y="2838106"/>
              </a:cubicBezTo>
              <a:cubicBezTo>
                <a:pt x="482272" y="2850491"/>
                <a:pt x="314908" y="2800341"/>
                <a:pt x="0" y="2838106"/>
              </a:cubicBezTo>
              <a:cubicBezTo>
                <a:pt x="-14476" y="2703431"/>
                <a:pt x="13324" y="2415407"/>
                <a:pt x="0" y="2298866"/>
              </a:cubicBezTo>
              <a:cubicBezTo>
                <a:pt x="-13324" y="2182325"/>
                <a:pt x="60848" y="1906747"/>
                <a:pt x="0" y="1788007"/>
              </a:cubicBezTo>
              <a:cubicBezTo>
                <a:pt x="-60848" y="1669267"/>
                <a:pt x="4054" y="1472547"/>
                <a:pt x="0" y="1163623"/>
              </a:cubicBezTo>
              <a:cubicBezTo>
                <a:pt x="-4054" y="854699"/>
                <a:pt x="48406" y="890802"/>
                <a:pt x="0" y="624383"/>
              </a:cubicBezTo>
              <a:cubicBezTo>
                <a:pt x="-48406" y="357964"/>
                <a:pt x="59073" y="289930"/>
                <a:pt x="0" y="0"/>
              </a:cubicBezTo>
              <a:close/>
            </a:path>
          </a:pathLst>
        </a:custGeom>
        <a:ln w="28575">
          <a:solidFill>
            <a:srgbClr val="FF0000"/>
          </a:solidFill>
          <a:extLst>
            <a:ext uri="{C807C97D-BFC1-408E-A445-0C87EB9F89A2}">
              <ask:lineSketchStyleProps xmlns:ask="http://schemas.microsoft.com/office/drawing/2018/sketchyshapes" sd="3383489755">
                <a:prstGeom prst="rect">
                  <a:avLst/>
                </a:prstGeom>
                <ask:type>
                  <ask:lineSketchScribble/>
                </ask:type>
              </ask:lineSketchStyleProps>
            </a:ext>
          </a:extLst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429656</xdr:colOff>
      <xdr:row>26</xdr:row>
      <xdr:rowOff>108856</xdr:rowOff>
    </xdr:from>
    <xdr:to>
      <xdr:col>13</xdr:col>
      <xdr:colOff>382976</xdr:colOff>
      <xdr:row>39</xdr:row>
      <xdr:rowOff>101548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5740E1D-42DC-4EC6-9C77-3255B76E3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5085" y="4898570"/>
          <a:ext cx="9333177" cy="2115407"/>
        </a:xfrm>
        <a:prstGeom prst="rect">
          <a:avLst/>
        </a:prstGeom>
        <a:ln w="38100">
          <a:solidFill>
            <a:srgbClr val="FF0000"/>
          </a:solidFill>
        </a:ln>
      </xdr:spPr>
    </xdr:pic>
    <xdr:clientData/>
  </xdr:twoCellAnchor>
  <xdr:twoCellAnchor>
    <xdr:from>
      <xdr:col>3</xdr:col>
      <xdr:colOff>136071</xdr:colOff>
      <xdr:row>3</xdr:row>
      <xdr:rowOff>90714</xdr:rowOff>
    </xdr:from>
    <xdr:to>
      <xdr:col>8</xdr:col>
      <xdr:colOff>390072</xdr:colOff>
      <xdr:row>12</xdr:row>
      <xdr:rowOff>54429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F2FB3789-DCE3-4047-86E4-95021866847A}"/>
            </a:ext>
          </a:extLst>
        </xdr:cNvPr>
        <xdr:cNvCxnSpPr/>
      </xdr:nvCxnSpPr>
      <xdr:spPr>
        <a:xfrm flipV="1">
          <a:off x="2803071" y="889000"/>
          <a:ext cx="4027715" cy="146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27214</xdr:colOff>
      <xdr:row>13</xdr:row>
      <xdr:rowOff>90714</xdr:rowOff>
    </xdr:from>
    <xdr:to>
      <xdr:col>8</xdr:col>
      <xdr:colOff>535215</xdr:colOff>
      <xdr:row>19</xdr:row>
      <xdr:rowOff>9073</xdr:rowOff>
    </xdr:to>
    <xdr:cxnSp macro="">
      <xdr:nvCxnSpPr>
        <xdr:cNvPr id="5" name="Conector de Seta Reta 4">
          <a:extLst>
            <a:ext uri="{FF2B5EF4-FFF2-40B4-BE49-F238E27FC236}">
              <a16:creationId xmlns:a16="http://schemas.microsoft.com/office/drawing/2014/main" id="{19075E70-E71A-4664-BED0-B84C778E0416}"/>
            </a:ext>
          </a:extLst>
        </xdr:cNvPr>
        <xdr:cNvCxnSpPr/>
      </xdr:nvCxnSpPr>
      <xdr:spPr>
        <a:xfrm flipV="1">
          <a:off x="2694214" y="2558143"/>
          <a:ext cx="4281715" cy="94343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164934</xdr:colOff>
      <xdr:row>21</xdr:row>
      <xdr:rowOff>69202</xdr:rowOff>
    </xdr:from>
    <xdr:to>
      <xdr:col>16</xdr:col>
      <xdr:colOff>18143</xdr:colOff>
      <xdr:row>36</xdr:row>
      <xdr:rowOff>42634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E152B1C-EBD5-46FF-A063-632768CEC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2434" y="4232988"/>
          <a:ext cx="6937995" cy="2731146"/>
        </a:xfrm>
        <a:custGeom>
          <a:avLst/>
          <a:gdLst>
            <a:gd name="connsiteX0" fmla="*/ 0 w 6937995"/>
            <a:gd name="connsiteY0" fmla="*/ 0 h 2731146"/>
            <a:gd name="connsiteX1" fmla="*/ 647546 w 6937995"/>
            <a:gd name="connsiteY1" fmla="*/ 0 h 2731146"/>
            <a:gd name="connsiteX2" fmla="*/ 1295092 w 6937995"/>
            <a:gd name="connsiteY2" fmla="*/ 0 h 2731146"/>
            <a:gd name="connsiteX3" fmla="*/ 1942639 w 6937995"/>
            <a:gd name="connsiteY3" fmla="*/ 0 h 2731146"/>
            <a:gd name="connsiteX4" fmla="*/ 2451425 w 6937995"/>
            <a:gd name="connsiteY4" fmla="*/ 0 h 2731146"/>
            <a:gd name="connsiteX5" fmla="*/ 2890831 w 6937995"/>
            <a:gd name="connsiteY5" fmla="*/ 0 h 2731146"/>
            <a:gd name="connsiteX6" fmla="*/ 3330238 w 6937995"/>
            <a:gd name="connsiteY6" fmla="*/ 0 h 2731146"/>
            <a:gd name="connsiteX7" fmla="*/ 3769644 w 6937995"/>
            <a:gd name="connsiteY7" fmla="*/ 0 h 2731146"/>
            <a:gd name="connsiteX8" fmla="*/ 4347810 w 6937995"/>
            <a:gd name="connsiteY8" fmla="*/ 0 h 2731146"/>
            <a:gd name="connsiteX9" fmla="*/ 4995356 w 6937995"/>
            <a:gd name="connsiteY9" fmla="*/ 0 h 2731146"/>
            <a:gd name="connsiteX10" fmla="*/ 5434763 w 6937995"/>
            <a:gd name="connsiteY10" fmla="*/ 0 h 2731146"/>
            <a:gd name="connsiteX11" fmla="*/ 5874169 w 6937995"/>
            <a:gd name="connsiteY11" fmla="*/ 0 h 2731146"/>
            <a:gd name="connsiteX12" fmla="*/ 6244196 w 6937995"/>
            <a:gd name="connsiteY12" fmla="*/ 0 h 2731146"/>
            <a:gd name="connsiteX13" fmla="*/ 6937995 w 6937995"/>
            <a:gd name="connsiteY13" fmla="*/ 0 h 2731146"/>
            <a:gd name="connsiteX14" fmla="*/ 6937995 w 6937995"/>
            <a:gd name="connsiteY14" fmla="*/ 491606 h 2731146"/>
            <a:gd name="connsiteX15" fmla="*/ 6937995 w 6937995"/>
            <a:gd name="connsiteY15" fmla="*/ 1037835 h 2731146"/>
            <a:gd name="connsiteX16" fmla="*/ 6937995 w 6937995"/>
            <a:gd name="connsiteY16" fmla="*/ 1556753 h 2731146"/>
            <a:gd name="connsiteX17" fmla="*/ 6937995 w 6937995"/>
            <a:gd name="connsiteY17" fmla="*/ 2021048 h 2731146"/>
            <a:gd name="connsiteX18" fmla="*/ 6937995 w 6937995"/>
            <a:gd name="connsiteY18" fmla="*/ 2731146 h 2731146"/>
            <a:gd name="connsiteX19" fmla="*/ 6429209 w 6937995"/>
            <a:gd name="connsiteY19" fmla="*/ 2731146 h 2731146"/>
            <a:gd name="connsiteX20" fmla="*/ 5989802 w 6937995"/>
            <a:gd name="connsiteY20" fmla="*/ 2731146 h 2731146"/>
            <a:gd name="connsiteX21" fmla="*/ 5619776 w 6937995"/>
            <a:gd name="connsiteY21" fmla="*/ 2731146 h 2731146"/>
            <a:gd name="connsiteX22" fmla="*/ 5249750 w 6937995"/>
            <a:gd name="connsiteY22" fmla="*/ 2731146 h 2731146"/>
            <a:gd name="connsiteX23" fmla="*/ 4602203 w 6937995"/>
            <a:gd name="connsiteY23" fmla="*/ 2731146 h 2731146"/>
            <a:gd name="connsiteX24" fmla="*/ 3954657 w 6937995"/>
            <a:gd name="connsiteY24" fmla="*/ 2731146 h 2731146"/>
            <a:gd name="connsiteX25" fmla="*/ 3376491 w 6937995"/>
            <a:gd name="connsiteY25" fmla="*/ 2731146 h 2731146"/>
            <a:gd name="connsiteX26" fmla="*/ 2867705 w 6937995"/>
            <a:gd name="connsiteY26" fmla="*/ 2731146 h 2731146"/>
            <a:gd name="connsiteX27" fmla="*/ 2150778 w 6937995"/>
            <a:gd name="connsiteY27" fmla="*/ 2731146 h 2731146"/>
            <a:gd name="connsiteX28" fmla="*/ 1711372 w 6937995"/>
            <a:gd name="connsiteY28" fmla="*/ 2731146 h 2731146"/>
            <a:gd name="connsiteX29" fmla="*/ 994446 w 6937995"/>
            <a:gd name="connsiteY29" fmla="*/ 2731146 h 2731146"/>
            <a:gd name="connsiteX30" fmla="*/ 0 w 6937995"/>
            <a:gd name="connsiteY30" fmla="*/ 2731146 h 2731146"/>
            <a:gd name="connsiteX31" fmla="*/ 0 w 6937995"/>
            <a:gd name="connsiteY31" fmla="*/ 2130294 h 2731146"/>
            <a:gd name="connsiteX32" fmla="*/ 0 w 6937995"/>
            <a:gd name="connsiteY32" fmla="*/ 1556753 h 2731146"/>
            <a:gd name="connsiteX33" fmla="*/ 0 w 6937995"/>
            <a:gd name="connsiteY33" fmla="*/ 1065147 h 2731146"/>
            <a:gd name="connsiteX34" fmla="*/ 0 w 6937995"/>
            <a:gd name="connsiteY34" fmla="*/ 518918 h 2731146"/>
            <a:gd name="connsiteX35" fmla="*/ 0 w 6937995"/>
            <a:gd name="connsiteY35" fmla="*/ 0 h 27311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</a:cxnLst>
          <a:rect l="l" t="t" r="r" b="b"/>
          <a:pathLst>
            <a:path w="6937995" h="2731146" fill="none" extrusionOk="0">
              <a:moveTo>
                <a:pt x="0" y="0"/>
              </a:moveTo>
              <a:cubicBezTo>
                <a:pt x="305508" y="-47823"/>
                <a:pt x="412293" y="31952"/>
                <a:pt x="647546" y="0"/>
              </a:cubicBezTo>
              <a:cubicBezTo>
                <a:pt x="882799" y="-31952"/>
                <a:pt x="976417" y="68904"/>
                <a:pt x="1295092" y="0"/>
              </a:cubicBezTo>
              <a:cubicBezTo>
                <a:pt x="1613767" y="-68904"/>
                <a:pt x="1652268" y="60677"/>
                <a:pt x="1942639" y="0"/>
              </a:cubicBezTo>
              <a:cubicBezTo>
                <a:pt x="2233010" y="-60677"/>
                <a:pt x="2294161" y="45374"/>
                <a:pt x="2451425" y="0"/>
              </a:cubicBezTo>
              <a:cubicBezTo>
                <a:pt x="2608689" y="-45374"/>
                <a:pt x="2756737" y="15419"/>
                <a:pt x="2890831" y="0"/>
              </a:cubicBezTo>
              <a:cubicBezTo>
                <a:pt x="3024925" y="-15419"/>
                <a:pt x="3185810" y="33022"/>
                <a:pt x="3330238" y="0"/>
              </a:cubicBezTo>
              <a:cubicBezTo>
                <a:pt x="3474666" y="-33022"/>
                <a:pt x="3657348" y="44310"/>
                <a:pt x="3769644" y="0"/>
              </a:cubicBezTo>
              <a:cubicBezTo>
                <a:pt x="3881940" y="-44310"/>
                <a:pt x="4186467" y="36071"/>
                <a:pt x="4347810" y="0"/>
              </a:cubicBezTo>
              <a:cubicBezTo>
                <a:pt x="4509153" y="-36071"/>
                <a:pt x="4757893" y="52929"/>
                <a:pt x="4995356" y="0"/>
              </a:cubicBezTo>
              <a:cubicBezTo>
                <a:pt x="5232819" y="-52929"/>
                <a:pt x="5226324" y="32624"/>
                <a:pt x="5434763" y="0"/>
              </a:cubicBezTo>
              <a:cubicBezTo>
                <a:pt x="5643202" y="-32624"/>
                <a:pt x="5702775" y="19502"/>
                <a:pt x="5874169" y="0"/>
              </a:cubicBezTo>
              <a:cubicBezTo>
                <a:pt x="6045563" y="-19502"/>
                <a:pt x="6095452" y="29762"/>
                <a:pt x="6244196" y="0"/>
              </a:cubicBezTo>
              <a:cubicBezTo>
                <a:pt x="6392940" y="-29762"/>
                <a:pt x="6666745" y="14391"/>
                <a:pt x="6937995" y="0"/>
              </a:cubicBezTo>
              <a:cubicBezTo>
                <a:pt x="6949119" y="146322"/>
                <a:pt x="6897640" y="283839"/>
                <a:pt x="6937995" y="491606"/>
              </a:cubicBezTo>
              <a:cubicBezTo>
                <a:pt x="6978350" y="699373"/>
                <a:pt x="6895232" y="857261"/>
                <a:pt x="6937995" y="1037835"/>
              </a:cubicBezTo>
              <a:cubicBezTo>
                <a:pt x="6980758" y="1218409"/>
                <a:pt x="6895226" y="1340790"/>
                <a:pt x="6937995" y="1556753"/>
              </a:cubicBezTo>
              <a:cubicBezTo>
                <a:pt x="6980764" y="1772716"/>
                <a:pt x="6883137" y="1843071"/>
                <a:pt x="6937995" y="2021048"/>
              </a:cubicBezTo>
              <a:cubicBezTo>
                <a:pt x="6992853" y="2199026"/>
                <a:pt x="6867029" y="2402222"/>
                <a:pt x="6937995" y="2731146"/>
              </a:cubicBezTo>
              <a:cubicBezTo>
                <a:pt x="6742054" y="2739186"/>
                <a:pt x="6619773" y="2714767"/>
                <a:pt x="6429209" y="2731146"/>
              </a:cubicBezTo>
              <a:cubicBezTo>
                <a:pt x="6238645" y="2747525"/>
                <a:pt x="6085591" y="2716705"/>
                <a:pt x="5989802" y="2731146"/>
              </a:cubicBezTo>
              <a:cubicBezTo>
                <a:pt x="5894013" y="2745587"/>
                <a:pt x="5725034" y="2726639"/>
                <a:pt x="5619776" y="2731146"/>
              </a:cubicBezTo>
              <a:cubicBezTo>
                <a:pt x="5514518" y="2735653"/>
                <a:pt x="5404681" y="2698924"/>
                <a:pt x="5249750" y="2731146"/>
              </a:cubicBezTo>
              <a:cubicBezTo>
                <a:pt x="5094819" y="2763368"/>
                <a:pt x="4879158" y="2709179"/>
                <a:pt x="4602203" y="2731146"/>
              </a:cubicBezTo>
              <a:cubicBezTo>
                <a:pt x="4325248" y="2753113"/>
                <a:pt x="4133956" y="2694505"/>
                <a:pt x="3954657" y="2731146"/>
              </a:cubicBezTo>
              <a:cubicBezTo>
                <a:pt x="3775358" y="2767787"/>
                <a:pt x="3605701" y="2669907"/>
                <a:pt x="3376491" y="2731146"/>
              </a:cubicBezTo>
              <a:cubicBezTo>
                <a:pt x="3147281" y="2792385"/>
                <a:pt x="2987843" y="2671275"/>
                <a:pt x="2867705" y="2731146"/>
              </a:cubicBezTo>
              <a:cubicBezTo>
                <a:pt x="2747567" y="2791017"/>
                <a:pt x="2399990" y="2672568"/>
                <a:pt x="2150778" y="2731146"/>
              </a:cubicBezTo>
              <a:cubicBezTo>
                <a:pt x="1901566" y="2789724"/>
                <a:pt x="1855809" y="2714084"/>
                <a:pt x="1711372" y="2731146"/>
              </a:cubicBezTo>
              <a:cubicBezTo>
                <a:pt x="1566935" y="2748208"/>
                <a:pt x="1289316" y="2669136"/>
                <a:pt x="994446" y="2731146"/>
              </a:cubicBezTo>
              <a:cubicBezTo>
                <a:pt x="699576" y="2793156"/>
                <a:pt x="495870" y="2704840"/>
                <a:pt x="0" y="2731146"/>
              </a:cubicBezTo>
              <a:cubicBezTo>
                <a:pt x="-40649" y="2511939"/>
                <a:pt x="49886" y="2359091"/>
                <a:pt x="0" y="2130294"/>
              </a:cubicBezTo>
              <a:cubicBezTo>
                <a:pt x="-49886" y="1901497"/>
                <a:pt x="12692" y="1762552"/>
                <a:pt x="0" y="1556753"/>
              </a:cubicBezTo>
              <a:cubicBezTo>
                <a:pt x="-12692" y="1350954"/>
                <a:pt x="42631" y="1213735"/>
                <a:pt x="0" y="1065147"/>
              </a:cubicBezTo>
              <a:cubicBezTo>
                <a:pt x="-42631" y="916559"/>
                <a:pt x="62880" y="679839"/>
                <a:pt x="0" y="518918"/>
              </a:cubicBezTo>
              <a:cubicBezTo>
                <a:pt x="-62880" y="357997"/>
                <a:pt x="28431" y="198634"/>
                <a:pt x="0" y="0"/>
              </a:cubicBezTo>
              <a:close/>
            </a:path>
            <a:path w="6937995" h="2731146" stroke="0" extrusionOk="0">
              <a:moveTo>
                <a:pt x="0" y="0"/>
              </a:moveTo>
              <a:cubicBezTo>
                <a:pt x="270199" y="-37589"/>
                <a:pt x="516885" y="24385"/>
                <a:pt x="716926" y="0"/>
              </a:cubicBezTo>
              <a:cubicBezTo>
                <a:pt x="916967" y="-24385"/>
                <a:pt x="1044062" y="55205"/>
                <a:pt x="1364472" y="0"/>
              </a:cubicBezTo>
              <a:cubicBezTo>
                <a:pt x="1684882" y="-55205"/>
                <a:pt x="1770351" y="57245"/>
                <a:pt x="2012019" y="0"/>
              </a:cubicBezTo>
              <a:cubicBezTo>
                <a:pt x="2253687" y="-57245"/>
                <a:pt x="2377133" y="67451"/>
                <a:pt x="2659565" y="0"/>
              </a:cubicBezTo>
              <a:cubicBezTo>
                <a:pt x="2941997" y="-67451"/>
                <a:pt x="3079136" y="63064"/>
                <a:pt x="3307111" y="0"/>
              </a:cubicBezTo>
              <a:cubicBezTo>
                <a:pt x="3535086" y="-63064"/>
                <a:pt x="3558037" y="15398"/>
                <a:pt x="3746517" y="0"/>
              </a:cubicBezTo>
              <a:cubicBezTo>
                <a:pt x="3934997" y="-15398"/>
                <a:pt x="3985342" y="9126"/>
                <a:pt x="4116544" y="0"/>
              </a:cubicBezTo>
              <a:cubicBezTo>
                <a:pt x="4247746" y="-9126"/>
                <a:pt x="4480492" y="51535"/>
                <a:pt x="4764090" y="0"/>
              </a:cubicBezTo>
              <a:cubicBezTo>
                <a:pt x="5047688" y="-51535"/>
                <a:pt x="5157112" y="58006"/>
                <a:pt x="5411636" y="0"/>
              </a:cubicBezTo>
              <a:cubicBezTo>
                <a:pt x="5666160" y="-58006"/>
                <a:pt x="5895028" y="37252"/>
                <a:pt x="6128562" y="0"/>
              </a:cubicBezTo>
              <a:cubicBezTo>
                <a:pt x="6362096" y="-37252"/>
                <a:pt x="6762066" y="71535"/>
                <a:pt x="6937995" y="0"/>
              </a:cubicBezTo>
              <a:cubicBezTo>
                <a:pt x="6951037" y="229479"/>
                <a:pt x="6897773" y="277436"/>
                <a:pt x="6937995" y="491606"/>
              </a:cubicBezTo>
              <a:cubicBezTo>
                <a:pt x="6978217" y="705776"/>
                <a:pt x="6937853" y="824536"/>
                <a:pt x="6937995" y="1092458"/>
              </a:cubicBezTo>
              <a:cubicBezTo>
                <a:pt x="6938137" y="1360380"/>
                <a:pt x="6879751" y="1475730"/>
                <a:pt x="6937995" y="1693311"/>
              </a:cubicBezTo>
              <a:cubicBezTo>
                <a:pt x="6996239" y="1910892"/>
                <a:pt x="6912378" y="2078564"/>
                <a:pt x="6937995" y="2239540"/>
              </a:cubicBezTo>
              <a:cubicBezTo>
                <a:pt x="6963612" y="2400516"/>
                <a:pt x="6887021" y="2568498"/>
                <a:pt x="6937995" y="2731146"/>
              </a:cubicBezTo>
              <a:cubicBezTo>
                <a:pt x="6771508" y="2752429"/>
                <a:pt x="6542335" y="2721711"/>
                <a:pt x="6429209" y="2731146"/>
              </a:cubicBezTo>
              <a:cubicBezTo>
                <a:pt x="6316083" y="2740581"/>
                <a:pt x="6062364" y="2689620"/>
                <a:pt x="5712283" y="2731146"/>
              </a:cubicBezTo>
              <a:cubicBezTo>
                <a:pt x="5362202" y="2772672"/>
                <a:pt x="5202794" y="2690291"/>
                <a:pt x="4995356" y="2731146"/>
              </a:cubicBezTo>
              <a:cubicBezTo>
                <a:pt x="4787918" y="2772001"/>
                <a:pt x="4731288" y="2691967"/>
                <a:pt x="4486570" y="2731146"/>
              </a:cubicBezTo>
              <a:cubicBezTo>
                <a:pt x="4241852" y="2770325"/>
                <a:pt x="3987700" y="2692765"/>
                <a:pt x="3839024" y="2731146"/>
              </a:cubicBezTo>
              <a:cubicBezTo>
                <a:pt x="3690348" y="2769527"/>
                <a:pt x="3451138" y="2712575"/>
                <a:pt x="3330238" y="2731146"/>
              </a:cubicBezTo>
              <a:cubicBezTo>
                <a:pt x="3209338" y="2749717"/>
                <a:pt x="2853236" y="2715862"/>
                <a:pt x="2682691" y="2731146"/>
              </a:cubicBezTo>
              <a:cubicBezTo>
                <a:pt x="2512146" y="2746430"/>
                <a:pt x="2307509" y="2683877"/>
                <a:pt x="2035145" y="2731146"/>
              </a:cubicBezTo>
              <a:cubicBezTo>
                <a:pt x="1762781" y="2778415"/>
                <a:pt x="1599245" y="2709314"/>
                <a:pt x="1456979" y="2731146"/>
              </a:cubicBezTo>
              <a:cubicBezTo>
                <a:pt x="1314713" y="2752978"/>
                <a:pt x="1069534" y="2674768"/>
                <a:pt x="948193" y="2731146"/>
              </a:cubicBezTo>
              <a:cubicBezTo>
                <a:pt x="826852" y="2787524"/>
                <a:pt x="657163" y="2720914"/>
                <a:pt x="578166" y="2731146"/>
              </a:cubicBezTo>
              <a:cubicBezTo>
                <a:pt x="499169" y="2741378"/>
                <a:pt x="181519" y="2686049"/>
                <a:pt x="0" y="2731146"/>
              </a:cubicBezTo>
              <a:cubicBezTo>
                <a:pt x="-43663" y="2613672"/>
                <a:pt x="51275" y="2414351"/>
                <a:pt x="0" y="2239540"/>
              </a:cubicBezTo>
              <a:cubicBezTo>
                <a:pt x="-51275" y="2064729"/>
                <a:pt x="17366" y="1779577"/>
                <a:pt x="0" y="1638688"/>
              </a:cubicBezTo>
              <a:cubicBezTo>
                <a:pt x="-17366" y="1497799"/>
                <a:pt x="39104" y="1184691"/>
                <a:pt x="0" y="1065147"/>
              </a:cubicBezTo>
              <a:cubicBezTo>
                <a:pt x="-39104" y="945603"/>
                <a:pt x="70193" y="454015"/>
                <a:pt x="0" y="0"/>
              </a:cubicBezTo>
              <a:close/>
            </a:path>
          </a:pathLst>
        </a:custGeom>
        <a:ln w="28575">
          <a:solidFill>
            <a:srgbClr val="FF0000"/>
          </a:solidFill>
          <a:extLst>
            <a:ext uri="{C807C97D-BFC1-408E-A445-0C87EB9F89A2}">
              <ask:lineSketchStyleProps xmlns:ask="http://schemas.microsoft.com/office/drawing/2018/sketchyshapes" sd="3203558081">
                <a:prstGeom prst="rect">
                  <a:avLst/>
                </a:prstGeom>
                <ask:type>
                  <ask:lineSketchScribble/>
                </ask:type>
              </ask:lineSketchStyleProps>
            </a:ext>
          </a:extLst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123349</xdr:colOff>
      <xdr:row>22</xdr:row>
      <xdr:rowOff>39205</xdr:rowOff>
    </xdr:from>
    <xdr:to>
      <xdr:col>34</xdr:col>
      <xdr:colOff>1024195</xdr:colOff>
      <xdr:row>30</xdr:row>
      <xdr:rowOff>145500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77099" y="4055580"/>
          <a:ext cx="10816270" cy="1437734"/>
        </a:xfrm>
        <a:prstGeom prst="rect">
          <a:avLst/>
        </a:prstGeom>
      </xdr:spPr>
    </xdr:pic>
    <xdr:clientData/>
  </xdr:twoCellAnchor>
  <xdr:twoCellAnchor>
    <xdr:from>
      <xdr:col>26</xdr:col>
      <xdr:colOff>780142</xdr:colOff>
      <xdr:row>13</xdr:row>
      <xdr:rowOff>163285</xdr:rowOff>
    </xdr:from>
    <xdr:to>
      <xdr:col>31</xdr:col>
      <xdr:colOff>27214</xdr:colOff>
      <xdr:row>29</xdr:row>
      <xdr:rowOff>45357</xdr:rowOff>
    </xdr:to>
    <xdr:cxnSp macro="">
      <xdr:nvCxnSpPr>
        <xdr:cNvPr id="5" name="Conector de Seta Reta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flipV="1">
          <a:off x="26806071" y="2630714"/>
          <a:ext cx="3383643" cy="262164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549851</xdr:colOff>
      <xdr:row>28</xdr:row>
      <xdr:rowOff>27421</xdr:rowOff>
    </xdr:from>
    <xdr:to>
      <xdr:col>46</xdr:col>
      <xdr:colOff>385329</xdr:colOff>
      <xdr:row>57</xdr:row>
      <xdr:rowOff>23092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D0C75AB4-0FC8-46FB-8561-771025B0C40C}"/>
            </a:ext>
          </a:extLst>
        </xdr:cNvPr>
        <xdr:cNvSpPr txBox="1"/>
      </xdr:nvSpPr>
      <xdr:spPr>
        <a:xfrm>
          <a:off x="39989124" y="5269057"/>
          <a:ext cx="9672205" cy="47293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Serão enquadradas nas tabelas dos </a:t>
          </a:r>
          <a:r>
            <a:rPr lang="pt-BR" sz="1100" b="1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Anexos III, quando o fator “r” for igual ou superior a 28%, ou Anexo V,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quando o fator “r” for </a:t>
          </a:r>
          <a:r>
            <a:rPr lang="pt-BR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inferior a 28%,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atividades a seguir: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fisioterapia;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medicina, inclusive laboratorial, e enfermagem;</a:t>
          </a:r>
        </a:p>
        <a:p>
          <a:pPr fontAlgn="base"/>
          <a:r>
            <a:rPr lang="pt-BR" sz="1100" b="1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– medicina veterinária;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odontologia e prótese dentária;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psicologia, psicanálise, terapia ocupacional, acupuntura, podologia, fonoaudiologia, clínicas de nutrição e de vacinação e bancos de leite;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serviços de comissaria, de despachantes, de tradução e de interpretação;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arquitetura e urbanismo;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engenharia, medição, cartografia, topografia, geologia, geodésia, testes, suporte e análises técnicas e tecnológicas, pesquisa, design, desenho e agronomia;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representação comercial e demais atividades de intermediação de negócios e serviços de terceiros;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perícia, leilão e avaliação;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auditoria, economia, consultoria, gestão, organização, controle e administração;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jornalismo e publicidade;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agenciamento;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administração e locação de imóveis de terceiros, assim entendidas a gestão e administração de imóveis de terceiros para qualquer finalidade, incluída a cobrança de aluguéis de imóveis de terceiros;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academias de dança, de capoeira, de ioga e de artes marciais;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academias de atividades físicas, desportivas, de natação e escolas de esportes;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elaboração de programas de computadores, inclusive jogos eletrônicos, desde que desenvolvidos em estabelecimento da optante;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licenciamento ou cessão de direito de uso de programas de computação;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planejamento, confecção, manutenção e atualização de páginas eletrônicas, desde que realizados em estabelecimento da optante;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empresas montadoras de estandes para feiras;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laboratórios de análises clínicas ou de patologia clínica;</a:t>
          </a:r>
        </a:p>
        <a:p>
          <a:pPr fontAlgn="base"/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serviços de tomografia, diagnósticos médicos por imagem, registros gráficos e métodos óticos, bem como ressonância magnética;</a:t>
          </a:r>
        </a:p>
        <a:p>
          <a:pPr fontAlgn="base"/>
          <a:r>
            <a:rPr lang="pt-BR" sz="1100" b="1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– serviços de prótese em geral.</a:t>
          </a:r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785091</xdr:colOff>
      <xdr:row>5</xdr:row>
      <xdr:rowOff>69273</xdr:rowOff>
    </xdr:from>
    <xdr:to>
      <xdr:col>11</xdr:col>
      <xdr:colOff>877455</xdr:colOff>
      <xdr:row>15</xdr:row>
      <xdr:rowOff>115455</xdr:rowOff>
    </xdr:to>
    <xdr:cxnSp macro="">
      <xdr:nvCxnSpPr>
        <xdr:cNvPr id="2" name="Conector de Seta Reta 1">
          <a:extLst>
            <a:ext uri="{FF2B5EF4-FFF2-40B4-BE49-F238E27FC236}">
              <a16:creationId xmlns:a16="http://schemas.microsoft.com/office/drawing/2014/main" id="{C1342E55-4221-484C-8675-0507316D018D}"/>
            </a:ext>
          </a:extLst>
        </xdr:cNvPr>
        <xdr:cNvCxnSpPr/>
      </xdr:nvCxnSpPr>
      <xdr:spPr>
        <a:xfrm>
          <a:off x="7146636" y="1050637"/>
          <a:ext cx="1985819" cy="202045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369454</xdr:colOff>
      <xdr:row>30</xdr:row>
      <xdr:rowOff>11546</xdr:rowOff>
    </xdr:from>
    <xdr:to>
      <xdr:col>25</xdr:col>
      <xdr:colOff>588818</xdr:colOff>
      <xdr:row>60</xdr:row>
      <xdr:rowOff>150090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F2727CFF-40B2-4A73-A5CE-B0C4D34DAD07}"/>
            </a:ext>
          </a:extLst>
        </xdr:cNvPr>
        <xdr:cNvSpPr txBox="1"/>
      </xdr:nvSpPr>
      <xdr:spPr>
        <a:xfrm>
          <a:off x="8624454" y="5749637"/>
          <a:ext cx="10679546" cy="56919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Desde 2018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as atividades de </a:t>
          </a:r>
          <a:r>
            <a:rPr lang="pt-BR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prestação de serviços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relacionados a seguir serão tributadas na forma prevista no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Anexo III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quando o fator “r” for igual ou superior a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28%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ou na forma prevista no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Anexo V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quando o fator “r” for inferior a 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28%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(Resolução CGSN nº 94/2011, art. 25-A, § 1º, V):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administração e locação de imóveis de terceiros, assim entendidas a gestão e administração de imóveis de terceiros para qualquer finalidade, incluída a cobrança de aluguéis de imóveis de terceiros;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academias de dança, de capoeira, de ioga e de artes marciais;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academias de atividades físicas, desportivas, de natação e escolas de esportes;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elaboração de programas de computadores, inclusive jogos eletrônicos, desde que desenvolvidos em estabelecimento da optante;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e) licenciamento ou cessão de direito de uso de programas de computação;</a:t>
          </a:r>
        </a:p>
        <a:p>
          <a:r>
            <a:rPr lang="pt-BR" sz="1100" b="1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f) planejamento, confecção, manutenção e atualização de páginas eletrônicas, desde que realizados em estabelecimento da optant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g) empresas montadoras de estandes para feiras;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h) laboratórios de análises clínicas ou de patologia clínica;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i) serviços de tomografia, diagnósticos médicos por imagem, registros gráficos e métodos óticos, bem como ressonância magnética;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j) serviços de prótese em geral;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k) fisioterapia;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l) medicina, inclusive laboratorial, e enfermagem;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m) medicina veterinária;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n) odontologia e prótese dentária;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o) psicologia, psicanálise, terapia ocupacional, acupuntura, podologia, fonoaudiologia, clínicas de nutrição e de vacinação e bancos de leite;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p) serviços de comissaria, de despachantes, de tradução e de interpretação;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q) arquitetura e urbanismo;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r) engenharia, medição, cartografia, topografia, geologia, geodésia, testes, suporte e análises técnicas e tecnológicas, pesquisa, design, desenho e agronomia;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s) representação comercial e demais atividades de intermediação de negócios e serviços de terceiros;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t) perícia, leilão e avaliação;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u) auditoria, economia, consultoria, gestão, organização, controle e administração;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v) jornalismo e publicidade;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w) agenciamento (exceto de mão de obra);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x) outras atividades do setor de serviços que, cumulativamente, tenham por finalidade a prestação de serviços decorrentes do exercício de atividade intelectual, de natureza técnica, científica, desportiva, artística ou cultural, que constitua profissão regulamentada ou não; e não estejam sujeitos especificamente à tributação na forma prevista nos Anexos IV ou V.</a:t>
          </a:r>
        </a:p>
        <a:p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Critérios para definir a alíquota do Simples Nacional</a:t>
          </a:r>
          <a:r>
            <a:rPr lang="pt-B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798286</xdr:colOff>
      <xdr:row>3</xdr:row>
      <xdr:rowOff>27214</xdr:rowOff>
    </xdr:from>
    <xdr:to>
      <xdr:col>9</xdr:col>
      <xdr:colOff>308428</xdr:colOff>
      <xdr:row>15</xdr:row>
      <xdr:rowOff>54429</xdr:rowOff>
    </xdr:to>
    <xdr:cxnSp macro="">
      <xdr:nvCxnSpPr>
        <xdr:cNvPr id="3" name="Conector de Seta Reta 2">
          <a:extLst>
            <a:ext uri="{FF2B5EF4-FFF2-40B4-BE49-F238E27FC236}">
              <a16:creationId xmlns:a16="http://schemas.microsoft.com/office/drawing/2014/main" id="{96A834C7-0687-4A4D-A6F4-14E5056C9EAC}"/>
            </a:ext>
          </a:extLst>
        </xdr:cNvPr>
        <xdr:cNvCxnSpPr/>
      </xdr:nvCxnSpPr>
      <xdr:spPr>
        <a:xfrm>
          <a:off x="7130143" y="716643"/>
          <a:ext cx="1070428" cy="2476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789214</xdr:colOff>
      <xdr:row>4</xdr:row>
      <xdr:rowOff>181429</xdr:rowOff>
    </xdr:from>
    <xdr:to>
      <xdr:col>9</xdr:col>
      <xdr:colOff>208643</xdr:colOff>
      <xdr:row>20</xdr:row>
      <xdr:rowOff>99786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64E7606B-55BF-40A5-A164-65EA97D48BD6}"/>
            </a:ext>
          </a:extLst>
        </xdr:cNvPr>
        <xdr:cNvCxnSpPr/>
      </xdr:nvCxnSpPr>
      <xdr:spPr>
        <a:xfrm>
          <a:off x="7121071" y="1070429"/>
          <a:ext cx="979715" cy="307521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ystax.com.br/classificacaofiscal/ncm/84439933-cartuchos-revelador-tone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5"/>
  <sheetViews>
    <sheetView zoomScale="99" zoomScaleNormal="85" workbookViewId="0">
      <selection activeCell="J18" sqref="J18:P25"/>
    </sheetView>
  </sheetViews>
  <sheetFormatPr defaultRowHeight="13"/>
  <cols>
    <col min="1" max="1" width="17.54296875" style="184" customWidth="1"/>
    <col min="2" max="2" width="13.54296875" style="44" bestFit="1" customWidth="1"/>
    <col min="3" max="3" width="6.7265625" style="26" customWidth="1"/>
    <col min="4" max="4" width="8.81640625" style="26" customWidth="1"/>
    <col min="5" max="5" width="10.6328125" style="26" bestFit="1" customWidth="1"/>
    <col min="6" max="6" width="14.90625" style="44" bestFit="1" customWidth="1"/>
    <col min="7" max="7" width="8.08984375" style="26" bestFit="1" customWidth="1"/>
    <col min="8" max="8" width="1.81640625" style="26" customWidth="1"/>
    <col min="9" max="9" width="8.54296875" style="26" bestFit="1" customWidth="1"/>
    <col min="10" max="10" width="5.54296875" style="26" bestFit="1" customWidth="1"/>
    <col min="11" max="13" width="6.54296875" style="26" bestFit="1" customWidth="1"/>
    <col min="14" max="14" width="8.54296875" style="26" bestFit="1" customWidth="1"/>
    <col min="15" max="16" width="6.54296875" style="26" bestFit="1" customWidth="1"/>
    <col min="17" max="16384" width="8.7265625" style="26"/>
  </cols>
  <sheetData>
    <row r="2" spans="1:7">
      <c r="A2" s="184" t="s">
        <v>105</v>
      </c>
    </row>
    <row r="3" spans="1:7">
      <c r="A3" s="185">
        <v>43070</v>
      </c>
      <c r="B3" s="44">
        <v>9000</v>
      </c>
    </row>
    <row r="4" spans="1:7">
      <c r="A4" s="185">
        <v>43101</v>
      </c>
      <c r="B4" s="44">
        <v>10000</v>
      </c>
    </row>
    <row r="5" spans="1:7">
      <c r="A5" s="188" t="s">
        <v>58</v>
      </c>
      <c r="B5" s="189">
        <f>AVERAGE(B3:B4)</f>
        <v>9500</v>
      </c>
    </row>
    <row r="7" spans="1:7">
      <c r="B7" s="26" t="s">
        <v>1</v>
      </c>
      <c r="D7" s="26" t="s">
        <v>5</v>
      </c>
      <c r="F7" s="44" t="s">
        <v>3</v>
      </c>
    </row>
    <row r="8" spans="1:7">
      <c r="B8" s="44">
        <f>B5*12</f>
        <v>114000</v>
      </c>
      <c r="C8" s="26" t="s">
        <v>2</v>
      </c>
      <c r="D8" s="190">
        <v>0.06</v>
      </c>
      <c r="E8" s="56"/>
      <c r="F8" s="44">
        <v>0</v>
      </c>
    </row>
    <row r="10" spans="1:7">
      <c r="A10" s="188" t="s">
        <v>4</v>
      </c>
      <c r="B10" s="181">
        <f>((B8*D8)-F8)/B8</f>
        <v>0.06</v>
      </c>
    </row>
    <row r="12" spans="1:7">
      <c r="A12" s="191">
        <v>43132</v>
      </c>
      <c r="B12" s="189">
        <v>6000</v>
      </c>
    </row>
    <row r="13" spans="1:7">
      <c r="A13" s="184" t="s">
        <v>6</v>
      </c>
      <c r="B13" s="182">
        <f>B10</f>
        <v>0.06</v>
      </c>
    </row>
    <row r="14" spans="1:7">
      <c r="A14" s="192" t="s">
        <v>7</v>
      </c>
      <c r="B14" s="57">
        <f>B13*B12</f>
        <v>360</v>
      </c>
    </row>
    <row r="15" spans="1:7" ht="13.5" thickBot="1"/>
    <row r="16" spans="1:7" ht="14" thickTop="1" thickBot="1">
      <c r="A16" s="186"/>
      <c r="B16" s="8" t="s">
        <v>10</v>
      </c>
      <c r="C16" s="8" t="s">
        <v>11</v>
      </c>
      <c r="D16" s="8" t="s">
        <v>12</v>
      </c>
      <c r="E16" s="8" t="s">
        <v>13</v>
      </c>
      <c r="F16" s="8" t="s">
        <v>14</v>
      </c>
      <c r="G16" s="9" t="s">
        <v>15</v>
      </c>
    </row>
    <row r="17" spans="1:16" ht="13.5" thickBot="1">
      <c r="A17" s="187" t="s">
        <v>16</v>
      </c>
      <c r="B17" s="11">
        <v>0.04</v>
      </c>
      <c r="C17" s="11">
        <v>3.5000000000000003E-2</v>
      </c>
      <c r="D17" s="11">
        <v>0.12820000000000001</v>
      </c>
      <c r="E17" s="11">
        <v>2.7799999999999998E-2</v>
      </c>
      <c r="F17" s="11">
        <v>0.434</v>
      </c>
      <c r="G17" s="12">
        <v>0.33500000000000002</v>
      </c>
    </row>
    <row r="18" spans="1:16" ht="15.75" customHeight="1" thickBot="1">
      <c r="B18" s="44">
        <f>$B$14*B17</f>
        <v>14.4</v>
      </c>
      <c r="C18" s="44">
        <f t="shared" ref="C18:G18" si="0">$B$14*C17</f>
        <v>12.600000000000001</v>
      </c>
      <c r="D18" s="44">
        <f t="shared" si="0"/>
        <v>46.152000000000001</v>
      </c>
      <c r="E18" s="44">
        <f t="shared" si="0"/>
        <v>10.007999999999999</v>
      </c>
      <c r="F18" s="44">
        <f t="shared" si="0"/>
        <v>156.24</v>
      </c>
      <c r="G18" s="44">
        <f t="shared" si="0"/>
        <v>120.60000000000001</v>
      </c>
      <c r="I18" s="154">
        <f>SUM(B18:G18)</f>
        <v>360</v>
      </c>
      <c r="J18" s="7" t="s">
        <v>8</v>
      </c>
      <c r="K18" s="395" t="s">
        <v>9</v>
      </c>
      <c r="L18" s="396"/>
      <c r="M18" s="396"/>
      <c r="N18" s="396"/>
      <c r="O18" s="396"/>
      <c r="P18" s="397"/>
    </row>
    <row r="19" spans="1:16" ht="14" thickTop="1" thickBot="1">
      <c r="J19" s="193"/>
      <c r="K19" s="193" t="s">
        <v>10</v>
      </c>
      <c r="L19" s="193" t="s">
        <v>11</v>
      </c>
      <c r="M19" s="193" t="s">
        <v>12</v>
      </c>
      <c r="N19" s="193" t="s">
        <v>13</v>
      </c>
      <c r="O19" s="193" t="s">
        <v>14</v>
      </c>
      <c r="P19" s="194" t="s">
        <v>15</v>
      </c>
    </row>
    <row r="20" spans="1:16" ht="13.5" thickBot="1">
      <c r="J20" s="152" t="s">
        <v>16</v>
      </c>
      <c r="K20" s="197">
        <v>0.04</v>
      </c>
      <c r="L20" s="197">
        <v>3.5000000000000003E-2</v>
      </c>
      <c r="M20" s="197">
        <v>0.12820000000000001</v>
      </c>
      <c r="N20" s="197">
        <v>2.7799999999999998E-2</v>
      </c>
      <c r="O20" s="197">
        <v>0.434</v>
      </c>
      <c r="P20" s="198">
        <v>0.33500000000000002</v>
      </c>
    </row>
    <row r="21" spans="1:16" ht="13.5" thickBot="1">
      <c r="J21" s="150" t="s">
        <v>17</v>
      </c>
      <c r="K21" s="195">
        <v>0.04</v>
      </c>
      <c r="L21" s="195">
        <v>3.5000000000000003E-2</v>
      </c>
      <c r="M21" s="195">
        <v>0.14050000000000001</v>
      </c>
      <c r="N21" s="195">
        <v>3.0499999999999999E-2</v>
      </c>
      <c r="O21" s="195">
        <v>0.434</v>
      </c>
      <c r="P21" s="196">
        <v>0.32</v>
      </c>
    </row>
    <row r="22" spans="1:16" ht="13.5" thickBot="1">
      <c r="J22" s="10" t="s">
        <v>18</v>
      </c>
      <c r="K22" s="11">
        <v>0.04</v>
      </c>
      <c r="L22" s="11">
        <v>3.5000000000000003E-2</v>
      </c>
      <c r="M22" s="11">
        <v>0.13639999999999999</v>
      </c>
      <c r="N22" s="11">
        <v>2.9600000000000001E-2</v>
      </c>
      <c r="O22" s="11">
        <v>0.434</v>
      </c>
      <c r="P22" s="12">
        <v>0.32500000000000001</v>
      </c>
    </row>
    <row r="23" spans="1:16" ht="13.5" thickBot="1">
      <c r="J23" s="13" t="s">
        <v>19</v>
      </c>
      <c r="K23" s="14">
        <v>0.04</v>
      </c>
      <c r="L23" s="14">
        <v>3.5000000000000003E-2</v>
      </c>
      <c r="M23" s="14">
        <v>0.13639999999999999</v>
      </c>
      <c r="N23" s="14">
        <v>2.9600000000000001E-2</v>
      </c>
      <c r="O23" s="14">
        <v>0.434</v>
      </c>
      <c r="P23" s="15">
        <v>0.32500000000000001</v>
      </c>
    </row>
    <row r="24" spans="1:16" ht="26.5" thickBot="1">
      <c r="J24" s="10" t="s">
        <v>20</v>
      </c>
      <c r="K24" s="11">
        <v>0.04</v>
      </c>
      <c r="L24" s="11">
        <v>3.5000000000000003E-2</v>
      </c>
      <c r="M24" s="11">
        <v>0.12820000000000001</v>
      </c>
      <c r="N24" s="11">
        <v>2.7799999999999998E-2</v>
      </c>
      <c r="O24" s="11">
        <v>0.434</v>
      </c>
      <c r="P24" s="183" t="s">
        <v>21</v>
      </c>
    </row>
    <row r="25" spans="1:16" ht="13.5" thickBot="1">
      <c r="J25" s="13" t="s">
        <v>22</v>
      </c>
      <c r="K25" s="14">
        <v>0.35</v>
      </c>
      <c r="L25" s="14">
        <v>0.15</v>
      </c>
      <c r="M25" s="14">
        <v>0.1603</v>
      </c>
      <c r="N25" s="14">
        <v>3.4700000000000002E-2</v>
      </c>
      <c r="O25" s="14">
        <v>0.30499999999999999</v>
      </c>
      <c r="P25" s="16" t="s">
        <v>23</v>
      </c>
    </row>
  </sheetData>
  <mergeCells count="1">
    <mergeCell ref="K18:P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7EB8A-5F6D-4CE3-B482-8E26A48390C3}">
  <dimension ref="B3:S33"/>
  <sheetViews>
    <sheetView zoomScale="70" zoomScaleNormal="70" workbookViewId="0">
      <selection activeCell="B4" sqref="B4:C16"/>
    </sheetView>
  </sheetViews>
  <sheetFormatPr defaultRowHeight="14.5"/>
  <cols>
    <col min="4" max="9" width="11.1796875" bestFit="1" customWidth="1"/>
    <col min="10" max="11" width="11.08984375" bestFit="1" customWidth="1"/>
    <col min="14" max="14" width="19.90625" customWidth="1"/>
    <col min="15" max="15" width="2" customWidth="1"/>
    <col min="16" max="16" width="19.90625" bestFit="1" customWidth="1"/>
    <col min="17" max="17" width="2.6328125" customWidth="1"/>
    <col min="18" max="19" width="18.90625" bestFit="1" customWidth="1"/>
  </cols>
  <sheetData>
    <row r="3" spans="2:19" ht="15" thickBot="1"/>
    <row r="4" spans="2:19">
      <c r="B4" t="s">
        <v>85</v>
      </c>
      <c r="D4" s="2">
        <v>500000</v>
      </c>
      <c r="E4" s="2">
        <v>500000</v>
      </c>
      <c r="F4" s="322">
        <v>500000</v>
      </c>
      <c r="G4" s="317">
        <v>500000</v>
      </c>
      <c r="H4" s="323">
        <v>500000</v>
      </c>
      <c r="I4" s="323">
        <v>500000</v>
      </c>
      <c r="J4" s="2">
        <v>500000</v>
      </c>
      <c r="K4" s="2">
        <v>500000</v>
      </c>
      <c r="N4" t="s">
        <v>140</v>
      </c>
      <c r="P4" t="s">
        <v>153</v>
      </c>
    </row>
    <row r="5" spans="2:19">
      <c r="B5" t="s">
        <v>48</v>
      </c>
      <c r="C5" s="155">
        <v>0.05</v>
      </c>
      <c r="D5" s="3">
        <f>D4*$C$5</f>
        <v>25000</v>
      </c>
      <c r="E5" s="3">
        <f t="shared" ref="E5:K5" si="0">E4*$C$5</f>
        <v>25000</v>
      </c>
      <c r="F5" s="3">
        <f t="shared" si="0"/>
        <v>25000</v>
      </c>
      <c r="G5" s="3">
        <f t="shared" si="0"/>
        <v>25000</v>
      </c>
      <c r="H5" s="3">
        <f t="shared" si="0"/>
        <v>25000</v>
      </c>
      <c r="I5" s="3">
        <f t="shared" si="0"/>
        <v>25000</v>
      </c>
      <c r="J5" s="3">
        <f t="shared" si="0"/>
        <v>25000</v>
      </c>
      <c r="K5" s="3">
        <f t="shared" si="0"/>
        <v>25000</v>
      </c>
    </row>
    <row r="6" spans="2:19">
      <c r="B6" t="s">
        <v>137</v>
      </c>
      <c r="C6" s="106">
        <v>9.2499999999999999E-2</v>
      </c>
      <c r="D6" s="3">
        <f>D4*$C$6</f>
        <v>46250</v>
      </c>
      <c r="E6" s="3">
        <f t="shared" ref="E6:K6" si="1">E4*$C$6</f>
        <v>46250</v>
      </c>
      <c r="F6" s="3">
        <f t="shared" si="1"/>
        <v>46250</v>
      </c>
      <c r="G6" s="3">
        <f t="shared" si="1"/>
        <v>46250</v>
      </c>
      <c r="H6" s="3">
        <f t="shared" si="1"/>
        <v>46250</v>
      </c>
      <c r="I6" s="3">
        <f t="shared" si="1"/>
        <v>46250</v>
      </c>
      <c r="J6" s="3">
        <f t="shared" si="1"/>
        <v>46250</v>
      </c>
      <c r="K6" s="3">
        <f t="shared" si="1"/>
        <v>46250</v>
      </c>
      <c r="N6" s="336">
        <v>12000000000</v>
      </c>
      <c r="P6" s="337">
        <f>N6</f>
        <v>12000000000</v>
      </c>
    </row>
    <row r="7" spans="2:19">
      <c r="D7" s="155">
        <v>0</v>
      </c>
      <c r="E7" s="155">
        <v>0.05</v>
      </c>
      <c r="F7" s="326">
        <v>0.15</v>
      </c>
      <c r="G7" s="319">
        <v>0.2</v>
      </c>
      <c r="H7" s="327">
        <v>0.3</v>
      </c>
      <c r="I7" s="327">
        <v>0.5</v>
      </c>
      <c r="J7" s="155">
        <v>0.7</v>
      </c>
      <c r="K7" s="155">
        <v>0.8</v>
      </c>
    </row>
    <row r="8" spans="2:19">
      <c r="B8" t="s">
        <v>139</v>
      </c>
      <c r="D8" s="3">
        <f>D4*D7</f>
        <v>0</v>
      </c>
      <c r="E8" s="3">
        <f t="shared" ref="E8:G8" si="2">E4*E7</f>
        <v>25000</v>
      </c>
      <c r="F8" s="324">
        <f t="shared" si="2"/>
        <v>75000</v>
      </c>
      <c r="G8" s="338">
        <f t="shared" si="2"/>
        <v>100000</v>
      </c>
      <c r="H8" s="325">
        <f>H4*H7</f>
        <v>150000</v>
      </c>
      <c r="I8" s="325">
        <f>I4*I7</f>
        <v>250000</v>
      </c>
      <c r="J8" s="3">
        <f>J4*J7</f>
        <v>350000</v>
      </c>
      <c r="K8" s="3">
        <f>K4*K7</f>
        <v>400000</v>
      </c>
      <c r="N8" s="337">
        <f>N6*34%</f>
        <v>4080000000.0000005</v>
      </c>
      <c r="P8" s="337">
        <f>P6*24%</f>
        <v>2880000000</v>
      </c>
    </row>
    <row r="9" spans="2:19">
      <c r="B9" t="s">
        <v>138</v>
      </c>
      <c r="D9" s="316">
        <f>D4-D5-D6-D8</f>
        <v>428750</v>
      </c>
      <c r="E9" s="316">
        <f t="shared" ref="E9:G9" si="3">E4-E5-E6-E8</f>
        <v>403750</v>
      </c>
      <c r="F9" s="328">
        <f t="shared" si="3"/>
        <v>353750</v>
      </c>
      <c r="G9" s="320">
        <f t="shared" si="3"/>
        <v>328750</v>
      </c>
      <c r="H9" s="329">
        <f>H4-H5-H6-H8</f>
        <v>278750</v>
      </c>
      <c r="I9" s="329">
        <f>I4-I5-I6-I8</f>
        <v>178750</v>
      </c>
      <c r="J9" s="316">
        <f>J4-J5-J6-J8</f>
        <v>78750</v>
      </c>
      <c r="K9" s="316">
        <f>K4-K5-K6-K8</f>
        <v>28750</v>
      </c>
    </row>
    <row r="10" spans="2:19">
      <c r="B10" t="s">
        <v>88</v>
      </c>
      <c r="C10" s="155">
        <v>0.15</v>
      </c>
      <c r="D10" s="3">
        <f>D9*$C$10</f>
        <v>64312.5</v>
      </c>
      <c r="E10" s="3">
        <f t="shared" ref="E10:K10" si="4">E9*$C$10</f>
        <v>60562.5</v>
      </c>
      <c r="F10" s="3">
        <f t="shared" si="4"/>
        <v>53062.5</v>
      </c>
      <c r="G10" s="3">
        <f t="shared" si="4"/>
        <v>49312.5</v>
      </c>
      <c r="H10" s="3">
        <f t="shared" si="4"/>
        <v>41812.5</v>
      </c>
      <c r="I10" s="3">
        <f t="shared" si="4"/>
        <v>26812.5</v>
      </c>
      <c r="J10" s="3">
        <f t="shared" si="4"/>
        <v>11812.5</v>
      </c>
      <c r="K10" s="3">
        <f t="shared" si="4"/>
        <v>4312.5</v>
      </c>
      <c r="N10" s="337">
        <f>N6-N8</f>
        <v>7920000000</v>
      </c>
      <c r="P10" s="337">
        <f>P6-P8</f>
        <v>9120000000</v>
      </c>
    </row>
    <row r="11" spans="2:19">
      <c r="B11" t="s">
        <v>89</v>
      </c>
      <c r="C11" s="155">
        <v>0.1</v>
      </c>
      <c r="D11" s="3">
        <f>(D9-240000)*$C$11</f>
        <v>18875</v>
      </c>
      <c r="E11" s="3">
        <f t="shared" ref="E11:H11" si="5">(E9-240000)*$C$11</f>
        <v>16375</v>
      </c>
      <c r="F11" s="3">
        <f t="shared" si="5"/>
        <v>11375</v>
      </c>
      <c r="G11" s="3">
        <f t="shared" si="5"/>
        <v>8875</v>
      </c>
      <c r="H11" s="3">
        <f t="shared" si="5"/>
        <v>3875</v>
      </c>
      <c r="I11" s="3"/>
      <c r="J11" s="3"/>
      <c r="K11" s="3"/>
    </row>
    <row r="12" spans="2:19">
      <c r="B12" t="s">
        <v>11</v>
      </c>
      <c r="C12" s="155">
        <v>0.09</v>
      </c>
      <c r="D12" s="3">
        <f>D10*$C$12</f>
        <v>5788.125</v>
      </c>
      <c r="E12" s="3">
        <f t="shared" ref="E12:K12" si="6">E10*$C$12</f>
        <v>5450.625</v>
      </c>
      <c r="F12" s="3">
        <f t="shared" si="6"/>
        <v>4775.625</v>
      </c>
      <c r="G12" s="3">
        <f t="shared" si="6"/>
        <v>4438.125</v>
      </c>
      <c r="H12" s="3">
        <f t="shared" si="6"/>
        <v>3763.125</v>
      </c>
      <c r="I12" s="3">
        <f t="shared" si="6"/>
        <v>2413.125</v>
      </c>
      <c r="J12" s="3">
        <f t="shared" si="6"/>
        <v>1063.125</v>
      </c>
      <c r="K12" s="3">
        <f t="shared" si="6"/>
        <v>388.125</v>
      </c>
      <c r="N12" s="337">
        <f>N10*1%</f>
        <v>79200000</v>
      </c>
      <c r="P12" s="337">
        <f>P10*1%</f>
        <v>91200000</v>
      </c>
      <c r="R12" s="337">
        <f>P12-1000000</f>
        <v>90200000</v>
      </c>
      <c r="S12" s="337">
        <f>R12*27.5%</f>
        <v>24805000.000000004</v>
      </c>
    </row>
    <row r="13" spans="2:19" ht="15" thickBot="1">
      <c r="D13" s="3">
        <f>D12+D11+D10+D6+D5</f>
        <v>160225.625</v>
      </c>
      <c r="E13" s="3">
        <f t="shared" ref="E13:G13" si="7">E12+E11+E10+E6+E5</f>
        <v>153638.125</v>
      </c>
      <c r="F13" s="324">
        <f t="shared" si="7"/>
        <v>140463.125</v>
      </c>
      <c r="G13" s="318">
        <f t="shared" si="7"/>
        <v>133875.625</v>
      </c>
      <c r="H13" s="325">
        <f>H12+H11+H10+H6+H5</f>
        <v>120700.625</v>
      </c>
      <c r="I13" s="325">
        <f>I12+I11+I10+I6+I5</f>
        <v>100475.625</v>
      </c>
      <c r="J13" s="3">
        <f>J12+J11+J10+J6+J5</f>
        <v>84125.625</v>
      </c>
      <c r="K13" s="3">
        <f>K12+K11+K10+K6+K5</f>
        <v>75950.625</v>
      </c>
      <c r="N13" s="337">
        <f>N10*(1-0.01)</f>
        <v>7840800000</v>
      </c>
      <c r="P13" s="337">
        <f>P10*(1-0.01)</f>
        <v>9028800000</v>
      </c>
      <c r="R13" s="337">
        <f>P13-1000000</f>
        <v>9027800000</v>
      </c>
      <c r="S13" s="337">
        <f>R13*27.5%</f>
        <v>2482645000</v>
      </c>
    </row>
    <row r="14" spans="2:19" ht="15" thickBot="1">
      <c r="D14" s="332">
        <f>D13/D4</f>
        <v>0.32045125000000002</v>
      </c>
      <c r="E14" s="333">
        <f t="shared" ref="E14:G14" si="8">E13/E4</f>
        <v>0.30727624999999997</v>
      </c>
      <c r="F14" s="332">
        <f t="shared" si="8"/>
        <v>0.28092624999999999</v>
      </c>
      <c r="G14" s="334">
        <f t="shared" si="8"/>
        <v>0.26775125</v>
      </c>
      <c r="H14" s="335">
        <f>H13/H4</f>
        <v>0.24140125000000001</v>
      </c>
      <c r="I14" s="335">
        <f>I13/I4</f>
        <v>0.20095125</v>
      </c>
      <c r="J14" s="333">
        <f>J13/J4</f>
        <v>0.16825124999999999</v>
      </c>
      <c r="K14" s="335">
        <f>K13/K4</f>
        <v>0.15190124999999999</v>
      </c>
    </row>
    <row r="15" spans="2:19">
      <c r="B15" s="169" t="s">
        <v>146</v>
      </c>
      <c r="C15" s="169"/>
      <c r="D15" s="316">
        <f>D9-D10-D11-D12</f>
        <v>339774.375</v>
      </c>
      <c r="E15" s="316">
        <f t="shared" ref="E15:G15" si="9">E9-E10-E11-E12</f>
        <v>321361.875</v>
      </c>
      <c r="F15" s="328">
        <f t="shared" si="9"/>
        <v>284536.875</v>
      </c>
      <c r="G15" s="320">
        <f t="shared" si="9"/>
        <v>266124.375</v>
      </c>
      <c r="H15" s="329">
        <f>H9-H10-H11-H12</f>
        <v>229299.375</v>
      </c>
      <c r="I15" s="329">
        <f>I9-I10-I11-I12</f>
        <v>149524.375</v>
      </c>
      <c r="J15" s="316">
        <f>J9-J10-J11-J12</f>
        <v>65874.375</v>
      </c>
      <c r="K15" s="316">
        <f>K9-K10-K11-K12</f>
        <v>24049.375</v>
      </c>
      <c r="L15" s="169"/>
      <c r="N15" t="s">
        <v>141</v>
      </c>
      <c r="P15" t="s">
        <v>141</v>
      </c>
    </row>
    <row r="16" spans="2:19">
      <c r="C16" s="315">
        <v>0.27500000000000002</v>
      </c>
      <c r="D16" s="3">
        <f>D15*$C$16</f>
        <v>93437.953125000015</v>
      </c>
      <c r="E16" s="3">
        <f t="shared" ref="E16:K16" si="10">E15*$C$16</f>
        <v>88374.515625</v>
      </c>
      <c r="F16" s="3">
        <f t="shared" si="10"/>
        <v>78247.640625</v>
      </c>
      <c r="G16" s="3">
        <f t="shared" si="10"/>
        <v>73184.203125</v>
      </c>
      <c r="H16" s="3">
        <f t="shared" si="10"/>
        <v>63057.328125000007</v>
      </c>
      <c r="I16" s="3">
        <f t="shared" si="10"/>
        <v>41119.203125</v>
      </c>
      <c r="J16" s="3">
        <f t="shared" si="10"/>
        <v>18115.453125</v>
      </c>
      <c r="K16" s="3">
        <f t="shared" si="10"/>
        <v>6613.5781250000009</v>
      </c>
      <c r="N16" s="337">
        <f>N8</f>
        <v>4080000000.0000005</v>
      </c>
      <c r="P16" s="337">
        <f>P8+S12+S13</f>
        <v>5387450000</v>
      </c>
    </row>
    <row r="17" spans="2:16" ht="15" thickBot="1">
      <c r="D17" s="17">
        <f>(D16+D13)/D4</f>
        <v>0.50732715625000002</v>
      </c>
      <c r="E17" s="17">
        <f t="shared" ref="E17:G17" si="11">(E16+E13)/E4</f>
        <v>0.48402528124999999</v>
      </c>
      <c r="F17" s="330">
        <f t="shared" si="11"/>
        <v>0.43742153125</v>
      </c>
      <c r="G17" s="321">
        <f t="shared" si="11"/>
        <v>0.41411965625000002</v>
      </c>
      <c r="H17" s="331">
        <f>(H16+H13)/H4</f>
        <v>0.36751590625000002</v>
      </c>
      <c r="I17" s="331">
        <f>(I16+I13)/I4</f>
        <v>0.28318965624999998</v>
      </c>
      <c r="J17" s="17">
        <f>(J16+J13)/J4</f>
        <v>0.20448215624999999</v>
      </c>
      <c r="K17" s="17">
        <f>(K16+K13)/K4</f>
        <v>0.16512840625</v>
      </c>
      <c r="N17">
        <f>N16/N6</f>
        <v>0.34</v>
      </c>
      <c r="P17">
        <f>P16/P6</f>
        <v>0.44895416666666665</v>
      </c>
    </row>
    <row r="18" spans="2:16">
      <c r="G18" s="106">
        <f>G17-4%</f>
        <v>0.37411965625000004</v>
      </c>
    </row>
    <row r="20" spans="2:16">
      <c r="B20" t="s">
        <v>142</v>
      </c>
    </row>
    <row r="21" spans="2:16">
      <c r="B21" t="s">
        <v>143</v>
      </c>
      <c r="C21">
        <v>5000</v>
      </c>
    </row>
    <row r="22" spans="2:16">
      <c r="B22" t="s">
        <v>144</v>
      </c>
      <c r="C22">
        <f>(1000+450+400)</f>
        <v>1850</v>
      </c>
    </row>
    <row r="23" spans="2:16">
      <c r="B23" t="s">
        <v>145</v>
      </c>
      <c r="C23">
        <v>957</v>
      </c>
    </row>
    <row r="25" spans="2:16">
      <c r="C25">
        <f>SUM(C21:C23)</f>
        <v>7807</v>
      </c>
      <c r="D25">
        <f>C25*13</f>
        <v>101491</v>
      </c>
    </row>
    <row r="28" spans="2:16">
      <c r="D28" t="s">
        <v>147</v>
      </c>
    </row>
    <row r="30" spans="2:16">
      <c r="D30" t="s">
        <v>148</v>
      </c>
    </row>
    <row r="31" spans="2:16">
      <c r="C31">
        <v>10000</v>
      </c>
      <c r="D31" t="s">
        <v>149</v>
      </c>
    </row>
    <row r="32" spans="2:16">
      <c r="C32">
        <v>10000</v>
      </c>
      <c r="D32" t="s">
        <v>150</v>
      </c>
    </row>
    <row r="33" spans="3:5">
      <c r="C33">
        <v>10000</v>
      </c>
      <c r="D33" t="s">
        <v>151</v>
      </c>
      <c r="E33" t="s">
        <v>152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22382-1D8A-43A7-991F-05CD45A97B6A}">
  <dimension ref="B1:S40"/>
  <sheetViews>
    <sheetView tabSelected="1" zoomScale="85" zoomScaleNormal="85" workbookViewId="0">
      <selection activeCell="G1" sqref="G1"/>
    </sheetView>
  </sheetViews>
  <sheetFormatPr defaultRowHeight="10.5"/>
  <cols>
    <col min="1" max="1" width="8.7265625" style="407"/>
    <col min="2" max="2" width="17" style="407" bestFit="1" customWidth="1"/>
    <col min="3" max="3" width="4.1796875" style="407" bestFit="1" customWidth="1"/>
    <col min="4" max="4" width="8.54296875" style="407" customWidth="1"/>
    <col min="5" max="15" width="8.453125" style="407" bestFit="1" customWidth="1"/>
    <col min="16" max="16" width="9.6328125" style="417" bestFit="1" customWidth="1"/>
    <col min="17" max="16384" width="8.7265625" style="407"/>
  </cols>
  <sheetData>
    <row r="1" spans="2:19" s="419" customFormat="1" ht="18.5">
      <c r="B1" s="418" t="s">
        <v>184</v>
      </c>
      <c r="D1" s="419" t="s">
        <v>169</v>
      </c>
      <c r="I1" s="437" t="s">
        <v>197</v>
      </c>
      <c r="P1" s="420"/>
    </row>
    <row r="2" spans="2:19" ht="12">
      <c r="B2" s="409" t="s">
        <v>167</v>
      </c>
      <c r="D2" s="408">
        <v>84439933</v>
      </c>
    </row>
    <row r="3" spans="2:19" ht="3" customHeight="1">
      <c r="D3" s="408"/>
    </row>
    <row r="4" spans="2:19" s="409" customFormat="1">
      <c r="D4" s="422" t="s">
        <v>73</v>
      </c>
      <c r="E4" s="422" t="s">
        <v>74</v>
      </c>
      <c r="F4" s="422" t="s">
        <v>75</v>
      </c>
      <c r="G4" s="422" t="s">
        <v>76</v>
      </c>
      <c r="H4" s="422" t="s">
        <v>77</v>
      </c>
      <c r="I4" s="422" t="s">
        <v>78</v>
      </c>
      <c r="J4" s="422" t="s">
        <v>79</v>
      </c>
      <c r="K4" s="422" t="s">
        <v>80</v>
      </c>
      <c r="L4" s="422" t="s">
        <v>81</v>
      </c>
      <c r="M4" s="422" t="s">
        <v>82</v>
      </c>
      <c r="N4" s="422" t="s">
        <v>83</v>
      </c>
      <c r="O4" s="422" t="s">
        <v>84</v>
      </c>
      <c r="P4" s="410" t="s">
        <v>56</v>
      </c>
    </row>
    <row r="5" spans="2:19">
      <c r="B5" s="416" t="s">
        <v>165</v>
      </c>
      <c r="C5" s="416"/>
      <c r="D5" s="412">
        <f>D6+D11</f>
        <v>170000</v>
      </c>
      <c r="E5" s="412">
        <f t="shared" ref="E5:P5" si="0">E6+E11</f>
        <v>170000</v>
      </c>
      <c r="F5" s="412">
        <f t="shared" si="0"/>
        <v>170000</v>
      </c>
      <c r="G5" s="412">
        <f t="shared" si="0"/>
        <v>170000</v>
      </c>
      <c r="H5" s="412">
        <f t="shared" si="0"/>
        <v>170000</v>
      </c>
      <c r="I5" s="412">
        <f t="shared" si="0"/>
        <v>170000</v>
      </c>
      <c r="J5" s="412">
        <f t="shared" si="0"/>
        <v>170000</v>
      </c>
      <c r="K5" s="412">
        <f t="shared" si="0"/>
        <v>170000</v>
      </c>
      <c r="L5" s="412">
        <f t="shared" si="0"/>
        <v>170000</v>
      </c>
      <c r="M5" s="412">
        <f t="shared" si="0"/>
        <v>170000</v>
      </c>
      <c r="N5" s="412">
        <f t="shared" si="0"/>
        <v>170000</v>
      </c>
      <c r="O5" s="412">
        <f t="shared" si="0"/>
        <v>170000</v>
      </c>
      <c r="P5" s="410">
        <f t="shared" si="0"/>
        <v>2040000</v>
      </c>
      <c r="R5" s="407" t="s">
        <v>179</v>
      </c>
    </row>
    <row r="6" spans="2:19" s="409" customFormat="1">
      <c r="B6" s="409" t="s">
        <v>182</v>
      </c>
      <c r="D6" s="410">
        <v>70000</v>
      </c>
      <c r="E6" s="410">
        <v>70000</v>
      </c>
      <c r="F6" s="410">
        <v>70000</v>
      </c>
      <c r="G6" s="410">
        <v>70000</v>
      </c>
      <c r="H6" s="410">
        <v>70000</v>
      </c>
      <c r="I6" s="410">
        <v>70000</v>
      </c>
      <c r="J6" s="410">
        <v>70000</v>
      </c>
      <c r="K6" s="410">
        <v>70000</v>
      </c>
      <c r="L6" s="410">
        <v>70000</v>
      </c>
      <c r="M6" s="410">
        <v>70000</v>
      </c>
      <c r="N6" s="410">
        <v>70000</v>
      </c>
      <c r="O6" s="410">
        <v>70000</v>
      </c>
      <c r="P6" s="410">
        <f>SUM(D6:O6)</f>
        <v>840000</v>
      </c>
      <c r="R6" s="409" t="s">
        <v>180</v>
      </c>
      <c r="S6" s="415">
        <v>0.9</v>
      </c>
    </row>
    <row r="7" spans="2:19">
      <c r="B7" s="407" t="s">
        <v>48</v>
      </c>
      <c r="C7" s="411">
        <v>0.02</v>
      </c>
      <c r="D7" s="412">
        <f>D6*$C$7</f>
        <v>1400</v>
      </c>
      <c r="E7" s="412">
        <f t="shared" ref="E7:O7" si="1">E6*$C$7</f>
        <v>1400</v>
      </c>
      <c r="F7" s="412">
        <f t="shared" si="1"/>
        <v>1400</v>
      </c>
      <c r="G7" s="412">
        <f t="shared" si="1"/>
        <v>1400</v>
      </c>
      <c r="H7" s="412">
        <f t="shared" si="1"/>
        <v>1400</v>
      </c>
      <c r="I7" s="412">
        <f t="shared" si="1"/>
        <v>1400</v>
      </c>
      <c r="J7" s="412">
        <f t="shared" si="1"/>
        <v>1400</v>
      </c>
      <c r="K7" s="412">
        <f t="shared" si="1"/>
        <v>1400</v>
      </c>
      <c r="L7" s="412">
        <f t="shared" si="1"/>
        <v>1400</v>
      </c>
      <c r="M7" s="412">
        <f t="shared" si="1"/>
        <v>1400</v>
      </c>
      <c r="N7" s="412">
        <f t="shared" si="1"/>
        <v>1400</v>
      </c>
      <c r="O7" s="412">
        <f t="shared" si="1"/>
        <v>1400</v>
      </c>
      <c r="P7" s="417">
        <f t="shared" ref="P7:P9" si="2">SUM(D7:O7)</f>
        <v>16800</v>
      </c>
      <c r="R7" s="407" t="s">
        <v>181</v>
      </c>
      <c r="S7" s="415">
        <v>0.1</v>
      </c>
    </row>
    <row r="8" spans="2:19">
      <c r="B8" s="407" t="s">
        <v>168</v>
      </c>
      <c r="C8" s="413">
        <v>6.4999999999999997E-3</v>
      </c>
      <c r="D8" s="412">
        <f>D6*$C$8</f>
        <v>455</v>
      </c>
      <c r="E8" s="412">
        <f t="shared" ref="E8:O8" si="3">E6*$C$8</f>
        <v>455</v>
      </c>
      <c r="F8" s="412">
        <f t="shared" si="3"/>
        <v>455</v>
      </c>
      <c r="G8" s="412">
        <f t="shared" si="3"/>
        <v>455</v>
      </c>
      <c r="H8" s="412">
        <f t="shared" si="3"/>
        <v>455</v>
      </c>
      <c r="I8" s="412">
        <f t="shared" si="3"/>
        <v>455</v>
      </c>
      <c r="J8" s="412">
        <f t="shared" si="3"/>
        <v>455</v>
      </c>
      <c r="K8" s="412">
        <f t="shared" si="3"/>
        <v>455</v>
      </c>
      <c r="L8" s="412">
        <f t="shared" si="3"/>
        <v>455</v>
      </c>
      <c r="M8" s="412">
        <f t="shared" si="3"/>
        <v>455</v>
      </c>
      <c r="N8" s="412">
        <f t="shared" si="3"/>
        <v>455</v>
      </c>
      <c r="O8" s="412">
        <f t="shared" si="3"/>
        <v>455</v>
      </c>
      <c r="P8" s="417">
        <f t="shared" si="2"/>
        <v>5460</v>
      </c>
    </row>
    <row r="9" spans="2:19">
      <c r="B9" s="407" t="s">
        <v>12</v>
      </c>
      <c r="C9" s="411">
        <v>0.03</v>
      </c>
      <c r="D9" s="412">
        <f>D6*$C$9</f>
        <v>2100</v>
      </c>
      <c r="E9" s="412">
        <f t="shared" ref="E9:O9" si="4">E6*$C$9</f>
        <v>2100</v>
      </c>
      <c r="F9" s="412">
        <f t="shared" si="4"/>
        <v>2100</v>
      </c>
      <c r="G9" s="412">
        <f t="shared" si="4"/>
        <v>2100</v>
      </c>
      <c r="H9" s="412">
        <f t="shared" si="4"/>
        <v>2100</v>
      </c>
      <c r="I9" s="412">
        <f t="shared" si="4"/>
        <v>2100</v>
      </c>
      <c r="J9" s="412">
        <f t="shared" si="4"/>
        <v>2100</v>
      </c>
      <c r="K9" s="412">
        <f t="shared" si="4"/>
        <v>2100</v>
      </c>
      <c r="L9" s="412">
        <f t="shared" si="4"/>
        <v>2100</v>
      </c>
      <c r="M9" s="412">
        <f t="shared" si="4"/>
        <v>2100</v>
      </c>
      <c r="N9" s="412">
        <f t="shared" si="4"/>
        <v>2100</v>
      </c>
      <c r="O9" s="412">
        <f t="shared" si="4"/>
        <v>2100</v>
      </c>
      <c r="P9" s="417">
        <f t="shared" si="2"/>
        <v>25200</v>
      </c>
    </row>
    <row r="10" spans="2:19">
      <c r="C10" s="411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</row>
    <row r="11" spans="2:19">
      <c r="B11" s="409" t="s">
        <v>166</v>
      </c>
      <c r="D11" s="410">
        <v>100000</v>
      </c>
      <c r="E11" s="410">
        <f>D11</f>
        <v>100000</v>
      </c>
      <c r="F11" s="410">
        <f t="shared" ref="F11:O11" si="5">E11</f>
        <v>100000</v>
      </c>
      <c r="G11" s="410">
        <f t="shared" si="5"/>
        <v>100000</v>
      </c>
      <c r="H11" s="410">
        <f t="shared" si="5"/>
        <v>100000</v>
      </c>
      <c r="I11" s="410">
        <f t="shared" si="5"/>
        <v>100000</v>
      </c>
      <c r="J11" s="410">
        <f t="shared" si="5"/>
        <v>100000</v>
      </c>
      <c r="K11" s="410">
        <f t="shared" si="5"/>
        <v>100000</v>
      </c>
      <c r="L11" s="410">
        <f t="shared" si="5"/>
        <v>100000</v>
      </c>
      <c r="M11" s="410">
        <f t="shared" si="5"/>
        <v>100000</v>
      </c>
      <c r="N11" s="410">
        <f t="shared" si="5"/>
        <v>100000</v>
      </c>
      <c r="O11" s="410">
        <f t="shared" si="5"/>
        <v>100000</v>
      </c>
      <c r="P11" s="410">
        <f>SUM(D11:O11)</f>
        <v>1200000</v>
      </c>
    </row>
    <row r="12" spans="2:19" ht="13.5" customHeight="1">
      <c r="B12" s="407" t="s">
        <v>24</v>
      </c>
      <c r="C12" s="411">
        <v>0.18</v>
      </c>
      <c r="D12" s="407">
        <f>D11*$C$12</f>
        <v>18000</v>
      </c>
      <c r="E12" s="407">
        <f t="shared" ref="E12:O12" si="6">E11*$C$12</f>
        <v>18000</v>
      </c>
      <c r="F12" s="407">
        <f t="shared" si="6"/>
        <v>18000</v>
      </c>
      <c r="G12" s="407">
        <f t="shared" si="6"/>
        <v>18000</v>
      </c>
      <c r="H12" s="407">
        <f t="shared" si="6"/>
        <v>18000</v>
      </c>
      <c r="I12" s="407">
        <f t="shared" si="6"/>
        <v>18000</v>
      </c>
      <c r="J12" s="407">
        <f t="shared" si="6"/>
        <v>18000</v>
      </c>
      <c r="K12" s="407">
        <f t="shared" si="6"/>
        <v>18000</v>
      </c>
      <c r="L12" s="407">
        <f t="shared" si="6"/>
        <v>18000</v>
      </c>
      <c r="M12" s="407">
        <f t="shared" si="6"/>
        <v>18000</v>
      </c>
      <c r="N12" s="407">
        <f t="shared" si="6"/>
        <v>18000</v>
      </c>
      <c r="O12" s="407">
        <f t="shared" si="6"/>
        <v>18000</v>
      </c>
      <c r="P12" s="417">
        <f t="shared" ref="P12:P14" si="7">SUM(D12:O12)</f>
        <v>216000</v>
      </c>
    </row>
    <row r="13" spans="2:19" ht="13.5" customHeight="1">
      <c r="B13" s="407" t="s">
        <v>168</v>
      </c>
      <c r="C13" s="413">
        <v>0</v>
      </c>
      <c r="D13" s="407">
        <f>D11*$C$13</f>
        <v>0</v>
      </c>
      <c r="E13" s="407">
        <f t="shared" ref="E13:O13" si="8">E11*$C$13</f>
        <v>0</v>
      </c>
      <c r="F13" s="407">
        <f t="shared" si="8"/>
        <v>0</v>
      </c>
      <c r="G13" s="407">
        <f t="shared" si="8"/>
        <v>0</v>
      </c>
      <c r="H13" s="407">
        <f t="shared" si="8"/>
        <v>0</v>
      </c>
      <c r="I13" s="407">
        <f t="shared" si="8"/>
        <v>0</v>
      </c>
      <c r="J13" s="407">
        <f t="shared" si="8"/>
        <v>0</v>
      </c>
      <c r="K13" s="407">
        <f t="shared" si="8"/>
        <v>0</v>
      </c>
      <c r="L13" s="407">
        <f t="shared" si="8"/>
        <v>0</v>
      </c>
      <c r="M13" s="407">
        <f t="shared" si="8"/>
        <v>0</v>
      </c>
      <c r="N13" s="407">
        <f t="shared" si="8"/>
        <v>0</v>
      </c>
      <c r="O13" s="407">
        <f t="shared" si="8"/>
        <v>0</v>
      </c>
      <c r="P13" s="417">
        <f t="shared" si="7"/>
        <v>0</v>
      </c>
    </row>
    <row r="14" spans="2:19" ht="13.5" customHeight="1">
      <c r="B14" s="407" t="s">
        <v>12</v>
      </c>
      <c r="C14" s="411">
        <v>0</v>
      </c>
      <c r="D14" s="407">
        <f>D11*$C$14</f>
        <v>0</v>
      </c>
      <c r="E14" s="407">
        <f t="shared" ref="E14:O14" si="9">E11*$C$14</f>
        <v>0</v>
      </c>
      <c r="F14" s="407">
        <f t="shared" si="9"/>
        <v>0</v>
      </c>
      <c r="G14" s="407">
        <f t="shared" si="9"/>
        <v>0</v>
      </c>
      <c r="H14" s="407">
        <f t="shared" si="9"/>
        <v>0</v>
      </c>
      <c r="I14" s="407">
        <f t="shared" si="9"/>
        <v>0</v>
      </c>
      <c r="J14" s="407">
        <f t="shared" si="9"/>
        <v>0</v>
      </c>
      <c r="K14" s="407">
        <f t="shared" si="9"/>
        <v>0</v>
      </c>
      <c r="L14" s="407">
        <f t="shared" si="9"/>
        <v>0</v>
      </c>
      <c r="M14" s="407">
        <f t="shared" si="9"/>
        <v>0</v>
      </c>
      <c r="N14" s="407">
        <f t="shared" si="9"/>
        <v>0</v>
      </c>
      <c r="O14" s="407">
        <f t="shared" si="9"/>
        <v>0</v>
      </c>
      <c r="P14" s="417">
        <f t="shared" si="7"/>
        <v>0</v>
      </c>
    </row>
    <row r="15" spans="2:19" ht="13.5" customHeight="1">
      <c r="C15" s="411"/>
    </row>
    <row r="16" spans="2:19" ht="13.5" customHeight="1">
      <c r="B16" s="407" t="s">
        <v>170</v>
      </c>
      <c r="C16" s="411">
        <v>0.32</v>
      </c>
      <c r="D16" s="412">
        <f>D6*$C$16</f>
        <v>22400</v>
      </c>
      <c r="E16" s="412">
        <f t="shared" ref="E16:O16" si="10">E6*$C$16</f>
        <v>22400</v>
      </c>
      <c r="F16" s="412">
        <f t="shared" si="10"/>
        <v>22400</v>
      </c>
      <c r="G16" s="412">
        <f t="shared" si="10"/>
        <v>22400</v>
      </c>
      <c r="H16" s="412">
        <f t="shared" si="10"/>
        <v>22400</v>
      </c>
      <c r="I16" s="412">
        <f t="shared" si="10"/>
        <v>22400</v>
      </c>
      <c r="J16" s="412">
        <f t="shared" si="10"/>
        <v>22400</v>
      </c>
      <c r="K16" s="412">
        <f t="shared" si="10"/>
        <v>22400</v>
      </c>
      <c r="L16" s="412">
        <f t="shared" si="10"/>
        <v>22400</v>
      </c>
      <c r="M16" s="412">
        <f t="shared" si="10"/>
        <v>22400</v>
      </c>
      <c r="N16" s="412">
        <f t="shared" si="10"/>
        <v>22400</v>
      </c>
      <c r="O16" s="412">
        <f t="shared" si="10"/>
        <v>22400</v>
      </c>
      <c r="P16" s="417">
        <f>SUM(D16:O16)</f>
        <v>268800</v>
      </c>
    </row>
    <row r="17" spans="2:16" ht="13.5" customHeight="1">
      <c r="B17" s="407" t="s">
        <v>171</v>
      </c>
      <c r="C17" s="411">
        <v>0.08</v>
      </c>
      <c r="D17" s="412">
        <f>D11*$C$17</f>
        <v>8000</v>
      </c>
      <c r="E17" s="412">
        <f t="shared" ref="E17:O17" si="11">E11*$C$17</f>
        <v>8000</v>
      </c>
      <c r="F17" s="412">
        <f t="shared" si="11"/>
        <v>8000</v>
      </c>
      <c r="G17" s="412">
        <f t="shared" si="11"/>
        <v>8000</v>
      </c>
      <c r="H17" s="412">
        <f t="shared" si="11"/>
        <v>8000</v>
      </c>
      <c r="I17" s="412">
        <f t="shared" si="11"/>
        <v>8000</v>
      </c>
      <c r="J17" s="412">
        <f t="shared" si="11"/>
        <v>8000</v>
      </c>
      <c r="K17" s="412">
        <f t="shared" si="11"/>
        <v>8000</v>
      </c>
      <c r="L17" s="412">
        <f t="shared" si="11"/>
        <v>8000</v>
      </c>
      <c r="M17" s="412">
        <f t="shared" si="11"/>
        <v>8000</v>
      </c>
      <c r="N17" s="412">
        <f t="shared" si="11"/>
        <v>8000</v>
      </c>
      <c r="O17" s="412">
        <f t="shared" si="11"/>
        <v>8000</v>
      </c>
      <c r="P17" s="417">
        <f t="shared" ref="P17:P18" si="12">SUM(D17:O17)</f>
        <v>96000</v>
      </c>
    </row>
    <row r="18" spans="2:16" ht="13.5" customHeight="1">
      <c r="B18" s="407" t="s">
        <v>172</v>
      </c>
      <c r="C18" s="411">
        <v>0.12</v>
      </c>
      <c r="D18" s="412">
        <f>D11*$C$18</f>
        <v>12000</v>
      </c>
      <c r="E18" s="412">
        <f t="shared" ref="E18:O18" si="13">E11*$C$18</f>
        <v>12000</v>
      </c>
      <c r="F18" s="412">
        <f t="shared" si="13"/>
        <v>12000</v>
      </c>
      <c r="G18" s="412">
        <f t="shared" si="13"/>
        <v>12000</v>
      </c>
      <c r="H18" s="412">
        <f t="shared" si="13"/>
        <v>12000</v>
      </c>
      <c r="I18" s="412">
        <f t="shared" si="13"/>
        <v>12000</v>
      </c>
      <c r="J18" s="412">
        <f t="shared" si="13"/>
        <v>12000</v>
      </c>
      <c r="K18" s="412">
        <f t="shared" si="13"/>
        <v>12000</v>
      </c>
      <c r="L18" s="412">
        <f t="shared" si="13"/>
        <v>12000</v>
      </c>
      <c r="M18" s="412">
        <f t="shared" si="13"/>
        <v>12000</v>
      </c>
      <c r="N18" s="412">
        <f t="shared" si="13"/>
        <v>12000</v>
      </c>
      <c r="O18" s="412">
        <f t="shared" si="13"/>
        <v>12000</v>
      </c>
      <c r="P18" s="417">
        <f t="shared" si="12"/>
        <v>144000</v>
      </c>
    </row>
    <row r="19" spans="2:16" ht="13.5" customHeight="1">
      <c r="C19" s="411"/>
    </row>
    <row r="20" spans="2:16">
      <c r="B20" s="407" t="s">
        <v>138</v>
      </c>
    </row>
    <row r="21" spans="2:16">
      <c r="B21" s="407" t="s">
        <v>88</v>
      </c>
      <c r="C21" s="411">
        <v>0.15</v>
      </c>
      <c r="D21" s="412">
        <f>(D16+D17)*$C$21</f>
        <v>4560</v>
      </c>
      <c r="E21" s="412">
        <f t="shared" ref="E21:O21" si="14">(E16+E17)*$C$21</f>
        <v>4560</v>
      </c>
      <c r="F21" s="412">
        <f t="shared" si="14"/>
        <v>4560</v>
      </c>
      <c r="G21" s="412">
        <f t="shared" si="14"/>
        <v>4560</v>
      </c>
      <c r="H21" s="412">
        <f t="shared" si="14"/>
        <v>4560</v>
      </c>
      <c r="I21" s="412">
        <f t="shared" si="14"/>
        <v>4560</v>
      </c>
      <c r="J21" s="412">
        <f t="shared" si="14"/>
        <v>4560</v>
      </c>
      <c r="K21" s="412">
        <f t="shared" si="14"/>
        <v>4560</v>
      </c>
      <c r="L21" s="412">
        <f t="shared" si="14"/>
        <v>4560</v>
      </c>
      <c r="M21" s="412">
        <f t="shared" si="14"/>
        <v>4560</v>
      </c>
      <c r="N21" s="412">
        <f t="shared" si="14"/>
        <v>4560</v>
      </c>
      <c r="O21" s="412">
        <f t="shared" si="14"/>
        <v>4560</v>
      </c>
      <c r="P21" s="417">
        <f>SUM(D21:O21)</f>
        <v>54720</v>
      </c>
    </row>
    <row r="22" spans="2:16">
      <c r="B22" s="407" t="s">
        <v>89</v>
      </c>
      <c r="C22" s="411">
        <v>0.1</v>
      </c>
      <c r="P22" s="417">
        <f>SUM(D22:O22)</f>
        <v>0</v>
      </c>
    </row>
    <row r="23" spans="2:16">
      <c r="B23" s="407" t="s">
        <v>11</v>
      </c>
      <c r="C23" s="411">
        <v>0.09</v>
      </c>
      <c r="D23" s="412">
        <f>(D16+D18)*$C$23</f>
        <v>3096</v>
      </c>
      <c r="E23" s="412">
        <f t="shared" ref="E23:O23" si="15">(E16+E18)*$C$23</f>
        <v>3096</v>
      </c>
      <c r="F23" s="412">
        <f t="shared" si="15"/>
        <v>3096</v>
      </c>
      <c r="G23" s="412">
        <f t="shared" si="15"/>
        <v>3096</v>
      </c>
      <c r="H23" s="412">
        <f t="shared" si="15"/>
        <v>3096</v>
      </c>
      <c r="I23" s="412">
        <f t="shared" si="15"/>
        <v>3096</v>
      </c>
      <c r="J23" s="412">
        <f t="shared" si="15"/>
        <v>3096</v>
      </c>
      <c r="K23" s="412">
        <f t="shared" si="15"/>
        <v>3096</v>
      </c>
      <c r="L23" s="412">
        <f t="shared" si="15"/>
        <v>3096</v>
      </c>
      <c r="M23" s="412">
        <f t="shared" si="15"/>
        <v>3096</v>
      </c>
      <c r="N23" s="412">
        <f t="shared" si="15"/>
        <v>3096</v>
      </c>
      <c r="O23" s="412">
        <f t="shared" si="15"/>
        <v>3096</v>
      </c>
      <c r="P23" s="417">
        <f>SUM(D23:O23)</f>
        <v>37152</v>
      </c>
    </row>
    <row r="25" spans="2:16">
      <c r="B25" s="409" t="s">
        <v>183</v>
      </c>
      <c r="C25" s="409"/>
      <c r="D25" s="412">
        <f>D23+D21+D14+D13+D12+D9+D8+D7</f>
        <v>29611</v>
      </c>
      <c r="E25" s="412">
        <f t="shared" ref="E25:O25" si="16">E23+E21+E14+E13+E12+E9+E8+E7</f>
        <v>29611</v>
      </c>
      <c r="F25" s="412">
        <f t="shared" si="16"/>
        <v>29611</v>
      </c>
      <c r="G25" s="412">
        <f t="shared" si="16"/>
        <v>29611</v>
      </c>
      <c r="H25" s="412">
        <f t="shared" si="16"/>
        <v>29611</v>
      </c>
      <c r="I25" s="412">
        <f t="shared" si="16"/>
        <v>29611</v>
      </c>
      <c r="J25" s="412">
        <f t="shared" si="16"/>
        <v>29611</v>
      </c>
      <c r="K25" s="412">
        <f t="shared" si="16"/>
        <v>29611</v>
      </c>
      <c r="L25" s="412">
        <f t="shared" si="16"/>
        <v>29611</v>
      </c>
      <c r="M25" s="412">
        <f t="shared" si="16"/>
        <v>29611</v>
      </c>
      <c r="N25" s="412">
        <f t="shared" si="16"/>
        <v>29611</v>
      </c>
      <c r="O25" s="412">
        <f t="shared" si="16"/>
        <v>29611</v>
      </c>
    </row>
    <row r="26" spans="2:16">
      <c r="C26" s="414"/>
      <c r="D26" s="421">
        <f>D25/D5</f>
        <v>0.17418235294117648</v>
      </c>
      <c r="E26" s="421">
        <f t="shared" ref="E26:O26" si="17">E25/E5</f>
        <v>0.17418235294117648</v>
      </c>
      <c r="F26" s="421">
        <f t="shared" si="17"/>
        <v>0.17418235294117648</v>
      </c>
      <c r="G26" s="421">
        <f t="shared" si="17"/>
        <v>0.17418235294117648</v>
      </c>
      <c r="H26" s="421">
        <f t="shared" si="17"/>
        <v>0.17418235294117648</v>
      </c>
      <c r="I26" s="421">
        <f t="shared" si="17"/>
        <v>0.17418235294117648</v>
      </c>
      <c r="J26" s="421">
        <f t="shared" si="17"/>
        <v>0.17418235294117648</v>
      </c>
      <c r="K26" s="421">
        <f t="shared" si="17"/>
        <v>0.17418235294117648</v>
      </c>
      <c r="L26" s="421">
        <f t="shared" si="17"/>
        <v>0.17418235294117648</v>
      </c>
      <c r="M26" s="421">
        <f t="shared" si="17"/>
        <v>0.17418235294117648</v>
      </c>
      <c r="N26" s="421">
        <f t="shared" si="17"/>
        <v>0.17418235294117648</v>
      </c>
      <c r="O26" s="421">
        <f t="shared" si="17"/>
        <v>0.17418235294117648</v>
      </c>
    </row>
    <row r="27" spans="2:16" ht="11" thickBot="1">
      <c r="B27" s="407" t="s">
        <v>185</v>
      </c>
    </row>
    <row r="28" spans="2:16">
      <c r="B28" s="423" t="s">
        <v>186</v>
      </c>
      <c r="C28" s="424"/>
      <c r="D28" s="424">
        <v>100</v>
      </c>
      <c r="E28" s="425"/>
    </row>
    <row r="29" spans="2:16">
      <c r="B29" s="426" t="s">
        <v>24</v>
      </c>
      <c r="C29" s="427">
        <v>0.12</v>
      </c>
      <c r="D29" s="428">
        <f>+D28*C29</f>
        <v>12</v>
      </c>
      <c r="E29" s="429"/>
    </row>
    <row r="30" spans="2:16">
      <c r="B30" s="426" t="s">
        <v>188</v>
      </c>
      <c r="C30" s="428"/>
      <c r="D30" s="428">
        <f>D28-D29</f>
        <v>88</v>
      </c>
      <c r="E30" s="429"/>
    </row>
    <row r="31" spans="2:16">
      <c r="B31" s="435" t="s">
        <v>187</v>
      </c>
      <c r="C31" s="436">
        <v>0.4</v>
      </c>
      <c r="D31" s="428">
        <f>D30*(1+C31)</f>
        <v>123.19999999999999</v>
      </c>
      <c r="E31" s="429"/>
    </row>
    <row r="32" spans="2:16">
      <c r="B32" s="426" t="s">
        <v>189</v>
      </c>
      <c r="C32" s="427">
        <v>0.18</v>
      </c>
      <c r="D32" s="428">
        <f>D31*C32</f>
        <v>22.175999999999998</v>
      </c>
      <c r="E32" s="429"/>
    </row>
    <row r="33" spans="2:5">
      <c r="B33" s="426" t="s">
        <v>190</v>
      </c>
      <c r="C33" s="428"/>
      <c r="D33" s="428">
        <f>-D29</f>
        <v>-12</v>
      </c>
      <c r="E33" s="429"/>
    </row>
    <row r="34" spans="2:5">
      <c r="B34" s="430" t="s">
        <v>191</v>
      </c>
      <c r="C34" s="431"/>
      <c r="D34" s="431">
        <f>D32+D33</f>
        <v>10.175999999999998</v>
      </c>
      <c r="E34" s="429">
        <f>D34</f>
        <v>10.175999999999998</v>
      </c>
    </row>
    <row r="35" spans="2:5">
      <c r="B35" s="426"/>
      <c r="C35" s="428"/>
      <c r="D35" s="428"/>
      <c r="E35" s="429"/>
    </row>
    <row r="36" spans="2:5">
      <c r="B36" s="426" t="s">
        <v>192</v>
      </c>
      <c r="C36" s="428"/>
      <c r="D36" s="428">
        <v>120</v>
      </c>
      <c r="E36" s="429">
        <v>150</v>
      </c>
    </row>
    <row r="37" spans="2:5">
      <c r="B37" s="426" t="s">
        <v>24</v>
      </c>
      <c r="C37" s="427">
        <v>0.18</v>
      </c>
      <c r="D37" s="428">
        <f>D36*$C$37</f>
        <v>21.599999999999998</v>
      </c>
      <c r="E37" s="429">
        <f>E36*$C$37</f>
        <v>27</v>
      </c>
    </row>
    <row r="38" spans="2:5">
      <c r="B38" s="426" t="s">
        <v>193</v>
      </c>
      <c r="C38" s="427">
        <v>0.18</v>
      </c>
      <c r="D38" s="428">
        <f>D29</f>
        <v>12</v>
      </c>
      <c r="E38" s="429">
        <f>D38</f>
        <v>12</v>
      </c>
    </row>
    <row r="39" spans="2:5">
      <c r="B39" s="426" t="s">
        <v>194</v>
      </c>
      <c r="C39" s="428"/>
      <c r="D39" s="428">
        <f>D37-D38</f>
        <v>9.5999999999999979</v>
      </c>
      <c r="E39" s="429">
        <f>E37-E38</f>
        <v>15</v>
      </c>
    </row>
    <row r="40" spans="2:5" ht="11" thickBot="1">
      <c r="B40" s="432" t="s">
        <v>195</v>
      </c>
      <c r="C40" s="433"/>
      <c r="D40" s="433">
        <f>D34-D39</f>
        <v>0.57600000000000051</v>
      </c>
      <c r="E40" s="434">
        <f>E34-E39</f>
        <v>-4.8240000000000016</v>
      </c>
    </row>
  </sheetData>
  <phoneticPr fontId="43" type="noConversion"/>
  <hyperlinks>
    <hyperlink ref="I1" r:id="rId1" xr:uid="{FF926A10-D021-4007-B357-40F454BEE698}"/>
  </hyperlinks>
  <pageMargins left="0.511811024" right="0.511811024" top="0.78740157499999996" bottom="0.78740157499999996" header="0.31496062000000002" footer="0.31496062000000002"/>
  <pageSetup orientation="portrait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6BC5B-5274-46C0-819A-341E810100B6}">
  <dimension ref="B3"/>
  <sheetViews>
    <sheetView workbookViewId="0">
      <selection activeCell="B4" sqref="B4"/>
    </sheetView>
  </sheetViews>
  <sheetFormatPr defaultRowHeight="14.5"/>
  <sheetData>
    <row r="3" spans="2:2">
      <c r="B3" t="s">
        <v>196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7A04C-C620-4EC3-883E-CFA5B70A44D7}">
  <dimension ref="B2:B7"/>
  <sheetViews>
    <sheetView workbookViewId="0">
      <selection activeCell="G12" sqref="G12"/>
    </sheetView>
  </sheetViews>
  <sheetFormatPr defaultRowHeight="14.5"/>
  <sheetData>
    <row r="2" spans="2:2">
      <c r="B2" s="406" t="s">
        <v>173</v>
      </c>
    </row>
    <row r="3" spans="2:2">
      <c r="B3" s="406" t="s">
        <v>174</v>
      </c>
    </row>
    <row r="4" spans="2:2">
      <c r="B4" s="406" t="s">
        <v>175</v>
      </c>
    </row>
    <row r="5" spans="2:2">
      <c r="B5" s="406" t="s">
        <v>176</v>
      </c>
    </row>
    <row r="6" spans="2:2">
      <c r="B6" s="406" t="s">
        <v>177</v>
      </c>
    </row>
    <row r="7" spans="2:2">
      <c r="B7" s="406" t="s">
        <v>178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22"/>
  <sheetViews>
    <sheetView zoomScale="70" zoomScaleNormal="70" workbookViewId="0">
      <selection activeCell="M24" sqref="M24"/>
    </sheetView>
  </sheetViews>
  <sheetFormatPr defaultRowHeight="14.5"/>
  <cols>
    <col min="1" max="1" width="5.26953125" customWidth="1"/>
    <col min="2" max="2" width="18.36328125" bestFit="1" customWidth="1"/>
    <col min="3" max="3" width="12.6328125" bestFit="1" customWidth="1"/>
    <col min="4" max="4" width="7" bestFit="1" customWidth="1"/>
    <col min="5" max="5" width="12" bestFit="1" customWidth="1"/>
    <col min="6" max="6" width="8.54296875" bestFit="1" customWidth="1"/>
    <col min="7" max="7" width="15" bestFit="1" customWidth="1"/>
    <col min="8" max="8" width="8.08984375" bestFit="1" customWidth="1"/>
    <col min="9" max="9" width="9.7265625" bestFit="1" customWidth="1"/>
    <col min="10" max="10" width="5.54296875" bestFit="1" customWidth="1"/>
    <col min="11" max="11" width="31" bestFit="1" customWidth="1"/>
    <col min="12" max="12" width="8.6328125" bestFit="1" customWidth="1"/>
    <col min="13" max="13" width="15.453125" customWidth="1"/>
    <col min="14" max="14" width="8.54296875" bestFit="1" customWidth="1"/>
    <col min="15" max="16" width="6.54296875" bestFit="1" customWidth="1"/>
  </cols>
  <sheetData>
    <row r="1" spans="2:16" ht="15" thickBot="1">
      <c r="B1" s="169" t="s">
        <v>35</v>
      </c>
      <c r="C1" s="2" t="s">
        <v>106</v>
      </c>
      <c r="G1" s="2"/>
      <c r="K1" t="s">
        <v>107</v>
      </c>
      <c r="N1" s="26"/>
      <c r="O1" s="26"/>
      <c r="P1" s="26"/>
    </row>
    <row r="2" spans="2:16" ht="15" thickBot="1">
      <c r="B2" s="1">
        <v>43191</v>
      </c>
      <c r="C2" s="210">
        <v>0</v>
      </c>
      <c r="G2" s="2"/>
      <c r="K2" s="211" t="s">
        <v>25</v>
      </c>
      <c r="L2" s="211" t="s">
        <v>26</v>
      </c>
      <c r="M2" s="211" t="s">
        <v>27</v>
      </c>
      <c r="N2" s="26"/>
      <c r="O2" s="26"/>
      <c r="P2" s="26"/>
    </row>
    <row r="3" spans="2:16" ht="15.5" thickTop="1" thickBot="1">
      <c r="B3" s="1">
        <v>43221</v>
      </c>
      <c r="C3" s="210">
        <v>0</v>
      </c>
      <c r="G3" s="2"/>
      <c r="K3" s="199" t="s">
        <v>28</v>
      </c>
      <c r="L3" s="200">
        <v>0.04</v>
      </c>
      <c r="M3" s="199">
        <v>0</v>
      </c>
      <c r="N3" s="26"/>
      <c r="O3" s="26"/>
      <c r="P3" s="26"/>
    </row>
    <row r="4" spans="2:16" ht="15" thickBot="1">
      <c r="B4" s="1">
        <v>43252</v>
      </c>
      <c r="C4" s="2">
        <v>60000</v>
      </c>
      <c r="G4" s="2"/>
      <c r="K4" s="204" t="s">
        <v>29</v>
      </c>
      <c r="L4" s="205">
        <v>7.2999999999999995E-2</v>
      </c>
      <c r="M4" s="206">
        <v>5940</v>
      </c>
      <c r="N4" s="26"/>
      <c r="O4" s="26"/>
      <c r="P4" s="26"/>
    </row>
    <row r="5" spans="2:16" ht="15" thickBot="1">
      <c r="B5" s="1"/>
      <c r="C5" s="2"/>
      <c r="G5" s="2"/>
      <c r="K5" s="201" t="s">
        <v>30</v>
      </c>
      <c r="L5" s="202">
        <v>9.5000000000000001E-2</v>
      </c>
      <c r="M5" s="203">
        <v>13860</v>
      </c>
      <c r="N5" s="26"/>
      <c r="O5" s="26"/>
      <c r="P5" s="26"/>
    </row>
    <row r="6" spans="2:16" ht="15" thickBot="1">
      <c r="B6" s="208" t="s">
        <v>58</v>
      </c>
      <c r="C6" s="209">
        <f>AVERAGE(C2:C4)</f>
        <v>20000</v>
      </c>
      <c r="G6" s="2"/>
      <c r="K6" s="29" t="s">
        <v>31</v>
      </c>
      <c r="L6" s="30">
        <v>0.107</v>
      </c>
      <c r="M6" s="31">
        <v>22500</v>
      </c>
      <c r="N6" s="26"/>
      <c r="O6" s="26"/>
      <c r="P6" s="26"/>
    </row>
    <row r="7" spans="2:16" ht="15" thickBot="1">
      <c r="C7" s="2"/>
      <c r="G7" s="2"/>
      <c r="K7" s="32" t="s">
        <v>32</v>
      </c>
      <c r="L7" s="33">
        <v>0.14299999999999999</v>
      </c>
      <c r="M7" s="34">
        <v>87300</v>
      </c>
      <c r="N7" s="26"/>
      <c r="O7" s="26"/>
      <c r="P7" s="26"/>
    </row>
    <row r="8" spans="2:16" ht="15" thickBot="1">
      <c r="C8" t="s">
        <v>1</v>
      </c>
      <c r="E8" t="s">
        <v>5</v>
      </c>
      <c r="G8" s="2" t="s">
        <v>3</v>
      </c>
      <c r="J8" s="26"/>
      <c r="K8" s="29" t="s">
        <v>33</v>
      </c>
      <c r="L8" s="35">
        <v>0.19</v>
      </c>
      <c r="M8" s="31">
        <v>378000</v>
      </c>
      <c r="N8" s="26"/>
      <c r="O8" s="26"/>
      <c r="P8" s="26"/>
    </row>
    <row r="9" spans="2:16">
      <c r="C9" s="2">
        <f>C6*12</f>
        <v>240000</v>
      </c>
      <c r="D9" t="s">
        <v>2</v>
      </c>
      <c r="E9" s="17">
        <f>L4</f>
        <v>7.2999999999999995E-2</v>
      </c>
      <c r="F9" s="3" t="s">
        <v>34</v>
      </c>
      <c r="G9" s="18">
        <f>M4</f>
        <v>5940</v>
      </c>
      <c r="J9" s="26"/>
      <c r="K9" s="26"/>
      <c r="L9" s="26"/>
      <c r="M9" s="26"/>
      <c r="N9" s="26"/>
      <c r="O9" s="26"/>
      <c r="P9" s="26"/>
    </row>
    <row r="10" spans="2:16" ht="15" thickBot="1">
      <c r="C10" s="2"/>
      <c r="G10" s="2"/>
      <c r="J10" s="36"/>
      <c r="K10" s="36"/>
      <c r="L10" s="36"/>
      <c r="M10" s="36"/>
      <c r="N10" s="36"/>
      <c r="O10" s="36"/>
      <c r="P10" s="36"/>
    </row>
    <row r="11" spans="2:16" ht="15" thickBot="1">
      <c r="B11" s="20" t="s">
        <v>4</v>
      </c>
      <c r="C11" s="21">
        <f>((C9*E9)-G9)/C9</f>
        <v>4.8250000000000001E-2</v>
      </c>
      <c r="G11" s="2"/>
      <c r="J11" s="7" t="s">
        <v>8</v>
      </c>
      <c r="K11" s="90" t="s">
        <v>9</v>
      </c>
      <c r="L11" s="91"/>
      <c r="M11" s="91"/>
      <c r="N11" s="91"/>
      <c r="O11" s="91"/>
      <c r="P11" s="92"/>
    </row>
    <row r="12" spans="2:16" ht="15.5" thickTop="1" thickBot="1">
      <c r="C12" s="2"/>
      <c r="G12" s="2"/>
      <c r="J12" s="8"/>
      <c r="K12" s="8" t="s">
        <v>10</v>
      </c>
      <c r="L12" s="8" t="s">
        <v>11</v>
      </c>
      <c r="M12" s="8" t="s">
        <v>12</v>
      </c>
      <c r="N12" s="8" t="s">
        <v>13</v>
      </c>
      <c r="O12" s="8" t="s">
        <v>14</v>
      </c>
      <c r="P12" s="9" t="s">
        <v>24</v>
      </c>
    </row>
    <row r="13" spans="2:16" ht="15" thickBot="1">
      <c r="B13" s="212">
        <v>43282</v>
      </c>
      <c r="C13" s="207">
        <v>50000</v>
      </c>
      <c r="G13" s="2"/>
      <c r="J13" s="213" t="s">
        <v>16</v>
      </c>
      <c r="K13" s="214">
        <v>5.5E-2</v>
      </c>
      <c r="L13" s="214">
        <v>3.5000000000000003E-2</v>
      </c>
      <c r="M13" s="214">
        <v>0.12740000000000001</v>
      </c>
      <c r="N13" s="214">
        <v>2.76E-2</v>
      </c>
      <c r="O13" s="214">
        <v>0.41499999999999998</v>
      </c>
      <c r="P13" s="215">
        <v>0.34</v>
      </c>
    </row>
    <row r="14" spans="2:16" ht="15" thickBot="1">
      <c r="B14" t="s">
        <v>6</v>
      </c>
      <c r="C14" s="42">
        <f>C11</f>
        <v>4.8250000000000001E-2</v>
      </c>
      <c r="D14" s="38"/>
      <c r="E14" s="43">
        <f>M5</f>
        <v>13860</v>
      </c>
      <c r="F14" s="38"/>
      <c r="G14" s="37"/>
      <c r="J14" s="219" t="s">
        <v>17</v>
      </c>
      <c r="K14" s="220">
        <v>5.5E-2</v>
      </c>
      <c r="L14" s="220">
        <v>3.5000000000000003E-2</v>
      </c>
      <c r="M14" s="220">
        <v>0.12740000000000001</v>
      </c>
      <c r="N14" s="220">
        <v>2.76E-2</v>
      </c>
      <c r="O14" s="220">
        <v>0.41499999999999998</v>
      </c>
      <c r="P14" s="221">
        <v>0.34</v>
      </c>
    </row>
    <row r="15" spans="2:16" ht="15" thickBot="1">
      <c r="B15" s="23" t="s">
        <v>7</v>
      </c>
      <c r="C15" s="24">
        <f>C14*C13</f>
        <v>2412.5</v>
      </c>
      <c r="G15" s="2"/>
      <c r="J15" s="216" t="s">
        <v>18</v>
      </c>
      <c r="K15" s="217">
        <v>5.5E-2</v>
      </c>
      <c r="L15" s="217">
        <v>3.5000000000000003E-2</v>
      </c>
      <c r="M15" s="217">
        <v>0.12740000000000001</v>
      </c>
      <c r="N15" s="217">
        <v>2.76E-2</v>
      </c>
      <c r="O15" s="217">
        <v>0.42</v>
      </c>
      <c r="P15" s="218">
        <v>0.33500000000000002</v>
      </c>
    </row>
    <row r="16" spans="2:16" ht="15" thickBot="1">
      <c r="C16" s="2"/>
      <c r="G16" s="2"/>
      <c r="J16" s="13" t="s">
        <v>19</v>
      </c>
      <c r="K16" s="14">
        <v>5.5E-2</v>
      </c>
      <c r="L16" s="14">
        <v>3.5000000000000003E-2</v>
      </c>
      <c r="M16" s="14">
        <v>0.12740000000000001</v>
      </c>
      <c r="N16" s="14">
        <v>2.76E-2</v>
      </c>
      <c r="O16" s="14">
        <v>0.42</v>
      </c>
      <c r="P16" s="15">
        <v>0.33500000000000002</v>
      </c>
    </row>
    <row r="17" spans="2:16" ht="15.5" thickTop="1" thickBot="1">
      <c r="B17" s="5"/>
      <c r="C17" s="8" t="s">
        <v>10</v>
      </c>
      <c r="D17" s="8" t="s">
        <v>11</v>
      </c>
      <c r="E17" s="8" t="s">
        <v>12</v>
      </c>
      <c r="F17" s="8" t="s">
        <v>13</v>
      </c>
      <c r="G17" s="8" t="s">
        <v>14</v>
      </c>
      <c r="H17" s="9" t="s">
        <v>24</v>
      </c>
      <c r="J17" s="10" t="s">
        <v>20</v>
      </c>
      <c r="K17" s="11">
        <v>5.5E-2</v>
      </c>
      <c r="L17" s="11">
        <v>3.5000000000000003E-2</v>
      </c>
      <c r="M17" s="11">
        <v>0.12740000000000001</v>
      </c>
      <c r="N17" s="11">
        <v>2.76E-2</v>
      </c>
      <c r="O17" s="11">
        <v>0.42</v>
      </c>
      <c r="P17" s="12">
        <v>0.33500000000000002</v>
      </c>
    </row>
    <row r="18" spans="2:16" ht="15" thickBot="1">
      <c r="B18" s="6"/>
      <c r="C18" s="14">
        <v>5.5E-2</v>
      </c>
      <c r="D18" s="14">
        <v>3.5000000000000003E-2</v>
      </c>
      <c r="E18" s="14">
        <v>0.12740000000000001</v>
      </c>
      <c r="F18" s="14">
        <v>2.76E-2</v>
      </c>
      <c r="G18" s="14">
        <v>0.41499999999999998</v>
      </c>
      <c r="H18" s="15">
        <v>0.34</v>
      </c>
      <c r="J18" s="13" t="s">
        <v>22</v>
      </c>
      <c r="K18" s="14">
        <v>0.13500000000000001</v>
      </c>
      <c r="L18" s="14">
        <v>0.1</v>
      </c>
      <c r="M18" s="14">
        <v>0.28270000000000001</v>
      </c>
      <c r="N18" s="14">
        <v>6.13E-2</v>
      </c>
      <c r="O18" s="14">
        <v>0.42099999999999999</v>
      </c>
      <c r="P18" s="16" t="s">
        <v>23</v>
      </c>
    </row>
    <row r="19" spans="2:16">
      <c r="C19" s="2">
        <f>$C$15*C18</f>
        <v>132.6875</v>
      </c>
      <c r="D19" s="2">
        <f t="shared" ref="D19:H19" si="0">$C$15*D18</f>
        <v>84.437500000000014</v>
      </c>
      <c r="E19" s="2">
        <f t="shared" si="0"/>
        <v>307.35250000000002</v>
      </c>
      <c r="F19" s="2">
        <f t="shared" si="0"/>
        <v>66.584999999999994</v>
      </c>
      <c r="G19" s="2">
        <f t="shared" si="0"/>
        <v>1001.1875</v>
      </c>
      <c r="H19" s="2">
        <f t="shared" si="0"/>
        <v>820.25000000000011</v>
      </c>
      <c r="I19" s="22">
        <f>SUM(C19:H19)</f>
        <v>2412.5</v>
      </c>
    </row>
    <row r="20" spans="2:16">
      <c r="C20" s="2"/>
      <c r="G20" s="2"/>
    </row>
    <row r="22" spans="2:16">
      <c r="C22" s="26"/>
      <c r="D22" s="26"/>
      <c r="E22" s="26"/>
      <c r="F22" s="26"/>
      <c r="G22" s="26"/>
      <c r="H22" s="26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30"/>
  <sheetViews>
    <sheetView zoomScale="70" zoomScaleNormal="70" workbookViewId="0">
      <selection activeCell="J12" sqref="J12:Q19"/>
    </sheetView>
  </sheetViews>
  <sheetFormatPr defaultColWidth="9.1796875" defaultRowHeight="12.5"/>
  <cols>
    <col min="1" max="1" width="5.26953125" style="94" customWidth="1"/>
    <col min="2" max="2" width="19.08984375" style="94" bestFit="1" customWidth="1"/>
    <col min="3" max="3" width="13.81640625" style="94" bestFit="1" customWidth="1"/>
    <col min="4" max="4" width="11.81640625" style="94" bestFit="1" customWidth="1"/>
    <col min="5" max="5" width="11.54296875" style="94" bestFit="1" customWidth="1"/>
    <col min="6" max="6" width="13.453125" style="94" customWidth="1"/>
    <col min="7" max="7" width="15" style="94" bestFit="1" customWidth="1"/>
    <col min="8" max="8" width="6.81640625" style="94" bestFit="1" customWidth="1"/>
    <col min="9" max="9" width="7.90625" style="94" bestFit="1" customWidth="1"/>
    <col min="10" max="10" width="28.90625" style="94" customWidth="1"/>
    <col min="11" max="11" width="13.81640625" style="94" customWidth="1"/>
    <col min="12" max="12" width="19.90625" style="94" customWidth="1"/>
    <col min="13" max="13" width="6.36328125" style="94" bestFit="1" customWidth="1"/>
    <col min="14" max="14" width="8.1796875" style="94" bestFit="1" customWidth="1"/>
    <col min="15" max="17" width="6.36328125" style="94" bestFit="1" customWidth="1"/>
    <col min="18" max="16384" width="9.1796875" style="94"/>
  </cols>
  <sheetData>
    <row r="1" spans="2:17" ht="34" thickBot="1">
      <c r="B1" s="94" t="s">
        <v>35</v>
      </c>
      <c r="C1" s="119"/>
      <c r="J1" s="141" t="s">
        <v>71</v>
      </c>
      <c r="K1" s="119"/>
    </row>
    <row r="2" spans="2:17" ht="26.5" thickBot="1">
      <c r="B2" s="93" t="s">
        <v>59</v>
      </c>
      <c r="D2" s="99">
        <v>17500</v>
      </c>
      <c r="J2" s="134" t="s">
        <v>25</v>
      </c>
      <c r="K2" s="134" t="s">
        <v>26</v>
      </c>
      <c r="L2" s="134" t="s">
        <v>27</v>
      </c>
    </row>
    <row r="3" spans="2:17" ht="13" thickBot="1">
      <c r="B3" s="93" t="s">
        <v>60</v>
      </c>
      <c r="D3" s="99">
        <v>15000</v>
      </c>
      <c r="J3" s="138" t="s">
        <v>28</v>
      </c>
      <c r="K3" s="139">
        <v>4.4999999999999998E-2</v>
      </c>
      <c r="L3" s="140">
        <v>0</v>
      </c>
    </row>
    <row r="4" spans="2:17" ht="13" thickBot="1">
      <c r="B4" s="93" t="s">
        <v>61</v>
      </c>
      <c r="D4" s="99">
        <v>16500</v>
      </c>
      <c r="J4" s="135" t="s">
        <v>29</v>
      </c>
      <c r="K4" s="136">
        <v>7.8E-2</v>
      </c>
      <c r="L4" s="137">
        <v>5940</v>
      </c>
    </row>
    <row r="5" spans="2:17" ht="13" thickBot="1">
      <c r="B5" s="93" t="s">
        <v>62</v>
      </c>
      <c r="D5" s="99">
        <v>11000</v>
      </c>
      <c r="J5" s="97" t="s">
        <v>30</v>
      </c>
      <c r="K5" s="105">
        <v>0.1</v>
      </c>
      <c r="L5" s="98">
        <v>13860</v>
      </c>
    </row>
    <row r="6" spans="2:17" ht="13" thickBot="1">
      <c r="B6" s="93" t="s">
        <v>63</v>
      </c>
      <c r="D6" s="99">
        <v>13000</v>
      </c>
      <c r="J6" s="95" t="s">
        <v>31</v>
      </c>
      <c r="K6" s="104">
        <v>0.112</v>
      </c>
      <c r="L6" s="96">
        <v>22500</v>
      </c>
    </row>
    <row r="7" spans="2:17" ht="13" thickBot="1">
      <c r="B7" s="93" t="s">
        <v>64</v>
      </c>
      <c r="D7" s="99">
        <v>18000</v>
      </c>
      <c r="J7" s="97" t="s">
        <v>32</v>
      </c>
      <c r="K7" s="105">
        <v>0.14699999999999999</v>
      </c>
      <c r="L7" s="98">
        <v>85500</v>
      </c>
    </row>
    <row r="8" spans="2:17" ht="13" thickBot="1">
      <c r="B8" s="93" t="s">
        <v>65</v>
      </c>
      <c r="D8" s="99">
        <v>10000</v>
      </c>
      <c r="J8" s="95" t="s">
        <v>33</v>
      </c>
      <c r="K8" s="104">
        <v>0.3</v>
      </c>
      <c r="L8" s="96">
        <v>720000</v>
      </c>
    </row>
    <row r="9" spans="2:17">
      <c r="B9" s="93" t="s">
        <v>66</v>
      </c>
      <c r="D9" s="99">
        <v>13700</v>
      </c>
    </row>
    <row r="10" spans="2:17">
      <c r="B10" s="93" t="s">
        <v>67</v>
      </c>
      <c r="D10" s="99">
        <v>15500</v>
      </c>
    </row>
    <row r="11" spans="2:17" ht="13" thickBot="1">
      <c r="B11" s="93" t="s">
        <v>68</v>
      </c>
      <c r="D11" s="99">
        <v>18100</v>
      </c>
    </row>
    <row r="12" spans="2:17" ht="13.5" thickBot="1">
      <c r="B12" s="93" t="s">
        <v>69</v>
      </c>
      <c r="D12" s="99">
        <v>9800</v>
      </c>
      <c r="J12" s="107" t="s">
        <v>8</v>
      </c>
      <c r="K12" s="398" t="s">
        <v>9</v>
      </c>
      <c r="L12" s="398"/>
      <c r="M12" s="398"/>
      <c r="N12" s="398"/>
      <c r="O12" s="398"/>
      <c r="P12" s="398"/>
      <c r="Q12" s="399"/>
    </row>
    <row r="13" spans="2:17" ht="13.5" thickBot="1">
      <c r="B13" s="93" t="s">
        <v>70</v>
      </c>
      <c r="D13" s="99">
        <v>20000</v>
      </c>
      <c r="J13" s="225"/>
      <c r="K13" s="226" t="s">
        <v>10</v>
      </c>
      <c r="L13" s="226" t="s">
        <v>11</v>
      </c>
      <c r="M13" s="226" t="s">
        <v>12</v>
      </c>
      <c r="N13" s="226" t="s">
        <v>13</v>
      </c>
      <c r="O13" s="226" t="s">
        <v>14</v>
      </c>
      <c r="P13" s="227" t="s">
        <v>36</v>
      </c>
      <c r="Q13" s="228" t="s">
        <v>24</v>
      </c>
    </row>
    <row r="14" spans="2:17" ht="13.5" thickBot="1">
      <c r="D14" s="121">
        <f>SUM(D2:D13)</f>
        <v>178100</v>
      </c>
      <c r="J14" s="233" t="s">
        <v>16</v>
      </c>
      <c r="K14" s="234">
        <v>5.5E-2</v>
      </c>
      <c r="L14" s="234">
        <v>3.5000000000000003E-2</v>
      </c>
      <c r="M14" s="234">
        <v>0.11509999999999999</v>
      </c>
      <c r="N14" s="234">
        <v>2.4899999999999999E-2</v>
      </c>
      <c r="O14" s="234">
        <v>0.375</v>
      </c>
      <c r="P14" s="235">
        <v>7.4999999999999997E-2</v>
      </c>
      <c r="Q14" s="236">
        <v>0.32</v>
      </c>
    </row>
    <row r="15" spans="2:17" ht="13.5" thickBot="1">
      <c r="J15" s="229" t="s">
        <v>17</v>
      </c>
      <c r="K15" s="230">
        <v>5.5E-2</v>
      </c>
      <c r="L15" s="230">
        <v>3.5000000000000003E-2</v>
      </c>
      <c r="M15" s="230">
        <v>0.11509999999999999</v>
      </c>
      <c r="N15" s="230">
        <v>2.4899999999999999E-2</v>
      </c>
      <c r="O15" s="230">
        <v>0.375</v>
      </c>
      <c r="P15" s="231">
        <v>7.4999999999999997E-2</v>
      </c>
      <c r="Q15" s="232">
        <v>0.32</v>
      </c>
    </row>
    <row r="16" spans="2:17" ht="13.5" customHeight="1" thickBot="1">
      <c r="B16" s="103" t="s">
        <v>58</v>
      </c>
      <c r="C16" s="120"/>
      <c r="D16" s="121">
        <f>AVERAGE(D2:D13)</f>
        <v>14841.666666666666</v>
      </c>
      <c r="E16" s="122">
        <f>SUM(D2:D13)</f>
        <v>178100</v>
      </c>
      <c r="J16" s="112" t="s">
        <v>18</v>
      </c>
      <c r="K16" s="113">
        <v>5.5E-2</v>
      </c>
      <c r="L16" s="113">
        <v>3.5000000000000003E-2</v>
      </c>
      <c r="M16" s="113">
        <v>0.11509999999999999</v>
      </c>
      <c r="N16" s="113">
        <v>2.4899999999999999E-2</v>
      </c>
      <c r="O16" s="113">
        <v>0.375</v>
      </c>
      <c r="P16" s="114">
        <v>7.4999999999999997E-2</v>
      </c>
      <c r="Q16" s="115">
        <v>0.32</v>
      </c>
    </row>
    <row r="17" spans="2:17" ht="13.5" thickBot="1">
      <c r="J17" s="108" t="s">
        <v>19</v>
      </c>
      <c r="K17" s="116">
        <v>5.5E-2</v>
      </c>
      <c r="L17" s="116">
        <v>3.5000000000000003E-2</v>
      </c>
      <c r="M17" s="116">
        <v>0.11509999999999999</v>
      </c>
      <c r="N17" s="116">
        <v>2.4899999999999999E-2</v>
      </c>
      <c r="O17" s="116">
        <v>0.375</v>
      </c>
      <c r="P17" s="117">
        <v>7.4999999999999997E-2</v>
      </c>
      <c r="Q17" s="118">
        <v>0.32</v>
      </c>
    </row>
    <row r="18" spans="2:17" ht="13.5" thickBot="1">
      <c r="C18" s="94" t="s">
        <v>1</v>
      </c>
      <c r="E18" s="94" t="s">
        <v>5</v>
      </c>
      <c r="G18" s="119" t="s">
        <v>3</v>
      </c>
      <c r="J18" s="112" t="s">
        <v>20</v>
      </c>
      <c r="K18" s="113">
        <v>5.5E-2</v>
      </c>
      <c r="L18" s="113">
        <v>3.5000000000000003E-2</v>
      </c>
      <c r="M18" s="113">
        <v>0.11509999999999999</v>
      </c>
      <c r="N18" s="113">
        <v>2.4899999999999999E-2</v>
      </c>
      <c r="O18" s="113">
        <v>0.375</v>
      </c>
      <c r="P18" s="114">
        <v>7.4999999999999997E-2</v>
      </c>
      <c r="Q18" s="115">
        <v>0.32</v>
      </c>
    </row>
    <row r="19" spans="2:17" ht="13.5" thickBot="1">
      <c r="C19" s="119">
        <f>D16*12</f>
        <v>178100</v>
      </c>
      <c r="D19" s="94" t="s">
        <v>2</v>
      </c>
      <c r="E19" s="123">
        <f>K3</f>
        <v>4.4999999999999998E-2</v>
      </c>
      <c r="F19" s="122" t="s">
        <v>34</v>
      </c>
      <c r="G19" s="124">
        <v>0</v>
      </c>
      <c r="J19" s="108" t="s">
        <v>22</v>
      </c>
      <c r="K19" s="116">
        <v>8.5000000000000006E-2</v>
      </c>
      <c r="L19" s="116">
        <v>7.4999999999999997E-2</v>
      </c>
      <c r="M19" s="116">
        <v>0.20960000000000001</v>
      </c>
      <c r="N19" s="116">
        <v>4.5400000000000003E-2</v>
      </c>
      <c r="O19" s="116">
        <v>0.23499999999999999</v>
      </c>
      <c r="P19" s="117">
        <v>0.35</v>
      </c>
      <c r="Q19" s="118">
        <v>0.32</v>
      </c>
    </row>
    <row r="20" spans="2:17" ht="13" thickBot="1">
      <c r="C20" s="119"/>
      <c r="G20" s="119"/>
    </row>
    <row r="21" spans="2:17" ht="13.5" thickBot="1">
      <c r="B21" s="125" t="s">
        <v>4</v>
      </c>
      <c r="C21" s="126">
        <f>((C19*E19)-G19)/C19</f>
        <v>4.4999999999999998E-2</v>
      </c>
      <c r="G21" s="119"/>
    </row>
    <row r="22" spans="2:17">
      <c r="C22" s="119"/>
      <c r="G22" s="119"/>
    </row>
    <row r="23" spans="2:17">
      <c r="B23" s="127">
        <v>43282</v>
      </c>
      <c r="C23" s="99">
        <v>17600</v>
      </c>
      <c r="G23" s="119"/>
    </row>
    <row r="24" spans="2:17" ht="13">
      <c r="B24" s="94" t="s">
        <v>6</v>
      </c>
      <c r="C24" s="128">
        <f>C21</f>
        <v>4.4999999999999998E-2</v>
      </c>
      <c r="D24" s="129"/>
      <c r="E24" s="130">
        <f>L5</f>
        <v>13860</v>
      </c>
      <c r="F24" s="129"/>
      <c r="G24" s="131"/>
    </row>
    <row r="25" spans="2:17" ht="13">
      <c r="B25" s="132" t="s">
        <v>7</v>
      </c>
      <c r="C25" s="133">
        <f>C24*C23</f>
        <v>792</v>
      </c>
      <c r="G25" s="119"/>
    </row>
    <row r="26" spans="2:17" ht="13" thickBot="1">
      <c r="C26" s="119"/>
      <c r="G26" s="119"/>
    </row>
    <row r="27" spans="2:17" ht="14" thickTop="1" thickBot="1">
      <c r="B27" s="100"/>
      <c r="C27" s="224" t="str">
        <f t="shared" ref="C27:I28" si="0">K13</f>
        <v>IRPJ</v>
      </c>
      <c r="D27" s="224" t="str">
        <f t="shared" si="0"/>
        <v>CSLL</v>
      </c>
      <c r="E27" s="224" t="str">
        <f t="shared" si="0"/>
        <v>Cofins</v>
      </c>
      <c r="F27" s="224" t="str">
        <f t="shared" si="0"/>
        <v>PIS/Pasep</v>
      </c>
      <c r="G27" s="224" t="str">
        <f t="shared" si="0"/>
        <v>CPP</v>
      </c>
      <c r="H27" s="224" t="str">
        <f t="shared" si="0"/>
        <v>IPI</v>
      </c>
      <c r="I27" s="224" t="str">
        <f t="shared" si="0"/>
        <v>ICMS</v>
      </c>
    </row>
    <row r="28" spans="2:17" ht="13.5" thickBot="1">
      <c r="B28" s="101" t="str">
        <f>J14</f>
        <v>1a</v>
      </c>
      <c r="C28" s="102">
        <f t="shared" si="0"/>
        <v>5.5E-2</v>
      </c>
      <c r="D28" s="102">
        <f t="shared" si="0"/>
        <v>3.5000000000000003E-2</v>
      </c>
      <c r="E28" s="102">
        <f t="shared" si="0"/>
        <v>0.11509999999999999</v>
      </c>
      <c r="F28" s="102">
        <f t="shared" si="0"/>
        <v>2.4899999999999999E-2</v>
      </c>
      <c r="G28" s="102">
        <f t="shared" si="0"/>
        <v>0.375</v>
      </c>
      <c r="H28" s="102">
        <f t="shared" si="0"/>
        <v>7.4999999999999997E-2</v>
      </c>
      <c r="I28" s="102">
        <f t="shared" si="0"/>
        <v>0.32</v>
      </c>
      <c r="J28" s="223">
        <f>SUM(C29:I29)</f>
        <v>792</v>
      </c>
    </row>
    <row r="29" spans="2:17">
      <c r="C29" s="119">
        <f>$C$25*C28</f>
        <v>43.56</v>
      </c>
      <c r="D29" s="119">
        <f t="shared" ref="D29:I29" si="1">$C$25*D28</f>
        <v>27.720000000000002</v>
      </c>
      <c r="E29" s="119">
        <f t="shared" si="1"/>
        <v>91.159199999999998</v>
      </c>
      <c r="F29" s="119">
        <f t="shared" si="1"/>
        <v>19.720800000000001</v>
      </c>
      <c r="G29" s="119">
        <f t="shared" si="1"/>
        <v>297</v>
      </c>
      <c r="H29" s="119">
        <f t="shared" si="1"/>
        <v>59.4</v>
      </c>
      <c r="I29" s="119">
        <f t="shared" si="1"/>
        <v>253.44</v>
      </c>
    </row>
    <row r="30" spans="2:17">
      <c r="C30" s="119"/>
      <c r="G30" s="119"/>
    </row>
  </sheetData>
  <mergeCells count="1">
    <mergeCell ref="K12:Q1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Q25"/>
  <sheetViews>
    <sheetView zoomScale="70" zoomScaleNormal="70" workbookViewId="0">
      <selection activeCell="T9" sqref="T9"/>
    </sheetView>
  </sheetViews>
  <sheetFormatPr defaultColWidth="9.1796875" defaultRowHeight="12.5"/>
  <cols>
    <col min="1" max="1" width="5.26953125" style="94" customWidth="1"/>
    <col min="2" max="2" width="19.08984375" style="94" bestFit="1" customWidth="1"/>
    <col min="3" max="3" width="13.81640625" style="94" bestFit="1" customWidth="1"/>
    <col min="4" max="4" width="10.453125" style="94" bestFit="1" customWidth="1"/>
    <col min="5" max="5" width="11.36328125" style="94" bestFit="1" customWidth="1"/>
    <col min="6" max="6" width="10.08984375" style="94" bestFit="1" customWidth="1"/>
    <col min="7" max="7" width="15" style="94" customWidth="1"/>
    <col min="8" max="8" width="6.81640625" style="94" bestFit="1" customWidth="1"/>
    <col min="9" max="9" width="7.90625" style="94" bestFit="1" customWidth="1"/>
    <col min="10" max="10" width="31.26953125" style="94" customWidth="1"/>
    <col min="11" max="11" width="6.26953125" style="94" bestFit="1" customWidth="1"/>
    <col min="12" max="12" width="14.7265625" style="94" bestFit="1" customWidth="1"/>
    <col min="13" max="13" width="6.36328125" style="94" bestFit="1" customWidth="1"/>
    <col min="14" max="14" width="8.1796875" style="94" bestFit="1" customWidth="1"/>
    <col min="15" max="17" width="6.36328125" style="94" bestFit="1" customWidth="1"/>
    <col min="18" max="16384" width="9.1796875" style="94"/>
  </cols>
  <sheetData>
    <row r="1" spans="2:17" ht="24" thickBot="1">
      <c r="B1" s="94" t="s">
        <v>35</v>
      </c>
      <c r="C1" s="119"/>
      <c r="J1" s="237" t="s">
        <v>108</v>
      </c>
      <c r="K1" s="119"/>
    </row>
    <row r="2" spans="2:17" ht="26">
      <c r="B2" s="142">
        <v>43282</v>
      </c>
      <c r="D2" s="119">
        <v>22500</v>
      </c>
      <c r="J2" s="134" t="s">
        <v>25</v>
      </c>
      <c r="K2" s="134" t="s">
        <v>26</v>
      </c>
      <c r="L2" s="134" t="s">
        <v>27</v>
      </c>
    </row>
    <row r="3" spans="2:17" ht="13" thickBot="1">
      <c r="B3" s="93"/>
      <c r="D3" s="99"/>
      <c r="J3" s="143" t="s">
        <v>28</v>
      </c>
      <c r="K3" s="144">
        <v>4.4999999999999998E-2</v>
      </c>
      <c r="L3" s="145">
        <v>0</v>
      </c>
    </row>
    <row r="4" spans="2:17" ht="13" thickBot="1">
      <c r="B4" s="93"/>
      <c r="D4" s="99"/>
      <c r="J4" s="146" t="s">
        <v>29</v>
      </c>
      <c r="K4" s="147">
        <v>7.8E-2</v>
      </c>
      <c r="L4" s="148">
        <v>5940</v>
      </c>
    </row>
    <row r="5" spans="2:17" ht="13.5" thickBot="1">
      <c r="B5" s="103" t="s">
        <v>58</v>
      </c>
      <c r="C5" s="120"/>
      <c r="D5" s="121">
        <f>AVERAGE(D2:D4)</f>
        <v>22500</v>
      </c>
      <c r="E5" s="122"/>
      <c r="J5" s="143" t="s">
        <v>30</v>
      </c>
      <c r="K5" s="144">
        <v>0.1</v>
      </c>
      <c r="L5" s="145">
        <v>13860</v>
      </c>
    </row>
    <row r="6" spans="2:17" ht="13" thickBot="1">
      <c r="B6" s="93"/>
      <c r="D6" s="99"/>
      <c r="J6" s="95" t="s">
        <v>31</v>
      </c>
      <c r="K6" s="104">
        <v>0.112</v>
      </c>
      <c r="L6" s="96">
        <v>22500</v>
      </c>
    </row>
    <row r="7" spans="2:17" ht="13" thickBot="1">
      <c r="B7" s="93"/>
      <c r="D7" s="99"/>
      <c r="J7" s="97" t="s">
        <v>32</v>
      </c>
      <c r="K7" s="105">
        <v>0.14699999999999999</v>
      </c>
      <c r="L7" s="98">
        <v>85500</v>
      </c>
    </row>
    <row r="8" spans="2:17" ht="13" thickBot="1">
      <c r="B8" s="142">
        <v>43313</v>
      </c>
      <c r="D8" s="99">
        <v>19300</v>
      </c>
      <c r="J8" s="95" t="s">
        <v>33</v>
      </c>
      <c r="K8" s="104">
        <v>0.3</v>
      </c>
      <c r="L8" s="96">
        <v>720000</v>
      </c>
    </row>
    <row r="9" spans="2:17">
      <c r="B9" s="93"/>
      <c r="D9" s="99"/>
    </row>
    <row r="10" spans="2:17" ht="13" thickBot="1">
      <c r="B10" s="93"/>
      <c r="D10" s="99"/>
    </row>
    <row r="11" spans="2:17" ht="13.5" thickBot="1">
      <c r="B11" s="93"/>
      <c r="D11" s="99"/>
      <c r="J11" s="107" t="s">
        <v>8</v>
      </c>
      <c r="K11" s="398" t="s">
        <v>9</v>
      </c>
      <c r="L11" s="398"/>
      <c r="M11" s="398"/>
      <c r="N11" s="398"/>
      <c r="O11" s="398"/>
      <c r="P11" s="398"/>
      <c r="Q11" s="399"/>
    </row>
    <row r="12" spans="2:17" ht="13.5" thickBot="1">
      <c r="J12" s="108"/>
      <c r="K12" s="109" t="s">
        <v>10</v>
      </c>
      <c r="L12" s="109" t="s">
        <v>11</v>
      </c>
      <c r="M12" s="109" t="s">
        <v>12</v>
      </c>
      <c r="N12" s="109" t="s">
        <v>13</v>
      </c>
      <c r="O12" s="109" t="s">
        <v>14</v>
      </c>
      <c r="P12" s="110" t="s">
        <v>36</v>
      </c>
      <c r="Q12" s="111" t="s">
        <v>24</v>
      </c>
    </row>
    <row r="13" spans="2:17" ht="13.5" thickBot="1">
      <c r="C13" s="94" t="s">
        <v>1</v>
      </c>
      <c r="E13" s="94" t="s">
        <v>5</v>
      </c>
      <c r="G13" s="119" t="s">
        <v>3</v>
      </c>
      <c r="J13" s="239" t="s">
        <v>16</v>
      </c>
      <c r="K13" s="240">
        <v>5.5E-2</v>
      </c>
      <c r="L13" s="240">
        <v>3.5000000000000003E-2</v>
      </c>
      <c r="M13" s="240">
        <v>0.11509999999999999</v>
      </c>
      <c r="N13" s="240">
        <v>2.4899999999999999E-2</v>
      </c>
      <c r="O13" s="240">
        <v>0.375</v>
      </c>
      <c r="P13" s="241">
        <v>7.4999999999999997E-2</v>
      </c>
      <c r="Q13" s="242">
        <v>0.32</v>
      </c>
    </row>
    <row r="14" spans="2:17" ht="13.5" thickBot="1">
      <c r="C14" s="119">
        <f>D5*12</f>
        <v>270000</v>
      </c>
      <c r="D14" s="94" t="s">
        <v>2</v>
      </c>
      <c r="E14" s="123">
        <f>K4</f>
        <v>7.8E-2</v>
      </c>
      <c r="F14" s="122" t="s">
        <v>72</v>
      </c>
      <c r="G14" s="124">
        <f>L4</f>
        <v>5940</v>
      </c>
      <c r="J14" s="247" t="s">
        <v>17</v>
      </c>
      <c r="K14" s="248">
        <v>5.5E-2</v>
      </c>
      <c r="L14" s="248">
        <v>3.5000000000000003E-2</v>
      </c>
      <c r="M14" s="248">
        <v>0.11509999999999999</v>
      </c>
      <c r="N14" s="248">
        <v>2.4899999999999999E-2</v>
      </c>
      <c r="O14" s="248">
        <v>0.375</v>
      </c>
      <c r="P14" s="249">
        <v>7.4999999999999997E-2</v>
      </c>
      <c r="Q14" s="250">
        <v>0.32</v>
      </c>
    </row>
    <row r="15" spans="2:17" ht="13.5" thickBot="1">
      <c r="C15" s="119"/>
      <c r="G15" s="119"/>
      <c r="J15" s="243" t="s">
        <v>18</v>
      </c>
      <c r="K15" s="244">
        <v>5.5E-2</v>
      </c>
      <c r="L15" s="244">
        <v>3.5000000000000003E-2</v>
      </c>
      <c r="M15" s="244">
        <v>0.11509999999999999</v>
      </c>
      <c r="N15" s="244">
        <v>2.4899999999999999E-2</v>
      </c>
      <c r="O15" s="244">
        <v>0.375</v>
      </c>
      <c r="P15" s="245">
        <v>7.4999999999999997E-2</v>
      </c>
      <c r="Q15" s="246">
        <v>0.32</v>
      </c>
    </row>
    <row r="16" spans="2:17" ht="13.5" thickBot="1">
      <c r="B16" s="125" t="s">
        <v>4</v>
      </c>
      <c r="C16" s="126">
        <f>((C14*E14)-G14)/C14</f>
        <v>5.6000000000000001E-2</v>
      </c>
      <c r="G16" s="119"/>
      <c r="J16" s="108" t="s">
        <v>19</v>
      </c>
      <c r="K16" s="116">
        <v>5.5E-2</v>
      </c>
      <c r="L16" s="116">
        <v>3.5000000000000003E-2</v>
      </c>
      <c r="M16" s="116">
        <v>0.11509999999999999</v>
      </c>
      <c r="N16" s="116">
        <v>2.4899999999999999E-2</v>
      </c>
      <c r="O16" s="116">
        <v>0.375</v>
      </c>
      <c r="P16" s="117">
        <v>7.4999999999999997E-2</v>
      </c>
      <c r="Q16" s="118">
        <v>0.32</v>
      </c>
    </row>
    <row r="17" spans="2:17" ht="13.5" thickBot="1">
      <c r="C17" s="119"/>
      <c r="G17" s="119"/>
      <c r="J17" s="112" t="s">
        <v>20</v>
      </c>
      <c r="K17" s="113">
        <v>5.5E-2</v>
      </c>
      <c r="L17" s="113">
        <v>3.5000000000000003E-2</v>
      </c>
      <c r="M17" s="113">
        <v>0.11509999999999999</v>
      </c>
      <c r="N17" s="113">
        <v>2.4899999999999999E-2</v>
      </c>
      <c r="O17" s="113">
        <v>0.375</v>
      </c>
      <c r="P17" s="114">
        <v>7.4999999999999997E-2</v>
      </c>
      <c r="Q17" s="115">
        <v>0.32</v>
      </c>
    </row>
    <row r="18" spans="2:17" ht="13.5" thickBot="1">
      <c r="B18" s="238">
        <v>43313</v>
      </c>
      <c r="C18" s="222">
        <f>D8</f>
        <v>19300</v>
      </c>
      <c r="G18" s="119"/>
      <c r="J18" s="108" t="s">
        <v>22</v>
      </c>
      <c r="K18" s="116">
        <v>8.5000000000000006E-2</v>
      </c>
      <c r="L18" s="116">
        <v>7.4999999999999997E-2</v>
      </c>
      <c r="M18" s="116">
        <v>0.20960000000000001</v>
      </c>
      <c r="N18" s="116">
        <v>4.5400000000000003E-2</v>
      </c>
      <c r="O18" s="116">
        <v>0.23499999999999999</v>
      </c>
      <c r="P18" s="117">
        <v>0.35</v>
      </c>
      <c r="Q18" s="118">
        <v>0.32</v>
      </c>
    </row>
    <row r="19" spans="2:17" ht="13">
      <c r="B19" s="94" t="s">
        <v>6</v>
      </c>
      <c r="C19" s="128">
        <f>C16</f>
        <v>5.6000000000000001E-2</v>
      </c>
      <c r="D19" s="129"/>
      <c r="E19" s="130"/>
      <c r="F19" s="129"/>
      <c r="G19" s="131"/>
    </row>
    <row r="20" spans="2:17" ht="13">
      <c r="B20" s="132" t="s">
        <v>7</v>
      </c>
      <c r="C20" s="133">
        <f>C19*C18</f>
        <v>1080.8</v>
      </c>
      <c r="G20" s="119"/>
    </row>
    <row r="21" spans="2:17" ht="13" thickBot="1">
      <c r="C21" s="119"/>
      <c r="G21" s="119"/>
    </row>
    <row r="22" spans="2:17" ht="14" thickTop="1" thickBot="1">
      <c r="B22" s="100"/>
      <c r="C22" s="102" t="str">
        <f t="shared" ref="C22:I22" si="0">K12</f>
        <v>IRPJ</v>
      </c>
      <c r="D22" s="102" t="str">
        <f t="shared" si="0"/>
        <v>CSLL</v>
      </c>
      <c r="E22" s="102" t="str">
        <f t="shared" si="0"/>
        <v>Cofins</v>
      </c>
      <c r="F22" s="102" t="str">
        <f t="shared" si="0"/>
        <v>PIS/Pasep</v>
      </c>
      <c r="G22" s="102" t="str">
        <f t="shared" si="0"/>
        <v>CPP</v>
      </c>
      <c r="H22" s="102" t="str">
        <f t="shared" si="0"/>
        <v>IPI</v>
      </c>
      <c r="I22" s="102" t="str">
        <f t="shared" si="0"/>
        <v>ICMS</v>
      </c>
    </row>
    <row r="23" spans="2:17" ht="13.5" thickBot="1">
      <c r="B23" s="101" t="str">
        <f t="shared" ref="B23:I23" si="1">J14</f>
        <v>2a</v>
      </c>
      <c r="C23" s="102">
        <f t="shared" si="1"/>
        <v>5.5E-2</v>
      </c>
      <c r="D23" s="102">
        <f t="shared" si="1"/>
        <v>3.5000000000000003E-2</v>
      </c>
      <c r="E23" s="102">
        <f t="shared" si="1"/>
        <v>0.11509999999999999</v>
      </c>
      <c r="F23" s="102">
        <f t="shared" si="1"/>
        <v>2.4899999999999999E-2</v>
      </c>
      <c r="G23" s="102">
        <f t="shared" si="1"/>
        <v>0.375</v>
      </c>
      <c r="H23" s="102">
        <f t="shared" si="1"/>
        <v>7.4999999999999997E-2</v>
      </c>
      <c r="I23" s="102">
        <f t="shared" si="1"/>
        <v>0.32</v>
      </c>
      <c r="J23" s="223">
        <f>SUM(C24:I24)</f>
        <v>1080.8</v>
      </c>
    </row>
    <row r="24" spans="2:17">
      <c r="C24" s="119">
        <f>$C$20*C23</f>
        <v>59.443999999999996</v>
      </c>
      <c r="D24" s="119">
        <f t="shared" ref="D24:I24" si="2">$C$20*D23</f>
        <v>37.828000000000003</v>
      </c>
      <c r="E24" s="119">
        <f t="shared" si="2"/>
        <v>124.40007999999999</v>
      </c>
      <c r="F24" s="119">
        <f t="shared" si="2"/>
        <v>26.911919999999999</v>
      </c>
      <c r="G24" s="119">
        <f t="shared" si="2"/>
        <v>405.29999999999995</v>
      </c>
      <c r="H24" s="119">
        <f t="shared" si="2"/>
        <v>81.059999999999988</v>
      </c>
      <c r="I24" s="119">
        <f t="shared" si="2"/>
        <v>345.85599999999999</v>
      </c>
    </row>
    <row r="25" spans="2:17">
      <c r="C25" s="119"/>
      <c r="G25" s="119"/>
    </row>
  </sheetData>
  <mergeCells count="1">
    <mergeCell ref="K11:Q1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29"/>
  <sheetViews>
    <sheetView zoomScale="70" zoomScaleNormal="70" workbookViewId="0">
      <selection activeCell="M8" sqref="J3:M8"/>
    </sheetView>
  </sheetViews>
  <sheetFormatPr defaultRowHeight="14.5"/>
  <cols>
    <col min="1" max="1" width="5.26953125" customWidth="1"/>
    <col min="2" max="2" width="18.36328125" bestFit="1" customWidth="1"/>
    <col min="3" max="3" width="12.453125" bestFit="1" customWidth="1"/>
    <col min="4" max="4" width="9.453125" customWidth="1"/>
    <col min="5" max="5" width="12" bestFit="1" customWidth="1"/>
    <col min="6" max="6" width="8.54296875" bestFit="1" customWidth="1"/>
    <col min="7" max="7" width="14.81640625" bestFit="1" customWidth="1"/>
    <col min="8" max="8" width="9.1796875" bestFit="1" customWidth="1"/>
    <col min="9" max="9" width="5.26953125" customWidth="1"/>
    <col min="10" max="10" width="9.26953125" customWidth="1"/>
    <col min="11" max="11" width="30.1796875" bestFit="1" customWidth="1"/>
    <col min="12" max="12" width="14.81640625" bestFit="1" customWidth="1"/>
    <col min="13" max="13" width="13" bestFit="1" customWidth="1"/>
    <col min="14" max="14" width="13.1796875" bestFit="1" customWidth="1"/>
    <col min="15" max="16" width="10.54296875" bestFit="1" customWidth="1"/>
  </cols>
  <sheetData>
    <row r="1" spans="2:16" ht="15" thickBot="1">
      <c r="B1" t="s">
        <v>35</v>
      </c>
      <c r="C1" s="2"/>
      <c r="G1" s="2"/>
      <c r="H1" s="2"/>
      <c r="I1" s="2"/>
      <c r="J1" s="251" t="s">
        <v>109</v>
      </c>
      <c r="K1" s="2"/>
      <c r="L1" s="2"/>
      <c r="M1" s="2"/>
      <c r="N1" s="2"/>
      <c r="O1" s="2"/>
      <c r="P1" s="26"/>
    </row>
    <row r="2" spans="2:16" ht="29.5" thickBot="1">
      <c r="C2" s="2"/>
      <c r="G2" s="2"/>
      <c r="J2" s="7" t="s">
        <v>8</v>
      </c>
      <c r="K2" s="25" t="s">
        <v>25</v>
      </c>
      <c r="L2" s="25" t="s">
        <v>26</v>
      </c>
      <c r="M2" s="25" t="s">
        <v>27</v>
      </c>
      <c r="N2" s="26"/>
      <c r="P2" s="26"/>
    </row>
    <row r="3" spans="2:16" ht="15.5" thickTop="1" thickBot="1">
      <c r="B3" s="1">
        <v>43040</v>
      </c>
      <c r="C3" s="2">
        <v>30000</v>
      </c>
      <c r="G3" s="2"/>
      <c r="J3" s="10" t="s">
        <v>16</v>
      </c>
      <c r="K3" s="27" t="s">
        <v>28</v>
      </c>
      <c r="L3" s="28">
        <v>0.06</v>
      </c>
      <c r="M3" s="27">
        <v>0</v>
      </c>
      <c r="N3" s="26"/>
      <c r="P3" s="26"/>
    </row>
    <row r="4" spans="2:16" ht="15" thickBot="1">
      <c r="B4" s="1">
        <v>43070</v>
      </c>
      <c r="C4" s="2">
        <v>25000</v>
      </c>
      <c r="G4" s="2"/>
      <c r="J4" s="149" t="s">
        <v>17</v>
      </c>
      <c r="K4" s="58" t="s">
        <v>29</v>
      </c>
      <c r="L4" s="59">
        <v>0.112</v>
      </c>
      <c r="M4" s="60">
        <v>9360</v>
      </c>
      <c r="N4" s="26"/>
      <c r="O4" s="26"/>
      <c r="P4" s="26"/>
    </row>
    <row r="5" spans="2:16" ht="15" thickBot="1">
      <c r="B5" s="1">
        <v>43101</v>
      </c>
      <c r="C5" s="2">
        <v>41000</v>
      </c>
      <c r="G5" s="2"/>
      <c r="J5" s="152" t="s">
        <v>18</v>
      </c>
      <c r="K5" s="153" t="s">
        <v>30</v>
      </c>
      <c r="L5" s="65">
        <v>0.13500000000000001</v>
      </c>
      <c r="M5" s="66">
        <v>17640</v>
      </c>
      <c r="N5" s="26"/>
      <c r="O5" s="26"/>
      <c r="P5" s="26"/>
    </row>
    <row r="6" spans="2:16" ht="15" thickBot="1">
      <c r="B6" s="1">
        <v>43132</v>
      </c>
      <c r="C6" s="2">
        <v>33700</v>
      </c>
      <c r="G6" s="2"/>
      <c r="J6" s="150" t="s">
        <v>19</v>
      </c>
      <c r="K6" s="61" t="s">
        <v>31</v>
      </c>
      <c r="L6" s="151">
        <v>0.16</v>
      </c>
      <c r="M6" s="63">
        <v>35640</v>
      </c>
      <c r="N6" s="26"/>
      <c r="O6" s="26"/>
      <c r="P6" s="26"/>
    </row>
    <row r="7" spans="2:16" ht="15" thickBot="1">
      <c r="B7" s="1">
        <v>43160</v>
      </c>
      <c r="C7" s="2">
        <v>28500</v>
      </c>
      <c r="J7" s="10" t="s">
        <v>20</v>
      </c>
      <c r="K7" s="32" t="s">
        <v>32</v>
      </c>
      <c r="L7" s="33">
        <v>0.21</v>
      </c>
      <c r="M7" s="34">
        <v>125640</v>
      </c>
      <c r="N7" s="26"/>
      <c r="O7" s="26"/>
      <c r="P7" s="26"/>
    </row>
    <row r="8" spans="2:16" ht="15" thickBot="1">
      <c r="B8" s="1">
        <v>43191</v>
      </c>
      <c r="C8" s="2">
        <v>31100</v>
      </c>
      <c r="J8" s="13" t="s">
        <v>22</v>
      </c>
      <c r="K8" s="29" t="s">
        <v>33</v>
      </c>
      <c r="L8" s="35">
        <v>0.33</v>
      </c>
      <c r="M8" s="31">
        <v>648000</v>
      </c>
      <c r="N8" s="26"/>
      <c r="O8" s="26"/>
      <c r="P8" s="26"/>
    </row>
    <row r="9" spans="2:16">
      <c r="B9" s="1">
        <v>43221</v>
      </c>
      <c r="C9" s="2">
        <v>39800</v>
      </c>
      <c r="J9" s="400" t="s">
        <v>110</v>
      </c>
      <c r="K9" s="400"/>
      <c r="L9" s="400"/>
      <c r="M9" s="400"/>
      <c r="N9" s="400"/>
      <c r="O9" s="400"/>
      <c r="P9" s="26"/>
    </row>
    <row r="10" spans="2:16">
      <c r="B10" s="1">
        <v>43252</v>
      </c>
      <c r="C10" s="2">
        <v>35000</v>
      </c>
      <c r="J10" s="400"/>
      <c r="K10" s="400"/>
      <c r="L10" s="400"/>
      <c r="M10" s="400"/>
      <c r="N10" s="400"/>
      <c r="O10" s="400"/>
      <c r="P10" s="26"/>
    </row>
    <row r="11" spans="2:16">
      <c r="J11" s="400"/>
      <c r="K11" s="400"/>
      <c r="L11" s="400"/>
      <c r="M11" s="400"/>
      <c r="N11" s="400"/>
      <c r="O11" s="400"/>
      <c r="P11" s="26"/>
    </row>
    <row r="12" spans="2:16" ht="15" thickBot="1">
      <c r="B12" t="s">
        <v>0</v>
      </c>
      <c r="C12" s="2">
        <f>AVERAGE(C3:C10)</f>
        <v>33012.5</v>
      </c>
      <c r="G12" s="2"/>
      <c r="J12" s="26"/>
      <c r="K12" s="26"/>
      <c r="L12" s="26"/>
      <c r="M12" s="26"/>
      <c r="N12" s="26"/>
      <c r="O12" s="26"/>
      <c r="P12" s="26"/>
    </row>
    <row r="13" spans="2:16" ht="15" thickBot="1">
      <c r="C13" s="2"/>
      <c r="G13" s="2"/>
      <c r="J13" s="7" t="s">
        <v>8</v>
      </c>
      <c r="K13" s="395" t="s">
        <v>9</v>
      </c>
      <c r="L13" s="396"/>
      <c r="M13" s="396"/>
      <c r="N13" s="396"/>
      <c r="O13" s="396"/>
      <c r="P13" s="397"/>
    </row>
    <row r="14" spans="2:16" ht="15.5" thickTop="1" thickBot="1">
      <c r="C14" t="s">
        <v>1</v>
      </c>
      <c r="E14" t="s">
        <v>5</v>
      </c>
      <c r="G14" s="2" t="s">
        <v>3</v>
      </c>
      <c r="J14" s="8"/>
      <c r="K14" s="8" t="s">
        <v>10</v>
      </c>
      <c r="L14" s="8" t="s">
        <v>11</v>
      </c>
      <c r="M14" s="8" t="s">
        <v>12</v>
      </c>
      <c r="N14" s="8" t="s">
        <v>13</v>
      </c>
      <c r="O14" s="8" t="s">
        <v>14</v>
      </c>
      <c r="P14" s="9" t="s">
        <v>15</v>
      </c>
    </row>
    <row r="15" spans="2:16" ht="15" thickBot="1">
      <c r="C15" s="37">
        <f>C12*12</f>
        <v>396150</v>
      </c>
      <c r="D15" s="38" t="s">
        <v>2</v>
      </c>
      <c r="E15" s="39">
        <f>L5</f>
        <v>0.13500000000000001</v>
      </c>
      <c r="F15" s="40" t="s">
        <v>34</v>
      </c>
      <c r="G15" s="41">
        <f>M5</f>
        <v>17640</v>
      </c>
      <c r="J15" s="10" t="s">
        <v>16</v>
      </c>
      <c r="K15" s="11">
        <v>0.04</v>
      </c>
      <c r="L15" s="11">
        <v>3.5000000000000003E-2</v>
      </c>
      <c r="M15" s="11">
        <v>0.12820000000000001</v>
      </c>
      <c r="N15" s="11">
        <v>2.7799999999999998E-2</v>
      </c>
      <c r="O15" s="11">
        <v>0.434</v>
      </c>
      <c r="P15" s="12">
        <v>0.33500000000000002</v>
      </c>
    </row>
    <row r="16" spans="2:16" ht="15" thickBot="1">
      <c r="C16" s="2"/>
      <c r="G16" s="2"/>
      <c r="J16" s="149" t="s">
        <v>17</v>
      </c>
      <c r="K16" s="252">
        <v>0.04</v>
      </c>
      <c r="L16" s="252">
        <v>3.5000000000000003E-2</v>
      </c>
      <c r="M16" s="252">
        <v>0.14050000000000001</v>
      </c>
      <c r="N16" s="252">
        <v>3.0499999999999999E-2</v>
      </c>
      <c r="O16" s="252">
        <v>0.434</v>
      </c>
      <c r="P16" s="253">
        <v>0.32</v>
      </c>
    </row>
    <row r="17" spans="2:16" ht="15" thickBot="1">
      <c r="B17" s="20" t="s">
        <v>4</v>
      </c>
      <c r="C17" s="21">
        <f>((C15*E15)-G15)/C15</f>
        <v>9.0471412343809163E-2</v>
      </c>
      <c r="G17" s="2"/>
      <c r="J17" s="152" t="s">
        <v>18</v>
      </c>
      <c r="K17" s="197">
        <v>0.04</v>
      </c>
      <c r="L17" s="197">
        <v>3.5000000000000003E-2</v>
      </c>
      <c r="M17" s="197">
        <v>0.13639999999999999</v>
      </c>
      <c r="N17" s="197">
        <v>2.9600000000000001E-2</v>
      </c>
      <c r="O17" s="197">
        <v>0.434</v>
      </c>
      <c r="P17" s="198">
        <v>0.32500000000000001</v>
      </c>
    </row>
    <row r="18" spans="2:16" ht="15" thickBot="1">
      <c r="C18" s="2"/>
      <c r="G18" s="2"/>
      <c r="J18" s="150" t="s">
        <v>19</v>
      </c>
      <c r="K18" s="195">
        <v>0.04</v>
      </c>
      <c r="L18" s="195">
        <v>3.5000000000000003E-2</v>
      </c>
      <c r="M18" s="195">
        <v>0.13639999999999999</v>
      </c>
      <c r="N18" s="195">
        <v>2.9600000000000001E-2</v>
      </c>
      <c r="O18" s="195">
        <v>0.434</v>
      </c>
      <c r="P18" s="196">
        <v>0.32500000000000001</v>
      </c>
    </row>
    <row r="19" spans="2:16" ht="15" thickBot="1">
      <c r="B19" s="212">
        <v>43282</v>
      </c>
      <c r="C19" s="207">
        <v>28500</v>
      </c>
      <c r="G19" s="2"/>
      <c r="J19" s="11" t="s">
        <v>20</v>
      </c>
      <c r="K19" s="11">
        <v>0.04</v>
      </c>
      <c r="L19" s="11">
        <v>3.5000000000000003E-2</v>
      </c>
      <c r="M19" s="11">
        <v>0.12820000000000001</v>
      </c>
      <c r="N19" s="11">
        <v>2.7799999999999998E-2</v>
      </c>
      <c r="O19" s="12">
        <v>0.434</v>
      </c>
      <c r="P19" s="11" t="s">
        <v>21</v>
      </c>
    </row>
    <row r="20" spans="2:16" ht="15" thickBot="1">
      <c r="B20" t="s">
        <v>6</v>
      </c>
      <c r="C20" s="19">
        <f>C17</f>
        <v>9.0471412343809163E-2</v>
      </c>
      <c r="G20" s="2"/>
      <c r="J20" s="13" t="s">
        <v>22</v>
      </c>
      <c r="K20" s="14">
        <v>0.35</v>
      </c>
      <c r="L20" s="14">
        <v>0.15</v>
      </c>
      <c r="M20" s="14">
        <v>0.1603</v>
      </c>
      <c r="N20" s="14">
        <v>3.4700000000000002E-2</v>
      </c>
      <c r="O20" s="14">
        <v>0.30499999999999999</v>
      </c>
      <c r="P20" s="16" t="s">
        <v>23</v>
      </c>
    </row>
    <row r="21" spans="2:16">
      <c r="B21" s="23" t="s">
        <v>7</v>
      </c>
      <c r="C21" s="24">
        <f>C20*C19</f>
        <v>2578.4352517985612</v>
      </c>
      <c r="G21" s="2"/>
      <c r="J21" s="26"/>
      <c r="K21" s="26"/>
      <c r="L21" s="26"/>
      <c r="M21" s="26"/>
      <c r="N21" s="26"/>
      <c r="O21" s="26"/>
      <c r="P21" s="26"/>
    </row>
    <row r="22" spans="2:16" ht="15" thickBot="1">
      <c r="C22" s="2"/>
      <c r="G22" s="2"/>
    </row>
    <row r="23" spans="2:16" ht="15.5" thickTop="1" thickBot="1">
      <c r="B23" s="5"/>
      <c r="C23" s="8" t="s">
        <v>10</v>
      </c>
      <c r="D23" s="8" t="s">
        <v>11</v>
      </c>
      <c r="E23" s="8" t="s">
        <v>12</v>
      </c>
      <c r="F23" s="8" t="s">
        <v>13</v>
      </c>
      <c r="G23" s="8" t="s">
        <v>14</v>
      </c>
      <c r="H23" s="9" t="s">
        <v>15</v>
      </c>
    </row>
    <row r="24" spans="2:16" ht="15" thickBot="1">
      <c r="B24" s="6"/>
      <c r="C24" s="14">
        <f>K17</f>
        <v>0.04</v>
      </c>
      <c r="D24" s="14">
        <f t="shared" ref="D24:H24" si="0">L17</f>
        <v>3.5000000000000003E-2</v>
      </c>
      <c r="E24" s="14">
        <f t="shared" si="0"/>
        <v>0.13639999999999999</v>
      </c>
      <c r="F24" s="14">
        <f t="shared" si="0"/>
        <v>2.9600000000000001E-2</v>
      </c>
      <c r="G24" s="14">
        <f t="shared" si="0"/>
        <v>0.434</v>
      </c>
      <c r="H24" s="14">
        <f t="shared" si="0"/>
        <v>0.32500000000000001</v>
      </c>
    </row>
    <row r="25" spans="2:16">
      <c r="C25" s="2">
        <f>$C$21*C24</f>
        <v>103.13741007194245</v>
      </c>
      <c r="D25" s="2">
        <f t="shared" ref="D25:H25" si="1">$C$21*D24</f>
        <v>90.24523381294965</v>
      </c>
      <c r="E25" s="2">
        <f t="shared" si="1"/>
        <v>351.69856834532374</v>
      </c>
      <c r="F25" s="2">
        <f t="shared" si="1"/>
        <v>76.321683453237412</v>
      </c>
      <c r="G25" s="2">
        <f t="shared" si="1"/>
        <v>1119.0408992805756</v>
      </c>
      <c r="H25" s="2">
        <f t="shared" si="1"/>
        <v>837.99145683453241</v>
      </c>
    </row>
    <row r="26" spans="2:16">
      <c r="C26" s="2"/>
      <c r="G26" s="2"/>
    </row>
    <row r="27" spans="2:16">
      <c r="H27" s="22">
        <f>SUM(C25:H25)</f>
        <v>2578.4352517985612</v>
      </c>
    </row>
    <row r="29" spans="2:16">
      <c r="H29" s="17">
        <f>H25/C19</f>
        <v>2.9403209011737978E-2</v>
      </c>
    </row>
  </sheetData>
  <mergeCells count="2">
    <mergeCell ref="K13:P13"/>
    <mergeCell ref="J9:O11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H49"/>
  <sheetViews>
    <sheetView topLeftCell="AW1" zoomScale="70" zoomScaleNormal="70" workbookViewId="0">
      <selection activeCell="AZ15" sqref="AZ15:BG23"/>
    </sheetView>
  </sheetViews>
  <sheetFormatPr defaultColWidth="9.1796875" defaultRowHeight="13"/>
  <cols>
    <col min="1" max="1" width="11.81640625" style="26" bestFit="1" customWidth="1"/>
    <col min="2" max="2" width="14.1796875" style="26" bestFit="1" customWidth="1"/>
    <col min="3" max="3" width="18.08984375" style="26" bestFit="1" customWidth="1"/>
    <col min="4" max="4" width="11.26953125" style="26" bestFit="1" customWidth="1"/>
    <col min="5" max="5" width="12.36328125" style="26" bestFit="1" customWidth="1"/>
    <col min="6" max="6" width="10.36328125" style="26" bestFit="1" customWidth="1"/>
    <col min="7" max="7" width="15.81640625" style="26" bestFit="1" customWidth="1"/>
    <col min="8" max="8" width="10" style="26" bestFit="1" customWidth="1"/>
    <col min="9" max="9" width="36.453125" style="26" bestFit="1" customWidth="1"/>
    <col min="10" max="10" width="10.81640625" style="26" bestFit="1" customWidth="1"/>
    <col min="11" max="11" width="15.08984375" style="26" bestFit="1" customWidth="1"/>
    <col min="12" max="12" width="6.7265625" style="26" customWidth="1"/>
    <col min="13" max="13" width="8.26953125" style="26" bestFit="1" customWidth="1"/>
    <col min="14" max="14" width="14.453125" style="26" bestFit="1" customWidth="1"/>
    <col min="15" max="15" width="18.08984375" style="26" bestFit="1" customWidth="1"/>
    <col min="16" max="16" width="9" style="26" bestFit="1" customWidth="1"/>
    <col min="17" max="17" width="12.36328125" style="26" bestFit="1" customWidth="1"/>
    <col min="18" max="18" width="8.54296875" style="26" bestFit="1" customWidth="1"/>
    <col min="19" max="19" width="15.81640625" style="26" bestFit="1" customWidth="1"/>
    <col min="20" max="20" width="8.7265625" style="26" bestFit="1" customWidth="1"/>
    <col min="21" max="21" width="37.54296875" style="26" customWidth="1"/>
    <col min="22" max="22" width="10.81640625" style="26" bestFit="1" customWidth="1"/>
    <col min="23" max="23" width="18.26953125" style="26" bestFit="1" customWidth="1"/>
    <col min="24" max="24" width="9.26953125" style="26" customWidth="1"/>
    <col min="25" max="25" width="14.453125" style="26" bestFit="1" customWidth="1"/>
    <col min="26" max="26" width="14.1796875" style="26" bestFit="1" customWidth="1"/>
    <col min="27" max="27" width="18.08984375" style="26" bestFit="1" customWidth="1"/>
    <col min="28" max="28" width="6.453125" style="26" bestFit="1" customWidth="1"/>
    <col min="29" max="29" width="12.36328125" style="26" bestFit="1" customWidth="1"/>
    <col min="30" max="30" width="6.54296875" style="26" bestFit="1" customWidth="1"/>
    <col min="31" max="31" width="15.81640625" style="26" customWidth="1"/>
    <col min="32" max="32" width="7.36328125" style="26" bestFit="1" customWidth="1"/>
    <col min="33" max="33" width="36.7265625" style="26" bestFit="1" customWidth="1"/>
    <col min="34" max="34" width="10.54296875" style="26" bestFit="1" customWidth="1"/>
    <col min="35" max="35" width="18.26953125" style="26" customWidth="1"/>
    <col min="36" max="36" width="39.7265625" style="26" customWidth="1"/>
    <col min="37" max="37" width="9.1796875" style="26"/>
    <col min="38" max="38" width="14.453125" style="26" bestFit="1" customWidth="1"/>
    <col min="39" max="39" width="14.1796875" style="26" bestFit="1" customWidth="1"/>
    <col min="40" max="40" width="18.08984375" style="26" bestFit="1" customWidth="1"/>
    <col min="41" max="41" width="6.453125" style="26" bestFit="1" customWidth="1"/>
    <col min="42" max="42" width="12.36328125" style="26" bestFit="1" customWidth="1"/>
    <col min="43" max="43" width="6.1796875" style="26" bestFit="1" customWidth="1"/>
    <col min="44" max="44" width="15.81640625" style="26" bestFit="1" customWidth="1"/>
    <col min="45" max="45" width="8.36328125" style="26" bestFit="1" customWidth="1"/>
    <col min="46" max="46" width="36.7265625" style="26" bestFit="1" customWidth="1"/>
    <col min="47" max="47" width="11" style="26" bestFit="1" customWidth="1"/>
    <col min="48" max="48" width="18.26953125" style="26" bestFit="1" customWidth="1"/>
    <col min="49" max="49" width="69.1796875" style="26" customWidth="1"/>
    <col min="50" max="50" width="11.81640625" style="26" bestFit="1" customWidth="1"/>
    <col min="51" max="51" width="14.1796875" style="26" bestFit="1" customWidth="1"/>
    <col min="52" max="52" width="18.08984375" style="26" bestFit="1" customWidth="1"/>
    <col min="53" max="53" width="6.453125" style="26" bestFit="1" customWidth="1"/>
    <col min="54" max="54" width="12.36328125" style="26" bestFit="1" customWidth="1"/>
    <col min="55" max="55" width="12.81640625" style="26" bestFit="1" customWidth="1"/>
    <col min="56" max="56" width="15.81640625" style="26" bestFit="1" customWidth="1"/>
    <col min="57" max="57" width="8.36328125" style="26" bestFit="1" customWidth="1"/>
    <col min="58" max="58" width="36.7265625" style="26" bestFit="1" customWidth="1"/>
    <col min="59" max="59" width="11.453125" style="26" bestFit="1" customWidth="1"/>
    <col min="60" max="60" width="18.26953125" style="26" bestFit="1" customWidth="1"/>
    <col min="61" max="61" width="38.08984375" style="26" customWidth="1"/>
    <col min="62" max="16384" width="9.1796875" style="26"/>
  </cols>
  <sheetData>
    <row r="1" spans="1:60" ht="15" thickBot="1">
      <c r="I1" s="25" t="s">
        <v>25</v>
      </c>
      <c r="J1" s="25" t="s">
        <v>26</v>
      </c>
      <c r="K1" s="25" t="s">
        <v>27</v>
      </c>
      <c r="N1" s="26" t="s">
        <v>37</v>
      </c>
      <c r="O1" s="57">
        <v>2600760</v>
      </c>
      <c r="U1" s="25" t="s">
        <v>25</v>
      </c>
      <c r="V1" s="25" t="s">
        <v>26</v>
      </c>
      <c r="W1" s="25" t="s">
        <v>27</v>
      </c>
      <c r="AG1" s="25" t="s">
        <v>25</v>
      </c>
      <c r="AH1" s="25" t="s">
        <v>26</v>
      </c>
      <c r="AI1" s="25" t="s">
        <v>27</v>
      </c>
      <c r="AM1" s="26" t="s">
        <v>37</v>
      </c>
      <c r="AN1" s="57">
        <v>2600760</v>
      </c>
      <c r="AP1" s="293">
        <f>AN2/AN1</f>
        <v>0.28578415540072905</v>
      </c>
      <c r="AT1" s="25" t="s">
        <v>25</v>
      </c>
      <c r="AU1" s="25" t="s">
        <v>26</v>
      </c>
      <c r="AV1" s="25" t="s">
        <v>27</v>
      </c>
      <c r="AY1" s="26" t="s">
        <v>51</v>
      </c>
      <c r="AZ1" s="84"/>
      <c r="BA1" s="84"/>
      <c r="BB1" s="84"/>
      <c r="BC1" s="84"/>
      <c r="BD1" s="84"/>
      <c r="BE1" s="84"/>
      <c r="BF1" s="84"/>
    </row>
    <row r="2" spans="1:60" ht="16.5" thickTop="1" thickBot="1">
      <c r="B2" s="26" t="s">
        <v>37</v>
      </c>
      <c r="C2" s="57">
        <v>2600760</v>
      </c>
      <c r="D2" s="26" t="s">
        <v>40</v>
      </c>
      <c r="H2" s="26">
        <v>1</v>
      </c>
      <c r="I2" s="27" t="s">
        <v>28</v>
      </c>
      <c r="J2" s="28">
        <v>0.04</v>
      </c>
      <c r="K2" s="27">
        <v>0</v>
      </c>
      <c r="N2" s="26" t="s">
        <v>38</v>
      </c>
      <c r="O2" s="44">
        <v>743256</v>
      </c>
      <c r="T2" s="26">
        <v>1</v>
      </c>
      <c r="U2" s="27" t="s">
        <v>28</v>
      </c>
      <c r="V2" s="28">
        <v>4.4999999999999998E-2</v>
      </c>
      <c r="W2" s="27">
        <v>0</v>
      </c>
      <c r="Z2" s="26" t="s">
        <v>37</v>
      </c>
      <c r="AA2" s="57">
        <v>2600760</v>
      </c>
      <c r="AC2" s="274">
        <f>AA3/AA2</f>
        <v>0.28578415540072905</v>
      </c>
      <c r="AF2" s="26">
        <v>1</v>
      </c>
      <c r="AG2" s="27" t="s">
        <v>28</v>
      </c>
      <c r="AH2" s="28">
        <v>0.06</v>
      </c>
      <c r="AI2" s="27">
        <v>0</v>
      </c>
      <c r="AM2" s="26" t="s">
        <v>38</v>
      </c>
      <c r="AN2" s="26">
        <v>743256</v>
      </c>
      <c r="AS2" s="26">
        <v>1</v>
      </c>
      <c r="AT2" s="27" t="s">
        <v>28</v>
      </c>
      <c r="AU2" s="28">
        <v>0.06</v>
      </c>
      <c r="AV2" s="27">
        <v>0</v>
      </c>
    </row>
    <row r="3" spans="1:60" ht="15" thickBot="1">
      <c r="B3" s="26" t="s">
        <v>38</v>
      </c>
      <c r="C3" s="44">
        <v>743256</v>
      </c>
      <c r="H3" s="26">
        <v>2</v>
      </c>
      <c r="I3" s="29" t="s">
        <v>29</v>
      </c>
      <c r="J3" s="30">
        <v>7.2999999999999995E-2</v>
      </c>
      <c r="K3" s="31">
        <v>5940</v>
      </c>
      <c r="T3" s="26">
        <v>2</v>
      </c>
      <c r="U3" s="29" t="s">
        <v>29</v>
      </c>
      <c r="V3" s="30">
        <v>7.8E-2</v>
      </c>
      <c r="W3" s="31">
        <v>5940</v>
      </c>
      <c r="Z3" s="26" t="s">
        <v>38</v>
      </c>
      <c r="AA3" s="44">
        <v>743256</v>
      </c>
      <c r="AF3" s="26">
        <v>2</v>
      </c>
      <c r="AG3" s="29" t="s">
        <v>29</v>
      </c>
      <c r="AH3" s="30">
        <v>0.112</v>
      </c>
      <c r="AI3" s="31">
        <v>9360</v>
      </c>
      <c r="AS3" s="26">
        <v>2</v>
      </c>
      <c r="AT3" s="29" t="s">
        <v>29</v>
      </c>
      <c r="AU3" s="30">
        <v>0.112</v>
      </c>
      <c r="AV3" s="31">
        <v>9360</v>
      </c>
      <c r="BF3" s="26" t="s">
        <v>55</v>
      </c>
    </row>
    <row r="4" spans="1:60" ht="15" thickBot="1">
      <c r="H4" s="26">
        <v>3</v>
      </c>
      <c r="I4" s="32" t="s">
        <v>30</v>
      </c>
      <c r="J4" s="33">
        <v>9.5000000000000001E-2</v>
      </c>
      <c r="K4" s="34">
        <v>13860</v>
      </c>
      <c r="O4" s="26" t="s">
        <v>1</v>
      </c>
      <c r="Q4" s="26" t="s">
        <v>5</v>
      </c>
      <c r="S4" s="44" t="s">
        <v>3</v>
      </c>
      <c r="T4" s="26">
        <v>3</v>
      </c>
      <c r="U4" s="32" t="s">
        <v>30</v>
      </c>
      <c r="V4" s="33">
        <v>0.1</v>
      </c>
      <c r="W4" s="34">
        <v>13860</v>
      </c>
      <c r="AF4" s="26">
        <v>3</v>
      </c>
      <c r="AG4" s="32" t="s">
        <v>30</v>
      </c>
      <c r="AH4" s="33">
        <v>0.13500000000000001</v>
      </c>
      <c r="AI4" s="34">
        <v>17640</v>
      </c>
      <c r="AN4" s="26" t="s">
        <v>1</v>
      </c>
      <c r="AP4" s="26" t="s">
        <v>5</v>
      </c>
      <c r="AR4" s="44" t="s">
        <v>3</v>
      </c>
      <c r="AS4" s="26">
        <v>3</v>
      </c>
      <c r="AT4" s="32" t="s">
        <v>30</v>
      </c>
      <c r="AU4" s="33">
        <v>0.13500000000000001</v>
      </c>
      <c r="AV4" s="34">
        <v>17640</v>
      </c>
      <c r="AY4" s="26" t="s">
        <v>37</v>
      </c>
      <c r="AZ4" s="57">
        <v>2600760</v>
      </c>
      <c r="BB4" s="26" t="s">
        <v>52</v>
      </c>
      <c r="BC4" s="56" t="s">
        <v>53</v>
      </c>
      <c r="BD4" s="298">
        <f>AZ5/AZ4</f>
        <v>0.28578415540072905</v>
      </c>
      <c r="BF4" s="25" t="s">
        <v>25</v>
      </c>
      <c r="BG4" s="25" t="s">
        <v>26</v>
      </c>
      <c r="BH4" s="25" t="s">
        <v>27</v>
      </c>
    </row>
    <row r="5" spans="1:60" ht="15.5" thickTop="1" thickBot="1">
      <c r="C5" s="26" t="s">
        <v>1</v>
      </c>
      <c r="E5" s="26" t="s">
        <v>5</v>
      </c>
      <c r="G5" s="44" t="s">
        <v>3</v>
      </c>
      <c r="H5" s="26">
        <v>4</v>
      </c>
      <c r="I5" s="58" t="s">
        <v>31</v>
      </c>
      <c r="J5" s="59">
        <v>0.107</v>
      </c>
      <c r="K5" s="60">
        <v>22500</v>
      </c>
      <c r="O5" s="45">
        <f>O1</f>
        <v>2600760</v>
      </c>
      <c r="P5" s="46" t="s">
        <v>2</v>
      </c>
      <c r="Q5" s="47">
        <f>V6</f>
        <v>0.14699999999999999</v>
      </c>
      <c r="R5" s="48" t="s">
        <v>34</v>
      </c>
      <c r="S5" s="49">
        <f>W6</f>
        <v>85500</v>
      </c>
      <c r="T5" s="26">
        <v>4</v>
      </c>
      <c r="U5" s="58" t="s">
        <v>31</v>
      </c>
      <c r="V5" s="59">
        <v>0.112</v>
      </c>
      <c r="W5" s="60">
        <v>22500</v>
      </c>
      <c r="AA5" s="26" t="s">
        <v>1</v>
      </c>
      <c r="AC5" s="26" t="s">
        <v>5</v>
      </c>
      <c r="AE5" s="44" t="s">
        <v>3</v>
      </c>
      <c r="AF5" s="26">
        <v>4</v>
      </c>
      <c r="AG5" s="58" t="s">
        <v>31</v>
      </c>
      <c r="AH5" s="59">
        <v>0.16</v>
      </c>
      <c r="AI5" s="60">
        <v>35640</v>
      </c>
      <c r="AN5" s="45">
        <f>AN1</f>
        <v>2600760</v>
      </c>
      <c r="AO5" s="46" t="s">
        <v>2</v>
      </c>
      <c r="AP5" s="47">
        <f>AU6</f>
        <v>0.21</v>
      </c>
      <c r="AQ5" s="48" t="s">
        <v>34</v>
      </c>
      <c r="AR5" s="49">
        <f>AV6</f>
        <v>125640</v>
      </c>
      <c r="AS5" s="26">
        <v>4</v>
      </c>
      <c r="AT5" s="58" t="s">
        <v>31</v>
      </c>
      <c r="AU5" s="59">
        <v>0.16</v>
      </c>
      <c r="AV5" s="60">
        <v>35640</v>
      </c>
      <c r="AY5" s="26" t="s">
        <v>38</v>
      </c>
      <c r="AZ5" s="26">
        <v>743256</v>
      </c>
      <c r="BC5" s="26" t="s">
        <v>54</v>
      </c>
      <c r="BE5" s="26">
        <v>1</v>
      </c>
      <c r="BF5" s="27" t="s">
        <v>28</v>
      </c>
      <c r="BG5" s="28">
        <v>0.06</v>
      </c>
      <c r="BH5" s="27">
        <v>0</v>
      </c>
    </row>
    <row r="6" spans="1:60" ht="15" thickBot="1">
      <c r="C6" s="45">
        <f>C2</f>
        <v>2600760</v>
      </c>
      <c r="D6" s="46" t="s">
        <v>2</v>
      </c>
      <c r="E6" s="47">
        <f>J6</f>
        <v>0.14299999999999999</v>
      </c>
      <c r="F6" s="48" t="s">
        <v>34</v>
      </c>
      <c r="G6" s="49">
        <f>K6</f>
        <v>87300</v>
      </c>
      <c r="H6" s="26">
        <v>5</v>
      </c>
      <c r="I6" s="64" t="s">
        <v>32</v>
      </c>
      <c r="J6" s="65">
        <v>0.14299999999999999</v>
      </c>
      <c r="K6" s="66">
        <v>87300</v>
      </c>
      <c r="O6" s="44"/>
      <c r="S6" s="44"/>
      <c r="T6" s="26">
        <v>5</v>
      </c>
      <c r="U6" s="64" t="s">
        <v>32</v>
      </c>
      <c r="V6" s="65">
        <v>0.14699999999999999</v>
      </c>
      <c r="W6" s="66">
        <v>85500</v>
      </c>
      <c r="AA6" s="45">
        <f>AA2</f>
        <v>2600760</v>
      </c>
      <c r="AB6" s="46" t="s">
        <v>2</v>
      </c>
      <c r="AC6" s="47">
        <f>AH6</f>
        <v>0.21</v>
      </c>
      <c r="AD6" s="48" t="s">
        <v>34</v>
      </c>
      <c r="AE6" s="49">
        <f>AI6</f>
        <v>125640</v>
      </c>
      <c r="AF6" s="26">
        <v>5</v>
      </c>
      <c r="AG6" s="78" t="s">
        <v>32</v>
      </c>
      <c r="AH6" s="79">
        <v>0.21</v>
      </c>
      <c r="AI6" s="80">
        <v>125640</v>
      </c>
      <c r="AN6" s="44"/>
      <c r="AR6" s="44"/>
      <c r="AS6" s="26">
        <v>5</v>
      </c>
      <c r="AT6" s="78" t="s">
        <v>32</v>
      </c>
      <c r="AU6" s="79">
        <v>0.21</v>
      </c>
      <c r="AV6" s="80">
        <v>125640</v>
      </c>
      <c r="BE6" s="26">
        <v>2</v>
      </c>
      <c r="BF6" s="29" t="s">
        <v>29</v>
      </c>
      <c r="BG6" s="30">
        <v>0.112</v>
      </c>
      <c r="BH6" s="31">
        <v>9360</v>
      </c>
    </row>
    <row r="7" spans="1:60" ht="15" thickBot="1">
      <c r="C7" s="44"/>
      <c r="G7" s="44"/>
      <c r="H7" s="26">
        <v>6</v>
      </c>
      <c r="I7" s="61" t="s">
        <v>33</v>
      </c>
      <c r="J7" s="62">
        <v>0.19</v>
      </c>
      <c r="K7" s="63">
        <v>378000</v>
      </c>
      <c r="S7" s="44"/>
      <c r="T7" s="26">
        <v>6</v>
      </c>
      <c r="U7" s="61" t="s">
        <v>33</v>
      </c>
      <c r="V7" s="62">
        <v>0.3</v>
      </c>
      <c r="W7" s="63">
        <v>720000</v>
      </c>
      <c r="AA7" s="44"/>
      <c r="AE7" s="44"/>
      <c r="AF7" s="26">
        <v>6</v>
      </c>
      <c r="AG7" s="61" t="s">
        <v>33</v>
      </c>
      <c r="AH7" s="62">
        <v>0.33</v>
      </c>
      <c r="AI7" s="63">
        <v>648000</v>
      </c>
      <c r="AR7" s="44"/>
      <c r="AS7" s="26">
        <v>6</v>
      </c>
      <c r="AT7" s="61" t="s">
        <v>33</v>
      </c>
      <c r="AU7" s="62">
        <v>0.33</v>
      </c>
      <c r="AV7" s="63">
        <v>648000</v>
      </c>
      <c r="AZ7" s="26" t="s">
        <v>1</v>
      </c>
      <c r="BB7" s="26" t="s">
        <v>5</v>
      </c>
      <c r="BD7" s="44" t="s">
        <v>3</v>
      </c>
      <c r="BE7" s="26">
        <v>3</v>
      </c>
      <c r="BF7" s="32" t="s">
        <v>30</v>
      </c>
      <c r="BG7" s="33">
        <v>0.13500000000000001</v>
      </c>
      <c r="BH7" s="34">
        <v>17640</v>
      </c>
    </row>
    <row r="8" spans="1:60" ht="15" thickBot="1">
      <c r="G8" s="44"/>
      <c r="O8" s="44"/>
      <c r="Q8" s="68" t="s">
        <v>4</v>
      </c>
      <c r="S8" s="44"/>
      <c r="AE8" s="44"/>
      <c r="AN8" s="44"/>
      <c r="AP8" s="68" t="s">
        <v>4</v>
      </c>
      <c r="AR8" s="44"/>
      <c r="AZ8" s="45">
        <f>AZ4</f>
        <v>2600760</v>
      </c>
      <c r="BA8" s="46" t="s">
        <v>2</v>
      </c>
      <c r="BB8" s="47">
        <f>BG9</f>
        <v>0.21</v>
      </c>
      <c r="BC8" s="48" t="s">
        <v>34</v>
      </c>
      <c r="BD8" s="49">
        <f>BH9</f>
        <v>125640</v>
      </c>
      <c r="BE8" s="26">
        <v>4</v>
      </c>
      <c r="BF8" s="58" t="s">
        <v>31</v>
      </c>
      <c r="BG8" s="59">
        <v>0.16</v>
      </c>
      <c r="BH8" s="60">
        <v>35640</v>
      </c>
    </row>
    <row r="9" spans="1:60" ht="15" customHeight="1" thickBot="1">
      <c r="C9" s="44"/>
      <c r="E9" s="68" t="s">
        <v>4</v>
      </c>
      <c r="G9" s="44" t="s">
        <v>119</v>
      </c>
      <c r="M9" s="73" t="s">
        <v>42</v>
      </c>
      <c r="N9" s="50" t="s">
        <v>43</v>
      </c>
      <c r="O9" s="189">
        <v>20500</v>
      </c>
      <c r="Q9" s="51">
        <f>((O5*Q5)-S5)/O5</f>
        <v>0.11412499423245512</v>
      </c>
      <c r="S9" s="189">
        <f>O9*Q9</f>
        <v>2339.56238176533</v>
      </c>
      <c r="AA9" s="44"/>
      <c r="AC9" s="68" t="s">
        <v>4</v>
      </c>
      <c r="AE9" s="44"/>
      <c r="AL9" s="74" t="s">
        <v>44</v>
      </c>
      <c r="AM9" s="297" t="s">
        <v>49</v>
      </c>
      <c r="AN9" s="189">
        <v>15450</v>
      </c>
      <c r="AP9" s="51">
        <f>((AN5*AP5)-AR5)/AN5</f>
        <v>0.16169104415632352</v>
      </c>
      <c r="AR9" s="189">
        <f>AN9*AP9</f>
        <v>2498.1266322151982</v>
      </c>
      <c r="AZ9" s="44"/>
      <c r="BD9" s="44"/>
      <c r="BE9" s="26">
        <v>5</v>
      </c>
      <c r="BF9" s="78" t="s">
        <v>32</v>
      </c>
      <c r="BG9" s="79">
        <v>0.21</v>
      </c>
      <c r="BH9" s="80">
        <v>125640</v>
      </c>
    </row>
    <row r="10" spans="1:60" ht="15" thickBot="1">
      <c r="A10" s="254" t="s">
        <v>41</v>
      </c>
      <c r="B10" s="67" t="s">
        <v>39</v>
      </c>
      <c r="C10" s="57">
        <v>135780</v>
      </c>
      <c r="E10" s="275">
        <f>((C6*E6)-G6)/C6</f>
        <v>0.10943288884787523</v>
      </c>
      <c r="G10" s="44">
        <f>C10*E10</f>
        <v>14858.797647764499</v>
      </c>
      <c r="O10" s="52"/>
      <c r="S10" s="44"/>
      <c r="Y10" s="74" t="s">
        <v>44</v>
      </c>
      <c r="Z10" s="50" t="s">
        <v>45</v>
      </c>
      <c r="AA10" s="189">
        <v>8750</v>
      </c>
      <c r="AC10" s="51">
        <f>((AA6*AC6)-AE6)/AA6</f>
        <v>0.16169104415632352</v>
      </c>
      <c r="AE10" s="44">
        <f>AA10*AC10</f>
        <v>1414.7966363678308</v>
      </c>
      <c r="AF10" s="56"/>
      <c r="AG10" s="288"/>
      <c r="AM10" s="26" t="s">
        <v>48</v>
      </c>
      <c r="AN10" s="289">
        <f>AN9</f>
        <v>15450</v>
      </c>
      <c r="AP10" s="290">
        <v>0.05</v>
      </c>
      <c r="AR10" s="44">
        <f>AN10*AP10</f>
        <v>772.5</v>
      </c>
      <c r="AS10" s="56">
        <f>AR9-AR10</f>
        <v>1725.6266322151982</v>
      </c>
      <c r="BD10" s="44"/>
      <c r="BE10" s="26">
        <v>6</v>
      </c>
      <c r="BF10" s="61" t="s">
        <v>33</v>
      </c>
      <c r="BG10" s="62">
        <v>0.33</v>
      </c>
      <c r="BH10" s="63">
        <v>648000</v>
      </c>
    </row>
    <row r="11" spans="1:60" ht="13.5" thickBot="1">
      <c r="C11" s="52"/>
      <c r="G11" s="44"/>
      <c r="N11" s="7" t="s">
        <v>10</v>
      </c>
      <c r="O11" s="7" t="s">
        <v>11</v>
      </c>
      <c r="P11" s="7" t="s">
        <v>12</v>
      </c>
      <c r="Q11" s="7" t="s">
        <v>13</v>
      </c>
      <c r="R11" s="7" t="s">
        <v>14</v>
      </c>
      <c r="S11" s="53" t="s">
        <v>36</v>
      </c>
      <c r="T11" s="53" t="s">
        <v>24</v>
      </c>
      <c r="U11" s="26" t="s">
        <v>119</v>
      </c>
      <c r="Z11" s="26" t="s">
        <v>48</v>
      </c>
      <c r="AA11" s="289">
        <f>AA10</f>
        <v>8750</v>
      </c>
      <c r="AC11" s="290">
        <v>0.05</v>
      </c>
      <c r="AE11" s="44">
        <f>AC11*AA11</f>
        <v>437.5</v>
      </c>
      <c r="AG11" s="56">
        <f>AE10-AE11</f>
        <v>977.29663636783084</v>
      </c>
      <c r="AM11" s="75" t="s">
        <v>46</v>
      </c>
      <c r="AN11" s="76">
        <f>AP9</f>
        <v>0.16169104415632352</v>
      </c>
      <c r="AO11" s="77"/>
      <c r="AP11" s="77"/>
      <c r="AQ11" s="77"/>
      <c r="AR11" s="77"/>
      <c r="AS11" s="77"/>
      <c r="AT11" s="77"/>
      <c r="AZ11" s="44"/>
      <c r="BB11" s="68" t="s">
        <v>4</v>
      </c>
      <c r="BD11" s="44"/>
    </row>
    <row r="12" spans="1:60" ht="14" thickTop="1" thickBot="1">
      <c r="B12" s="7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53" t="s">
        <v>24</v>
      </c>
      <c r="N12" s="69">
        <v>5.5E-2</v>
      </c>
      <c r="O12" s="69">
        <v>3.5000000000000003E-2</v>
      </c>
      <c r="P12" s="69">
        <v>0.11509999999999999</v>
      </c>
      <c r="Q12" s="69">
        <v>2.4899999999999999E-2</v>
      </c>
      <c r="R12" s="70">
        <v>0.375</v>
      </c>
      <c r="S12" s="71">
        <v>7.4999999999999997E-2</v>
      </c>
      <c r="T12" s="72">
        <v>0.32</v>
      </c>
      <c r="Z12" s="75" t="s">
        <v>46</v>
      </c>
      <c r="AA12" s="76">
        <f>AC10</f>
        <v>0.16169104415632352</v>
      </c>
      <c r="AB12" s="77"/>
      <c r="AC12" s="77"/>
      <c r="AD12" s="77"/>
      <c r="AE12" s="77"/>
      <c r="AF12" s="77"/>
      <c r="AG12" s="77"/>
      <c r="AM12" s="81"/>
      <c r="AN12" s="81"/>
      <c r="AO12" s="82"/>
      <c r="AP12" s="83" t="s">
        <v>48</v>
      </c>
      <c r="AQ12" s="81"/>
      <c r="AR12" s="81"/>
      <c r="AS12" s="81"/>
      <c r="AT12" s="81"/>
      <c r="AU12" s="26" t="s">
        <v>50</v>
      </c>
      <c r="AX12" s="74" t="s">
        <v>44</v>
      </c>
      <c r="AY12" s="50" t="s">
        <v>57</v>
      </c>
      <c r="AZ12" s="189">
        <v>40500</v>
      </c>
      <c r="BB12" s="51">
        <f>((AZ8*BB8)-BD8)/AZ8</f>
        <v>0.16169104415632352</v>
      </c>
      <c r="BD12" s="44">
        <f>AZ12*BB12</f>
        <v>6548.4872883311027</v>
      </c>
    </row>
    <row r="13" spans="1:60" ht="14" thickTop="1" thickBot="1">
      <c r="A13" s="26" t="s">
        <v>20</v>
      </c>
      <c r="B13" s="54">
        <v>5.5E-2</v>
      </c>
      <c r="C13" s="54">
        <v>3.5000000000000003E-2</v>
      </c>
      <c r="D13" s="54">
        <v>0.12740000000000001</v>
      </c>
      <c r="E13" s="54">
        <v>2.76E-2</v>
      </c>
      <c r="F13" s="54">
        <v>0.42</v>
      </c>
      <c r="G13" s="55">
        <v>0.33500000000000002</v>
      </c>
      <c r="N13" s="56">
        <f t="shared" ref="N13:T13" si="0">N12*$S$9</f>
        <v>128.67593099709316</v>
      </c>
      <c r="O13" s="56">
        <f t="shared" si="0"/>
        <v>81.884683361786557</v>
      </c>
      <c r="P13" s="56">
        <f t="shared" si="0"/>
        <v>269.28363014118946</v>
      </c>
      <c r="Q13" s="56">
        <f t="shared" si="0"/>
        <v>58.255103305956716</v>
      </c>
      <c r="R13" s="56">
        <f t="shared" si="0"/>
        <v>877.33589316199868</v>
      </c>
      <c r="S13" s="56">
        <f t="shared" si="0"/>
        <v>175.46717863239974</v>
      </c>
      <c r="T13" s="56">
        <f t="shared" si="0"/>
        <v>748.65996216490555</v>
      </c>
      <c r="U13" s="281">
        <f>SUM(N13:T13)</f>
        <v>2339.56238176533</v>
      </c>
      <c r="Z13" s="81"/>
      <c r="AA13" s="81"/>
      <c r="AB13" s="82"/>
      <c r="AC13" s="83" t="s">
        <v>48</v>
      </c>
      <c r="AD13" s="81"/>
      <c r="AE13" s="81"/>
      <c r="AF13" s="81"/>
      <c r="AG13" s="81"/>
      <c r="AH13" s="26" t="s">
        <v>50</v>
      </c>
      <c r="AN13" s="84" t="s">
        <v>10</v>
      </c>
      <c r="AO13" s="85">
        <f>AP9</f>
        <v>0.16169104415632352</v>
      </c>
      <c r="AP13" s="86">
        <v>0.05</v>
      </c>
      <c r="AQ13" s="87">
        <f>AO13-AP13</f>
        <v>0.11169104415632351</v>
      </c>
      <c r="AR13" s="84" t="s">
        <v>2</v>
      </c>
      <c r="AS13" s="87">
        <v>6.0199999999999997E-2</v>
      </c>
      <c r="AT13" s="88">
        <f>AQ13*AS13</f>
        <v>6.7238008582106747E-3</v>
      </c>
      <c r="AU13" s="89">
        <f t="shared" ref="AU13:AU19" si="1">AT13*$AN$9</f>
        <v>103.88272325935492</v>
      </c>
      <c r="AZ13" s="289">
        <f>AZ12</f>
        <v>40500</v>
      </c>
      <c r="BB13" s="290">
        <v>0.05</v>
      </c>
      <c r="BD13" s="44">
        <f>AZ13*BB13</f>
        <v>2025</v>
      </c>
      <c r="BE13" s="300">
        <f>BD12-BD13</f>
        <v>4523.4872883311027</v>
      </c>
    </row>
    <row r="14" spans="1:60" ht="14" thickTop="1" thickBot="1">
      <c r="B14" s="56">
        <f>B13*$G$10</f>
        <v>817.23387062704739</v>
      </c>
      <c r="C14" s="56">
        <f t="shared" ref="C14:G14" si="2">C13*$G$10</f>
        <v>520.05791767175754</v>
      </c>
      <c r="D14" s="56">
        <f t="shared" si="2"/>
        <v>1893.0108203251973</v>
      </c>
      <c r="E14" s="56">
        <f t="shared" si="2"/>
        <v>410.10281507830018</v>
      </c>
      <c r="F14" s="56">
        <f t="shared" si="2"/>
        <v>6240.6950120610891</v>
      </c>
      <c r="G14" s="56">
        <f t="shared" si="2"/>
        <v>4977.6972120011078</v>
      </c>
      <c r="H14" s="154">
        <f>SUM(B14:G14)</f>
        <v>14858.797647764499</v>
      </c>
      <c r="AA14" s="84" t="s">
        <v>10</v>
      </c>
      <c r="AB14" s="85">
        <f>AC10</f>
        <v>0.16169104415632352</v>
      </c>
      <c r="AC14" s="86">
        <v>0.05</v>
      </c>
      <c r="AD14" s="87">
        <f>AB14-AC14</f>
        <v>0.11169104415632351</v>
      </c>
      <c r="AE14" s="84" t="s">
        <v>2</v>
      </c>
      <c r="AF14" s="87">
        <v>6.0199999999999997E-2</v>
      </c>
      <c r="AG14" s="88">
        <f>AD14*AF14</f>
        <v>6.7238008582106747E-3</v>
      </c>
      <c r="AH14" s="89">
        <f t="shared" ref="AH14:AH20" si="3">AG14*$AA$10</f>
        <v>58.833257509343404</v>
      </c>
      <c r="AN14" s="84" t="s">
        <v>11</v>
      </c>
      <c r="AO14" s="85">
        <f>AO13</f>
        <v>0.16169104415632352</v>
      </c>
      <c r="AP14" s="86">
        <v>0.05</v>
      </c>
      <c r="AQ14" s="87">
        <f t="shared" ref="AQ14:AQ17" si="4">AO14-AP14</f>
        <v>0.11169104415632351</v>
      </c>
      <c r="AR14" s="84" t="s">
        <v>2</v>
      </c>
      <c r="AS14" s="87">
        <v>5.2600000000000001E-2</v>
      </c>
      <c r="AT14" s="88">
        <f t="shared" ref="AT14:AT17" si="5">AQ14*AS14</f>
        <v>5.8749489226226168E-3</v>
      </c>
      <c r="AU14" s="89">
        <f t="shared" si="1"/>
        <v>90.76796085451943</v>
      </c>
      <c r="AY14" s="75" t="s">
        <v>46</v>
      </c>
      <c r="AZ14" s="76">
        <f>BB12</f>
        <v>0.16169104415632352</v>
      </c>
      <c r="BA14" s="77"/>
      <c r="BB14" s="77"/>
      <c r="BC14" s="77"/>
      <c r="BD14" s="77"/>
      <c r="BE14" s="77"/>
      <c r="BF14" s="77"/>
    </row>
    <row r="15" spans="1:60" ht="13.5" thickBot="1">
      <c r="B15" s="56"/>
      <c r="C15" s="56"/>
      <c r="D15" s="56"/>
      <c r="E15" s="56"/>
      <c r="F15" s="56"/>
      <c r="G15" s="56"/>
      <c r="M15" s="107" t="s">
        <v>8</v>
      </c>
      <c r="N15" s="398" t="s">
        <v>9</v>
      </c>
      <c r="O15" s="398"/>
      <c r="P15" s="398"/>
      <c r="Q15" s="398"/>
      <c r="R15" s="398"/>
      <c r="S15" s="398"/>
      <c r="T15" s="399"/>
      <c r="AA15" s="84" t="s">
        <v>11</v>
      </c>
      <c r="AB15" s="85">
        <f>AB14</f>
        <v>0.16169104415632352</v>
      </c>
      <c r="AC15" s="86">
        <v>0.05</v>
      </c>
      <c r="AD15" s="87">
        <f t="shared" ref="AD15:AD18" si="6">AB15-AC15</f>
        <v>0.11169104415632351</v>
      </c>
      <c r="AE15" s="84" t="s">
        <v>2</v>
      </c>
      <c r="AF15" s="87">
        <v>5.2600000000000001E-2</v>
      </c>
      <c r="AG15" s="88">
        <f t="shared" ref="AG15:AG18" si="7">AD15*AF15</f>
        <v>5.8749489226226168E-3</v>
      </c>
      <c r="AH15" s="89">
        <f t="shared" si="3"/>
        <v>51.405803072947897</v>
      </c>
      <c r="AN15" s="84" t="s">
        <v>12</v>
      </c>
      <c r="AO15" s="85">
        <f>AO14</f>
        <v>0.16169104415632352</v>
      </c>
      <c r="AP15" s="86">
        <v>0.05</v>
      </c>
      <c r="AQ15" s="87">
        <f t="shared" si="4"/>
        <v>0.11169104415632351</v>
      </c>
      <c r="AR15" s="84" t="s">
        <v>2</v>
      </c>
      <c r="AS15" s="87">
        <v>0.1928</v>
      </c>
      <c r="AT15" s="88">
        <f t="shared" si="5"/>
        <v>2.1534033313339172E-2</v>
      </c>
      <c r="AU15" s="89">
        <f t="shared" si="1"/>
        <v>332.70081469109022</v>
      </c>
      <c r="AY15" s="81"/>
      <c r="AZ15" s="81"/>
      <c r="BA15" s="82"/>
      <c r="BB15" s="83" t="s">
        <v>48</v>
      </c>
      <c r="BC15" s="81"/>
      <c r="BD15" s="81"/>
      <c r="BE15" s="81"/>
      <c r="BF15" s="81"/>
      <c r="BG15" s="26" t="s">
        <v>50</v>
      </c>
    </row>
    <row r="16" spans="1:60" ht="13.5" thickBot="1">
      <c r="A16" s="7" t="s">
        <v>8</v>
      </c>
      <c r="B16" s="395" t="s">
        <v>9</v>
      </c>
      <c r="C16" s="396"/>
      <c r="D16" s="396"/>
      <c r="E16" s="396"/>
      <c r="F16" s="396"/>
      <c r="G16" s="397"/>
      <c r="M16" s="225"/>
      <c r="N16" s="226" t="s">
        <v>10</v>
      </c>
      <c r="O16" s="226" t="s">
        <v>11</v>
      </c>
      <c r="P16" s="226" t="s">
        <v>12</v>
      </c>
      <c r="Q16" s="226" t="s">
        <v>13</v>
      </c>
      <c r="R16" s="226" t="s">
        <v>14</v>
      </c>
      <c r="S16" s="227" t="s">
        <v>36</v>
      </c>
      <c r="T16" s="228" t="s">
        <v>24</v>
      </c>
      <c r="AA16" s="84" t="s">
        <v>12</v>
      </c>
      <c r="AB16" s="85">
        <f>AB15</f>
        <v>0.16169104415632352</v>
      </c>
      <c r="AC16" s="86">
        <v>0.05</v>
      </c>
      <c r="AD16" s="87">
        <f t="shared" si="6"/>
        <v>0.11169104415632351</v>
      </c>
      <c r="AE16" s="84" t="s">
        <v>2</v>
      </c>
      <c r="AF16" s="87">
        <v>0.1928</v>
      </c>
      <c r="AG16" s="88">
        <f t="shared" si="7"/>
        <v>2.1534033313339172E-2</v>
      </c>
      <c r="AH16" s="89">
        <f t="shared" si="3"/>
        <v>188.42279149171776</v>
      </c>
      <c r="AN16" s="84" t="s">
        <v>13</v>
      </c>
      <c r="AO16" s="85">
        <f>AO15</f>
        <v>0.16169104415632352</v>
      </c>
      <c r="AP16" s="86">
        <v>0.05</v>
      </c>
      <c r="AQ16" s="87">
        <f t="shared" si="4"/>
        <v>0.11169104415632351</v>
      </c>
      <c r="AR16" s="84" t="s">
        <v>2</v>
      </c>
      <c r="AS16" s="87">
        <v>4.1799999999999997E-2</v>
      </c>
      <c r="AT16" s="88">
        <f t="shared" si="5"/>
        <v>4.6686856457343225E-3</v>
      </c>
      <c r="AU16" s="89">
        <f t="shared" si="1"/>
        <v>72.131193226595286</v>
      </c>
      <c r="AZ16" s="84" t="s">
        <v>10</v>
      </c>
      <c r="BA16" s="85">
        <f>BB12</f>
        <v>0.16169104415632352</v>
      </c>
      <c r="BB16" s="86">
        <v>0.05</v>
      </c>
      <c r="BC16" s="87">
        <f>BA16-BB16</f>
        <v>0.11169104415632351</v>
      </c>
      <c r="BD16" s="84" t="s">
        <v>2</v>
      </c>
      <c r="BE16" s="87">
        <v>6.0199999999999997E-2</v>
      </c>
      <c r="BF16" s="88">
        <f>BC16*BE16</f>
        <v>6.7238008582106747E-3</v>
      </c>
      <c r="BG16" s="89">
        <f t="shared" ref="BG16:BG22" si="8">BF16*$AZ$12</f>
        <v>272.31393475753231</v>
      </c>
    </row>
    <row r="17" spans="1:60" ht="13.5" thickTop="1">
      <c r="A17" s="193"/>
      <c r="B17" s="193" t="s">
        <v>10</v>
      </c>
      <c r="C17" s="193" t="s">
        <v>11</v>
      </c>
      <c r="D17" s="193" t="s">
        <v>12</v>
      </c>
      <c r="E17" s="193" t="s">
        <v>13</v>
      </c>
      <c r="F17" s="193" t="s">
        <v>14</v>
      </c>
      <c r="G17" s="194" t="s">
        <v>15</v>
      </c>
      <c r="M17" s="278" t="s">
        <v>16</v>
      </c>
      <c r="N17" s="279">
        <v>5.5E-2</v>
      </c>
      <c r="O17" s="279">
        <v>3.5000000000000003E-2</v>
      </c>
      <c r="P17" s="279">
        <v>0.11509999999999999</v>
      </c>
      <c r="Q17" s="279">
        <v>2.4899999999999999E-2</v>
      </c>
      <c r="R17" s="279">
        <v>0.375</v>
      </c>
      <c r="S17" s="280">
        <v>7.4999999999999997E-2</v>
      </c>
      <c r="T17" s="280">
        <v>0.32</v>
      </c>
      <c r="AA17" s="84" t="s">
        <v>13</v>
      </c>
      <c r="AB17" s="85">
        <f>AB16</f>
        <v>0.16169104415632352</v>
      </c>
      <c r="AC17" s="86">
        <v>0.05</v>
      </c>
      <c r="AD17" s="87">
        <f t="shared" si="6"/>
        <v>0.11169104415632351</v>
      </c>
      <c r="AE17" s="84" t="s">
        <v>2</v>
      </c>
      <c r="AF17" s="87">
        <v>4.1799999999999997E-2</v>
      </c>
      <c r="AG17" s="88">
        <f t="shared" si="7"/>
        <v>4.6686856457343225E-3</v>
      </c>
      <c r="AH17" s="89">
        <f t="shared" si="3"/>
        <v>40.850999400175318</v>
      </c>
      <c r="AN17" s="84" t="s">
        <v>14</v>
      </c>
      <c r="AO17" s="85">
        <f>AO16</f>
        <v>0.16169104415632352</v>
      </c>
      <c r="AP17" s="86">
        <v>0.05</v>
      </c>
      <c r="AQ17" s="87">
        <f t="shared" si="4"/>
        <v>0.11169104415632351</v>
      </c>
      <c r="AR17" s="84" t="s">
        <v>2</v>
      </c>
      <c r="AS17" s="87">
        <v>0.65259999999999996</v>
      </c>
      <c r="AT17" s="88">
        <f t="shared" si="5"/>
        <v>7.2889575416416719E-2</v>
      </c>
      <c r="AU17" s="89">
        <f t="shared" si="1"/>
        <v>1126.1439401836383</v>
      </c>
      <c r="AV17" s="89">
        <f>SUM(AU13:AU17)</f>
        <v>1725.6266322151982</v>
      </c>
      <c r="AZ17" s="84" t="s">
        <v>11</v>
      </c>
      <c r="BA17" s="85">
        <f>BA16</f>
        <v>0.16169104415632352</v>
      </c>
      <c r="BB17" s="86">
        <v>0.05</v>
      </c>
      <c r="BC17" s="87">
        <f t="shared" ref="BC17:BC20" si="9">BA17-BB17</f>
        <v>0.11169104415632351</v>
      </c>
      <c r="BD17" s="84" t="s">
        <v>2</v>
      </c>
      <c r="BE17" s="87">
        <v>5.2600000000000001E-2</v>
      </c>
      <c r="BF17" s="88">
        <f t="shared" ref="BF17:BF20" si="10">BC17*BE17</f>
        <v>5.8749489226226168E-3</v>
      </c>
      <c r="BG17" s="89">
        <f t="shared" si="8"/>
        <v>237.93543136621599</v>
      </c>
    </row>
    <row r="18" spans="1:60">
      <c r="A18" s="255" t="s">
        <v>16</v>
      </c>
      <c r="B18" s="256">
        <v>0.04</v>
      </c>
      <c r="C18" s="256">
        <v>3.5000000000000003E-2</v>
      </c>
      <c r="D18" s="256">
        <v>0.12820000000000001</v>
      </c>
      <c r="E18" s="256">
        <v>2.7799999999999998E-2</v>
      </c>
      <c r="F18" s="256">
        <v>0.434</v>
      </c>
      <c r="G18" s="257">
        <v>0.33500000000000002</v>
      </c>
      <c r="M18" s="255" t="s">
        <v>17</v>
      </c>
      <c r="N18" s="256">
        <v>5.5E-2</v>
      </c>
      <c r="O18" s="256">
        <v>3.5000000000000003E-2</v>
      </c>
      <c r="P18" s="256">
        <v>0.11509999999999999</v>
      </c>
      <c r="Q18" s="256">
        <v>2.4899999999999999E-2</v>
      </c>
      <c r="R18" s="256">
        <v>0.375</v>
      </c>
      <c r="S18" s="257">
        <v>7.4999999999999997E-2</v>
      </c>
      <c r="T18" s="257">
        <v>0.32</v>
      </c>
      <c r="AA18" s="84" t="s">
        <v>14</v>
      </c>
      <c r="AB18" s="85">
        <f>AB17</f>
        <v>0.16169104415632352</v>
      </c>
      <c r="AC18" s="86">
        <v>0.05</v>
      </c>
      <c r="AD18" s="87">
        <f t="shared" si="6"/>
        <v>0.11169104415632351</v>
      </c>
      <c r="AE18" s="84" t="s">
        <v>2</v>
      </c>
      <c r="AF18" s="87">
        <v>0.65259999999999996</v>
      </c>
      <c r="AG18" s="88">
        <f t="shared" si="7"/>
        <v>7.2889575416416719E-2</v>
      </c>
      <c r="AH18" s="89">
        <f t="shared" si="3"/>
        <v>637.78378489364627</v>
      </c>
      <c r="AN18" s="294" t="s">
        <v>47</v>
      </c>
      <c r="AO18" s="294"/>
      <c r="AP18" s="295"/>
      <c r="AQ18" s="294"/>
      <c r="AR18" s="294"/>
      <c r="AS18" s="296"/>
      <c r="AT18" s="291">
        <v>0.05</v>
      </c>
      <c r="AU18" s="292">
        <f t="shared" si="1"/>
        <v>772.5</v>
      </c>
      <c r="AZ18" s="84" t="s">
        <v>12</v>
      </c>
      <c r="BA18" s="85">
        <f>BA17</f>
        <v>0.16169104415632352</v>
      </c>
      <c r="BB18" s="86">
        <v>0.05</v>
      </c>
      <c r="BC18" s="87">
        <f t="shared" si="9"/>
        <v>0.11169104415632351</v>
      </c>
      <c r="BD18" s="84" t="s">
        <v>2</v>
      </c>
      <c r="BE18" s="87">
        <v>0.1928</v>
      </c>
      <c r="BF18" s="88">
        <f t="shared" si="10"/>
        <v>2.1534033313339172E-2</v>
      </c>
      <c r="BG18" s="89">
        <f t="shared" si="8"/>
        <v>872.12834919023646</v>
      </c>
    </row>
    <row r="19" spans="1:60">
      <c r="A19" s="258" t="s">
        <v>17</v>
      </c>
      <c r="B19" s="259">
        <v>0.04</v>
      </c>
      <c r="C19" s="259">
        <v>3.5000000000000003E-2</v>
      </c>
      <c r="D19" s="259">
        <v>0.14050000000000001</v>
      </c>
      <c r="E19" s="259">
        <v>3.0499999999999999E-2</v>
      </c>
      <c r="F19" s="259">
        <v>0.434</v>
      </c>
      <c r="G19" s="260">
        <v>0.32</v>
      </c>
      <c r="M19" s="278" t="s">
        <v>18</v>
      </c>
      <c r="N19" s="279">
        <v>5.5E-2</v>
      </c>
      <c r="O19" s="279">
        <v>3.5000000000000003E-2</v>
      </c>
      <c r="P19" s="279">
        <v>0.11509999999999999</v>
      </c>
      <c r="Q19" s="279">
        <v>2.4899999999999999E-2</v>
      </c>
      <c r="R19" s="279">
        <v>0.375</v>
      </c>
      <c r="S19" s="280">
        <v>7.4999999999999997E-2</v>
      </c>
      <c r="T19" s="280">
        <v>0.32</v>
      </c>
      <c r="AA19" s="84" t="s">
        <v>47</v>
      </c>
      <c r="AB19" s="84"/>
      <c r="AC19" s="86"/>
      <c r="AD19" s="84"/>
      <c r="AE19" s="84"/>
      <c r="AF19" s="87"/>
      <c r="AG19" s="291">
        <v>0.05</v>
      </c>
      <c r="AH19" s="292">
        <f t="shared" si="3"/>
        <v>437.5</v>
      </c>
      <c r="AN19" s="84"/>
      <c r="AO19" s="84"/>
      <c r="AP19" s="84"/>
      <c r="AQ19" s="84"/>
      <c r="AR19" s="84"/>
      <c r="AS19" s="84"/>
      <c r="AT19" s="88">
        <f>SUM(AT13:AT18)</f>
        <v>0.16169104415632352</v>
      </c>
      <c r="AU19" s="89">
        <f t="shared" si="1"/>
        <v>2498.1266322151982</v>
      </c>
      <c r="AZ19" s="84" t="s">
        <v>13</v>
      </c>
      <c r="BA19" s="85">
        <f>BA18</f>
        <v>0.16169104415632352</v>
      </c>
      <c r="BB19" s="86">
        <v>0.05</v>
      </c>
      <c r="BC19" s="87">
        <f t="shared" si="9"/>
        <v>0.11169104415632351</v>
      </c>
      <c r="BD19" s="84" t="s">
        <v>2</v>
      </c>
      <c r="BE19" s="87">
        <v>4.1799999999999997E-2</v>
      </c>
      <c r="BF19" s="88">
        <f t="shared" si="10"/>
        <v>4.6686856457343225E-3</v>
      </c>
      <c r="BG19" s="89">
        <f t="shared" si="8"/>
        <v>189.08176865224007</v>
      </c>
    </row>
    <row r="20" spans="1:60" ht="13.5" thickBot="1">
      <c r="A20" s="216" t="s">
        <v>18</v>
      </c>
      <c r="B20" s="217">
        <v>0.04</v>
      </c>
      <c r="C20" s="217">
        <v>3.5000000000000003E-2</v>
      </c>
      <c r="D20" s="217">
        <v>0.13639999999999999</v>
      </c>
      <c r="E20" s="217">
        <v>2.9600000000000001E-2</v>
      </c>
      <c r="F20" s="217">
        <v>0.434</v>
      </c>
      <c r="G20" s="218">
        <v>0.32500000000000001</v>
      </c>
      <c r="M20" s="255" t="s">
        <v>19</v>
      </c>
      <c r="N20" s="256">
        <v>5.5E-2</v>
      </c>
      <c r="O20" s="256">
        <v>3.5000000000000003E-2</v>
      </c>
      <c r="P20" s="256">
        <v>0.11509999999999999</v>
      </c>
      <c r="Q20" s="256">
        <v>2.4899999999999999E-2</v>
      </c>
      <c r="R20" s="256">
        <v>0.375</v>
      </c>
      <c r="S20" s="257">
        <v>7.4999999999999997E-2</v>
      </c>
      <c r="T20" s="257">
        <v>0.32</v>
      </c>
      <c r="AA20" s="84"/>
      <c r="AB20" s="84"/>
      <c r="AC20" s="84"/>
      <c r="AD20" s="84"/>
      <c r="AE20" s="84"/>
      <c r="AF20" s="84"/>
      <c r="AG20" s="88">
        <f>SUM(AG14:AG19)</f>
        <v>0.16169104415632352</v>
      </c>
      <c r="AH20" s="89">
        <f t="shared" si="3"/>
        <v>1414.7966363678308</v>
      </c>
      <c r="AN20" s="84"/>
      <c r="AO20" s="84"/>
      <c r="AP20" s="84"/>
      <c r="AQ20" s="84"/>
      <c r="AR20" s="84"/>
      <c r="AS20" s="84"/>
      <c r="AT20" s="88"/>
      <c r="AU20" s="89">
        <f>SUM(AU13:AU18)</f>
        <v>2498.1266322151982</v>
      </c>
      <c r="AZ20" s="84" t="s">
        <v>14</v>
      </c>
      <c r="BA20" s="85">
        <f>BA19</f>
        <v>0.16169104415632352</v>
      </c>
      <c r="BB20" s="86">
        <v>0.05</v>
      </c>
      <c r="BC20" s="87">
        <f t="shared" si="9"/>
        <v>0.11169104415632351</v>
      </c>
      <c r="BD20" s="84" t="s">
        <v>2</v>
      </c>
      <c r="BE20" s="87">
        <v>0.65259999999999996</v>
      </c>
      <c r="BF20" s="88">
        <f t="shared" si="10"/>
        <v>7.2889575416416719E-2</v>
      </c>
      <c r="BG20" s="89">
        <f t="shared" si="8"/>
        <v>2952.0278043648773</v>
      </c>
      <c r="BH20" s="292">
        <f>SUM(BG16:BG20)</f>
        <v>4523.4872883311018</v>
      </c>
    </row>
    <row r="21" spans="1:60" ht="13.5" thickBot="1">
      <c r="A21" s="149" t="s">
        <v>19</v>
      </c>
      <c r="B21" s="252">
        <v>0.04</v>
      </c>
      <c r="C21" s="252">
        <v>3.5000000000000003E-2</v>
      </c>
      <c r="D21" s="252">
        <v>0.13639999999999999</v>
      </c>
      <c r="E21" s="252">
        <v>2.9600000000000001E-2</v>
      </c>
      <c r="F21" s="252">
        <v>0.434</v>
      </c>
      <c r="G21" s="253">
        <v>0.32500000000000001</v>
      </c>
      <c r="M21" s="233" t="s">
        <v>20</v>
      </c>
      <c r="N21" s="234">
        <v>5.5E-2</v>
      </c>
      <c r="O21" s="234">
        <v>3.5000000000000003E-2</v>
      </c>
      <c r="P21" s="234">
        <v>0.11509999999999999</v>
      </c>
      <c r="Q21" s="234">
        <v>2.4899999999999999E-2</v>
      </c>
      <c r="R21" s="234">
        <v>0.375</v>
      </c>
      <c r="S21" s="235">
        <v>7.4999999999999997E-2</v>
      </c>
      <c r="T21" s="236">
        <v>0.32</v>
      </c>
      <c r="AA21" s="84"/>
      <c r="AB21" s="84"/>
      <c r="AC21" s="84"/>
      <c r="AD21" s="84"/>
      <c r="AE21" s="84"/>
      <c r="AF21" s="84"/>
      <c r="AG21" s="88"/>
      <c r="AH21" s="89">
        <f>SUM(AH14:AH19)</f>
        <v>1414.7966363678306</v>
      </c>
      <c r="AZ21" s="294" t="s">
        <v>47</v>
      </c>
      <c r="BA21" s="294"/>
      <c r="BB21" s="295"/>
      <c r="BC21" s="294"/>
      <c r="BD21" s="294"/>
      <c r="BE21" s="296"/>
      <c r="BF21" s="291">
        <v>0.05</v>
      </c>
      <c r="BG21" s="292">
        <f t="shared" si="8"/>
        <v>2025</v>
      </c>
    </row>
    <row r="22" spans="1:60" ht="13.5" thickBot="1">
      <c r="A22" s="152" t="s">
        <v>20</v>
      </c>
      <c r="B22" s="197">
        <v>0.04</v>
      </c>
      <c r="C22" s="197">
        <v>3.5000000000000003E-2</v>
      </c>
      <c r="D22" s="197">
        <v>0.12820000000000001</v>
      </c>
      <c r="E22" s="197">
        <v>2.7799999999999998E-2</v>
      </c>
      <c r="F22" s="197">
        <v>0.434</v>
      </c>
      <c r="G22" s="277" t="s">
        <v>21</v>
      </c>
      <c r="M22" s="255" t="s">
        <v>22</v>
      </c>
      <c r="N22" s="256">
        <v>8.5000000000000006E-2</v>
      </c>
      <c r="O22" s="256">
        <v>7.4999999999999997E-2</v>
      </c>
      <c r="P22" s="256">
        <v>0.20960000000000001</v>
      </c>
      <c r="Q22" s="256">
        <v>4.5400000000000003E-2</v>
      </c>
      <c r="R22" s="256">
        <v>0.23499999999999999</v>
      </c>
      <c r="S22" s="257">
        <v>0.35</v>
      </c>
      <c r="T22" s="257">
        <v>0.32</v>
      </c>
      <c r="AA22" s="84"/>
      <c r="AB22" s="84"/>
      <c r="AC22" s="84"/>
      <c r="AD22" s="84"/>
      <c r="AE22" s="84"/>
      <c r="AF22" s="84"/>
      <c r="AG22" s="84"/>
      <c r="AL22" s="264" t="s">
        <v>111</v>
      </c>
      <c r="AM22" s="265" t="s">
        <v>114</v>
      </c>
      <c r="AN22" s="266"/>
      <c r="AO22" s="266"/>
      <c r="AP22" s="266"/>
      <c r="AQ22" s="266"/>
      <c r="AR22" s="266"/>
      <c r="AS22" s="267"/>
      <c r="AT22" s="272"/>
      <c r="AZ22" s="84"/>
      <c r="BA22" s="84"/>
      <c r="BB22" s="84"/>
      <c r="BC22" s="84"/>
      <c r="BD22" s="84"/>
      <c r="BE22" s="84" t="s">
        <v>56</v>
      </c>
      <c r="BF22" s="88">
        <f>SUM(BF16:BF21)</f>
        <v>0.16169104415632352</v>
      </c>
      <c r="BG22" s="89">
        <f t="shared" si="8"/>
        <v>6548.4872883311027</v>
      </c>
    </row>
    <row r="23" spans="1:60" ht="13.5" thickBot="1">
      <c r="A23" s="150" t="s">
        <v>22</v>
      </c>
      <c r="B23" s="195">
        <v>0.35</v>
      </c>
      <c r="C23" s="195">
        <v>0.15</v>
      </c>
      <c r="D23" s="195">
        <v>0.1603</v>
      </c>
      <c r="E23" s="195">
        <v>3.4700000000000002E-2</v>
      </c>
      <c r="F23" s="195">
        <v>0.30499999999999999</v>
      </c>
      <c r="G23" s="276" t="s">
        <v>23</v>
      </c>
      <c r="AL23" s="268" t="s">
        <v>112</v>
      </c>
      <c r="AM23" s="269" t="s">
        <v>115</v>
      </c>
      <c r="AN23" s="270"/>
      <c r="AO23" s="270"/>
      <c r="AP23" s="270"/>
      <c r="AQ23" s="270"/>
      <c r="AR23" s="270"/>
      <c r="AS23" s="271"/>
      <c r="AT23" s="273"/>
      <c r="AZ23" s="84"/>
      <c r="BA23" s="84"/>
      <c r="BB23" s="84"/>
      <c r="BC23" s="84"/>
      <c r="BD23" s="84"/>
      <c r="BE23" s="84"/>
      <c r="BF23" s="88"/>
      <c r="BG23" s="89">
        <f>SUM(BG16:BG21)</f>
        <v>6548.4872883311018</v>
      </c>
    </row>
    <row r="24" spans="1:60" ht="13.5" thickBot="1">
      <c r="AL24" s="268" t="s">
        <v>55</v>
      </c>
      <c r="AM24" s="269" t="s">
        <v>116</v>
      </c>
      <c r="AN24" s="270"/>
      <c r="AO24" s="270"/>
      <c r="AP24" s="270"/>
      <c r="AQ24" s="270"/>
      <c r="AR24" s="270"/>
      <c r="AS24" s="270"/>
      <c r="AT24" s="271"/>
      <c r="AX24" s="264" t="s">
        <v>111</v>
      </c>
      <c r="AY24" s="265" t="s">
        <v>114</v>
      </c>
      <c r="AZ24" s="266"/>
      <c r="BA24" s="266"/>
      <c r="BB24" s="266"/>
      <c r="BC24" s="266"/>
      <c r="BD24" s="266"/>
      <c r="BE24" s="267"/>
      <c r="BF24" s="272"/>
    </row>
    <row r="25" spans="1:60" ht="13.5" thickBot="1">
      <c r="AL25" s="264" t="s">
        <v>113</v>
      </c>
      <c r="AM25" s="265" t="s">
        <v>117</v>
      </c>
      <c r="AN25" s="266"/>
      <c r="AO25" s="266"/>
      <c r="AP25" s="266"/>
      <c r="AQ25" s="266"/>
      <c r="AR25" s="266"/>
      <c r="AS25" s="266"/>
      <c r="AT25" s="267"/>
      <c r="AX25" s="268" t="s">
        <v>112</v>
      </c>
      <c r="AY25" s="269" t="s">
        <v>115</v>
      </c>
      <c r="AZ25" s="270"/>
      <c r="BA25" s="270"/>
      <c r="BB25" s="270"/>
      <c r="BC25" s="270"/>
      <c r="BD25" s="270"/>
      <c r="BE25" s="271"/>
      <c r="BF25" s="273"/>
    </row>
    <row r="26" spans="1:60" ht="13.5" thickBot="1">
      <c r="AL26" s="261" t="s">
        <v>113</v>
      </c>
      <c r="AM26" s="263" t="s">
        <v>118</v>
      </c>
      <c r="AX26" s="268" t="s">
        <v>55</v>
      </c>
      <c r="AY26" s="269" t="s">
        <v>116</v>
      </c>
      <c r="AZ26" s="270"/>
      <c r="BA26" s="270"/>
      <c r="BB26" s="270"/>
      <c r="BC26" s="270"/>
      <c r="BD26" s="270"/>
      <c r="BE26" s="270"/>
      <c r="BF26" s="271"/>
    </row>
    <row r="27" spans="1:60" ht="13.5" thickBot="1">
      <c r="B27" s="264" t="s">
        <v>111</v>
      </c>
      <c r="C27" s="265" t="s">
        <v>114</v>
      </c>
      <c r="D27" s="266"/>
      <c r="E27" s="266"/>
      <c r="F27" s="266"/>
      <c r="G27" s="266"/>
      <c r="H27" s="266"/>
      <c r="I27" s="267"/>
      <c r="J27" s="26" t="s">
        <v>120</v>
      </c>
      <c r="K27" s="56">
        <f>H14</f>
        <v>14858.797647764499</v>
      </c>
      <c r="M27" s="264" t="s">
        <v>111</v>
      </c>
      <c r="N27" s="265" t="s">
        <v>114</v>
      </c>
      <c r="O27" s="266"/>
      <c r="P27" s="266"/>
      <c r="Q27" s="266"/>
      <c r="R27" s="266"/>
      <c r="S27" s="266"/>
      <c r="T27" s="267"/>
      <c r="AX27" s="264" t="s">
        <v>113</v>
      </c>
      <c r="AY27" s="265" t="s">
        <v>117</v>
      </c>
      <c r="AZ27" s="266"/>
      <c r="BA27" s="266"/>
      <c r="BB27" s="266"/>
      <c r="BC27" s="266"/>
      <c r="BD27" s="266"/>
      <c r="BE27" s="266"/>
      <c r="BF27" s="267"/>
    </row>
    <row r="28" spans="1:60" ht="13.5" thickBot="1">
      <c r="B28" s="261" t="s">
        <v>112</v>
      </c>
      <c r="C28" s="262" t="s">
        <v>115</v>
      </c>
      <c r="M28" s="264" t="s">
        <v>112</v>
      </c>
      <c r="N28" s="265" t="s">
        <v>115</v>
      </c>
      <c r="O28" s="266"/>
      <c r="P28" s="266"/>
      <c r="Q28" s="266"/>
      <c r="R28" s="266"/>
      <c r="S28" s="266"/>
      <c r="T28" s="267"/>
      <c r="V28" s="26" t="s">
        <v>120</v>
      </c>
      <c r="W28" s="56">
        <f>U13</f>
        <v>2339.56238176533</v>
      </c>
      <c r="AX28" s="264" t="s">
        <v>113</v>
      </c>
      <c r="AY28" s="299" t="s">
        <v>118</v>
      </c>
      <c r="AZ28" s="266"/>
      <c r="BA28" s="266"/>
      <c r="BB28" s="266"/>
      <c r="BC28" s="266"/>
      <c r="BD28" s="266"/>
      <c r="BE28" s="266"/>
      <c r="BF28" s="267"/>
    </row>
    <row r="29" spans="1:60">
      <c r="B29" s="261" t="s">
        <v>55</v>
      </c>
      <c r="C29" s="262" t="s">
        <v>116</v>
      </c>
      <c r="M29" s="261" t="s">
        <v>55</v>
      </c>
      <c r="N29" s="262" t="s">
        <v>116</v>
      </c>
    </row>
    <row r="30" spans="1:60">
      <c r="B30" s="261" t="s">
        <v>113</v>
      </c>
      <c r="C30" s="262" t="s">
        <v>117</v>
      </c>
      <c r="M30" s="261" t="s">
        <v>113</v>
      </c>
      <c r="N30" s="262" t="s">
        <v>117</v>
      </c>
    </row>
    <row r="31" spans="1:60">
      <c r="B31" s="261" t="s">
        <v>113</v>
      </c>
      <c r="C31" s="263" t="s">
        <v>118</v>
      </c>
      <c r="M31" s="261" t="s">
        <v>113</v>
      </c>
      <c r="N31" s="263" t="s">
        <v>118</v>
      </c>
    </row>
    <row r="34" spans="25:33" ht="13.5" thickBot="1"/>
    <row r="35" spans="25:33" ht="13.5" thickBot="1">
      <c r="Y35" s="264" t="s">
        <v>111</v>
      </c>
      <c r="Z35" s="265" t="s">
        <v>114</v>
      </c>
      <c r="AA35" s="266"/>
      <c r="AB35" s="266"/>
      <c r="AC35" s="266"/>
      <c r="AD35" s="266"/>
      <c r="AE35" s="266"/>
      <c r="AF35" s="267"/>
      <c r="AG35" s="272"/>
    </row>
    <row r="36" spans="25:33" ht="13.5" thickBot="1">
      <c r="Y36" s="268" t="s">
        <v>112</v>
      </c>
      <c r="Z36" s="269" t="s">
        <v>115</v>
      </c>
      <c r="AA36" s="270"/>
      <c r="AB36" s="270"/>
      <c r="AC36" s="270"/>
      <c r="AD36" s="270"/>
      <c r="AE36" s="270"/>
      <c r="AF36" s="271"/>
      <c r="AG36" s="273"/>
    </row>
    <row r="37" spans="25:33" ht="13.5" thickBot="1">
      <c r="Y37" s="268" t="s">
        <v>55</v>
      </c>
      <c r="Z37" s="269" t="s">
        <v>116</v>
      </c>
      <c r="AA37" s="270"/>
      <c r="AB37" s="270"/>
      <c r="AC37" s="270"/>
      <c r="AD37" s="270"/>
      <c r="AE37" s="270"/>
      <c r="AF37" s="270"/>
      <c r="AG37" s="271"/>
    </row>
    <row r="38" spans="25:33">
      <c r="Y38" s="261" t="s">
        <v>113</v>
      </c>
      <c r="Z38" s="262" t="s">
        <v>117</v>
      </c>
    </row>
    <row r="39" spans="25:33">
      <c r="Y39" s="261" t="s">
        <v>113</v>
      </c>
      <c r="Z39" s="263" t="s">
        <v>118</v>
      </c>
    </row>
    <row r="41" spans="25:33" ht="13.5" thickBot="1"/>
    <row r="42" spans="25:33">
      <c r="Y42" s="282" t="s">
        <v>8</v>
      </c>
      <c r="Z42" s="401" t="s">
        <v>9</v>
      </c>
      <c r="AA42" s="402"/>
      <c r="AB42" s="402"/>
      <c r="AC42" s="402"/>
      <c r="AD42" s="402"/>
      <c r="AE42" s="403"/>
    </row>
    <row r="43" spans="25:33">
      <c r="Y43" s="283"/>
      <c r="Z43" s="283" t="s">
        <v>10</v>
      </c>
      <c r="AA43" s="283" t="s">
        <v>11</v>
      </c>
      <c r="AB43" s="283" t="s">
        <v>12</v>
      </c>
      <c r="AC43" s="283" t="s">
        <v>13</v>
      </c>
      <c r="AD43" s="283" t="s">
        <v>14</v>
      </c>
      <c r="AE43" s="284" t="s">
        <v>15</v>
      </c>
    </row>
    <row r="44" spans="25:33">
      <c r="Y44" s="255" t="s">
        <v>16</v>
      </c>
      <c r="Z44" s="256">
        <v>0.04</v>
      </c>
      <c r="AA44" s="256">
        <v>3.5000000000000003E-2</v>
      </c>
      <c r="AB44" s="256">
        <v>0.12820000000000001</v>
      </c>
      <c r="AC44" s="256">
        <v>2.7799999999999998E-2</v>
      </c>
      <c r="AD44" s="256">
        <v>0.434</v>
      </c>
      <c r="AE44" s="257">
        <v>0.33500000000000002</v>
      </c>
    </row>
    <row r="45" spans="25:33">
      <c r="Y45" s="258" t="s">
        <v>17</v>
      </c>
      <c r="Z45" s="259">
        <v>0.04</v>
      </c>
      <c r="AA45" s="259">
        <v>3.5000000000000003E-2</v>
      </c>
      <c r="AB45" s="259">
        <v>0.14050000000000001</v>
      </c>
      <c r="AC45" s="259">
        <v>3.0499999999999999E-2</v>
      </c>
      <c r="AD45" s="259">
        <v>0.434</v>
      </c>
      <c r="AE45" s="260">
        <v>0.32</v>
      </c>
    </row>
    <row r="46" spans="25:33">
      <c r="Y46" s="255" t="s">
        <v>18</v>
      </c>
      <c r="Z46" s="256">
        <v>0.04</v>
      </c>
      <c r="AA46" s="256">
        <v>3.5000000000000003E-2</v>
      </c>
      <c r="AB46" s="256">
        <v>0.13639999999999999</v>
      </c>
      <c r="AC46" s="256">
        <v>2.9600000000000001E-2</v>
      </c>
      <c r="AD46" s="256">
        <v>0.434</v>
      </c>
      <c r="AE46" s="257">
        <v>0.32500000000000001</v>
      </c>
    </row>
    <row r="47" spans="25:33" ht="13.5" thickBot="1">
      <c r="Y47" s="258" t="s">
        <v>19</v>
      </c>
      <c r="Z47" s="259">
        <v>0.04</v>
      </c>
      <c r="AA47" s="259">
        <v>3.5000000000000003E-2</v>
      </c>
      <c r="AB47" s="259">
        <v>0.13639999999999999</v>
      </c>
      <c r="AC47" s="259">
        <v>2.9600000000000001E-2</v>
      </c>
      <c r="AD47" s="259">
        <v>0.434</v>
      </c>
      <c r="AE47" s="260">
        <v>0.32500000000000001</v>
      </c>
    </row>
    <row r="48" spans="25:33" ht="13.5" thickBot="1">
      <c r="Y48" s="286" t="s">
        <v>20</v>
      </c>
      <c r="Z48" s="248">
        <v>0.04</v>
      </c>
      <c r="AA48" s="248">
        <v>3.5000000000000003E-2</v>
      </c>
      <c r="AB48" s="248">
        <v>0.12820000000000001</v>
      </c>
      <c r="AC48" s="248">
        <v>2.7799999999999998E-2</v>
      </c>
      <c r="AD48" s="249">
        <v>0.434</v>
      </c>
      <c r="AE48" s="287" t="s">
        <v>21</v>
      </c>
    </row>
    <row r="49" spans="25:31">
      <c r="Y49" s="258" t="s">
        <v>22</v>
      </c>
      <c r="Z49" s="259">
        <v>0.35</v>
      </c>
      <c r="AA49" s="259">
        <v>0.15</v>
      </c>
      <c r="AB49" s="259">
        <v>0.1603</v>
      </c>
      <c r="AC49" s="259">
        <v>3.4700000000000002E-2</v>
      </c>
      <c r="AD49" s="259">
        <v>0.30499999999999999</v>
      </c>
      <c r="AE49" s="285" t="s">
        <v>23</v>
      </c>
    </row>
  </sheetData>
  <mergeCells count="3">
    <mergeCell ref="B16:G16"/>
    <mergeCell ref="N15:T15"/>
    <mergeCell ref="Z42:AE42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DB109-B7AD-499E-BE52-E32A27FAF9BB}">
  <dimension ref="B1:Z32"/>
  <sheetViews>
    <sheetView zoomScale="55" zoomScaleNormal="55" workbookViewId="0">
      <selection activeCell="D25" sqref="D25"/>
    </sheetView>
  </sheetViews>
  <sheetFormatPr defaultRowHeight="14.5"/>
  <cols>
    <col min="2" max="2" width="5.7265625" bestFit="1" customWidth="1"/>
    <col min="3" max="3" width="11.81640625" style="2" bestFit="1" customWidth="1"/>
    <col min="4" max="4" width="11.81640625" bestFit="1" customWidth="1"/>
    <col min="5" max="5" width="11.81640625" customWidth="1"/>
    <col min="6" max="6" width="2.26953125" customWidth="1"/>
    <col min="7" max="7" width="38.453125" customWidth="1"/>
    <col min="8" max="8" width="11.81640625" bestFit="1" customWidth="1"/>
    <col min="9" max="9" width="13.26953125" customWidth="1"/>
    <col min="10" max="10" width="7.26953125" bestFit="1" customWidth="1"/>
    <col min="11" max="11" width="7" bestFit="1" customWidth="1"/>
    <col min="12" max="12" width="15.7265625" customWidth="1"/>
    <col min="13" max="13" width="11.81640625" bestFit="1" customWidth="1"/>
    <col min="14" max="14" width="14.81640625" bestFit="1" customWidth="1"/>
    <col min="15" max="15" width="15.26953125" bestFit="1" customWidth="1"/>
    <col min="16" max="16" width="17" customWidth="1"/>
    <col min="17" max="17" width="16" customWidth="1"/>
    <col min="18" max="18" width="11.81640625" bestFit="1" customWidth="1"/>
    <col min="19" max="19" width="10" bestFit="1" customWidth="1"/>
    <col min="20" max="20" width="6.1796875" bestFit="1" customWidth="1"/>
    <col min="21" max="21" width="7" bestFit="1" customWidth="1"/>
    <col min="22" max="22" width="6.1796875" bestFit="1" customWidth="1"/>
    <col min="23" max="23" width="2.08984375" bestFit="1" customWidth="1"/>
    <col min="24" max="24" width="7.1796875" bestFit="1" customWidth="1"/>
    <col min="25" max="25" width="8.54296875" customWidth="1"/>
    <col min="26" max="26" width="10.1796875" bestFit="1" customWidth="1"/>
  </cols>
  <sheetData>
    <row r="1" spans="2:26" ht="15" thickBot="1">
      <c r="C1" s="207" t="s">
        <v>161</v>
      </c>
    </row>
    <row r="2" spans="2:26" ht="15" thickBot="1">
      <c r="G2" t="s">
        <v>164</v>
      </c>
      <c r="L2" s="301"/>
      <c r="M2" s="301"/>
      <c r="N2" s="301"/>
      <c r="O2" s="301"/>
      <c r="P2" s="301"/>
      <c r="Q2" s="301"/>
    </row>
    <row r="3" spans="2:26" ht="15" thickBot="1">
      <c r="B3" t="s">
        <v>73</v>
      </c>
      <c r="C3" s="2">
        <v>58000</v>
      </c>
      <c r="D3" s="3">
        <f>C3*12</f>
        <v>696000</v>
      </c>
      <c r="E3" s="3"/>
      <c r="G3" s="157" t="s">
        <v>25</v>
      </c>
      <c r="H3" s="157" t="s">
        <v>26</v>
      </c>
      <c r="I3" s="157" t="s">
        <v>27</v>
      </c>
      <c r="L3" s="302"/>
      <c r="M3" s="303"/>
      <c r="N3" s="303"/>
      <c r="O3" s="303"/>
      <c r="P3" s="304"/>
      <c r="Q3" s="305"/>
      <c r="S3" s="81"/>
      <c r="T3" s="82"/>
      <c r="U3" s="83"/>
      <c r="V3" s="81"/>
      <c r="W3" s="81"/>
      <c r="X3" s="81"/>
      <c r="Y3" s="81"/>
      <c r="Z3" s="26"/>
    </row>
    <row r="4" spans="2:26" ht="15.5" thickTop="1" thickBot="1">
      <c r="B4" t="s">
        <v>74</v>
      </c>
      <c r="C4" s="2">
        <f>C3</f>
        <v>58000</v>
      </c>
      <c r="D4" s="3">
        <f>D3</f>
        <v>696000</v>
      </c>
      <c r="E4" s="3"/>
      <c r="F4" t="s">
        <v>16</v>
      </c>
      <c r="G4" s="339" t="s">
        <v>28</v>
      </c>
      <c r="H4" s="340">
        <v>0.06</v>
      </c>
      <c r="I4" s="339">
        <v>0</v>
      </c>
      <c r="L4" s="306"/>
      <c r="M4" s="307"/>
      <c r="N4" s="307"/>
      <c r="O4" s="307"/>
      <c r="P4" s="308"/>
      <c r="Q4" s="309"/>
      <c r="S4" s="84"/>
      <c r="T4" s="85"/>
      <c r="U4" s="86"/>
      <c r="V4" s="87"/>
      <c r="W4" s="84"/>
      <c r="X4" s="87"/>
      <c r="Y4" s="88"/>
      <c r="Z4" s="89"/>
    </row>
    <row r="5" spans="2:26" ht="15" thickBot="1">
      <c r="B5" t="s">
        <v>75</v>
      </c>
      <c r="C5" s="2">
        <f t="shared" ref="C5:C14" si="0">C4</f>
        <v>58000</v>
      </c>
      <c r="D5" s="3">
        <f>AVERAGE($C$3:C4)*12</f>
        <v>696000</v>
      </c>
      <c r="E5" s="3"/>
      <c r="F5" t="s">
        <v>17</v>
      </c>
      <c r="G5" s="389" t="s">
        <v>29</v>
      </c>
      <c r="H5" s="390">
        <v>0.112</v>
      </c>
      <c r="I5" s="391">
        <v>9360</v>
      </c>
      <c r="L5" s="306"/>
      <c r="M5" s="307"/>
      <c r="N5" s="307"/>
      <c r="O5" s="307"/>
      <c r="P5" s="308"/>
      <c r="Q5" s="309"/>
      <c r="S5" s="84"/>
      <c r="T5" s="85"/>
      <c r="U5" s="86"/>
      <c r="V5" s="87"/>
      <c r="W5" s="84"/>
      <c r="X5" s="87"/>
      <c r="Y5" s="88"/>
      <c r="Z5" s="89"/>
    </row>
    <row r="6" spans="2:26" ht="15" thickBot="1">
      <c r="B6" t="s">
        <v>76</v>
      </c>
      <c r="C6" s="2">
        <f t="shared" si="0"/>
        <v>58000</v>
      </c>
      <c r="D6" s="3">
        <f>AVERAGE($C$3:C5)*12</f>
        <v>696000</v>
      </c>
      <c r="E6" s="3"/>
      <c r="F6" t="s">
        <v>18</v>
      </c>
      <c r="G6" s="392" t="s">
        <v>30</v>
      </c>
      <c r="H6" s="393">
        <v>0.13500000000000001</v>
      </c>
      <c r="I6" s="394">
        <v>17640</v>
      </c>
      <c r="L6" s="306"/>
      <c r="M6" s="307"/>
      <c r="N6" s="307"/>
      <c r="O6" s="307"/>
      <c r="P6" s="308"/>
      <c r="Q6" s="309"/>
      <c r="S6" s="84"/>
      <c r="T6" s="85"/>
      <c r="U6" s="86"/>
      <c r="V6" s="87"/>
      <c r="W6" s="84"/>
      <c r="X6" s="87"/>
      <c r="Y6" s="88"/>
      <c r="Z6" s="89"/>
    </row>
    <row r="7" spans="2:26" ht="15" thickBot="1">
      <c r="B7" t="s">
        <v>77</v>
      </c>
      <c r="C7" s="2">
        <f t="shared" si="0"/>
        <v>58000</v>
      </c>
      <c r="D7" s="3">
        <f>AVERAGE($C$3:C6)*12</f>
        <v>696000</v>
      </c>
      <c r="E7" s="3"/>
      <c r="F7" t="s">
        <v>19</v>
      </c>
      <c r="G7" s="386" t="s">
        <v>31</v>
      </c>
      <c r="H7" s="387">
        <v>0.16</v>
      </c>
      <c r="I7" s="388">
        <v>35640</v>
      </c>
      <c r="K7" s="169"/>
      <c r="L7" s="382"/>
      <c r="M7" s="383"/>
      <c r="N7" s="383"/>
      <c r="O7" s="383"/>
      <c r="P7" s="384"/>
      <c r="Q7" s="385"/>
      <c r="S7" s="84"/>
      <c r="T7" s="85"/>
      <c r="U7" s="86"/>
      <c r="V7" s="87"/>
      <c r="W7" s="84"/>
      <c r="X7" s="87"/>
      <c r="Y7" s="88"/>
      <c r="Z7" s="89"/>
    </row>
    <row r="8" spans="2:26" ht="15" thickBot="1">
      <c r="B8" t="s">
        <v>78</v>
      </c>
      <c r="C8" s="2">
        <f t="shared" si="0"/>
        <v>58000</v>
      </c>
      <c r="D8" s="3">
        <f>AVERAGE($C$3:C7)*12</f>
        <v>696000</v>
      </c>
      <c r="E8" s="3"/>
      <c r="F8" t="s">
        <v>20</v>
      </c>
      <c r="G8" s="162" t="s">
        <v>32</v>
      </c>
      <c r="H8" s="165">
        <v>0.21</v>
      </c>
      <c r="I8" s="164">
        <v>125640</v>
      </c>
      <c r="K8" s="169"/>
      <c r="L8" s="382"/>
      <c r="M8" s="383"/>
      <c r="N8" s="383"/>
      <c r="O8" s="383"/>
      <c r="P8" s="384"/>
      <c r="Q8" s="385"/>
      <c r="S8" s="84"/>
      <c r="T8" s="85"/>
      <c r="U8" s="86"/>
      <c r="V8" s="87"/>
      <c r="W8" s="84"/>
      <c r="X8" s="87"/>
      <c r="Y8" s="88"/>
      <c r="Z8" s="89"/>
    </row>
    <row r="9" spans="2:26" ht="15" thickBot="1">
      <c r="B9" t="s">
        <v>79</v>
      </c>
      <c r="C9" s="2">
        <f t="shared" si="0"/>
        <v>58000</v>
      </c>
      <c r="D9" s="3">
        <f>AVERAGE($C$3:C8)*12</f>
        <v>696000</v>
      </c>
      <c r="E9" s="3"/>
      <c r="F9" t="s">
        <v>22</v>
      </c>
      <c r="G9" s="159" t="s">
        <v>33</v>
      </c>
      <c r="H9" s="160">
        <v>0.33</v>
      </c>
      <c r="I9" s="161">
        <v>648000</v>
      </c>
      <c r="L9" s="310"/>
      <c r="M9" s="308"/>
      <c r="N9" s="308"/>
      <c r="O9" s="308"/>
      <c r="P9" s="308"/>
      <c r="Q9" s="311"/>
      <c r="S9" s="294"/>
      <c r="T9" s="294"/>
      <c r="U9" s="295"/>
      <c r="V9" s="294"/>
      <c r="W9" s="294"/>
      <c r="X9" s="296"/>
      <c r="Y9" s="291"/>
      <c r="Z9" s="292"/>
    </row>
    <row r="10" spans="2:26" ht="15" thickBot="1">
      <c r="B10" t="s">
        <v>80</v>
      </c>
      <c r="C10" s="2">
        <f t="shared" si="0"/>
        <v>58000</v>
      </c>
      <c r="D10" s="3">
        <f>AVERAGE($C$3:C9)*12</f>
        <v>696000</v>
      </c>
      <c r="E10" s="3"/>
      <c r="L10" s="312"/>
      <c r="M10" s="313"/>
      <c r="N10" s="313"/>
      <c r="O10" s="313"/>
      <c r="P10" s="313"/>
      <c r="Q10" s="314"/>
      <c r="S10" s="84"/>
      <c r="T10" s="84"/>
      <c r="U10" s="84"/>
      <c r="V10" s="84"/>
      <c r="W10" s="84"/>
      <c r="X10" s="84"/>
      <c r="Y10" s="88"/>
      <c r="Z10" s="89"/>
    </row>
    <row r="11" spans="2:26" ht="14.5" customHeight="1">
      <c r="B11" t="s">
        <v>81</v>
      </c>
      <c r="C11" s="2">
        <f t="shared" si="0"/>
        <v>58000</v>
      </c>
      <c r="D11" s="3">
        <f>AVERAGE($C$3:C10)*12</f>
        <v>696000</v>
      </c>
      <c r="E11" s="3"/>
      <c r="L11" s="404"/>
      <c r="M11" s="404"/>
      <c r="N11" s="404"/>
      <c r="O11" s="404"/>
      <c r="P11" s="404"/>
      <c r="Q11" s="404"/>
    </row>
    <row r="12" spans="2:26">
      <c r="B12" t="s">
        <v>82</v>
      </c>
      <c r="C12" s="2">
        <f t="shared" si="0"/>
        <v>58000</v>
      </c>
      <c r="D12" s="3">
        <f>AVERAGE($C$3:C11)*12</f>
        <v>696000</v>
      </c>
      <c r="E12" s="3"/>
      <c r="G12" t="s">
        <v>163</v>
      </c>
      <c r="H12" t="s">
        <v>103</v>
      </c>
      <c r="I12" s="2">
        <f>1750*13*10</f>
        <v>227500</v>
      </c>
      <c r="J12" s="17">
        <f>I12/I13</f>
        <v>0.32686781609195403</v>
      </c>
      <c r="L12" s="405"/>
      <c r="M12" s="405"/>
      <c r="N12" s="405"/>
      <c r="O12" s="405"/>
      <c r="P12" s="405"/>
      <c r="Q12" s="405"/>
    </row>
    <row r="13" spans="2:26">
      <c r="B13" t="s">
        <v>83</v>
      </c>
      <c r="C13" s="2">
        <f t="shared" si="0"/>
        <v>58000</v>
      </c>
      <c r="D13" s="3">
        <f>AVERAGE($C$3:C12)*12</f>
        <v>696000</v>
      </c>
      <c r="E13" s="3"/>
      <c r="H13" s="3" t="s">
        <v>85</v>
      </c>
      <c r="I13" s="2">
        <f>C16</f>
        <v>696000</v>
      </c>
      <c r="J13" s="156"/>
      <c r="L13" s="405"/>
      <c r="M13" s="405"/>
      <c r="N13" s="405"/>
      <c r="O13" s="405"/>
      <c r="P13" s="405"/>
      <c r="Q13" s="405"/>
    </row>
    <row r="14" spans="2:26">
      <c r="B14" t="s">
        <v>84</v>
      </c>
      <c r="C14" s="2">
        <f t="shared" si="0"/>
        <v>58000</v>
      </c>
      <c r="D14" s="3">
        <f>AVERAGE($C$3:C13)*12</f>
        <v>696000</v>
      </c>
      <c r="E14" s="3"/>
    </row>
    <row r="15" spans="2:26">
      <c r="I15" s="3"/>
      <c r="M15" s="169" t="s">
        <v>85</v>
      </c>
      <c r="N15" s="169" t="s">
        <v>156</v>
      </c>
      <c r="O15" s="169" t="s">
        <v>157</v>
      </c>
      <c r="P15" s="366" t="s">
        <v>158</v>
      </c>
      <c r="Q15" s="169" t="s">
        <v>159</v>
      </c>
      <c r="R15" s="169" t="s">
        <v>160</v>
      </c>
    </row>
    <row r="16" spans="2:26">
      <c r="B16" t="s">
        <v>56</v>
      </c>
      <c r="C16" s="2">
        <f>SUM(C3:C14)</f>
        <v>696000</v>
      </c>
      <c r="G16" s="169" t="s">
        <v>155</v>
      </c>
      <c r="L16" s="372" t="s">
        <v>73</v>
      </c>
      <c r="M16" s="373">
        <f>D3</f>
        <v>696000</v>
      </c>
      <c r="N16" s="374">
        <f>H6</f>
        <v>0.13500000000000001</v>
      </c>
      <c r="O16" s="375">
        <f>I6</f>
        <v>17640</v>
      </c>
      <c r="P16" s="376">
        <f>((M16*N16)-O16)/M16</f>
        <v>0.10965517241379311</v>
      </c>
      <c r="Q16" s="373">
        <f>C3</f>
        <v>58000</v>
      </c>
      <c r="R16" s="373">
        <f>P16*Q16</f>
        <v>6360</v>
      </c>
    </row>
    <row r="17" spans="7:22">
      <c r="G17" s="347" t="s">
        <v>85</v>
      </c>
      <c r="H17" s="347"/>
      <c r="I17" s="364">
        <f>C16</f>
        <v>696000</v>
      </c>
      <c r="J17" s="347"/>
      <c r="L17" s="372" t="s">
        <v>74</v>
      </c>
      <c r="M17" s="373">
        <f t="shared" ref="M17:M27" si="1">D4</f>
        <v>696000</v>
      </c>
      <c r="N17" s="374">
        <f>N16</f>
        <v>0.13500000000000001</v>
      </c>
      <c r="O17" s="375">
        <f>O16</f>
        <v>17640</v>
      </c>
      <c r="P17" s="376">
        <f t="shared" ref="P17:P27" si="2">((M17*N17)-O17)/M17</f>
        <v>0.10965517241379311</v>
      </c>
      <c r="Q17" s="373">
        <f t="shared" ref="Q17:Q27" si="3">C4</f>
        <v>58000</v>
      </c>
      <c r="R17" s="373">
        <f t="shared" ref="R17:R27" si="4">P17*Q17</f>
        <v>6360</v>
      </c>
    </row>
    <row r="18" spans="7:22">
      <c r="G18" s="348" t="s">
        <v>90</v>
      </c>
      <c r="H18" s="349">
        <v>6.4999999999999997E-3</v>
      </c>
      <c r="I18" s="350">
        <f>$I$17*H18</f>
        <v>4524</v>
      </c>
      <c r="J18" s="351"/>
      <c r="L18" s="372" t="s">
        <v>75</v>
      </c>
      <c r="M18" s="373">
        <f t="shared" si="1"/>
        <v>696000</v>
      </c>
      <c r="N18" s="374">
        <f t="shared" ref="N18:N27" si="5">N17</f>
        <v>0.13500000000000001</v>
      </c>
      <c r="O18" s="375">
        <f t="shared" ref="O18:O27" si="6">O17</f>
        <v>17640</v>
      </c>
      <c r="P18" s="376">
        <f t="shared" si="2"/>
        <v>0.10965517241379311</v>
      </c>
      <c r="Q18" s="373">
        <f t="shared" si="3"/>
        <v>58000</v>
      </c>
      <c r="R18" s="373">
        <f t="shared" si="4"/>
        <v>6360</v>
      </c>
    </row>
    <row r="19" spans="7:22">
      <c r="G19" s="348" t="s">
        <v>91</v>
      </c>
      <c r="H19" s="352">
        <v>0.03</v>
      </c>
      <c r="I19" s="350">
        <f>$I$17*H19</f>
        <v>20880</v>
      </c>
      <c r="J19" s="351"/>
      <c r="L19" s="372" t="s">
        <v>76</v>
      </c>
      <c r="M19" s="373">
        <f t="shared" si="1"/>
        <v>696000</v>
      </c>
      <c r="N19" s="374">
        <f t="shared" si="5"/>
        <v>0.13500000000000001</v>
      </c>
      <c r="O19" s="375">
        <f t="shared" si="6"/>
        <v>17640</v>
      </c>
      <c r="P19" s="376">
        <f t="shared" si="2"/>
        <v>0.10965517241379311</v>
      </c>
      <c r="Q19" s="373">
        <f t="shared" si="3"/>
        <v>58000</v>
      </c>
      <c r="R19" s="373">
        <f t="shared" si="4"/>
        <v>6360</v>
      </c>
    </row>
    <row r="20" spans="7:22">
      <c r="G20" s="348" t="s">
        <v>48</v>
      </c>
      <c r="H20" s="352">
        <v>0.05</v>
      </c>
      <c r="I20" s="350">
        <f>$I$17*H20</f>
        <v>34800</v>
      </c>
      <c r="J20" s="351"/>
      <c r="L20" s="372" t="s">
        <v>77</v>
      </c>
      <c r="M20" s="373">
        <f t="shared" si="1"/>
        <v>696000</v>
      </c>
      <c r="N20" s="374">
        <f t="shared" si="5"/>
        <v>0.13500000000000001</v>
      </c>
      <c r="O20" s="375">
        <f t="shared" si="6"/>
        <v>17640</v>
      </c>
      <c r="P20" s="376">
        <f t="shared" si="2"/>
        <v>0.10965517241379311</v>
      </c>
      <c r="Q20" s="373">
        <f t="shared" si="3"/>
        <v>58000</v>
      </c>
      <c r="R20" s="373">
        <f t="shared" si="4"/>
        <v>6360</v>
      </c>
      <c r="S20" s="89"/>
    </row>
    <row r="21" spans="7:22">
      <c r="G21" s="353" t="s">
        <v>87</v>
      </c>
      <c r="H21" s="354">
        <v>0.32</v>
      </c>
      <c r="I21" s="355">
        <f>I17*H21</f>
        <v>222720</v>
      </c>
      <c r="J21" s="351"/>
      <c r="L21" s="377" t="s">
        <v>78</v>
      </c>
      <c r="M21" s="378">
        <f t="shared" si="1"/>
        <v>696000</v>
      </c>
      <c r="N21" s="374">
        <f t="shared" si="5"/>
        <v>0.13500000000000001</v>
      </c>
      <c r="O21" s="375">
        <f t="shared" si="6"/>
        <v>17640</v>
      </c>
      <c r="P21" s="381">
        <f t="shared" si="2"/>
        <v>0.10965517241379311</v>
      </c>
      <c r="Q21" s="378">
        <f t="shared" si="3"/>
        <v>58000</v>
      </c>
      <c r="R21" s="378">
        <f t="shared" si="4"/>
        <v>6360</v>
      </c>
    </row>
    <row r="22" spans="7:22">
      <c r="G22" s="348" t="s">
        <v>88</v>
      </c>
      <c r="H22" s="352">
        <v>0.15</v>
      </c>
      <c r="I22" s="356">
        <f>I21*H22</f>
        <v>33408</v>
      </c>
      <c r="J22" s="351"/>
      <c r="L22" s="377" t="s">
        <v>79</v>
      </c>
      <c r="M22" s="378">
        <f t="shared" si="1"/>
        <v>696000</v>
      </c>
      <c r="N22" s="374">
        <f t="shared" si="5"/>
        <v>0.13500000000000001</v>
      </c>
      <c r="O22" s="375">
        <f t="shared" si="6"/>
        <v>17640</v>
      </c>
      <c r="P22" s="381">
        <f t="shared" si="2"/>
        <v>0.10965517241379311</v>
      </c>
      <c r="Q22" s="378">
        <f t="shared" si="3"/>
        <v>58000</v>
      </c>
      <c r="R22" s="378">
        <f t="shared" si="4"/>
        <v>6360</v>
      </c>
    </row>
    <row r="23" spans="7:22">
      <c r="G23" s="348" t="s">
        <v>89</v>
      </c>
      <c r="H23" s="352">
        <v>0.1</v>
      </c>
      <c r="I23" s="356"/>
      <c r="J23" s="351"/>
      <c r="L23" s="377" t="s">
        <v>80</v>
      </c>
      <c r="M23" s="378">
        <f t="shared" si="1"/>
        <v>696000</v>
      </c>
      <c r="N23" s="374">
        <f t="shared" si="5"/>
        <v>0.13500000000000001</v>
      </c>
      <c r="O23" s="375">
        <f t="shared" si="6"/>
        <v>17640</v>
      </c>
      <c r="P23" s="381">
        <f t="shared" si="2"/>
        <v>0.10965517241379311</v>
      </c>
      <c r="Q23" s="378">
        <f t="shared" si="3"/>
        <v>58000</v>
      </c>
      <c r="R23" s="378">
        <f t="shared" si="4"/>
        <v>6360</v>
      </c>
      <c r="S23" s="169"/>
      <c r="T23" s="169"/>
      <c r="U23" s="169"/>
      <c r="V23" s="169"/>
    </row>
    <row r="24" spans="7:22">
      <c r="G24" s="348" t="s">
        <v>11</v>
      </c>
      <c r="H24" s="352">
        <v>0.09</v>
      </c>
      <c r="I24" s="350">
        <f>I21*H24</f>
        <v>20044.8</v>
      </c>
      <c r="J24" s="351"/>
      <c r="L24" s="377" t="s">
        <v>81</v>
      </c>
      <c r="M24" s="378">
        <f t="shared" si="1"/>
        <v>696000</v>
      </c>
      <c r="N24" s="374">
        <f t="shared" si="5"/>
        <v>0.13500000000000001</v>
      </c>
      <c r="O24" s="375">
        <f t="shared" si="6"/>
        <v>17640</v>
      </c>
      <c r="P24" s="381">
        <f t="shared" si="2"/>
        <v>0.10965517241379311</v>
      </c>
      <c r="Q24" s="378">
        <f t="shared" si="3"/>
        <v>58000</v>
      </c>
      <c r="R24" s="378">
        <f t="shared" si="4"/>
        <v>6360</v>
      </c>
    </row>
    <row r="25" spans="7:22">
      <c r="G25" s="351"/>
      <c r="H25" s="351"/>
      <c r="I25" s="351"/>
      <c r="J25" s="351"/>
      <c r="L25" s="377" t="s">
        <v>82</v>
      </c>
      <c r="M25" s="378">
        <f t="shared" si="1"/>
        <v>696000</v>
      </c>
      <c r="N25" s="374">
        <f t="shared" si="5"/>
        <v>0.13500000000000001</v>
      </c>
      <c r="O25" s="375">
        <f t="shared" si="6"/>
        <v>17640</v>
      </c>
      <c r="P25" s="381">
        <f t="shared" si="2"/>
        <v>0.10965517241379311</v>
      </c>
      <c r="Q25" s="378">
        <f t="shared" si="3"/>
        <v>58000</v>
      </c>
      <c r="R25" s="378">
        <f t="shared" si="4"/>
        <v>6360</v>
      </c>
    </row>
    <row r="26" spans="7:22" ht="15" thickBot="1">
      <c r="G26" s="357" t="s">
        <v>56</v>
      </c>
      <c r="H26" s="358"/>
      <c r="I26" s="359">
        <f>I18+I19+I20+I22+I24</f>
        <v>113656.8</v>
      </c>
      <c r="J26" s="365">
        <f>I26/I17</f>
        <v>0.1633</v>
      </c>
      <c r="L26" s="377" t="s">
        <v>83</v>
      </c>
      <c r="M26" s="378">
        <f t="shared" si="1"/>
        <v>696000</v>
      </c>
      <c r="N26" s="374">
        <f t="shared" si="5"/>
        <v>0.13500000000000001</v>
      </c>
      <c r="O26" s="375">
        <f t="shared" si="6"/>
        <v>17640</v>
      </c>
      <c r="P26" s="381">
        <f t="shared" si="2"/>
        <v>0.10965517241379311</v>
      </c>
      <c r="Q26" s="378">
        <f t="shared" si="3"/>
        <v>58000</v>
      </c>
      <c r="R26" s="378">
        <f t="shared" si="4"/>
        <v>6360</v>
      </c>
    </row>
    <row r="27" spans="7:22">
      <c r="L27" s="377" t="s">
        <v>84</v>
      </c>
      <c r="M27" s="378">
        <f t="shared" si="1"/>
        <v>696000</v>
      </c>
      <c r="N27" s="374">
        <f t="shared" si="5"/>
        <v>0.13500000000000001</v>
      </c>
      <c r="O27" s="375">
        <f t="shared" si="6"/>
        <v>17640</v>
      </c>
      <c r="P27" s="381">
        <f t="shared" si="2"/>
        <v>0.10965517241379311</v>
      </c>
      <c r="Q27" s="378">
        <f t="shared" si="3"/>
        <v>58000</v>
      </c>
      <c r="R27" s="378">
        <f t="shared" si="4"/>
        <v>6360</v>
      </c>
    </row>
    <row r="28" spans="7:22">
      <c r="Q28" s="316">
        <f>SUM(Q16:Q27)</f>
        <v>696000</v>
      </c>
      <c r="R28" s="22">
        <f>SUM(R16:R27)</f>
        <v>76320</v>
      </c>
    </row>
    <row r="29" spans="7:22">
      <c r="G29" s="169" t="s">
        <v>154</v>
      </c>
      <c r="R29" s="17">
        <f>R28/Q28</f>
        <v>0.10965517241379311</v>
      </c>
    </row>
    <row r="30" spans="7:22">
      <c r="G30" s="347" t="s">
        <v>92</v>
      </c>
      <c r="H30" s="361">
        <f>R28</f>
        <v>76320</v>
      </c>
      <c r="I30" s="347"/>
    </row>
    <row r="31" spans="7:22">
      <c r="G31" s="351" t="s">
        <v>93</v>
      </c>
      <c r="H31" s="362">
        <f>I26</f>
        <v>113656.8</v>
      </c>
      <c r="I31" s="351"/>
    </row>
    <row r="32" spans="7:22" ht="15" thickBot="1">
      <c r="G32" s="360" t="s">
        <v>94</v>
      </c>
      <c r="H32" s="363">
        <f>H30-H31</f>
        <v>-37336.800000000003</v>
      </c>
      <c r="I32" s="360"/>
    </row>
  </sheetData>
  <mergeCells count="1">
    <mergeCell ref="L11:Q13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Y36"/>
  <sheetViews>
    <sheetView topLeftCell="A8" zoomScale="85" zoomScaleNormal="85" workbookViewId="0">
      <selection activeCell="S9" sqref="S9"/>
    </sheetView>
  </sheetViews>
  <sheetFormatPr defaultRowHeight="14.5"/>
  <cols>
    <col min="2" max="2" width="5.7265625" bestFit="1" customWidth="1"/>
    <col min="3" max="3" width="11.81640625" style="2" bestFit="1" customWidth="1"/>
    <col min="4" max="4" width="11.81640625" bestFit="1" customWidth="1"/>
    <col min="5" max="5" width="2.26953125" customWidth="1"/>
    <col min="6" max="6" width="38.453125" customWidth="1"/>
    <col min="7" max="8" width="11.81640625" bestFit="1" customWidth="1"/>
    <col min="9" max="9" width="10.54296875" bestFit="1" customWidth="1"/>
    <col min="10" max="10" width="7" bestFit="1" customWidth="1"/>
    <col min="11" max="11" width="15.7265625" customWidth="1"/>
    <col min="12" max="12" width="11.81640625" bestFit="1" customWidth="1"/>
    <col min="13" max="13" width="14.81640625" bestFit="1" customWidth="1"/>
    <col min="14" max="14" width="15.26953125" bestFit="1" customWidth="1"/>
    <col min="15" max="15" width="17" customWidth="1"/>
    <col min="16" max="16" width="16" customWidth="1"/>
    <col min="17" max="17" width="11.81640625" bestFit="1" customWidth="1"/>
    <col min="18" max="18" width="10" bestFit="1" customWidth="1"/>
    <col min="19" max="19" width="6.1796875" bestFit="1" customWidth="1"/>
    <col min="20" max="20" width="7" bestFit="1" customWidth="1"/>
    <col min="21" max="21" width="6.1796875" bestFit="1" customWidth="1"/>
    <col min="22" max="22" width="2.08984375" bestFit="1" customWidth="1"/>
    <col min="23" max="23" width="7.1796875" bestFit="1" customWidth="1"/>
    <col min="24" max="24" width="8.54296875" bestFit="1" customWidth="1"/>
    <col min="25" max="25" width="10.1796875" bestFit="1" customWidth="1"/>
  </cols>
  <sheetData>
    <row r="1" spans="2:25" ht="15" thickBot="1">
      <c r="C1" s="207" t="s">
        <v>161</v>
      </c>
    </row>
    <row r="2" spans="2:25" ht="15" thickBot="1">
      <c r="K2" s="301" t="s">
        <v>47</v>
      </c>
      <c r="L2" s="301" t="s">
        <v>11</v>
      </c>
      <c r="M2" s="301" t="s">
        <v>10</v>
      </c>
      <c r="N2" s="301" t="s">
        <v>91</v>
      </c>
      <c r="O2" s="301" t="s">
        <v>121</v>
      </c>
      <c r="P2" s="301" t="s">
        <v>122</v>
      </c>
    </row>
    <row r="3" spans="2:25" ht="24.5" thickBot="1">
      <c r="B3" t="s">
        <v>73</v>
      </c>
      <c r="C3" s="2">
        <v>12500</v>
      </c>
      <c r="D3" s="3">
        <f>C3*12</f>
        <v>150000</v>
      </c>
      <c r="F3" s="157" t="s">
        <v>25</v>
      </c>
      <c r="G3" s="157" t="s">
        <v>26</v>
      </c>
      <c r="H3" s="157" t="s">
        <v>27</v>
      </c>
      <c r="J3">
        <v>1</v>
      </c>
      <c r="K3" s="302">
        <v>0.44500000000000001</v>
      </c>
      <c r="L3" s="303">
        <v>0.152</v>
      </c>
      <c r="M3" s="303">
        <v>0.188</v>
      </c>
      <c r="N3" s="303">
        <v>0.1767</v>
      </c>
      <c r="O3" s="304" t="s">
        <v>123</v>
      </c>
      <c r="P3" s="305">
        <v>3.8300000000000001E-2</v>
      </c>
      <c r="R3" s="81"/>
      <c r="S3" s="82"/>
      <c r="T3" s="83" t="s">
        <v>48</v>
      </c>
      <c r="U3" s="81"/>
      <c r="V3" s="81"/>
      <c r="W3" s="81"/>
      <c r="X3" s="81"/>
      <c r="Y3" s="26" t="s">
        <v>50</v>
      </c>
    </row>
    <row r="4" spans="2:25" ht="15.5" thickTop="1" thickBot="1">
      <c r="B4" t="s">
        <v>74</v>
      </c>
      <c r="C4" s="2">
        <f>C3*1.1</f>
        <v>13750.000000000002</v>
      </c>
      <c r="D4" s="3">
        <f>D3</f>
        <v>150000</v>
      </c>
      <c r="F4" s="339" t="s">
        <v>28</v>
      </c>
      <c r="G4" s="340">
        <v>4.4999999999999998E-2</v>
      </c>
      <c r="H4" s="339">
        <v>0</v>
      </c>
      <c r="J4">
        <v>2</v>
      </c>
      <c r="K4" s="306">
        <v>0.4</v>
      </c>
      <c r="L4" s="307">
        <v>0.152</v>
      </c>
      <c r="M4" s="307">
        <v>0.19800000000000001</v>
      </c>
      <c r="N4" s="307">
        <v>0.20549999999999999</v>
      </c>
      <c r="O4" s="308" t="s">
        <v>124</v>
      </c>
      <c r="P4" s="309">
        <v>4.4499999999999998E-2</v>
      </c>
      <c r="R4" s="84" t="s">
        <v>10</v>
      </c>
      <c r="S4" s="85" t="e">
        <f>#REF!</f>
        <v>#REF!</v>
      </c>
      <c r="T4" s="86">
        <v>0.05</v>
      </c>
      <c r="U4" s="87" t="e">
        <f>S4-T4</f>
        <v>#REF!</v>
      </c>
      <c r="V4" s="84" t="s">
        <v>2</v>
      </c>
      <c r="W4" s="87">
        <v>6.0199999999999997E-2</v>
      </c>
      <c r="X4" s="88" t="e">
        <f>U4*W4</f>
        <v>#REF!</v>
      </c>
      <c r="Y4" s="89" t="e">
        <f t="shared" ref="Y4:Y10" si="0">X4*$AY$12</f>
        <v>#REF!</v>
      </c>
    </row>
    <row r="5" spans="2:25" ht="15" thickBot="1">
      <c r="B5" t="s">
        <v>75</v>
      </c>
      <c r="C5" s="2">
        <f t="shared" ref="C5:C14" si="1">C4*1.1</f>
        <v>15125.000000000004</v>
      </c>
      <c r="D5" s="3">
        <f>AVERAGE($C$3:C4)*12</f>
        <v>157500</v>
      </c>
      <c r="F5" s="344" t="s">
        <v>29</v>
      </c>
      <c r="G5" s="345">
        <v>0.09</v>
      </c>
      <c r="H5" s="346">
        <v>8100</v>
      </c>
      <c r="J5">
        <v>3</v>
      </c>
      <c r="K5" s="306">
        <v>0.4</v>
      </c>
      <c r="L5" s="307">
        <v>0.152</v>
      </c>
      <c r="M5" s="307">
        <v>0.20799999999999999</v>
      </c>
      <c r="N5" s="307">
        <v>0.1973</v>
      </c>
      <c r="O5" s="308" t="s">
        <v>125</v>
      </c>
      <c r="P5" s="309">
        <v>4.2700000000000002E-2</v>
      </c>
      <c r="R5" s="84" t="s">
        <v>11</v>
      </c>
      <c r="S5" s="85" t="e">
        <f>S4</f>
        <v>#REF!</v>
      </c>
      <c r="T5" s="86">
        <v>0.05</v>
      </c>
      <c r="U5" s="87" t="e">
        <f t="shared" ref="U5:U8" si="2">S5-T5</f>
        <v>#REF!</v>
      </c>
      <c r="V5" s="84" t="s">
        <v>2</v>
      </c>
      <c r="W5" s="87">
        <v>5.2600000000000001E-2</v>
      </c>
      <c r="X5" s="88" t="e">
        <f t="shared" ref="X5:X8" si="3">U5*W5</f>
        <v>#REF!</v>
      </c>
      <c r="Y5" s="89" t="e">
        <f t="shared" si="0"/>
        <v>#REF!</v>
      </c>
    </row>
    <row r="6" spans="2:25" ht="15" thickBot="1">
      <c r="B6" t="s">
        <v>76</v>
      </c>
      <c r="C6" s="2">
        <f t="shared" si="1"/>
        <v>16637.500000000004</v>
      </c>
      <c r="D6" s="3">
        <f>AVERAGE($C$3:C5)*12</f>
        <v>165500</v>
      </c>
      <c r="F6" s="341" t="s">
        <v>30</v>
      </c>
      <c r="G6" s="342">
        <v>0.10199999999999999</v>
      </c>
      <c r="H6" s="343">
        <v>12420</v>
      </c>
      <c r="J6">
        <v>4</v>
      </c>
      <c r="K6" s="306">
        <v>0.4</v>
      </c>
      <c r="L6" s="307">
        <v>0.192</v>
      </c>
      <c r="M6" s="307">
        <v>0.17799999999999999</v>
      </c>
      <c r="N6" s="307">
        <v>0.189</v>
      </c>
      <c r="O6" s="308" t="s">
        <v>126</v>
      </c>
      <c r="P6" s="309">
        <v>4.1000000000000002E-2</v>
      </c>
      <c r="R6" s="84" t="s">
        <v>12</v>
      </c>
      <c r="S6" s="85" t="e">
        <f>S5</f>
        <v>#REF!</v>
      </c>
      <c r="T6" s="86">
        <v>0.05</v>
      </c>
      <c r="U6" s="87" t="e">
        <f t="shared" si="2"/>
        <v>#REF!</v>
      </c>
      <c r="V6" s="84" t="s">
        <v>2</v>
      </c>
      <c r="W6" s="87">
        <v>0.1928</v>
      </c>
      <c r="X6" s="88" t="e">
        <f t="shared" si="3"/>
        <v>#REF!</v>
      </c>
      <c r="Y6" s="89" t="e">
        <f t="shared" si="0"/>
        <v>#REF!</v>
      </c>
    </row>
    <row r="7" spans="2:25" ht="15" thickBot="1">
      <c r="B7" t="s">
        <v>77</v>
      </c>
      <c r="C7" s="2">
        <f t="shared" si="1"/>
        <v>18301.250000000007</v>
      </c>
      <c r="D7" s="3">
        <f>AVERAGE($C$3:C6)*12</f>
        <v>174037.5</v>
      </c>
      <c r="F7" s="159" t="s">
        <v>31</v>
      </c>
      <c r="G7" s="160">
        <v>0.14000000000000001</v>
      </c>
      <c r="H7" s="161">
        <v>39780</v>
      </c>
      <c r="J7" s="169">
        <v>5</v>
      </c>
      <c r="K7" s="382" t="s">
        <v>127</v>
      </c>
      <c r="L7" s="383">
        <v>0.192</v>
      </c>
      <c r="M7" s="383">
        <v>0.188</v>
      </c>
      <c r="N7" s="383">
        <v>0.18079999999999999</v>
      </c>
      <c r="O7" s="384" t="s">
        <v>128</v>
      </c>
      <c r="P7" s="385">
        <v>3.9199999999999999E-2</v>
      </c>
      <c r="R7" s="84" t="s">
        <v>13</v>
      </c>
      <c r="S7" s="85" t="e">
        <f>S6</f>
        <v>#REF!</v>
      </c>
      <c r="T7" s="86">
        <v>0.05</v>
      </c>
      <c r="U7" s="87" t="e">
        <f t="shared" si="2"/>
        <v>#REF!</v>
      </c>
      <c r="V7" s="84" t="s">
        <v>2</v>
      </c>
      <c r="W7" s="87">
        <v>4.1799999999999997E-2</v>
      </c>
      <c r="X7" s="88" t="e">
        <f t="shared" si="3"/>
        <v>#REF!</v>
      </c>
      <c r="Y7" s="89" t="e">
        <f t="shared" si="0"/>
        <v>#REF!</v>
      </c>
    </row>
    <row r="8" spans="2:25" ht="15" thickBot="1">
      <c r="B8" t="s">
        <v>78</v>
      </c>
      <c r="C8" s="2">
        <f t="shared" si="1"/>
        <v>20131.375000000011</v>
      </c>
      <c r="D8" s="3">
        <f>AVERAGE($C$3:C7)*12</f>
        <v>183153</v>
      </c>
      <c r="F8" s="162" t="s">
        <v>32</v>
      </c>
      <c r="G8" s="165">
        <v>0.22</v>
      </c>
      <c r="H8" s="164">
        <v>183780</v>
      </c>
      <c r="J8" s="169">
        <v>6</v>
      </c>
      <c r="K8" s="382" t="s">
        <v>23</v>
      </c>
      <c r="L8" s="383">
        <v>0.215</v>
      </c>
      <c r="M8" s="383">
        <v>0.53500000000000003</v>
      </c>
      <c r="N8" s="383">
        <v>0.20549999999999999</v>
      </c>
      <c r="O8" s="384" t="s">
        <v>129</v>
      </c>
      <c r="P8" s="385">
        <v>4.4499999999999998E-2</v>
      </c>
      <c r="R8" s="84" t="s">
        <v>14</v>
      </c>
      <c r="S8" s="85" t="e">
        <f>S7</f>
        <v>#REF!</v>
      </c>
      <c r="T8" s="86">
        <v>0.05</v>
      </c>
      <c r="U8" s="87" t="e">
        <f t="shared" si="2"/>
        <v>#REF!</v>
      </c>
      <c r="V8" s="84" t="s">
        <v>2</v>
      </c>
      <c r="W8" s="87">
        <v>0.65259999999999996</v>
      </c>
      <c r="X8" s="88" t="e">
        <f t="shared" si="3"/>
        <v>#REF!</v>
      </c>
      <c r="Y8" s="89" t="e">
        <f t="shared" si="0"/>
        <v>#REF!</v>
      </c>
    </row>
    <row r="9" spans="2:25" ht="15" thickBot="1">
      <c r="B9" t="s">
        <v>79</v>
      </c>
      <c r="C9" s="2">
        <f t="shared" si="1"/>
        <v>22144.512500000015</v>
      </c>
      <c r="D9" s="3">
        <f>AVERAGE($C$3:C8)*12</f>
        <v>192890.25000000003</v>
      </c>
      <c r="F9" s="159" t="s">
        <v>33</v>
      </c>
      <c r="G9" s="160">
        <v>0.33</v>
      </c>
      <c r="H9" s="161">
        <v>828000</v>
      </c>
      <c r="K9" s="310" t="s">
        <v>47</v>
      </c>
      <c r="L9" s="308" t="s">
        <v>11</v>
      </c>
      <c r="M9" s="308" t="s">
        <v>10</v>
      </c>
      <c r="N9" s="308" t="s">
        <v>12</v>
      </c>
      <c r="O9" s="308" t="s">
        <v>130</v>
      </c>
      <c r="P9" s="311" t="s">
        <v>13</v>
      </c>
      <c r="R9" s="294" t="s">
        <v>47</v>
      </c>
      <c r="S9" s="294"/>
      <c r="T9" s="295"/>
      <c r="U9" s="294"/>
      <c r="V9" s="294"/>
      <c r="W9" s="296"/>
      <c r="X9" s="291">
        <v>0.05</v>
      </c>
      <c r="Y9" s="292">
        <f t="shared" si="0"/>
        <v>0</v>
      </c>
    </row>
    <row r="10" spans="2:25" ht="20.5" thickBot="1">
      <c r="B10" t="s">
        <v>80</v>
      </c>
      <c r="C10" s="2">
        <f t="shared" si="1"/>
        <v>24358.963750000017</v>
      </c>
      <c r="D10" s="3">
        <f>AVERAGE($C$3:C9)*12</f>
        <v>203296.52142857146</v>
      </c>
      <c r="K10" s="312" t="s">
        <v>131</v>
      </c>
      <c r="L10" s="313" t="s">
        <v>132</v>
      </c>
      <c r="M10" s="313" t="s">
        <v>133</v>
      </c>
      <c r="N10" s="313" t="s">
        <v>134</v>
      </c>
      <c r="O10" s="313" t="s">
        <v>135</v>
      </c>
      <c r="P10" s="314" t="s">
        <v>136</v>
      </c>
      <c r="R10" s="84"/>
      <c r="S10" s="84"/>
      <c r="T10" s="84"/>
      <c r="U10" s="84"/>
      <c r="V10" s="84"/>
      <c r="W10" s="84" t="s">
        <v>56</v>
      </c>
      <c r="X10" s="88" t="e">
        <f>SUM(X4:X9)</f>
        <v>#REF!</v>
      </c>
      <c r="Y10" s="89" t="e">
        <f t="shared" si="0"/>
        <v>#REF!</v>
      </c>
    </row>
    <row r="11" spans="2:25" ht="14.5" customHeight="1">
      <c r="B11" t="s">
        <v>81</v>
      </c>
      <c r="C11" s="2">
        <f>C10*1.1</f>
        <v>26794.860125000021</v>
      </c>
      <c r="D11" s="3">
        <f>AVERAGE($C$3:C10)*12</f>
        <v>214422.90187500004</v>
      </c>
      <c r="K11" s="404" t="s">
        <v>162</v>
      </c>
      <c r="L11" s="404"/>
      <c r="M11" s="404"/>
      <c r="N11" s="404"/>
      <c r="O11" s="404"/>
      <c r="P11" s="404"/>
    </row>
    <row r="12" spans="2:25">
      <c r="B12" t="s">
        <v>82</v>
      </c>
      <c r="C12" s="2">
        <f t="shared" si="1"/>
        <v>29474.346137500026</v>
      </c>
      <c r="D12" s="3">
        <f>AVERAGE($C$3:C11)*12</f>
        <v>226324.61516666674</v>
      </c>
      <c r="K12" s="405"/>
      <c r="L12" s="405"/>
      <c r="M12" s="405"/>
      <c r="N12" s="405"/>
      <c r="O12" s="405"/>
      <c r="P12" s="405"/>
    </row>
    <row r="13" spans="2:25">
      <c r="B13" t="s">
        <v>83</v>
      </c>
      <c r="C13" s="2">
        <f t="shared" si="1"/>
        <v>32421.780751250033</v>
      </c>
      <c r="D13" s="3">
        <f>AVERAGE($C$3:C12)*12</f>
        <v>239061.36901500009</v>
      </c>
      <c r="G13" s="3"/>
      <c r="H13" s="155"/>
      <c r="I13" s="156"/>
      <c r="K13" s="405"/>
      <c r="L13" s="405"/>
      <c r="M13" s="405"/>
      <c r="N13" s="405"/>
      <c r="O13" s="405"/>
      <c r="P13" s="405"/>
    </row>
    <row r="14" spans="2:25">
      <c r="B14" t="s">
        <v>84</v>
      </c>
      <c r="C14" s="2">
        <f t="shared" si="1"/>
        <v>35663.958826375041</v>
      </c>
      <c r="D14" s="3">
        <f>AVERAGE($C$3:C13)*12</f>
        <v>252697.73265136377</v>
      </c>
    </row>
    <row r="15" spans="2:25">
      <c r="H15" s="3"/>
      <c r="L15" s="169" t="s">
        <v>85</v>
      </c>
      <c r="M15" s="169" t="s">
        <v>156</v>
      </c>
      <c r="N15" s="169" t="s">
        <v>157</v>
      </c>
      <c r="O15" s="366" t="s">
        <v>158</v>
      </c>
      <c r="P15" s="169" t="s">
        <v>159</v>
      </c>
      <c r="Q15" s="169" t="s">
        <v>160</v>
      </c>
    </row>
    <row r="16" spans="2:25">
      <c r="B16" t="s">
        <v>56</v>
      </c>
      <c r="C16" s="2">
        <f>SUM(C3:C14)</f>
        <v>267303.54709012515</v>
      </c>
      <c r="G16" s="166"/>
      <c r="K16" s="367" t="s">
        <v>73</v>
      </c>
      <c r="L16" s="368">
        <f>D3</f>
        <v>150000</v>
      </c>
      <c r="M16" s="369">
        <v>4.4999999999999998E-2</v>
      </c>
      <c r="N16" s="367">
        <f>H4</f>
        <v>0</v>
      </c>
      <c r="O16" s="370">
        <f>((L16*M16)-N16)/L16</f>
        <v>4.4999999999999998E-2</v>
      </c>
      <c r="P16" s="368">
        <f>C3</f>
        <v>12500</v>
      </c>
      <c r="Q16" s="368">
        <f>O16*P16</f>
        <v>562.5</v>
      </c>
    </row>
    <row r="17" spans="6:21">
      <c r="F17" s="171"/>
      <c r="H17" s="175"/>
      <c r="I17" s="166"/>
      <c r="K17" s="367" t="s">
        <v>74</v>
      </c>
      <c r="L17" s="368">
        <f t="shared" ref="L17:L27" si="4">D4</f>
        <v>150000</v>
      </c>
      <c r="M17" s="371">
        <f t="shared" ref="M17:M19" si="5">M16</f>
        <v>4.4999999999999998E-2</v>
      </c>
      <c r="N17" s="367">
        <f>N16</f>
        <v>0</v>
      </c>
      <c r="O17" s="370">
        <f t="shared" ref="O17:O26" si="6">((L17*M17)-N17)/L17</f>
        <v>4.4999999999999998E-2</v>
      </c>
      <c r="P17" s="368">
        <f t="shared" ref="P17:P26" si="7">C4</f>
        <v>13750.000000000002</v>
      </c>
      <c r="Q17" s="368">
        <f t="shared" ref="Q17:Q26" si="8">O17*P17</f>
        <v>618.75000000000011</v>
      </c>
    </row>
    <row r="18" spans="6:21">
      <c r="K18" s="367" t="s">
        <v>75</v>
      </c>
      <c r="L18" s="368">
        <f t="shared" si="4"/>
        <v>157500</v>
      </c>
      <c r="M18" s="371">
        <f t="shared" si="5"/>
        <v>4.4999999999999998E-2</v>
      </c>
      <c r="N18" s="367">
        <f t="shared" ref="N18:N20" si="9">N17</f>
        <v>0</v>
      </c>
      <c r="O18" s="370">
        <f t="shared" si="6"/>
        <v>4.4999999999999998E-2</v>
      </c>
      <c r="P18" s="368">
        <f t="shared" si="7"/>
        <v>15125.000000000004</v>
      </c>
      <c r="Q18" s="368">
        <f t="shared" si="8"/>
        <v>680.62500000000011</v>
      </c>
    </row>
    <row r="19" spans="6:21">
      <c r="K19" s="367" t="s">
        <v>76</v>
      </c>
      <c r="L19" s="368">
        <f t="shared" si="4"/>
        <v>165500</v>
      </c>
      <c r="M19" s="371">
        <f t="shared" si="5"/>
        <v>4.4999999999999998E-2</v>
      </c>
      <c r="N19" s="367">
        <f t="shared" si="9"/>
        <v>0</v>
      </c>
      <c r="O19" s="370">
        <f t="shared" si="6"/>
        <v>4.4999999999999998E-2</v>
      </c>
      <c r="P19" s="368">
        <f t="shared" si="7"/>
        <v>16637.500000000004</v>
      </c>
      <c r="Q19" s="368">
        <f t="shared" si="8"/>
        <v>748.68750000000011</v>
      </c>
    </row>
    <row r="20" spans="6:21">
      <c r="F20" s="169" t="s">
        <v>155</v>
      </c>
      <c r="K20" s="367" t="s">
        <v>77</v>
      </c>
      <c r="L20" s="368">
        <f t="shared" si="4"/>
        <v>174037.5</v>
      </c>
      <c r="M20" s="371">
        <f>M19</f>
        <v>4.4999999999999998E-2</v>
      </c>
      <c r="N20" s="367">
        <f t="shared" si="9"/>
        <v>0</v>
      </c>
      <c r="O20" s="370">
        <f t="shared" si="6"/>
        <v>4.4999999999999998E-2</v>
      </c>
      <c r="P20" s="368">
        <f t="shared" si="7"/>
        <v>18301.250000000007</v>
      </c>
      <c r="Q20" s="368">
        <f t="shared" si="8"/>
        <v>823.55625000000032</v>
      </c>
      <c r="R20" s="89"/>
    </row>
    <row r="21" spans="6:21">
      <c r="F21" s="347" t="s">
        <v>85</v>
      </c>
      <c r="G21" s="347"/>
      <c r="H21" s="364">
        <f>C16</f>
        <v>267303.54709012515</v>
      </c>
      <c r="I21" s="347"/>
      <c r="K21" s="377" t="s">
        <v>78</v>
      </c>
      <c r="L21" s="378">
        <f t="shared" si="4"/>
        <v>183153</v>
      </c>
      <c r="M21" s="379">
        <f>G5</f>
        <v>0.09</v>
      </c>
      <c r="N21" s="380">
        <f>H5</f>
        <v>8100</v>
      </c>
      <c r="O21" s="381">
        <f t="shared" si="6"/>
        <v>4.5774680185418748E-2</v>
      </c>
      <c r="P21" s="378">
        <f t="shared" si="7"/>
        <v>20131.375000000011</v>
      </c>
      <c r="Q21" s="378">
        <f t="shared" si="8"/>
        <v>921.50725231773481</v>
      </c>
    </row>
    <row r="22" spans="6:21">
      <c r="F22" s="348" t="s">
        <v>90</v>
      </c>
      <c r="G22" s="349">
        <v>6.4999999999999997E-3</v>
      </c>
      <c r="H22" s="350">
        <f>$H$21*G22</f>
        <v>1737.4730560858134</v>
      </c>
      <c r="I22" s="351"/>
      <c r="K22" s="377" t="s">
        <v>79</v>
      </c>
      <c r="L22" s="378">
        <f t="shared" si="4"/>
        <v>192890.25000000003</v>
      </c>
      <c r="M22" s="379">
        <f>M21</f>
        <v>0.09</v>
      </c>
      <c r="N22" s="380">
        <f>N21</f>
        <v>8100</v>
      </c>
      <c r="O22" s="381">
        <f t="shared" si="6"/>
        <v>4.8007208762495771E-2</v>
      </c>
      <c r="P22" s="378">
        <f t="shared" si="7"/>
        <v>22144.512500000015</v>
      </c>
      <c r="Q22" s="378">
        <f t="shared" si="8"/>
        <v>1063.0962345311978</v>
      </c>
    </row>
    <row r="23" spans="6:21">
      <c r="F23" s="348" t="s">
        <v>91</v>
      </c>
      <c r="G23" s="352">
        <v>0.03</v>
      </c>
      <c r="H23" s="350">
        <f>$H$21*G23</f>
        <v>8019.1064127037544</v>
      </c>
      <c r="I23" s="351"/>
      <c r="K23" s="377" t="s">
        <v>80</v>
      </c>
      <c r="L23" s="378">
        <f t="shared" si="4"/>
        <v>203296.52142857146</v>
      </c>
      <c r="M23" s="379">
        <f t="shared" ref="M23:M26" si="10">M22</f>
        <v>0.09</v>
      </c>
      <c r="N23" s="380">
        <f t="shared" ref="N23:N26" si="11">N22</f>
        <v>8100</v>
      </c>
      <c r="O23" s="381">
        <f t="shared" si="6"/>
        <v>5.0156721113174839E-2</v>
      </c>
      <c r="P23" s="378">
        <f t="shared" si="7"/>
        <v>24358.963750000017</v>
      </c>
      <c r="Q23" s="378">
        <f t="shared" si="8"/>
        <v>1221.7657514146865</v>
      </c>
      <c r="R23" s="169"/>
      <c r="S23" s="169"/>
      <c r="T23" s="169"/>
      <c r="U23" s="169"/>
    </row>
    <row r="24" spans="6:21">
      <c r="F24" s="348" t="s">
        <v>48</v>
      </c>
      <c r="G24" s="352">
        <v>0.05</v>
      </c>
      <c r="H24" s="350">
        <f>$H$21*G24</f>
        <v>13365.177354506259</v>
      </c>
      <c r="I24" s="351"/>
      <c r="K24" s="377" t="s">
        <v>81</v>
      </c>
      <c r="L24" s="378">
        <f t="shared" si="4"/>
        <v>214422.90187500004</v>
      </c>
      <c r="M24" s="379">
        <f t="shared" si="10"/>
        <v>0.09</v>
      </c>
      <c r="N24" s="380">
        <f t="shared" si="11"/>
        <v>8100</v>
      </c>
      <c r="O24" s="381">
        <f t="shared" si="6"/>
        <v>5.2224184407680591E-2</v>
      </c>
      <c r="P24" s="378">
        <f t="shared" si="7"/>
        <v>26794.860125000021</v>
      </c>
      <c r="Q24" s="378">
        <f t="shared" si="8"/>
        <v>1399.3397163460086</v>
      </c>
    </row>
    <row r="25" spans="6:21">
      <c r="F25" s="353" t="s">
        <v>87</v>
      </c>
      <c r="G25" s="354">
        <v>0.32</v>
      </c>
      <c r="H25" s="355">
        <f>H21*G25</f>
        <v>85537.135068840056</v>
      </c>
      <c r="I25" s="351"/>
      <c r="K25" s="377" t="s">
        <v>82</v>
      </c>
      <c r="L25" s="378">
        <f t="shared" si="4"/>
        <v>226324.61516666674</v>
      </c>
      <c r="M25" s="379">
        <f t="shared" si="10"/>
        <v>0.09</v>
      </c>
      <c r="N25" s="380">
        <f t="shared" si="11"/>
        <v>8100</v>
      </c>
      <c r="O25" s="381">
        <f t="shared" si="6"/>
        <v>5.4210698009869086E-2</v>
      </c>
      <c r="P25" s="378">
        <f t="shared" si="7"/>
        <v>29474.346137500026</v>
      </c>
      <c r="Q25" s="378">
        <f t="shared" si="8"/>
        <v>1597.8248774983654</v>
      </c>
    </row>
    <row r="26" spans="6:21">
      <c r="F26" s="348" t="s">
        <v>88</v>
      </c>
      <c r="G26" s="352">
        <v>0.15</v>
      </c>
      <c r="H26" s="356">
        <f>H25*G26</f>
        <v>12830.570260326009</v>
      </c>
      <c r="I26" s="351"/>
      <c r="K26" s="377" t="s">
        <v>83</v>
      </c>
      <c r="L26" s="378">
        <f t="shared" si="4"/>
        <v>239061.36901500009</v>
      </c>
      <c r="M26" s="379">
        <f t="shared" si="10"/>
        <v>0.09</v>
      </c>
      <c r="N26" s="380">
        <f t="shared" si="11"/>
        <v>8100</v>
      </c>
      <c r="O26" s="381">
        <f t="shared" si="6"/>
        <v>5.6117486763443733E-2</v>
      </c>
      <c r="P26" s="378">
        <f t="shared" si="7"/>
        <v>32421.780751250033</v>
      </c>
      <c r="Q26" s="378">
        <f t="shared" si="8"/>
        <v>1819.4288521555486</v>
      </c>
    </row>
    <row r="27" spans="6:21">
      <c r="F27" s="348" t="s">
        <v>89</v>
      </c>
      <c r="G27" s="352">
        <v>0.1</v>
      </c>
      <c r="H27" s="356"/>
      <c r="I27" s="351"/>
      <c r="K27" s="377" t="s">
        <v>84</v>
      </c>
      <c r="L27" s="378">
        <f t="shared" si="4"/>
        <v>252697.73265136377</v>
      </c>
      <c r="M27" s="379">
        <f t="shared" ref="M27" si="12">M26</f>
        <v>0.09</v>
      </c>
      <c r="N27" s="380">
        <f t="shared" ref="N27" si="13">N26</f>
        <v>8100</v>
      </c>
      <c r="O27" s="381">
        <f t="shared" ref="O27" si="14">((L27*M27)-N27)/L27</f>
        <v>5.7945893637378912E-2</v>
      </c>
      <c r="P27" s="378">
        <f t="shared" ref="P27" si="15">C14</f>
        <v>35663.958826375041</v>
      </c>
      <c r="Q27" s="378">
        <f t="shared" ref="Q27" si="16">O27*P27</f>
        <v>2066.5799648409889</v>
      </c>
    </row>
    <row r="28" spans="6:21">
      <c r="F28" s="348" t="s">
        <v>11</v>
      </c>
      <c r="G28" s="352">
        <v>0.09</v>
      </c>
      <c r="H28" s="350">
        <f>H25*G28</f>
        <v>7698.3421561956047</v>
      </c>
      <c r="I28" s="351"/>
      <c r="P28" s="316">
        <f>SUM(P16:P27)</f>
        <v>267303.54709012515</v>
      </c>
      <c r="Q28" s="22">
        <f>SUM(Q16:Q27)</f>
        <v>13523.661399104531</v>
      </c>
    </row>
    <row r="29" spans="6:21">
      <c r="F29" s="351"/>
      <c r="G29" s="351"/>
      <c r="H29" s="351"/>
      <c r="I29" s="351"/>
      <c r="Q29" s="17">
        <f>Q28/P28</f>
        <v>5.059289914527336E-2</v>
      </c>
    </row>
    <row r="30" spans="6:21" ht="15" thickBot="1">
      <c r="F30" s="357" t="s">
        <v>56</v>
      </c>
      <c r="G30" s="358"/>
      <c r="H30" s="359">
        <f>H22+H23+H24+H26+H28</f>
        <v>43650.669239817442</v>
      </c>
      <c r="I30" s="365">
        <f>H30/H21</f>
        <v>0.16330000000000003</v>
      </c>
    </row>
    <row r="33" spans="6:8">
      <c r="F33" s="169" t="s">
        <v>154</v>
      </c>
    </row>
    <row r="34" spans="6:8">
      <c r="F34" s="347" t="s">
        <v>92</v>
      </c>
      <c r="G34" s="361">
        <f>Q28</f>
        <v>13523.661399104531</v>
      </c>
      <c r="H34" s="347"/>
    </row>
    <row r="35" spans="6:8">
      <c r="F35" s="351" t="s">
        <v>93</v>
      </c>
      <c r="G35" s="362">
        <f>H30</f>
        <v>43650.669239817442</v>
      </c>
      <c r="H35" s="351"/>
    </row>
    <row r="36" spans="6:8" ht="15" thickBot="1">
      <c r="F36" s="360" t="s">
        <v>94</v>
      </c>
      <c r="G36" s="363">
        <f>G34-G35</f>
        <v>-30127.007840712911</v>
      </c>
      <c r="H36" s="360"/>
    </row>
  </sheetData>
  <mergeCells count="1">
    <mergeCell ref="K11:P13"/>
  </mergeCells>
  <phoneticPr fontId="43" type="noConversion"/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R32"/>
  <sheetViews>
    <sheetView topLeftCell="F1" zoomScale="70" zoomScaleNormal="70" workbookViewId="0">
      <selection activeCell="L29" sqref="L29"/>
    </sheetView>
  </sheetViews>
  <sheetFormatPr defaultRowHeight="14.5"/>
  <cols>
    <col min="2" max="2" width="18.81640625" bestFit="1" customWidth="1"/>
    <col min="3" max="3" width="11.54296875" style="2" bestFit="1" customWidth="1"/>
    <col min="4" max="4" width="11.54296875" bestFit="1" customWidth="1"/>
    <col min="5" max="5" width="12.26953125" bestFit="1" customWidth="1"/>
    <col min="6" max="6" width="13.26953125" customWidth="1"/>
    <col min="7" max="7" width="30" bestFit="1" customWidth="1"/>
    <col min="8" max="8" width="14.453125" bestFit="1" customWidth="1"/>
    <col min="9" max="9" width="17.453125" bestFit="1" customWidth="1"/>
    <col min="10" max="10" width="13.453125" bestFit="1" customWidth="1"/>
    <col min="11" max="11" width="21.453125" bestFit="1" customWidth="1"/>
    <col min="12" max="12" width="15.26953125" bestFit="1" customWidth="1"/>
    <col min="13" max="13" width="13.26953125" bestFit="1" customWidth="1"/>
    <col min="14" max="14" width="9.26953125" bestFit="1" customWidth="1"/>
    <col min="15" max="15" width="10" bestFit="1" customWidth="1"/>
    <col min="16" max="16" width="9.26953125" bestFit="1" customWidth="1"/>
    <col min="17" max="17" width="10" bestFit="1" customWidth="1"/>
    <col min="18" max="18" width="10.54296875" bestFit="1" customWidth="1"/>
  </cols>
  <sheetData>
    <row r="2" spans="2:18" ht="15" thickBot="1">
      <c r="B2" t="s">
        <v>95</v>
      </c>
      <c r="G2" t="s">
        <v>104</v>
      </c>
    </row>
    <row r="3" spans="2:18" ht="15" thickBot="1">
      <c r="B3" t="s">
        <v>73</v>
      </c>
      <c r="C3" s="2">
        <v>58000</v>
      </c>
      <c r="G3" s="157" t="s">
        <v>25</v>
      </c>
      <c r="H3" s="157" t="s">
        <v>26</v>
      </c>
      <c r="I3" s="157" t="s">
        <v>27</v>
      </c>
    </row>
    <row r="4" spans="2:18" ht="15.5" thickTop="1" thickBot="1">
      <c r="B4" t="s">
        <v>74</v>
      </c>
      <c r="C4" s="2">
        <v>58000</v>
      </c>
      <c r="G4" s="158" t="s">
        <v>28</v>
      </c>
      <c r="H4" s="178">
        <v>0.06</v>
      </c>
      <c r="I4" s="158">
        <v>0</v>
      </c>
    </row>
    <row r="5" spans="2:18" ht="15" thickBot="1">
      <c r="B5" t="s">
        <v>75</v>
      </c>
      <c r="C5" s="2">
        <v>58000</v>
      </c>
      <c r="G5" s="159" t="s">
        <v>29</v>
      </c>
      <c r="H5" s="179">
        <v>0.112</v>
      </c>
      <c r="I5" s="161">
        <v>9360</v>
      </c>
    </row>
    <row r="6" spans="2:18" ht="15" thickBot="1">
      <c r="B6" t="s">
        <v>76</v>
      </c>
      <c r="C6" s="2">
        <v>58000</v>
      </c>
      <c r="G6" s="162" t="s">
        <v>30</v>
      </c>
      <c r="H6" s="163">
        <v>0.13500000000000001</v>
      </c>
      <c r="I6" s="164">
        <v>17640</v>
      </c>
    </row>
    <row r="7" spans="2:18" ht="15" thickBot="1">
      <c r="B7" t="s">
        <v>77</v>
      </c>
      <c r="C7" s="2">
        <v>58000</v>
      </c>
      <c r="G7" s="159" t="s">
        <v>31</v>
      </c>
      <c r="H7" s="160">
        <v>0.16</v>
      </c>
      <c r="I7" s="161">
        <v>35640</v>
      </c>
    </row>
    <row r="8" spans="2:18" ht="15" thickBot="1">
      <c r="B8" t="s">
        <v>78</v>
      </c>
      <c r="C8" s="2">
        <v>58000</v>
      </c>
      <c r="G8" s="162" t="s">
        <v>32</v>
      </c>
      <c r="H8" s="165">
        <v>0.21</v>
      </c>
      <c r="I8" s="164">
        <v>125640</v>
      </c>
    </row>
    <row r="9" spans="2:18" ht="15" thickBot="1">
      <c r="B9" t="s">
        <v>79</v>
      </c>
      <c r="C9" s="2">
        <v>58000</v>
      </c>
      <c r="G9" s="159" t="s">
        <v>33</v>
      </c>
      <c r="H9" s="160">
        <v>0.33</v>
      </c>
      <c r="I9" s="161">
        <v>648000</v>
      </c>
    </row>
    <row r="10" spans="2:18" ht="15" thickBot="1">
      <c r="B10" t="s">
        <v>80</v>
      </c>
      <c r="C10" s="2">
        <v>58000</v>
      </c>
    </row>
    <row r="11" spans="2:18" ht="15" thickBot="1">
      <c r="B11" t="s">
        <v>81</v>
      </c>
      <c r="C11" s="2">
        <v>58000</v>
      </c>
      <c r="M11" s="7" t="s">
        <v>10</v>
      </c>
      <c r="N11" s="7" t="s">
        <v>11</v>
      </c>
      <c r="O11" s="7" t="s">
        <v>12</v>
      </c>
      <c r="P11" s="7" t="s">
        <v>13</v>
      </c>
      <c r="Q11" s="7" t="s">
        <v>14</v>
      </c>
      <c r="R11" s="53" t="s">
        <v>15</v>
      </c>
    </row>
    <row r="12" spans="2:18" ht="15.5" thickTop="1" thickBot="1">
      <c r="B12" t="s">
        <v>82</v>
      </c>
      <c r="C12" s="2">
        <v>58000</v>
      </c>
      <c r="M12" s="54">
        <v>0.04</v>
      </c>
      <c r="N12" s="54">
        <v>3.5000000000000003E-2</v>
      </c>
      <c r="O12" s="54">
        <v>0.13639999999999999</v>
      </c>
      <c r="P12" s="54">
        <v>2.9600000000000001E-2</v>
      </c>
      <c r="Q12" s="54">
        <v>0.434</v>
      </c>
      <c r="R12" s="55">
        <v>0.32500000000000001</v>
      </c>
    </row>
    <row r="13" spans="2:18" ht="15" thickTop="1">
      <c r="B13" t="s">
        <v>83</v>
      </c>
      <c r="C13" s="2">
        <v>58000</v>
      </c>
      <c r="G13" t="s">
        <v>4</v>
      </c>
      <c r="H13" s="3">
        <f>C16</f>
        <v>696000</v>
      </c>
      <c r="I13" s="155">
        <f>H6</f>
        <v>0.13500000000000001</v>
      </c>
      <c r="J13" s="156">
        <f>I6</f>
        <v>17640</v>
      </c>
      <c r="K13" s="166">
        <f>((H13*I13)-J13)/H13</f>
        <v>0.10965517241379311</v>
      </c>
      <c r="M13" s="44">
        <f>M12*$I$17</f>
        <v>3052.8</v>
      </c>
      <c r="N13" s="44">
        <f t="shared" ref="N13:R13" si="0">N12*$I$17</f>
        <v>2671.2000000000003</v>
      </c>
      <c r="O13" s="44">
        <f t="shared" si="0"/>
        <v>10410.047999999999</v>
      </c>
      <c r="P13" s="44">
        <f t="shared" si="0"/>
        <v>2259.0720000000001</v>
      </c>
      <c r="Q13" s="44">
        <f t="shared" si="0"/>
        <v>33122.879999999997</v>
      </c>
      <c r="R13" s="44">
        <f t="shared" si="0"/>
        <v>24804</v>
      </c>
    </row>
    <row r="14" spans="2:18">
      <c r="B14" t="s">
        <v>84</v>
      </c>
      <c r="C14" s="2">
        <v>58000</v>
      </c>
    </row>
    <row r="15" spans="2:18">
      <c r="G15" t="s">
        <v>85</v>
      </c>
      <c r="I15" s="3">
        <f>H13</f>
        <v>696000</v>
      </c>
    </row>
    <row r="16" spans="2:18">
      <c r="B16" t="s">
        <v>56</v>
      </c>
      <c r="C16" s="2">
        <f>SUM(C3:C14)</f>
        <v>696000</v>
      </c>
      <c r="G16" t="str">
        <f>G13</f>
        <v>Aliq. Efetiva</v>
      </c>
      <c r="H16" s="167">
        <f>K13</f>
        <v>0.10965517241379311</v>
      </c>
    </row>
    <row r="17" spans="2:13">
      <c r="G17" s="171" t="s">
        <v>86</v>
      </c>
      <c r="I17" s="175">
        <f>I15*H16</f>
        <v>76320</v>
      </c>
    </row>
    <row r="18" spans="2:13">
      <c r="B18" t="s">
        <v>96</v>
      </c>
      <c r="H18" s="180"/>
      <c r="I18" s="168"/>
    </row>
    <row r="19" spans="2:13">
      <c r="B19" t="s">
        <v>97</v>
      </c>
      <c r="C19" s="2">
        <v>10</v>
      </c>
    </row>
    <row r="20" spans="2:13">
      <c r="B20" t="s">
        <v>98</v>
      </c>
      <c r="C20" s="2">
        <v>1750</v>
      </c>
      <c r="G20" t="str">
        <f>G15</f>
        <v>Faturamento</v>
      </c>
      <c r="I20" s="2">
        <f>I15</f>
        <v>696000</v>
      </c>
      <c r="K20" t="s">
        <v>92</v>
      </c>
      <c r="L20" s="168">
        <f>I17</f>
        <v>76320</v>
      </c>
    </row>
    <row r="21" spans="2:13">
      <c r="B21" t="s">
        <v>56</v>
      </c>
      <c r="C21" s="2">
        <f>C20*C19*12</f>
        <v>210000</v>
      </c>
      <c r="G21" s="171" t="s">
        <v>90</v>
      </c>
      <c r="H21" s="172">
        <v>6.4999999999999997E-3</v>
      </c>
      <c r="I21" s="173">
        <f>$I$20*H21</f>
        <v>4524</v>
      </c>
      <c r="K21" t="s">
        <v>93</v>
      </c>
      <c r="L21" s="3">
        <f>I29+I32</f>
        <v>181883.46666666667</v>
      </c>
    </row>
    <row r="22" spans="2:13">
      <c r="B22" t="s">
        <v>99</v>
      </c>
      <c r="G22" s="171" t="s">
        <v>91</v>
      </c>
      <c r="H22" s="174">
        <v>0.03</v>
      </c>
      <c r="I22" s="173">
        <f t="shared" ref="I22:I23" si="1">$I$20*H22</f>
        <v>20880</v>
      </c>
      <c r="K22" t="s">
        <v>94</v>
      </c>
      <c r="L22" s="168">
        <f>L21-L20</f>
        <v>105563.46666666667</v>
      </c>
      <c r="M22">
        <f>L22/L20</f>
        <v>1.3831691125087353</v>
      </c>
    </row>
    <row r="23" spans="2:13">
      <c r="B23" t="s">
        <v>100</v>
      </c>
      <c r="C23" s="2">
        <f>C21/9</f>
        <v>23333.333333333332</v>
      </c>
      <c r="G23" s="171" t="s">
        <v>48</v>
      </c>
      <c r="H23" s="174">
        <v>0.05</v>
      </c>
      <c r="I23" s="173">
        <f t="shared" si="1"/>
        <v>34800</v>
      </c>
    </row>
    <row r="24" spans="2:13">
      <c r="B24" t="s">
        <v>101</v>
      </c>
      <c r="C24" s="2">
        <f>C21/12</f>
        <v>17500</v>
      </c>
      <c r="G24" s="169" t="s">
        <v>87</v>
      </c>
      <c r="H24" s="170">
        <v>0.32</v>
      </c>
      <c r="I24" s="177">
        <f>I20*H24</f>
        <v>222720</v>
      </c>
    </row>
    <row r="25" spans="2:13">
      <c r="B25" t="s">
        <v>102</v>
      </c>
      <c r="C25" s="2">
        <f>C21*0.08</f>
        <v>16800</v>
      </c>
      <c r="G25" s="171" t="s">
        <v>88</v>
      </c>
      <c r="H25" s="174">
        <v>0.15</v>
      </c>
      <c r="I25" s="176">
        <f>I24*H25</f>
        <v>33408</v>
      </c>
    </row>
    <row r="26" spans="2:13">
      <c r="G26" s="171" t="s">
        <v>89</v>
      </c>
      <c r="H26" s="174">
        <v>0.1</v>
      </c>
      <c r="I26" s="176"/>
    </row>
    <row r="27" spans="2:13">
      <c r="B27" t="s">
        <v>56</v>
      </c>
      <c r="C27" s="2">
        <f>SUM(C21:C25)</f>
        <v>267633.33333333337</v>
      </c>
      <c r="G27" s="171" t="s">
        <v>11</v>
      </c>
      <c r="H27" s="174">
        <v>0.09</v>
      </c>
      <c r="I27" s="173">
        <f>I24*H27</f>
        <v>20044.8</v>
      </c>
    </row>
    <row r="29" spans="2:13">
      <c r="B29" t="s">
        <v>52</v>
      </c>
      <c r="C29" s="2" t="s">
        <v>103</v>
      </c>
      <c r="D29" s="3">
        <f>C27</f>
        <v>267633.33333333337</v>
      </c>
      <c r="E29" s="4">
        <f>D29/D30</f>
        <v>0.38453065134099623</v>
      </c>
      <c r="G29" s="171" t="s">
        <v>56</v>
      </c>
      <c r="H29" s="172"/>
      <c r="I29" s="173">
        <f>I21+I22+I23+I25+I27</f>
        <v>113656.8</v>
      </c>
    </row>
    <row r="30" spans="2:13">
      <c r="C30" s="2" t="s">
        <v>85</v>
      </c>
      <c r="D30" s="3">
        <f>C16</f>
        <v>696000</v>
      </c>
    </row>
    <row r="31" spans="2:13">
      <c r="G31" s="171" t="s">
        <v>103</v>
      </c>
      <c r="I31" s="3">
        <f>C21+C23+C24</f>
        <v>250833.33333333334</v>
      </c>
    </row>
    <row r="32" spans="2:13">
      <c r="G32" t="s">
        <v>14</v>
      </c>
      <c r="H32" s="106">
        <v>0.27200000000000002</v>
      </c>
      <c r="I32" s="3">
        <f>I31*H32</f>
        <v>68226.666666666672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Ex1</vt:lpstr>
      <vt:lpstr>Ex2</vt:lpstr>
      <vt:lpstr>Ex3</vt:lpstr>
      <vt:lpstr>Ex4</vt:lpstr>
      <vt:lpstr>Ex5</vt:lpstr>
      <vt:lpstr>Ex6</vt:lpstr>
      <vt:lpstr>Ex8 (2)</vt:lpstr>
      <vt:lpstr>Ex7</vt:lpstr>
      <vt:lpstr>Ex8</vt:lpstr>
      <vt:lpstr>Simulacao</vt:lpstr>
      <vt:lpstr>Lucro Presumido</vt:lpstr>
      <vt:lpstr>Planilha3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Jose Rezende</dc:creator>
  <cp:lastModifiedBy>Amaury Rezende</cp:lastModifiedBy>
  <dcterms:created xsi:type="dcterms:W3CDTF">2018-11-26T18:10:16Z</dcterms:created>
  <dcterms:modified xsi:type="dcterms:W3CDTF">2020-07-02T13:21:46Z</dcterms:modified>
</cp:coreProperties>
</file>