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c59635310fe207ff/Documentos/_USP/_GRADUAÇÃO/Discip 2021_2s/"/>
    </mc:Choice>
  </mc:AlternateContent>
  <xr:revisionPtr revIDLastSave="267" documentId="13_ncr:1_{A091A1A0-5AD4-4CAC-BD72-16EF8EBC9CDF}" xr6:coauthVersionLast="47" xr6:coauthVersionMax="47" xr10:uidLastSave="{1D966BF6-DC4C-48C0-8946-762C1A7FFA42}"/>
  <bookViews>
    <workbookView xWindow="-108" yWindow="-108" windowWidth="23256" windowHeight="12576" tabRatio="601" activeTab="10" xr2:uid="{FD0642C0-DD6F-4B09-97B3-FFEC8414F7E8}"/>
  </bookViews>
  <sheets>
    <sheet name="Ex0" sheetId="1" r:id="rId1"/>
    <sheet name="Ex1" sheetId="2" r:id="rId2"/>
    <sheet name="Ex2" sheetId="3" r:id="rId3"/>
    <sheet name="Ex.3" sheetId="4" r:id="rId4"/>
    <sheet name="Ex.4" sheetId="5" r:id="rId5"/>
    <sheet name="Ex5" sheetId="6" r:id="rId6"/>
    <sheet name="Ex.6" sheetId="7" r:id="rId7"/>
    <sheet name="Ex7" sheetId="8" r:id="rId8"/>
    <sheet name="Ex.8" sheetId="9" r:id="rId9"/>
    <sheet name="Ex.9" sheetId="10" r:id="rId10"/>
    <sheet name="Ex.10"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1" l="1"/>
  <c r="G54" i="11"/>
  <c r="G53" i="11"/>
  <c r="F51" i="11"/>
  <c r="E51" i="11"/>
  <c r="E50" i="11"/>
  <c r="E49" i="11"/>
  <c r="E48" i="11"/>
  <c r="E47" i="11"/>
  <c r="E45" i="11"/>
  <c r="E44" i="11"/>
  <c r="E42" i="11"/>
  <c r="E40" i="11"/>
  <c r="E39" i="11"/>
  <c r="E38" i="11"/>
  <c r="E36" i="11"/>
  <c r="E34" i="11"/>
  <c r="D44" i="10"/>
  <c r="D43" i="10"/>
  <c r="D42" i="10"/>
  <c r="D41" i="10"/>
  <c r="D40" i="10"/>
  <c r="D39" i="10"/>
  <c r="D38" i="10"/>
  <c r="D37" i="10"/>
  <c r="D36" i="10"/>
  <c r="E33" i="10"/>
  <c r="E32" i="10"/>
  <c r="E29" i="10"/>
  <c r="E30" i="10"/>
  <c r="E31" i="10"/>
  <c r="E28" i="10"/>
  <c r="E27" i="10"/>
  <c r="E26" i="10"/>
  <c r="P24" i="9"/>
  <c r="P23" i="9"/>
  <c r="P22" i="9"/>
  <c r="P21" i="9"/>
  <c r="P20" i="9"/>
  <c r="P19" i="9"/>
  <c r="P17" i="9"/>
  <c r="P16" i="9"/>
  <c r="P14" i="9"/>
  <c r="P13" i="9"/>
  <c r="P12" i="9"/>
  <c r="P10" i="9"/>
  <c r="P9" i="9"/>
  <c r="P8" i="9"/>
  <c r="P7" i="9"/>
  <c r="G32" i="8"/>
  <c r="G31" i="8"/>
  <c r="G30" i="8"/>
  <c r="G29" i="8"/>
  <c r="G28" i="8"/>
  <c r="G27" i="8"/>
  <c r="G26" i="8"/>
  <c r="G24" i="8"/>
  <c r="G23" i="8"/>
  <c r="G22" i="8"/>
  <c r="G21" i="8"/>
  <c r="G20" i="8"/>
  <c r="G19" i="8"/>
  <c r="G18" i="8"/>
  <c r="G17" i="8"/>
  <c r="L13" i="8"/>
  <c r="L12" i="8"/>
  <c r="L11" i="8"/>
  <c r="L8" i="8"/>
  <c r="L7" i="8"/>
  <c r="L6" i="8"/>
  <c r="L5" i="8"/>
  <c r="G14" i="8"/>
  <c r="F12" i="8"/>
  <c r="G12" i="8"/>
  <c r="G10" i="8"/>
  <c r="G9" i="8"/>
  <c r="G8" i="8"/>
  <c r="G6" i="8"/>
  <c r="D17" i="7"/>
  <c r="D15" i="7"/>
  <c r="D14" i="7"/>
  <c r="D12" i="7"/>
  <c r="D11" i="7"/>
  <c r="E11" i="6"/>
  <c r="D13" i="4"/>
  <c r="D12" i="4"/>
  <c r="D11" i="4"/>
  <c r="E59" i="11"/>
  <c r="G58" i="11"/>
  <c r="F57" i="11"/>
  <c r="E57" i="11"/>
  <c r="G57" i="11"/>
  <c r="J30" i="11"/>
  <c r="O28" i="11"/>
  <c r="O27" i="11"/>
  <c r="O25" i="11"/>
  <c r="O23" i="11"/>
  <c r="O22" i="11"/>
  <c r="J23" i="11"/>
  <c r="J22" i="11"/>
  <c r="I22" i="11"/>
  <c r="H22" i="11"/>
  <c r="H37" i="10"/>
  <c r="N53" i="9"/>
  <c r="N52" i="9"/>
  <c r="N50" i="9"/>
  <c r="N45" i="9"/>
  <c r="P31" i="9"/>
  <c r="O31" i="9"/>
  <c r="L18" i="8"/>
  <c r="E9" i="6"/>
  <c r="E10" i="6" s="1"/>
  <c r="F12" i="5"/>
  <c r="E12" i="5"/>
  <c r="G59" i="11"/>
  <c r="F30" i="11"/>
  <c r="M22" i="11"/>
  <c r="L22" i="11"/>
  <c r="N28" i="10"/>
  <c r="K28" i="10"/>
  <c r="J28" i="10"/>
  <c r="H36" i="10"/>
  <c r="H35" i="10"/>
  <c r="H23" i="10"/>
  <c r="O55" i="9"/>
  <c r="P55" i="9"/>
  <c r="Q55" i="9"/>
  <c r="R55" i="9"/>
  <c r="N55" i="9"/>
  <c r="L23" i="8"/>
  <c r="G7" i="8"/>
  <c r="G3" i="8"/>
  <c r="F42" i="11"/>
  <c r="F22" i="11"/>
  <c r="F33" i="10"/>
  <c r="L32" i="8"/>
  <c r="L31" i="8"/>
  <c r="L28" i="8"/>
  <c r="L27" i="8"/>
  <c r="L26" i="8"/>
  <c r="L3" i="8"/>
  <c r="N36" i="9" l="1"/>
  <c r="H65" i="11" l="1"/>
  <c r="H64" i="11"/>
  <c r="H63" i="11"/>
  <c r="H62" i="11"/>
  <c r="G66" i="11"/>
  <c r="F66" i="11" s="1"/>
  <c r="J65" i="11"/>
  <c r="J64" i="11"/>
  <c r="J63" i="11"/>
  <c r="J62" i="11"/>
  <c r="F47" i="11"/>
  <c r="F40" i="11"/>
  <c r="F39" i="11"/>
  <c r="H55" i="11" l="1"/>
  <c r="H54" i="11"/>
  <c r="H53" i="11"/>
  <c r="F59" i="11"/>
  <c r="F58" i="11"/>
  <c r="E58" i="11"/>
  <c r="O26" i="11"/>
  <c r="O24" i="11"/>
  <c r="F36" i="11"/>
  <c r="J25" i="11"/>
  <c r="J26" i="11"/>
  <c r="J27" i="11"/>
  <c r="G26" i="10"/>
  <c r="H26" i="10"/>
  <c r="F50" i="11" l="1"/>
  <c r="F49" i="11"/>
  <c r="F48" i="11"/>
  <c r="F45" i="11"/>
  <c r="H42" i="11"/>
  <c r="G42" i="11"/>
  <c r="H41" i="11"/>
  <c r="G41" i="11"/>
  <c r="I30" i="11"/>
  <c r="H31" i="11"/>
  <c r="H30" i="11"/>
  <c r="F31" i="11"/>
  <c r="N20" i="10"/>
  <c r="E25" i="10"/>
  <c r="L20" i="10"/>
  <c r="F27" i="10"/>
  <c r="L40" i="8"/>
  <c r="L38" i="8"/>
  <c r="G5" i="8"/>
  <c r="L35" i="8"/>
  <c r="C49" i="11" l="1"/>
  <c r="C48" i="11"/>
  <c r="C47" i="11"/>
  <c r="F38" i="11"/>
  <c r="F34" i="11"/>
  <c r="F44" i="11" s="1"/>
  <c r="M29" i="11"/>
  <c r="M28" i="11"/>
  <c r="M24" i="11"/>
  <c r="F23" i="11"/>
  <c r="H23" i="11" s="1"/>
  <c r="I23" i="11" s="1"/>
  <c r="F25" i="11"/>
  <c r="H25" i="11" s="1"/>
  <c r="L25" i="11" s="1"/>
  <c r="M25" i="11" s="1"/>
  <c r="I25" i="11" l="1"/>
  <c r="L23" i="11"/>
  <c r="M23" i="11" s="1"/>
  <c r="R29" i="8"/>
  <c r="P25" i="8"/>
  <c r="P28" i="8" s="1"/>
  <c r="I31" i="11"/>
  <c r="L30" i="11"/>
  <c r="M30" i="11" s="1"/>
  <c r="F27" i="11"/>
  <c r="F26" i="11"/>
  <c r="H25" i="10"/>
  <c r="G24" i="10"/>
  <c r="G23" i="10"/>
  <c r="G22" i="10"/>
  <c r="G21" i="10"/>
  <c r="G20" i="10"/>
  <c r="G19" i="10"/>
  <c r="G18" i="10"/>
  <c r="G25" i="10" s="1"/>
  <c r="E23" i="10"/>
  <c r="E22" i="10"/>
  <c r="E21" i="10"/>
  <c r="E20" i="10"/>
  <c r="E19" i="10"/>
  <c r="E18" i="10"/>
  <c r="M60" i="9"/>
  <c r="M59" i="9"/>
  <c r="M58" i="9"/>
  <c r="I36" i="8"/>
  <c r="I35" i="8"/>
  <c r="Q25" i="8"/>
  <c r="Q28" i="8" s="1"/>
  <c r="F28" i="10" l="1"/>
  <c r="H26" i="11"/>
  <c r="L26" i="11" s="1"/>
  <c r="J31" i="11"/>
  <c r="L31" i="11" s="1"/>
  <c r="M31" i="11" s="1"/>
  <c r="H27" i="11"/>
  <c r="L27" i="11" s="1"/>
  <c r="M27" i="11" s="1"/>
  <c r="P34" i="8"/>
  <c r="P26" i="8"/>
  <c r="P27" i="8"/>
  <c r="P29" i="8"/>
  <c r="O5" i="8"/>
  <c r="O6" i="8" s="1"/>
  <c r="Q27" i="8"/>
  <c r="O7" i="8"/>
  <c r="Q26" i="8"/>
  <c r="M24" i="9"/>
  <c r="M23" i="9"/>
  <c r="M22" i="9"/>
  <c r="M21" i="9"/>
  <c r="M20" i="9"/>
  <c r="M19" i="9"/>
  <c r="M26" i="11" l="1"/>
  <c r="F29" i="10"/>
  <c r="H31" i="10"/>
  <c r="I31" i="10" s="1"/>
  <c r="I26" i="11"/>
  <c r="I27" i="11"/>
  <c r="O19" i="9"/>
  <c r="P30" i="8"/>
  <c r="Q29" i="8"/>
  <c r="O35" i="8" s="1"/>
  <c r="L36" i="8"/>
  <c r="O8" i="8"/>
  <c r="Q63" i="9" l="1"/>
  <c r="P63" i="9"/>
  <c r="O20" i="9"/>
  <c r="O63" i="9"/>
  <c r="R63" i="9"/>
  <c r="F31" i="10"/>
  <c r="F30" i="10"/>
  <c r="F32" i="10"/>
  <c r="O23" i="9"/>
  <c r="O22" i="9"/>
  <c r="Q30" i="8"/>
  <c r="O9" i="8"/>
  <c r="O10" i="8" s="1"/>
  <c r="O12" i="8" s="1"/>
  <c r="O21" i="9"/>
  <c r="L33" i="8" l="1"/>
  <c r="N42" i="9" l="1"/>
  <c r="O42" i="9" s="1"/>
  <c r="O44" i="9" s="1"/>
  <c r="N63" i="9"/>
  <c r="S63" i="9" s="1"/>
  <c r="P42" i="9"/>
  <c r="P44" i="9" s="1"/>
  <c r="O45" i="9"/>
  <c r="O46" i="9"/>
  <c r="Q42" i="9"/>
  <c r="L39" i="8"/>
  <c r="O24" i="9"/>
  <c r="O28" i="9"/>
  <c r="O50" i="9" l="1"/>
  <c r="N44" i="9"/>
  <c r="N24" i="9"/>
  <c r="N20" i="9"/>
  <c r="N22" i="9"/>
  <c r="N23" i="9"/>
  <c r="N21" i="9"/>
  <c r="O58" i="9"/>
  <c r="P45" i="9"/>
  <c r="P46" i="9"/>
  <c r="R42" i="9"/>
  <c r="R44" i="9" s="1"/>
  <c r="Q44" i="9"/>
  <c r="O48" i="9"/>
  <c r="O60" i="9" s="1"/>
  <c r="O47" i="9"/>
  <c r="O59" i="9" s="1"/>
  <c r="P28" i="9"/>
  <c r="N28" i="9"/>
  <c r="N19" i="9"/>
  <c r="O26" i="9"/>
  <c r="P50" i="9" l="1"/>
  <c r="P58" i="9" s="1"/>
  <c r="O52" i="9"/>
  <c r="O57" i="9" s="1"/>
  <c r="N46" i="9"/>
  <c r="O51" i="9"/>
  <c r="P26" i="9"/>
  <c r="N26" i="9"/>
  <c r="Q45" i="9"/>
  <c r="Q46" i="9"/>
  <c r="R45" i="9"/>
  <c r="R46" i="9"/>
  <c r="P47" i="9"/>
  <c r="P59" i="9" s="1"/>
  <c r="P48" i="9"/>
  <c r="P60" i="9" s="1"/>
  <c r="N58" i="9" l="1"/>
  <c r="N47" i="9"/>
  <c r="N59" i="9" s="1"/>
  <c r="N48" i="9"/>
  <c r="N60" i="9" s="1"/>
  <c r="Q50" i="9"/>
  <c r="Q58" i="9" s="1"/>
  <c r="R50" i="9"/>
  <c r="R58" i="9" s="1"/>
  <c r="P51" i="9"/>
  <c r="P52" i="9"/>
  <c r="P53" i="9" s="1"/>
  <c r="P56" i="9" s="1"/>
  <c r="O53" i="9"/>
  <c r="O56" i="9" s="1"/>
  <c r="O62" i="9" s="1"/>
  <c r="O65" i="9" s="1"/>
  <c r="O69" i="9" s="1"/>
  <c r="O72" i="9" s="1"/>
  <c r="R48" i="9"/>
  <c r="R60" i="9" s="1"/>
  <c r="R47" i="9"/>
  <c r="Q47" i="9"/>
  <c r="Q48" i="9"/>
  <c r="Q60" i="9" s="1"/>
  <c r="R51" i="9" l="1"/>
  <c r="Q51" i="9"/>
  <c r="N51" i="9"/>
  <c r="R52" i="9"/>
  <c r="P57" i="9"/>
  <c r="P62" i="9" s="1"/>
  <c r="O71" i="9"/>
  <c r="O70" i="9"/>
  <c r="S60" i="9"/>
  <c r="S58" i="9"/>
  <c r="R59" i="9"/>
  <c r="Q52" i="9"/>
  <c r="Q59" i="9"/>
  <c r="N56" i="9" l="1"/>
  <c r="N57" i="9"/>
  <c r="O73" i="9"/>
  <c r="O74" i="9" s="1"/>
  <c r="S59" i="9"/>
  <c r="P65" i="9"/>
  <c r="Q57" i="9"/>
  <c r="Q53" i="9"/>
  <c r="Q56" i="9" s="1"/>
  <c r="R53" i="9"/>
  <c r="R56" i="9" s="1"/>
  <c r="R57" i="9"/>
  <c r="N62" i="9" l="1"/>
  <c r="N65" i="9" s="1"/>
  <c r="N69" i="9" s="1"/>
  <c r="N72" i="9" s="1"/>
  <c r="P69" i="9"/>
  <c r="Q62" i="9"/>
  <c r="S56" i="9"/>
  <c r="R62" i="9"/>
  <c r="R65" i="9" s="1"/>
  <c r="R69" i="9" s="1"/>
  <c r="S57" i="9"/>
  <c r="N70" i="9" l="1"/>
  <c r="N73" i="9" s="1"/>
  <c r="N74" i="9" s="1"/>
  <c r="N71" i="9"/>
  <c r="E12" i="6"/>
  <c r="R70" i="9"/>
  <c r="R71" i="9"/>
  <c r="R72" i="9"/>
  <c r="S62" i="9"/>
  <c r="P72" i="9"/>
  <c r="P70" i="9"/>
  <c r="P71" i="9"/>
  <c r="Q65" i="9"/>
  <c r="E13" i="6" l="1"/>
  <c r="E14" i="6" s="1"/>
  <c r="R73" i="9"/>
  <c r="R74" i="9" s="1"/>
  <c r="P73" i="9"/>
  <c r="P74" i="9" s="1"/>
  <c r="Q69" i="9"/>
  <c r="S65" i="9"/>
  <c r="G13" i="6" l="1"/>
  <c r="H13" i="6" s="1"/>
  <c r="Q70" i="9"/>
  <c r="S70" i="9" s="1"/>
  <c r="Q71" i="9"/>
  <c r="S71" i="9" s="1"/>
  <c r="Q72" i="9"/>
  <c r="S69" i="9"/>
  <c r="D11" i="5"/>
  <c r="E11" i="5"/>
  <c r="C12" i="4"/>
  <c r="D9" i="4"/>
  <c r="G8" i="4" l="1"/>
  <c r="Q73" i="9"/>
  <c r="S72" i="9"/>
  <c r="D14" i="5"/>
  <c r="E15" i="5" s="1"/>
  <c r="S73" i="9" l="1"/>
  <c r="S74" i="9" s="1"/>
  <c r="Q74" i="9"/>
  <c r="I8" i="4"/>
  <c r="I9" i="4" s="1"/>
  <c r="D15" i="5"/>
  <c r="D16" i="5" s="1"/>
  <c r="E11" i="4"/>
  <c r="F11" i="4" s="1"/>
  <c r="J8" i="4" l="1"/>
</calcChain>
</file>

<file path=xl/sharedStrings.xml><?xml version="1.0" encoding="utf-8"?>
<sst xmlns="http://schemas.openxmlformats.org/spreadsheetml/2006/main" count="277" uniqueCount="195">
  <si>
    <t>Alíq. IPI</t>
  </si>
  <si>
    <t>IPI</t>
  </si>
  <si>
    <t>Preço s/ IPI</t>
  </si>
  <si>
    <t>Faturado (NF)</t>
  </si>
  <si>
    <t>Receita</t>
  </si>
  <si>
    <t>VR$ NF c/ IPI</t>
  </si>
  <si>
    <t xml:space="preserve">   =</t>
  </si>
  <si>
    <t>(1+0,15)</t>
  </si>
  <si>
    <t>Preço de Venda s/ IPI</t>
  </si>
  <si>
    <t>(1+Alíq. PI)</t>
  </si>
  <si>
    <t>Vr$ Importação c/ IPI</t>
  </si>
  <si>
    <t>Margem de Lucro</t>
  </si>
  <si>
    <t>Preço</t>
  </si>
  <si>
    <t>Produto</t>
  </si>
  <si>
    <t>Qtde</t>
  </si>
  <si>
    <t>Total</t>
  </si>
  <si>
    <t>chapas de aços</t>
  </si>
  <si>
    <t>Compra</t>
  </si>
  <si>
    <t>Base</t>
  </si>
  <si>
    <t>ICMS</t>
  </si>
  <si>
    <t>portões</t>
  </si>
  <si>
    <t>Venda</t>
  </si>
  <si>
    <t>Custo</t>
  </si>
  <si>
    <t>Custo Produto Vendido</t>
  </si>
  <si>
    <t>PIS</t>
  </si>
  <si>
    <t>Cofins</t>
  </si>
  <si>
    <t>NF</t>
  </si>
  <si>
    <t>IPI a Recuperar</t>
  </si>
  <si>
    <t>VR$ NF s/ IPI</t>
  </si>
  <si>
    <t>IPI s/ Vendas</t>
  </si>
  <si>
    <t>Valor NF</t>
  </si>
  <si>
    <t>IPI a Recup</t>
  </si>
  <si>
    <t>ICMS a Recup</t>
  </si>
  <si>
    <t>Qtde Kg</t>
  </si>
  <si>
    <t>Custo por Kg</t>
  </si>
  <si>
    <t>Estoque</t>
  </si>
  <si>
    <t>Receitas Brutas (NF)</t>
  </si>
  <si>
    <t>(-) IPI s/ Vendas</t>
  </si>
  <si>
    <t>(-) ICMS s/ Vendas</t>
  </si>
  <si>
    <t>(-) COFINS</t>
  </si>
  <si>
    <t>(-) PIS</t>
  </si>
  <si>
    <t>Receitas Líquidas</t>
  </si>
  <si>
    <t>CPV</t>
  </si>
  <si>
    <t xml:space="preserve">Lucro Bruto </t>
  </si>
  <si>
    <t>Custo do Produto Vendido</t>
  </si>
  <si>
    <t>Mat. Prima</t>
  </si>
  <si>
    <t xml:space="preserve">• Custos de materiais de solda utilizados no mês: </t>
  </si>
  <si>
    <t xml:space="preserve">• Custo de Energia elétrica (mês): </t>
  </si>
  <si>
    <t xml:space="preserve"> • Custo de mão de obra (mês): </t>
  </si>
  <si>
    <t>Desp. Adm</t>
  </si>
  <si>
    <t>LAIR</t>
  </si>
  <si>
    <t>CSLL</t>
  </si>
  <si>
    <t>Lucro Liquido</t>
  </si>
  <si>
    <t>Saldo</t>
  </si>
  <si>
    <t>ICMS a Recuperar</t>
  </si>
  <si>
    <t>ICMS s/ Vendas</t>
  </si>
  <si>
    <t>PIS a Recuperar</t>
  </si>
  <si>
    <t>COFINS a Recuperar</t>
  </si>
  <si>
    <t>IR Adicional</t>
  </si>
  <si>
    <t>IRPJ</t>
  </si>
  <si>
    <t>Apuração dos Tributos</t>
  </si>
  <si>
    <t>Pis s/ Vendas</t>
  </si>
  <si>
    <t>Confis s/ vendas</t>
  </si>
  <si>
    <t>PIS/COFINS</t>
  </si>
  <si>
    <t>ML</t>
  </si>
  <si>
    <t>Mk-up</t>
  </si>
  <si>
    <t>Valor da Compra US$</t>
  </si>
  <si>
    <t>Código NCM</t>
  </si>
  <si>
    <t>Descrição NCM</t>
  </si>
  <si>
    <t>OUTROS</t>
  </si>
  <si>
    <t>Valor Aduaneiro Convertido</t>
  </si>
  <si>
    <t>Alíquota II (%)</t>
  </si>
  <si>
    <t>Tributo II</t>
  </si>
  <si>
    <t>Base IPI</t>
  </si>
  <si>
    <t>Alíquota IPI (%)</t>
  </si>
  <si>
    <t>Tributo IPI</t>
  </si>
  <si>
    <t>Alíquota PIS (%)</t>
  </si>
  <si>
    <t>Tributo PIS</t>
  </si>
  <si>
    <t>Alíquota COFINS (%)</t>
  </si>
  <si>
    <t>Tributo COFINS</t>
  </si>
  <si>
    <t>Alíquota ICMS (%)</t>
  </si>
  <si>
    <t>Tributo ICMS</t>
  </si>
  <si>
    <t>Total de Tributos</t>
  </si>
  <si>
    <t>Taxa de Câmbio</t>
  </si>
  <si>
    <t>Custo Total da Importação</t>
  </si>
  <si>
    <t>Resolução:</t>
  </si>
  <si>
    <t>http://www4.receita.fazenda.gov.br/simulador/Simulacao-tag.jsp</t>
  </si>
  <si>
    <t>Simulação de Preço - Mark-up</t>
  </si>
  <si>
    <t>Memórias de Cálculos</t>
  </si>
  <si>
    <t>Preço de Venda</t>
  </si>
  <si>
    <t>Preço Simulado</t>
  </si>
  <si>
    <t>ML%</t>
  </si>
  <si>
    <t>Demonstração do Resultado</t>
  </si>
  <si>
    <t>Frete</t>
  </si>
  <si>
    <t>Desconto Comercial</t>
  </si>
  <si>
    <t>Base ICMS</t>
  </si>
  <si>
    <t>Alíq. ICMS</t>
  </si>
  <si>
    <t>Núm de Qtde Import</t>
  </si>
  <si>
    <t>Custo Unitário</t>
  </si>
  <si>
    <t>Venda (RJ)</t>
  </si>
  <si>
    <t>Venda (SP)</t>
  </si>
  <si>
    <t>Venda (PB)</t>
  </si>
  <si>
    <t>Venda (MS)</t>
  </si>
  <si>
    <t>COFINS</t>
  </si>
  <si>
    <t>BASE</t>
  </si>
  <si>
    <t>ML %</t>
  </si>
  <si>
    <t>Alíq</t>
  </si>
  <si>
    <t>Varejo</t>
  </si>
  <si>
    <t>Cons. Final</t>
  </si>
  <si>
    <t>Indústria</t>
  </si>
  <si>
    <t>Receita Liquida</t>
  </si>
  <si>
    <t xml:space="preserve">Custo </t>
  </si>
  <si>
    <t>Desp. Adm/Com</t>
  </si>
  <si>
    <t>Lair</t>
  </si>
  <si>
    <t>Lucro Bruto</t>
  </si>
  <si>
    <t>Matérias-primas</t>
  </si>
  <si>
    <t>Leite Cru</t>
  </si>
  <si>
    <t>Frutas Cristalizadas</t>
  </si>
  <si>
    <t>Açúcar</t>
  </si>
  <si>
    <t>Emulsificante liga neutra</t>
  </si>
  <si>
    <t>Aromatizantes</t>
  </si>
  <si>
    <t>Preços</t>
  </si>
  <si>
    <t xml:space="preserve">Produção </t>
  </si>
  <si>
    <t>NT</t>
  </si>
  <si>
    <t>0402.29.30</t>
  </si>
  <si>
    <t>0813.50.00</t>
  </si>
  <si>
    <t>1701.99.00</t>
  </si>
  <si>
    <t>2106.90.90</t>
  </si>
  <si>
    <t>0401.20.10</t>
  </si>
  <si>
    <t>3302.10.00</t>
  </si>
  <si>
    <t>Base do ICMS</t>
  </si>
  <si>
    <t>Preço Faturado (NF)</t>
  </si>
  <si>
    <t>2105.00.10 Em embalagens imediatas de conteúdo inferior ou igual a 2 kg</t>
  </si>
  <si>
    <t>2403.99.90</t>
  </si>
  <si>
    <t>4813.20.00</t>
  </si>
  <si>
    <t>1213.00.00</t>
  </si>
  <si>
    <t>Palhas de Milho</t>
  </si>
  <si>
    <t>Aromatizantes e corantes</t>
  </si>
  <si>
    <t>Fumo Processado (em corda)</t>
  </si>
  <si>
    <t>Fumo processado (picado)</t>
  </si>
  <si>
    <t>RS</t>
  </si>
  <si>
    <t>GO</t>
  </si>
  <si>
    <t xml:space="preserve">NF </t>
  </si>
  <si>
    <t xml:space="preserve">Ali. </t>
  </si>
  <si>
    <t>Menos</t>
  </si>
  <si>
    <t>Vr$ ICMS</t>
  </si>
  <si>
    <t>Aíq. IPI</t>
  </si>
  <si>
    <t xml:space="preserve">Vr$ IPI </t>
  </si>
  <si>
    <t>NF Total</t>
  </si>
  <si>
    <t>NCM0</t>
  </si>
  <si>
    <t>Cigarros (SP)</t>
  </si>
  <si>
    <t>Cigarros de Pallha</t>
  </si>
  <si>
    <t>Preço s/ Tributos</t>
  </si>
  <si>
    <t>Alíq. ICMS %</t>
  </si>
  <si>
    <t xml:space="preserve">Base </t>
  </si>
  <si>
    <t>Total Tributos</t>
  </si>
  <si>
    <t>Aliq. Ad Valorem IPI</t>
  </si>
  <si>
    <t>Específico IPI  R$</t>
  </si>
  <si>
    <t>Total IPI</t>
  </si>
  <si>
    <t>PIS/COFINS a Recuperar</t>
  </si>
  <si>
    <t>Preço c/ tributo</t>
  </si>
  <si>
    <t>Margem</t>
  </si>
  <si>
    <t>Tributos</t>
  </si>
  <si>
    <t>NCM/CNAE</t>
  </si>
  <si>
    <t>2006.00.00</t>
  </si>
  <si>
    <t xml:space="preserve">Papeis especial da empresa Fibria </t>
  </si>
  <si>
    <t>Latas de Creme de Leite</t>
  </si>
  <si>
    <t>VR$ ICMS</t>
  </si>
  <si>
    <t>Imp. Recu</t>
  </si>
  <si>
    <t>IPI a Recolher</t>
  </si>
  <si>
    <t>ICMS a Recolher</t>
  </si>
  <si>
    <t>PIS/COFINS a Recolher</t>
  </si>
  <si>
    <t>Preco</t>
  </si>
  <si>
    <t>Classe I</t>
  </si>
  <si>
    <t>Classe IV</t>
  </si>
  <si>
    <t>Classe III</t>
  </si>
  <si>
    <t>Classe II</t>
  </si>
  <si>
    <t>Sal. Minimo</t>
  </si>
  <si>
    <t>Receita (Produto)</t>
  </si>
  <si>
    <t>Base   ICMS</t>
  </si>
  <si>
    <t>Base PIS/COFINS</t>
  </si>
  <si>
    <t>BASE IPI</t>
  </si>
  <si>
    <t>IPI a Recuoperar</t>
  </si>
  <si>
    <t>Valor a Pagar</t>
  </si>
  <si>
    <t>1- 18%</t>
  </si>
  <si>
    <t>x</t>
  </si>
  <si>
    <t>Vr. Recup</t>
  </si>
  <si>
    <t>IPI Recup</t>
  </si>
  <si>
    <t>IPI s/ Vendas (recolher)</t>
  </si>
  <si>
    <t>SC</t>
  </si>
  <si>
    <t>MA</t>
  </si>
  <si>
    <t>BA</t>
  </si>
  <si>
    <t>PE</t>
  </si>
  <si>
    <t>ES</t>
  </si>
  <si>
    <t>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</si>
</sst>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3" formatCode="_-* #,##0.00_-;\-* #,##0.00_-;_-* &quot;-&quot;??_-;_-@_-"/>
    <numFmt numFmtId="164" formatCode="_-* #,##0_-;\-* #,##0_-;_-* &quot;-&quot;??_-;_-@_-"/>
    <numFmt numFmtId="165" formatCode="0.0%"/>
    <numFmt numFmtId="166" formatCode="0.0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color rgb="FF0070C0"/>
      <name val="Calibri"/>
      <family val="2"/>
      <scheme val="minor"/>
    </font>
    <font>
      <b/>
      <sz val="11"/>
      <color rgb="FF0070C0"/>
      <name val="Calibri"/>
      <family val="2"/>
      <scheme val="minor"/>
    </font>
    <font>
      <b/>
      <sz val="11"/>
      <color rgb="FF0000FF"/>
      <name val="Calibri"/>
      <family val="2"/>
      <scheme val="minor"/>
    </font>
    <font>
      <b/>
      <sz val="11"/>
      <color rgb="FFFF0000"/>
      <name val="Calibri"/>
      <family val="2"/>
      <scheme val="minor"/>
    </font>
    <font>
      <sz val="11"/>
      <color rgb="FF222222"/>
      <name val="Arial"/>
      <family val="2"/>
    </font>
    <font>
      <b/>
      <i/>
      <sz val="11"/>
      <color theme="1"/>
      <name val="Calibri"/>
      <family val="2"/>
      <scheme val="minor"/>
    </font>
    <font>
      <b/>
      <sz val="11"/>
      <color rgb="FF000000"/>
      <name val="Calibri"/>
      <family val="2"/>
      <scheme val="minor"/>
    </font>
    <font>
      <u/>
      <sz val="11"/>
      <color theme="10"/>
      <name val="Calibri"/>
      <family val="2"/>
      <scheme val="minor"/>
    </font>
    <font>
      <sz val="11"/>
      <color rgb="FF00B050"/>
      <name val="Calibri"/>
      <family val="2"/>
      <scheme val="minor"/>
    </font>
    <font>
      <b/>
      <sz val="11"/>
      <color rgb="FF00B050"/>
      <name val="Calibri"/>
      <family val="2"/>
      <scheme val="minor"/>
    </font>
    <font>
      <u/>
      <sz val="11"/>
      <color rgb="FFFF0000"/>
      <name val="Calibri"/>
      <family val="2"/>
      <scheme val="minor"/>
    </font>
    <font>
      <b/>
      <u/>
      <sz val="11"/>
      <color rgb="FFFF0000"/>
      <name val="Calibri"/>
      <family val="2"/>
      <scheme val="minor"/>
    </font>
    <font>
      <sz val="11"/>
      <color rgb="FFC00000"/>
      <name val="Calibri"/>
      <family val="2"/>
      <scheme val="minor"/>
    </font>
    <font>
      <b/>
      <sz val="11"/>
      <color rgb="FF00B0F0"/>
      <name val="Calibri"/>
      <family val="2"/>
      <scheme val="minor"/>
    </font>
    <font>
      <sz val="11"/>
      <color rgb="FF00B0F0"/>
      <name val="Calibri"/>
      <family val="2"/>
      <scheme val="minor"/>
    </font>
    <font>
      <b/>
      <sz val="11"/>
      <color rgb="FFC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201">
    <xf numFmtId="0" fontId="0" fillId="0" borderId="0" xfId="0"/>
    <xf numFmtId="9" fontId="0" fillId="0" borderId="0" xfId="0" applyNumberFormat="1"/>
    <xf numFmtId="43" fontId="0" fillId="0" borderId="0" xfId="1" applyFont="1"/>
    <xf numFmtId="43" fontId="0" fillId="0" borderId="0" xfId="0" applyNumberFormat="1"/>
    <xf numFmtId="43" fontId="0" fillId="0" borderId="0" xfId="1"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43" fontId="0" fillId="0" borderId="0" xfId="0" applyNumberFormat="1" applyAlignment="1">
      <alignment horizontal="center" vertical="center"/>
    </xf>
    <xf numFmtId="43" fontId="0" fillId="0" borderId="1" xfId="0" applyNumberFormat="1" applyBorder="1" applyAlignment="1">
      <alignment horizontal="center" vertical="center"/>
    </xf>
    <xf numFmtId="43" fontId="0" fillId="2" borderId="0" xfId="0" applyNumberFormat="1" applyFill="1" applyAlignment="1">
      <alignment horizontal="center" vertical="center"/>
    </xf>
    <xf numFmtId="0" fontId="4" fillId="0" borderId="0" xfId="0" applyFont="1"/>
    <xf numFmtId="0" fontId="3" fillId="0" borderId="0" xfId="0" applyFont="1"/>
    <xf numFmtId="10" fontId="0" fillId="0" borderId="0" xfId="0" applyNumberFormat="1"/>
    <xf numFmtId="43" fontId="3" fillId="0" borderId="0" xfId="0" applyNumberFormat="1" applyFont="1"/>
    <xf numFmtId="0" fontId="2" fillId="0" borderId="0" xfId="0" applyFont="1"/>
    <xf numFmtId="43" fontId="2" fillId="0" borderId="0" xfId="0" applyNumberFormat="1" applyFont="1"/>
    <xf numFmtId="0" fontId="0" fillId="2" borderId="0" xfId="0" applyFill="1"/>
    <xf numFmtId="9" fontId="0" fillId="2" borderId="0" xfId="0" applyNumberFormat="1" applyFill="1"/>
    <xf numFmtId="43" fontId="0" fillId="2" borderId="0" xfId="0" applyNumberFormat="1" applyFill="1"/>
    <xf numFmtId="164" fontId="0" fillId="0" borderId="0" xfId="1" applyNumberFormat="1" applyFont="1"/>
    <xf numFmtId="0" fontId="3" fillId="3" borderId="0" xfId="0" applyFont="1" applyFill="1"/>
    <xf numFmtId="0" fontId="0" fillId="4" borderId="0" xfId="0" applyFill="1"/>
    <xf numFmtId="0" fontId="5" fillId="0" borderId="0" xfId="0" applyFont="1"/>
    <xf numFmtId="9" fontId="5" fillId="0" borderId="0" xfId="0" applyNumberFormat="1" applyFont="1"/>
    <xf numFmtId="43" fontId="5" fillId="0" borderId="0" xfId="1" applyFont="1"/>
    <xf numFmtId="8" fontId="0" fillId="0" borderId="0" xfId="0" applyNumberFormat="1"/>
    <xf numFmtId="4" fontId="0" fillId="0" borderId="0" xfId="0" applyNumberFormat="1"/>
    <xf numFmtId="43" fontId="3" fillId="0" borderId="0" xfId="1" applyFont="1"/>
    <xf numFmtId="43" fontId="2" fillId="0" borderId="0" xfId="1" applyFont="1"/>
    <xf numFmtId="0" fontId="0" fillId="0" borderId="0" xfId="0" applyBorder="1"/>
    <xf numFmtId="43" fontId="0" fillId="0" borderId="0" xfId="0" applyNumberFormat="1" applyBorder="1"/>
    <xf numFmtId="0" fontId="6" fillId="0" borderId="2" xfId="0" applyFont="1" applyBorder="1"/>
    <xf numFmtId="0" fontId="6" fillId="0" borderId="3" xfId="0" applyFont="1" applyBorder="1"/>
    <xf numFmtId="43" fontId="6" fillId="0" borderId="4" xfId="0" applyNumberFormat="1" applyFont="1" applyBorder="1"/>
    <xf numFmtId="0" fontId="0" fillId="0" borderId="5" xfId="0" applyBorder="1"/>
    <xf numFmtId="43" fontId="0" fillId="0" borderId="6" xfId="0" applyNumberFormat="1" applyBorder="1"/>
    <xf numFmtId="0" fontId="0" fillId="0" borderId="7" xfId="0" applyBorder="1"/>
    <xf numFmtId="0" fontId="0" fillId="0" borderId="8" xfId="0" applyBorder="1"/>
    <xf numFmtId="43" fontId="0" fillId="0" borderId="9" xfId="0" applyNumberFormat="1" applyBorder="1"/>
    <xf numFmtId="9" fontId="0" fillId="0" borderId="0" xfId="2" applyFont="1"/>
    <xf numFmtId="0" fontId="0" fillId="0" borderId="0" xfId="0" applyAlignment="1">
      <alignment horizontal="right"/>
    </xf>
    <xf numFmtId="10" fontId="0" fillId="0" borderId="0" xfId="2" applyNumberFormat="1" applyFont="1"/>
    <xf numFmtId="0" fontId="7" fillId="0" borderId="10" xfId="0" applyFont="1" applyBorder="1" applyAlignment="1">
      <alignment horizontal="right"/>
    </xf>
    <xf numFmtId="10" fontId="7" fillId="0" borderId="10" xfId="2" applyNumberFormat="1" applyFont="1" applyBorder="1"/>
    <xf numFmtId="0" fontId="7" fillId="0" borderId="10" xfId="0" applyFont="1" applyBorder="1"/>
    <xf numFmtId="43" fontId="7" fillId="0" borderId="10" xfId="0" applyNumberFormat="1" applyFont="1" applyBorder="1"/>
    <xf numFmtId="0" fontId="8" fillId="2" borderId="0" xfId="0" applyFont="1" applyFill="1" applyAlignment="1">
      <alignment horizontal="right"/>
    </xf>
    <xf numFmtId="10" fontId="8" fillId="2" borderId="0" xfId="2" applyNumberFormat="1" applyFont="1" applyFill="1"/>
    <xf numFmtId="0" fontId="8" fillId="2" borderId="0" xfId="0" applyFont="1" applyFill="1"/>
    <xf numFmtId="8" fontId="8" fillId="2" borderId="0" xfId="0" applyNumberFormat="1" applyFont="1" applyFill="1"/>
    <xf numFmtId="8" fontId="7" fillId="0" borderId="10" xfId="0" applyNumberFormat="1" applyFont="1" applyBorder="1"/>
    <xf numFmtId="10" fontId="1" fillId="0" borderId="0" xfId="2" applyNumberFormat="1" applyFont="1"/>
    <xf numFmtId="43" fontId="1" fillId="0" borderId="0" xfId="1" applyFont="1"/>
    <xf numFmtId="14" fontId="0" fillId="0" borderId="0" xfId="2" applyNumberFormat="1" applyFont="1"/>
    <xf numFmtId="0" fontId="9" fillId="2" borderId="0" xfId="0" applyFont="1" applyFill="1"/>
    <xf numFmtId="10" fontId="3" fillId="0" borderId="0" xfId="2" applyNumberFormat="1" applyFont="1"/>
    <xf numFmtId="8" fontId="3" fillId="0" borderId="0" xfId="1" applyNumberFormat="1" applyFont="1"/>
    <xf numFmtId="0" fontId="3" fillId="0" borderId="11" xfId="0" applyFont="1" applyBorder="1"/>
    <xf numFmtId="0" fontId="3" fillId="0" borderId="12" xfId="0" applyFont="1" applyBorder="1"/>
    <xf numFmtId="43" fontId="3" fillId="0" borderId="12" xfId="1" applyFont="1" applyBorder="1"/>
    <xf numFmtId="43" fontId="3" fillId="0" borderId="13" xfId="1" applyFont="1" applyBorder="1"/>
    <xf numFmtId="9" fontId="0" fillId="0" borderId="0" xfId="0" applyNumberFormat="1" applyBorder="1"/>
    <xf numFmtId="43" fontId="0" fillId="0" borderId="0" xfId="1" applyFont="1" applyBorder="1"/>
    <xf numFmtId="43" fontId="0" fillId="0" borderId="6" xfId="1" applyFont="1" applyBorder="1"/>
    <xf numFmtId="0" fontId="0" fillId="0" borderId="6" xfId="0" applyBorder="1"/>
    <xf numFmtId="0" fontId="0" fillId="0" borderId="9" xfId="0" applyBorder="1"/>
    <xf numFmtId="166" fontId="0" fillId="0" borderId="0" xfId="2" applyNumberFormat="1" applyFont="1" applyFill="1"/>
    <xf numFmtId="0" fontId="10" fillId="0" borderId="5" xfId="0" applyFont="1" applyBorder="1"/>
    <xf numFmtId="9" fontId="10" fillId="0" borderId="0" xfId="0" applyNumberFormat="1" applyFont="1" applyBorder="1"/>
    <xf numFmtId="43" fontId="10" fillId="0" borderId="0" xfId="1" applyFont="1" applyBorder="1"/>
    <xf numFmtId="43" fontId="8" fillId="0" borderId="0" xfId="1" applyFont="1"/>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xf numFmtId="0" fontId="3" fillId="0" borderId="10" xfId="0" applyFont="1" applyBorder="1"/>
    <xf numFmtId="43" fontId="3" fillId="0" borderId="10" xfId="0" applyNumberFormat="1" applyFont="1" applyBorder="1"/>
    <xf numFmtId="9" fontId="3" fillId="0" borderId="10" xfId="0" applyNumberFormat="1" applyFont="1" applyBorder="1"/>
    <xf numFmtId="0" fontId="3" fillId="2" borderId="0" xfId="0" applyFont="1" applyFill="1"/>
    <xf numFmtId="43" fontId="3" fillId="2" borderId="0" xfId="1" applyFont="1" applyFill="1"/>
    <xf numFmtId="0" fontId="8" fillId="0" borderId="0" xfId="0" applyFont="1"/>
    <xf numFmtId="9" fontId="8" fillId="0" borderId="0" xfId="0" applyNumberFormat="1" applyFont="1"/>
    <xf numFmtId="0" fontId="0" fillId="0" borderId="0" xfId="0" applyFont="1" applyAlignment="1">
      <alignment horizontal="right" vertical="center"/>
    </xf>
    <xf numFmtId="0" fontId="3" fillId="0" borderId="10" xfId="0" applyFont="1" applyBorder="1" applyAlignment="1">
      <alignment horizontal="right" vertical="center"/>
    </xf>
    <xf numFmtId="43" fontId="3" fillId="0" borderId="10" xfId="1" applyFont="1" applyBorder="1"/>
    <xf numFmtId="0" fontId="3" fillId="0" borderId="10" xfId="0" applyFont="1" applyBorder="1" applyAlignment="1">
      <alignment horizontal="right"/>
    </xf>
    <xf numFmtId="164" fontId="3" fillId="0" borderId="10" xfId="1" applyNumberFormat="1" applyFont="1" applyBorder="1" applyAlignment="1">
      <alignment horizontal="center" vertical="center"/>
    </xf>
    <xf numFmtId="164" fontId="3" fillId="0" borderId="10" xfId="1" applyNumberFormat="1" applyFont="1" applyBorder="1"/>
    <xf numFmtId="9" fontId="0" fillId="0" borderId="0" xfId="2" applyNumberFormat="1" applyFont="1" applyAlignment="1">
      <alignment horizontal="right" vertical="center"/>
    </xf>
    <xf numFmtId="9" fontId="0" fillId="0" borderId="0" xfId="0" applyNumberFormat="1" applyAlignment="1">
      <alignment horizontal="right"/>
    </xf>
    <xf numFmtId="43" fontId="3" fillId="0" borderId="0" xfId="1" applyFont="1" applyAlignment="1">
      <alignment horizontal="center" vertical="center"/>
    </xf>
    <xf numFmtId="0" fontId="3" fillId="0" borderId="8" xfId="0" applyFont="1" applyBorder="1"/>
    <xf numFmtId="43" fontId="3" fillId="0" borderId="8" xfId="0" applyNumberFormat="1" applyFont="1" applyBorder="1"/>
    <xf numFmtId="0" fontId="3" fillId="0" borderId="14" xfId="0" applyFont="1" applyBorder="1"/>
    <xf numFmtId="43" fontId="3" fillId="0" borderId="14" xfId="1" applyFont="1" applyBorder="1"/>
    <xf numFmtId="43" fontId="3" fillId="0" borderId="14" xfId="0" applyNumberFormat="1" applyFont="1" applyBorder="1"/>
    <xf numFmtId="165" fontId="0" fillId="0" borderId="0" xfId="2" applyNumberFormat="1" applyFont="1"/>
    <xf numFmtId="0" fontId="3" fillId="0" borderId="10" xfId="0" applyFont="1" applyBorder="1" applyAlignment="1">
      <alignment horizontal="center" vertical="center"/>
    </xf>
    <xf numFmtId="43" fontId="4" fillId="0" borderId="0" xfId="1" applyFont="1" applyAlignment="1">
      <alignment horizontal="center" vertical="center"/>
    </xf>
    <xf numFmtId="43" fontId="3" fillId="0" borderId="10" xfId="1" applyFont="1" applyBorder="1" applyAlignment="1">
      <alignment horizontal="center" vertical="center"/>
    </xf>
    <xf numFmtId="43" fontId="11" fillId="0" borderId="10" xfId="1" applyFont="1" applyBorder="1" applyAlignment="1">
      <alignment horizontal="center" vertical="center"/>
    </xf>
    <xf numFmtId="0" fontId="0" fillId="0" borderId="10" xfId="0" applyBorder="1" applyAlignment="1">
      <alignment horizontal="center" vertical="center"/>
    </xf>
    <xf numFmtId="0" fontId="12" fillId="0" borderId="0" xfId="3"/>
    <xf numFmtId="0" fontId="0" fillId="2" borderId="10" xfId="0" applyFill="1" applyBorder="1"/>
    <xf numFmtId="43" fontId="0" fillId="2" borderId="10" xfId="0" applyNumberFormat="1" applyFill="1" applyBorder="1"/>
    <xf numFmtId="0" fontId="0" fillId="0" borderId="2" xfId="0" applyBorder="1"/>
    <xf numFmtId="0" fontId="0" fillId="0" borderId="3" xfId="0" applyBorder="1"/>
    <xf numFmtId="43" fontId="8" fillId="0" borderId="7" xfId="1" applyFont="1" applyBorder="1"/>
    <xf numFmtId="43" fontId="8" fillId="0" borderId="8" xfId="1" applyFont="1" applyBorder="1"/>
    <xf numFmtId="43" fontId="8" fillId="0" borderId="9" xfId="1" applyFont="1" applyBorder="1"/>
    <xf numFmtId="10" fontId="0" fillId="0" borderId="0" xfId="2" applyNumberFormat="1" applyFont="1" applyBorder="1"/>
    <xf numFmtId="49" fontId="4" fillId="0" borderId="0" xfId="0" applyNumberFormat="1" applyFont="1"/>
    <xf numFmtId="0" fontId="13" fillId="0" borderId="0" xfId="0" applyFont="1" applyAlignment="1">
      <alignment horizontal="right" vertical="center"/>
    </xf>
    <xf numFmtId="43" fontId="13" fillId="0" borderId="0" xfId="1" applyFont="1" applyAlignment="1">
      <alignment horizontal="center" vertical="center"/>
    </xf>
    <xf numFmtId="0" fontId="0" fillId="0" borderId="1" xfId="0" applyBorder="1"/>
    <xf numFmtId="43" fontId="0" fillId="0" borderId="1" xfId="0" applyNumberFormat="1" applyBorder="1"/>
    <xf numFmtId="43" fontId="3" fillId="0" borderId="1" xfId="0" applyNumberFormat="1" applyFont="1" applyBorder="1"/>
    <xf numFmtId="10" fontId="0" fillId="2" borderId="0" xfId="0" applyNumberFormat="1" applyFill="1"/>
    <xf numFmtId="0" fontId="3" fillId="0" borderId="5" xfId="0" applyFont="1" applyBorder="1"/>
    <xf numFmtId="0" fontId="3" fillId="0" borderId="0" xfId="0" applyFont="1" applyBorder="1"/>
    <xf numFmtId="43" fontId="3" fillId="0" borderId="6" xfId="0" applyNumberFormat="1" applyFont="1" applyBorder="1"/>
    <xf numFmtId="0" fontId="2" fillId="0" borderId="5" xfId="0" applyFont="1" applyBorder="1"/>
    <xf numFmtId="9" fontId="2" fillId="0" borderId="0" xfId="0" applyNumberFormat="1" applyFont="1" applyBorder="1"/>
    <xf numFmtId="0" fontId="2" fillId="0" borderId="0" xfId="0" applyFont="1" applyBorder="1"/>
    <xf numFmtId="43" fontId="2" fillId="0" borderId="6" xfId="0" applyNumberFormat="1" applyFont="1" applyBorder="1"/>
    <xf numFmtId="0" fontId="14" fillId="0" borderId="5" xfId="0" applyFont="1" applyBorder="1"/>
    <xf numFmtId="10" fontId="14" fillId="0" borderId="0" xfId="2" applyNumberFormat="1" applyFont="1" applyBorder="1"/>
    <xf numFmtId="43" fontId="14" fillId="0" borderId="6" xfId="1" applyFont="1" applyBorder="1"/>
    <xf numFmtId="0" fontId="14" fillId="0" borderId="7" xfId="0" applyFont="1" applyBorder="1"/>
    <xf numFmtId="10" fontId="14" fillId="0" borderId="8" xfId="2" applyNumberFormat="1" applyFont="1" applyBorder="1"/>
    <xf numFmtId="43" fontId="14" fillId="0" borderId="9" xfId="1" applyFont="1" applyBorder="1"/>
    <xf numFmtId="0" fontId="0" fillId="5" borderId="0" xfId="0" applyFill="1"/>
    <xf numFmtId="43" fontId="0" fillId="6" borderId="0" xfId="1" applyFont="1" applyFill="1"/>
    <xf numFmtId="43" fontId="4" fillId="0" borderId="0" xfId="0" applyNumberFormat="1" applyFont="1"/>
    <xf numFmtId="0" fontId="15" fillId="0" borderId="0" xfId="3" applyFont="1"/>
    <xf numFmtId="9" fontId="2" fillId="0" borderId="0" xfId="0" applyNumberFormat="1" applyFont="1" applyAlignment="1">
      <alignment horizontal="center" vertical="center"/>
    </xf>
    <xf numFmtId="10" fontId="0" fillId="5" borderId="0" xfId="0" applyNumberFormat="1" applyFill="1"/>
    <xf numFmtId="0" fontId="8" fillId="0" borderId="10" xfId="0" applyFont="1" applyBorder="1" applyAlignment="1">
      <alignment horizontal="center" vertical="center"/>
    </xf>
    <xf numFmtId="165" fontId="2" fillId="0" borderId="0" xfId="2" applyNumberFormat="1" applyFont="1" applyAlignment="1">
      <alignment horizontal="center"/>
    </xf>
    <xf numFmtId="165" fontId="2" fillId="0" borderId="0" xfId="2" applyNumberFormat="1" applyFont="1" applyAlignment="1">
      <alignment horizontal="center" vertical="center"/>
    </xf>
    <xf numFmtId="166" fontId="0" fillId="0" borderId="0" xfId="2" applyNumberFormat="1" applyFont="1"/>
    <xf numFmtId="0" fontId="2" fillId="0" borderId="11" xfId="0" applyFont="1" applyBorder="1"/>
    <xf numFmtId="0" fontId="2" fillId="0" borderId="12" xfId="0" applyFont="1" applyBorder="1"/>
    <xf numFmtId="0" fontId="2" fillId="0" borderId="13" xfId="0" applyFont="1" applyBorder="1"/>
    <xf numFmtId="43" fontId="8" fillId="2" borderId="0" xfId="1" applyFont="1" applyFill="1"/>
    <xf numFmtId="165" fontId="3" fillId="0" borderId="0" xfId="2" applyNumberFormat="1" applyFont="1"/>
    <xf numFmtId="0" fontId="0" fillId="0" borderId="4" xfId="0" applyBorder="1"/>
    <xf numFmtId="9" fontId="0" fillId="0" borderId="6" xfId="2" applyFont="1" applyBorder="1"/>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43" fontId="2" fillId="0" borderId="0" xfId="1" applyFont="1" applyAlignment="1">
      <alignment horizontal="center" vertical="center"/>
    </xf>
    <xf numFmtId="43" fontId="5" fillId="0" borderId="0" xfId="0" applyNumberFormat="1" applyFont="1"/>
    <xf numFmtId="0" fontId="5" fillId="0" borderId="1" xfId="0" applyFont="1" applyBorder="1"/>
    <xf numFmtId="9" fontId="5" fillId="0" borderId="1" xfId="0" applyNumberFormat="1" applyFont="1" applyBorder="1"/>
    <xf numFmtId="43" fontId="5" fillId="0" borderId="1" xfId="0" applyNumberFormat="1" applyFont="1" applyBorder="1"/>
    <xf numFmtId="10" fontId="2" fillId="0" borderId="0" xfId="0" applyNumberFormat="1" applyFont="1"/>
    <xf numFmtId="0" fontId="5" fillId="0" borderId="2" xfId="0" applyFont="1" applyBorder="1"/>
    <xf numFmtId="0" fontId="5" fillId="0" borderId="3" xfId="0" applyFont="1" applyBorder="1"/>
    <xf numFmtId="43" fontId="5" fillId="0" borderId="4" xfId="0" applyNumberFormat="1" applyFont="1" applyBorder="1"/>
    <xf numFmtId="10" fontId="2" fillId="0" borderId="0" xfId="2" applyNumberFormat="1" applyFont="1"/>
    <xf numFmtId="8" fontId="2" fillId="0" borderId="0" xfId="1" applyNumberFormat="1" applyFont="1"/>
    <xf numFmtId="0" fontId="6" fillId="0" borderId="0" xfId="0" applyFont="1"/>
    <xf numFmtId="10" fontId="6" fillId="0" borderId="0" xfId="2" applyNumberFormat="1" applyFont="1"/>
    <xf numFmtId="8" fontId="6" fillId="0" borderId="0" xfId="1" applyNumberFormat="1" applyFont="1"/>
    <xf numFmtId="43" fontId="6" fillId="0" borderId="0" xfId="0" applyNumberFormat="1" applyFont="1"/>
    <xf numFmtId="0" fontId="3" fillId="0" borderId="0" xfId="0" applyFont="1" applyAlignment="1">
      <alignment horizontal="right" vertical="center"/>
    </xf>
    <xf numFmtId="0" fontId="6" fillId="0" borderId="0" xfId="0" applyFont="1" applyAlignment="1">
      <alignment horizontal="right" vertical="center"/>
    </xf>
    <xf numFmtId="43" fontId="6" fillId="0" borderId="0" xfId="1" applyFont="1" applyAlignment="1">
      <alignment horizontal="center" vertical="center"/>
    </xf>
    <xf numFmtId="0" fontId="8" fillId="0" borderId="0" xfId="0" applyFont="1" applyAlignment="1">
      <alignment horizontal="right" vertical="center"/>
    </xf>
    <xf numFmtId="43" fontId="8" fillId="0" borderId="0" xfId="0" applyNumberFormat="1" applyFont="1"/>
    <xf numFmtId="0" fontId="16" fillId="0" borderId="0" xfId="0" applyFont="1" applyBorder="1"/>
    <xf numFmtId="43" fontId="16" fillId="0" borderId="0" xfId="1" applyFont="1" applyBorder="1"/>
    <xf numFmtId="43" fontId="16" fillId="0" borderId="0" xfId="0" applyNumberFormat="1" applyFont="1" applyBorder="1"/>
    <xf numFmtId="0" fontId="17" fillId="0" borderId="0" xfId="0" applyFont="1" applyBorder="1"/>
    <xf numFmtId="43" fontId="17" fillId="0" borderId="0" xfId="1" applyFont="1" applyBorder="1"/>
    <xf numFmtId="43" fontId="17" fillId="0" borderId="0" xfId="0" applyNumberFormat="1" applyFont="1" applyBorder="1"/>
    <xf numFmtId="9" fontId="17" fillId="0" borderId="0" xfId="2" applyFont="1" applyAlignment="1">
      <alignment horizontal="center" vertical="center"/>
    </xf>
    <xf numFmtId="0" fontId="3" fillId="0" borderId="0" xfId="0" applyFont="1" applyAlignment="1">
      <alignment horizontal="right"/>
    </xf>
    <xf numFmtId="43" fontId="11" fillId="0" borderId="0" xfId="1" applyFont="1" applyAlignment="1">
      <alignment horizontal="center" vertical="center"/>
    </xf>
    <xf numFmtId="9" fontId="3" fillId="0" borderId="0" xfId="0" applyNumberFormat="1" applyFont="1" applyAlignment="1">
      <alignment horizontal="center" vertical="center"/>
    </xf>
    <xf numFmtId="9" fontId="8" fillId="0" borderId="0" xfId="0" applyNumberFormat="1" applyFont="1" applyAlignment="1">
      <alignment horizontal="center" vertical="center"/>
    </xf>
    <xf numFmtId="9" fontId="3" fillId="0" borderId="0" xfId="0" applyNumberFormat="1" applyFont="1"/>
    <xf numFmtId="0" fontId="3" fillId="2" borderId="10" xfId="0" applyFont="1" applyFill="1" applyBorder="1" applyAlignment="1">
      <alignment horizontal="center" vertical="center"/>
    </xf>
    <xf numFmtId="0" fontId="18" fillId="0" borderId="0" xfId="0" applyFont="1"/>
    <xf numFmtId="9" fontId="18" fillId="0" borderId="0" xfId="0" applyNumberFormat="1" applyFont="1"/>
    <xf numFmtId="43" fontId="18" fillId="0" borderId="0" xfId="1" applyFont="1"/>
    <xf numFmtId="0" fontId="19" fillId="0" borderId="2" xfId="0" applyFont="1" applyFill="1" applyBorder="1"/>
    <xf numFmtId="9" fontId="19" fillId="0" borderId="3" xfId="0" applyNumberFormat="1" applyFont="1" applyFill="1" applyBorder="1"/>
    <xf numFmtId="0" fontId="19" fillId="0" borderId="3" xfId="0" applyFont="1" applyFill="1" applyBorder="1"/>
    <xf numFmtId="43" fontId="19" fillId="0" borderId="4" xfId="0" applyNumberFormat="1" applyFont="1" applyFill="1" applyBorder="1"/>
    <xf numFmtId="43" fontId="14" fillId="0" borderId="0" xfId="0" applyNumberFormat="1" applyFont="1" applyBorder="1"/>
    <xf numFmtId="43" fontId="2" fillId="2" borderId="0" xfId="0" applyNumberFormat="1" applyFont="1" applyFill="1"/>
    <xf numFmtId="43" fontId="17" fillId="0" borderId="0" xfId="0" applyNumberFormat="1" applyFont="1"/>
    <xf numFmtId="0" fontId="20" fillId="0" borderId="0" xfId="0" applyFont="1" applyAlignment="1">
      <alignment horizontal="right" vertical="center"/>
    </xf>
    <xf numFmtId="43" fontId="20" fillId="2" borderId="0" xfId="1" applyFont="1" applyFill="1" applyAlignment="1">
      <alignment horizontal="center" vertical="center"/>
    </xf>
    <xf numFmtId="43" fontId="20" fillId="0" borderId="0" xfId="0" applyNumberFormat="1" applyFont="1"/>
    <xf numFmtId="43" fontId="17" fillId="0" borderId="0" xfId="1" applyFont="1" applyAlignment="1">
      <alignment horizontal="center" vertical="center"/>
    </xf>
    <xf numFmtId="43" fontId="20" fillId="0" borderId="0" xfId="1" applyFont="1" applyAlignment="1">
      <alignment horizontal="center" vertical="center"/>
    </xf>
    <xf numFmtId="0" fontId="0" fillId="2" borderId="0" xfId="0" applyFill="1" applyAlignment="1">
      <alignment horizontal="center"/>
    </xf>
  </cellXfs>
  <cellStyles count="4">
    <cellStyle name="Hiperlink" xfId="3" builtinId="8"/>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104774</xdr:colOff>
      <xdr:row>0</xdr:row>
      <xdr:rowOff>66674</xdr:rowOff>
    </xdr:from>
    <xdr:to>
      <xdr:col>10</xdr:col>
      <xdr:colOff>447675</xdr:colOff>
      <xdr:row>18</xdr:row>
      <xdr:rowOff>123825</xdr:rowOff>
    </xdr:to>
    <xdr:sp macro="" textlink="">
      <xdr:nvSpPr>
        <xdr:cNvPr id="2" name="CaixaDeTexto 1">
          <a:extLst>
            <a:ext uri="{FF2B5EF4-FFF2-40B4-BE49-F238E27FC236}">
              <a16:creationId xmlns:a16="http://schemas.microsoft.com/office/drawing/2014/main" id="{B048544F-5BAB-4441-BBB6-F76A2D590538}"/>
            </a:ext>
          </a:extLst>
        </xdr:cNvPr>
        <xdr:cNvSpPr txBox="1"/>
      </xdr:nvSpPr>
      <xdr:spPr>
        <a:xfrm>
          <a:off x="714374" y="66674"/>
          <a:ext cx="5829301" cy="348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1. Analise as situações a seguir e responda: </a:t>
          </a:r>
        </a:p>
        <a:p>
          <a:endParaRPr lang="pt-BR"/>
        </a:p>
        <a:p>
          <a:r>
            <a:rPr lang="pt-BR">
              <a:solidFill>
                <a:sysClr val="windowText" lastClr="000000"/>
              </a:solidFill>
            </a:rPr>
            <a:t>a) O estabelecimento industrial e o equiparado a industrial podem creditar-se do IPI nas compras efetuadas de um estabelecimento comercial atacadista não contribuinte do IPI? </a:t>
          </a:r>
        </a:p>
        <a:p>
          <a:endParaRPr lang="pt-BR">
            <a:solidFill>
              <a:sysClr val="windowText" lastClr="000000"/>
            </a:solidFill>
          </a:endParaRPr>
        </a:p>
        <a:p>
          <a:r>
            <a:rPr lang="pt-BR"/>
            <a:t>b) O comerciante varejista pode ser equiparado a industrial, optativamente? </a:t>
          </a:r>
        </a:p>
        <a:p>
          <a:endParaRPr lang="pt-BR"/>
        </a:p>
        <a:p>
          <a:r>
            <a:rPr lang="pt-BR">
              <a:solidFill>
                <a:srgbClr val="FF0000"/>
              </a:solidFill>
            </a:rPr>
            <a:t>c) Uma empresa que tem como atividade a industrialização de produtos de terceiros é industrial ou equiparada a indústria? </a:t>
          </a:r>
        </a:p>
        <a:p>
          <a:endParaRPr lang="pt-BR">
            <a:solidFill>
              <a:srgbClr val="FF0000"/>
            </a:solidFill>
          </a:endParaRPr>
        </a:p>
        <a:p>
          <a:r>
            <a:rPr lang="pt-BR"/>
            <a:t>d) Uma empresa que tem como atividade a comercialização de produtos industrializados por outro estabelecimento da mesma firma ou de terceiros, mediante a remessa, por ela efetuada de insumos (matérias-primas, produtos intermediários, embalagens ...) é considerada industrial ou equiparada a indústria? </a:t>
          </a:r>
          <a:endParaRPr lang="pt-B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600075</xdr:colOff>
      <xdr:row>0</xdr:row>
      <xdr:rowOff>38101</xdr:rowOff>
    </xdr:from>
    <xdr:to>
      <xdr:col>12</xdr:col>
      <xdr:colOff>514350</xdr:colOff>
      <xdr:row>14</xdr:row>
      <xdr:rowOff>227135</xdr:rowOff>
    </xdr:to>
    <xdr:sp macro="" textlink="">
      <xdr:nvSpPr>
        <xdr:cNvPr id="2" name="CaixaDeTexto 1">
          <a:extLst>
            <a:ext uri="{FF2B5EF4-FFF2-40B4-BE49-F238E27FC236}">
              <a16:creationId xmlns:a16="http://schemas.microsoft.com/office/drawing/2014/main" id="{B63105E2-DB8D-44D1-A7EB-2BD3D33060E9}"/>
            </a:ext>
          </a:extLst>
        </xdr:cNvPr>
        <xdr:cNvSpPr txBox="1"/>
      </xdr:nvSpPr>
      <xdr:spPr>
        <a:xfrm>
          <a:off x="600075" y="38101"/>
          <a:ext cx="9270756" cy="2856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9. A Empresa Sub-Zero Ltda é uma indústria de sorvete, instalada na cidade de Ribeirão Preto (SP), adquiriu as seguintes matérias-primas no mês: </a:t>
          </a:r>
        </a:p>
        <a:p>
          <a:endParaRPr lang="pt-BR"/>
        </a:p>
        <a:p>
          <a:r>
            <a:rPr lang="pt-BR"/>
            <a:t>• 7 mil litros de leite cru, ao preço de R$ 0,78, isento de ICMS (ver TIPI); </a:t>
          </a:r>
        </a:p>
        <a:p>
          <a:r>
            <a:rPr lang="pt-BR"/>
            <a:t>• 500 latas de creme de leite por R$ 2,80 a unidade (ver TIPI); </a:t>
          </a:r>
        </a:p>
        <a:p>
          <a:r>
            <a:rPr lang="pt-BR"/>
            <a:t>• 200 kg de frutos cristalizadas por R$ 15,70 o kg (ver TIPI); </a:t>
          </a:r>
        </a:p>
        <a:p>
          <a:r>
            <a:rPr lang="pt-BR"/>
            <a:t>• 3000 kg de açúcar por R$ 3,70 o kg (ver TIPI); </a:t>
          </a:r>
        </a:p>
        <a:p>
          <a:r>
            <a:rPr lang="pt-BR"/>
            <a:t>• 5 kg emulsificante liga neutra por R$ 750,00 o kg (ver TIPI); </a:t>
          </a:r>
        </a:p>
        <a:p>
          <a:r>
            <a:rPr lang="pt-BR"/>
            <a:t>• 3 kg de aromatizante por R$ 7.500,00 o kg (ver TIPI); </a:t>
          </a:r>
        </a:p>
        <a:p>
          <a:endParaRPr lang="pt-BR"/>
        </a:p>
        <a:p>
          <a:r>
            <a:rPr lang="pt-BR"/>
            <a:t>Foram produzidos e vendidos 4 mil quilos de sorvetes ao </a:t>
          </a:r>
          <a:r>
            <a:rPr lang="pt-BR" b="1" u="sng">
              <a:solidFill>
                <a:srgbClr val="FF0000"/>
              </a:solidFill>
            </a:rPr>
            <a:t>custo de R$ 12,25 o </a:t>
          </a:r>
          <a:r>
            <a:rPr lang="pt-BR"/>
            <a:t>kg, no período. </a:t>
          </a:r>
        </a:p>
        <a:p>
          <a:endParaRPr lang="pt-BR"/>
        </a:p>
        <a:p>
          <a:r>
            <a:rPr lang="pt-BR"/>
            <a:t>As operações de sovertes são abrangidas pela ICMS e</a:t>
          </a:r>
          <a:r>
            <a:rPr lang="pt-BR">
              <a:solidFill>
                <a:srgbClr val="FF0000"/>
              </a:solidFill>
            </a:rPr>
            <a:t> IPI, </a:t>
          </a:r>
          <a:r>
            <a:rPr lang="pt-BR"/>
            <a:t>referente às vendas para seus clientes varejistas (sorveterias), com uma margem de 25% sobre o custo.</a:t>
          </a:r>
        </a:p>
        <a:p>
          <a:r>
            <a:rPr lang="pt-BR"/>
            <a:t> Assim, apure o </a:t>
          </a:r>
          <a:r>
            <a:rPr lang="pt-BR" b="1" u="sng"/>
            <a:t>IPI incidente sobre os insumos adquiridos </a:t>
          </a:r>
          <a:r>
            <a:rPr lang="pt-BR"/>
            <a:t>(quando houver) e o </a:t>
          </a:r>
          <a:r>
            <a:rPr lang="pt-BR" b="1" u="sng"/>
            <a:t>IPI incidente sobre os produtos produzidos e vendidos</a:t>
          </a:r>
          <a:r>
            <a:rPr lang="pt-BR"/>
            <a:t>.</a:t>
          </a:r>
        </a:p>
        <a:p>
          <a:endParaRPr lang="pt-BR" sz="1100"/>
        </a:p>
        <a:p>
          <a:r>
            <a:rPr lang="pt-BR" sz="1100" u="sng">
              <a:solidFill>
                <a:srgbClr val="FF0000"/>
              </a:solidFill>
            </a:rPr>
            <a:t>Obs.</a:t>
          </a:r>
          <a:r>
            <a:rPr lang="pt-BR" sz="1100" u="sng" baseline="0">
              <a:solidFill>
                <a:srgbClr val="FF0000"/>
              </a:solidFill>
            </a:rPr>
            <a:t> Todos os insumos foram adquiridos dentro do Estado de São Paulo, com alíquota de 18%.</a:t>
          </a:r>
        </a:p>
        <a:p>
          <a:endParaRPr lang="pt-B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175311</xdr:colOff>
      <xdr:row>0</xdr:row>
      <xdr:rowOff>40761</xdr:rowOff>
    </xdr:from>
    <xdr:to>
      <xdr:col>12</xdr:col>
      <xdr:colOff>521733</xdr:colOff>
      <xdr:row>19</xdr:row>
      <xdr:rowOff>164782</xdr:rowOff>
    </xdr:to>
    <xdr:sp macro="" textlink="">
      <xdr:nvSpPr>
        <xdr:cNvPr id="2" name="CaixaDeTexto 1">
          <a:extLst>
            <a:ext uri="{FF2B5EF4-FFF2-40B4-BE49-F238E27FC236}">
              <a16:creationId xmlns:a16="http://schemas.microsoft.com/office/drawing/2014/main" id="{DE8627C2-D106-4A7E-956F-2D9D67431E9D}"/>
            </a:ext>
          </a:extLst>
        </xdr:cNvPr>
        <xdr:cNvSpPr txBox="1"/>
      </xdr:nvSpPr>
      <xdr:spPr>
        <a:xfrm>
          <a:off x="592030" y="40761"/>
          <a:ext cx="8621266" cy="262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10. A indústria Artesões do </a:t>
          </a:r>
          <a:r>
            <a:rPr lang="pt-BR" sz="1100" u="sng">
              <a:solidFill>
                <a:srgbClr val="FF0000"/>
              </a:solidFill>
              <a:latin typeface="+mn-lt"/>
              <a:ea typeface="+mn-ea"/>
              <a:cs typeface="+mn-cs"/>
            </a:rPr>
            <a:t>Fumo (SP) </a:t>
          </a:r>
          <a:r>
            <a:rPr lang="pt-BR"/>
            <a:t>produzem especiarias derivados de fumo, no período, a empresa adquiriu os seguintes produtos e insumos: </a:t>
          </a:r>
        </a:p>
        <a:p>
          <a:r>
            <a:rPr lang="pt-BR"/>
            <a:t>• 40 toneladas de </a:t>
          </a:r>
          <a:r>
            <a:rPr lang="pt-BR" sz="1100" u="sng">
              <a:solidFill>
                <a:srgbClr val="FF0000"/>
              </a:solidFill>
              <a:latin typeface="+mn-lt"/>
              <a:ea typeface="+mn-ea"/>
              <a:cs typeface="+mn-cs"/>
            </a:rPr>
            <a:t>fumo processado </a:t>
          </a:r>
          <a:r>
            <a:rPr lang="pt-BR"/>
            <a:t>da empresa (picado) </a:t>
          </a:r>
          <a:r>
            <a:rPr lang="pt-BR" sz="1100" u="sng">
              <a:solidFill>
                <a:srgbClr val="FF0000"/>
              </a:solidFill>
              <a:latin typeface="+mn-lt"/>
              <a:ea typeface="+mn-ea"/>
              <a:cs typeface="+mn-cs"/>
            </a:rPr>
            <a:t>Marasca (RS) para elaboração de </a:t>
          </a:r>
          <a:r>
            <a:rPr lang="pt-BR"/>
            <a:t>seus produtos, por R$ 5,90 o quilo, sem impostos (ver tributos incidentes ICMS RS/SP e TIPI); </a:t>
          </a:r>
        </a:p>
        <a:p>
          <a:r>
            <a:rPr lang="pt-BR"/>
            <a:t>• 15 toneladas de </a:t>
          </a:r>
          <a:r>
            <a:rPr lang="pt-BR" u="sng">
              <a:solidFill>
                <a:srgbClr val="FF0000"/>
              </a:solidFill>
            </a:rPr>
            <a:t>fumo processado </a:t>
          </a:r>
          <a:r>
            <a:rPr lang="pt-BR"/>
            <a:t>(em corda) da empresa Fumo </a:t>
          </a:r>
          <a:r>
            <a:rPr lang="pt-BR" sz="1100" u="sng">
              <a:solidFill>
                <a:srgbClr val="FF0000"/>
              </a:solidFill>
              <a:latin typeface="+mn-lt"/>
              <a:ea typeface="+mn-ea"/>
              <a:cs typeface="+mn-cs"/>
            </a:rPr>
            <a:t>Goiano (GO</a:t>
          </a:r>
          <a:r>
            <a:rPr lang="pt-BR"/>
            <a:t>) </a:t>
          </a:r>
          <a:r>
            <a:rPr lang="pt-BR" sz="1100" u="sng">
              <a:solidFill>
                <a:schemeClr val="dk1"/>
              </a:solidFill>
              <a:effectLst/>
              <a:latin typeface="+mn-lt"/>
              <a:ea typeface="+mn-ea"/>
              <a:cs typeface="+mn-cs"/>
            </a:rPr>
            <a:t>para elaboração d</a:t>
          </a:r>
          <a:r>
            <a:rPr lang="pt-BR"/>
            <a:t>e seus produtos, por R$ 2,20 o quilo, sem impostos (ver tributos incidentes ICMS GO/SP e TIPI);</a:t>
          </a:r>
        </a:p>
        <a:p>
          <a:r>
            <a:rPr lang="pt-BR"/>
            <a:t> • 50 rolos (150 metros cada – 200 cigarros por metro) de papel especial da </a:t>
          </a:r>
          <a:r>
            <a:rPr lang="pt-BR" sz="1100" u="sng">
              <a:solidFill>
                <a:srgbClr val="FF0000"/>
              </a:solidFill>
              <a:latin typeface="+mn-lt"/>
              <a:ea typeface="+mn-ea"/>
              <a:cs typeface="+mn-cs"/>
            </a:rPr>
            <a:t>empresa Fibria (MS) para </a:t>
          </a:r>
          <a:r>
            <a:rPr lang="pt-BR"/>
            <a:t>a produção de Cigarros (vintena), ao preço de R$ 3,20 metro; </a:t>
          </a:r>
        </a:p>
        <a:p>
          <a:r>
            <a:rPr lang="pt-BR"/>
            <a:t>• Adquiriu 50 mil palhas de produtos rurais de </a:t>
          </a:r>
          <a:r>
            <a:rPr lang="pt-BR" sz="1100" u="sng">
              <a:solidFill>
                <a:srgbClr val="FF0000"/>
              </a:solidFill>
              <a:latin typeface="+mn-lt"/>
              <a:ea typeface="+mn-ea"/>
              <a:cs typeface="+mn-cs"/>
            </a:rPr>
            <a:t>milho da cidade de Muzambinho (MG</a:t>
          </a:r>
          <a:r>
            <a:rPr lang="pt-BR"/>
            <a:t>), ao preço R$ 0,03 por palha (ver tributos incidentes ICMS MG/SP e TIPI); </a:t>
          </a:r>
        </a:p>
        <a:p>
          <a:r>
            <a:rPr lang="pt-BR"/>
            <a:t>• 10 kg de Aromatizantes e corantes ao preço R$ 3.750,00 por kg (ver tributos incidentes ICMS SP/SP e TIPI).</a:t>
          </a:r>
        </a:p>
        <a:p>
          <a:r>
            <a:rPr lang="pt-BR"/>
            <a:t> </a:t>
          </a:r>
        </a:p>
        <a:p>
          <a:r>
            <a:rPr lang="pt-BR"/>
            <a:t>Foram produzidos e vendidos os seguintes produtos: </a:t>
          </a:r>
        </a:p>
        <a:p>
          <a:r>
            <a:rPr lang="pt-BR"/>
            <a:t>• 12.000 carteiras de cigarros (vintena) ao preço com R$ 5,50 sem impostos (Classe I); </a:t>
          </a:r>
        </a:p>
        <a:p>
          <a:r>
            <a:rPr lang="pt-BR"/>
            <a:t>• 5000 Carteiras de cigarros de palha (vintena) ao preço com R$ 3,80 sem impostos (Classe I). </a:t>
          </a:r>
        </a:p>
        <a:p>
          <a:r>
            <a:rPr lang="pt-BR"/>
            <a:t>• Assim, apure o IPI incidente (quando houver) sobre os insumos adquiridos e o IPI incidente sobre os produtos produzidos e vendidos. </a:t>
          </a:r>
          <a:endParaRPr lang="pt-BR" sz="1100"/>
        </a:p>
      </xdr:txBody>
    </xdr:sp>
    <xdr:clientData/>
  </xdr:twoCellAnchor>
  <xdr:twoCellAnchor editAs="oneCell">
    <xdr:from>
      <xdr:col>11</xdr:col>
      <xdr:colOff>14780</xdr:colOff>
      <xdr:row>36</xdr:row>
      <xdr:rowOff>173934</xdr:rowOff>
    </xdr:from>
    <xdr:to>
      <xdr:col>24</xdr:col>
      <xdr:colOff>97433</xdr:colOff>
      <xdr:row>61</xdr:row>
      <xdr:rowOff>96738</xdr:rowOff>
    </xdr:to>
    <xdr:pic>
      <xdr:nvPicPr>
        <xdr:cNvPr id="3" name="Imagem 2">
          <a:extLst>
            <a:ext uri="{FF2B5EF4-FFF2-40B4-BE49-F238E27FC236}">
              <a16:creationId xmlns:a16="http://schemas.microsoft.com/office/drawing/2014/main" id="{84BD732A-64EE-473F-BDD1-B0A5FD6B21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50497" y="7040217"/>
          <a:ext cx="4366720" cy="471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419100</xdr:colOff>
      <xdr:row>22</xdr:row>
      <xdr:rowOff>161924</xdr:rowOff>
    </xdr:from>
    <xdr:to>
      <xdr:col>36</xdr:col>
      <xdr:colOff>600075</xdr:colOff>
      <xdr:row>36</xdr:row>
      <xdr:rowOff>152399</xdr:rowOff>
    </xdr:to>
    <xdr:sp macro="" textlink="">
      <xdr:nvSpPr>
        <xdr:cNvPr id="4" name="CaixaDeTexto 3">
          <a:extLst>
            <a:ext uri="{FF2B5EF4-FFF2-40B4-BE49-F238E27FC236}">
              <a16:creationId xmlns:a16="http://schemas.microsoft.com/office/drawing/2014/main" id="{B30FD4DA-C325-4B2E-B81B-3C7D8DA4E96F}"/>
            </a:ext>
          </a:extLst>
        </xdr:cNvPr>
        <xdr:cNvSpPr txBox="1"/>
      </xdr:nvSpPr>
      <xdr:spPr>
        <a:xfrm>
          <a:off x="12496800" y="4362449"/>
          <a:ext cx="8105775" cy="265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i="0">
              <a:solidFill>
                <a:schemeClr val="dk1"/>
              </a:solidFill>
              <a:effectLst/>
              <a:latin typeface="+mn-lt"/>
              <a:ea typeface="+mn-ea"/>
              <a:cs typeface="+mn-cs"/>
            </a:rPr>
            <a:t>Art. 17. A pessoa jurídica industrial ou importadora dos cigarros referidos no art. 14 poderá optar por regime especial de apuração e recolhimento do IPI, no qual o valor do imposto será obtido pelo somatório de 2 (duas) parcelas, calculadas mediante a utilização de alíquotas:</a:t>
          </a:r>
        </a:p>
        <a:p>
          <a:r>
            <a:rPr lang="pt-BR" sz="1100" b="0" i="0">
              <a:solidFill>
                <a:schemeClr val="dk1"/>
              </a:solidFill>
              <a:effectLst/>
              <a:latin typeface="+mn-lt"/>
              <a:ea typeface="+mn-ea"/>
              <a:cs typeface="+mn-cs"/>
            </a:rPr>
            <a:t>I - ad valorem, observado o disposto no § 2º do art. 14; e</a:t>
          </a:r>
        </a:p>
        <a:p>
          <a:r>
            <a:rPr lang="pt-BR" sz="1100" b="0" i="0">
              <a:solidFill>
                <a:schemeClr val="dk1"/>
              </a:solidFill>
              <a:effectLst/>
              <a:latin typeface="+mn-lt"/>
              <a:ea typeface="+mn-ea"/>
              <a:cs typeface="+mn-cs"/>
            </a:rPr>
            <a:t>II - específica, fixada em reais por vintena, tendo por base as características físicas do produto.</a:t>
          </a:r>
        </a:p>
        <a:p>
          <a:r>
            <a:rPr lang="pt-BR" sz="1100" b="0" i="0">
              <a:solidFill>
                <a:schemeClr val="dk1"/>
              </a:solidFill>
              <a:effectLst/>
              <a:latin typeface="+mn-lt"/>
              <a:ea typeface="+mn-ea"/>
              <a:cs typeface="+mn-cs"/>
            </a:rPr>
            <a:t>§ 1º O Poder Executivo fixará as alíquotas do regime especial de que trata o caput:</a:t>
          </a:r>
        </a:p>
        <a:p>
          <a:r>
            <a:rPr lang="pt-BR" sz="1100" b="0" i="0">
              <a:solidFill>
                <a:schemeClr val="dk1"/>
              </a:solidFill>
              <a:effectLst/>
              <a:latin typeface="+mn-lt"/>
              <a:ea typeface="+mn-ea"/>
              <a:cs typeface="+mn-cs"/>
            </a:rPr>
            <a:t>I - em percentagem não superior a um terço da alíquota de que trata o caput do art. 14, em relação à alíquota ad valorem; ou</a:t>
          </a:r>
        </a:p>
        <a:p>
          <a:r>
            <a:rPr lang="pt-BR" sz="1100" b="0" i="0">
              <a:solidFill>
                <a:schemeClr val="dk1"/>
              </a:solidFill>
              <a:effectLst/>
              <a:latin typeface="+mn-lt"/>
              <a:ea typeface="+mn-ea"/>
              <a:cs typeface="+mn-cs"/>
            </a:rPr>
            <a:t>II - em valor não inferior a R$ 0,80 (oitenta centavos de real), em relação à alíquota específica.</a:t>
          </a:r>
        </a:p>
        <a:p>
          <a:r>
            <a:rPr lang="pt-BR" sz="1100" b="0" i="0">
              <a:solidFill>
                <a:schemeClr val="dk1"/>
              </a:solidFill>
              <a:effectLst/>
              <a:latin typeface="+mn-lt"/>
              <a:ea typeface="+mn-ea"/>
              <a:cs typeface="+mn-cs"/>
            </a:rPr>
            <a:t>§ 2º As disposições contidas no art. 16 também se aplicam ao IPI devido pelas pessoas jurídicas optantes pelo regime especial de que trata o caput.</a:t>
          </a:r>
        </a:p>
        <a:p>
          <a:r>
            <a:rPr lang="pt-BR" sz="1100" b="0" i="0">
              <a:solidFill>
                <a:schemeClr val="dk1"/>
              </a:solidFill>
              <a:effectLst/>
              <a:latin typeface="+mn-lt"/>
              <a:ea typeface="+mn-ea"/>
              <a:cs typeface="+mn-cs"/>
            </a:rPr>
            <a:t>§ 3º A propositura pela pessoa jurídica de ação judicial questionando os termos do regime especial de que trata o caput implica desistência da opção e incidência do IPI na forma do art. 14. </a:t>
          </a:r>
        </a:p>
        <a:p>
          <a:endParaRPr lang="pt-BR" sz="1100"/>
        </a:p>
        <a:p>
          <a:endParaRPr lang="pt-BR" sz="1100"/>
        </a:p>
        <a:p>
          <a:r>
            <a:rPr lang="pt-BR" sz="1100"/>
            <a:t>http://www.normaslegais.com.br/legislacao/lei-12546-2011.htm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1</xdr:row>
      <xdr:rowOff>104775</xdr:rowOff>
    </xdr:from>
    <xdr:to>
      <xdr:col>8</xdr:col>
      <xdr:colOff>466725</xdr:colOff>
      <xdr:row>10</xdr:row>
      <xdr:rowOff>161925</xdr:rowOff>
    </xdr:to>
    <xdr:sp macro="" textlink="">
      <xdr:nvSpPr>
        <xdr:cNvPr id="2" name="CaixaDeTexto 1">
          <a:extLst>
            <a:ext uri="{FF2B5EF4-FFF2-40B4-BE49-F238E27FC236}">
              <a16:creationId xmlns:a16="http://schemas.microsoft.com/office/drawing/2014/main" id="{3D75CEF6-30CF-4250-ABB5-8107531A2F39}"/>
            </a:ext>
          </a:extLst>
        </xdr:cNvPr>
        <xdr:cNvSpPr txBox="1"/>
      </xdr:nvSpPr>
      <xdr:spPr>
        <a:xfrm>
          <a:off x="733425" y="295275"/>
          <a:ext cx="4610100"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1. Em relação </a:t>
          </a:r>
          <a:r>
            <a:rPr lang="pt-BR" b="1" u="sng"/>
            <a:t>ao Imposto sobre Produtos industrializado</a:t>
          </a:r>
          <a:r>
            <a:rPr lang="pt-BR"/>
            <a:t>s pode-se afirmar que o imposto é: </a:t>
          </a:r>
        </a:p>
        <a:p>
          <a:r>
            <a:rPr lang="pt-BR" u="sng">
              <a:solidFill>
                <a:srgbClr val="C00000"/>
              </a:solidFill>
            </a:rPr>
            <a:t>a) Seletivo e não cumulativo.</a:t>
          </a:r>
        </a:p>
        <a:p>
          <a:r>
            <a:rPr lang="pt-BR"/>
            <a:t> b) Apenas não cumulativo. </a:t>
          </a:r>
        </a:p>
        <a:p>
          <a:r>
            <a:rPr lang="pt-BR"/>
            <a:t>c) Seletivo e cumulativo. </a:t>
          </a:r>
        </a:p>
        <a:p>
          <a:r>
            <a:rPr lang="pt-BR"/>
            <a:t>d) Não é seletivo e nem cumulativo. </a:t>
          </a:r>
        </a:p>
        <a:p>
          <a:r>
            <a:rPr lang="pt-BR"/>
            <a:t>e) Cumulativo para alguns tipos de produtos específicos.</a:t>
          </a:r>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xdr:row>
      <xdr:rowOff>123825</xdr:rowOff>
    </xdr:from>
    <xdr:to>
      <xdr:col>12</xdr:col>
      <xdr:colOff>333375</xdr:colOff>
      <xdr:row>20</xdr:row>
      <xdr:rowOff>142875</xdr:rowOff>
    </xdr:to>
    <xdr:sp macro="" textlink="">
      <xdr:nvSpPr>
        <xdr:cNvPr id="2" name="CaixaDeTexto 1">
          <a:extLst>
            <a:ext uri="{FF2B5EF4-FFF2-40B4-BE49-F238E27FC236}">
              <a16:creationId xmlns:a16="http://schemas.microsoft.com/office/drawing/2014/main" id="{7C970E42-1488-4041-859F-C61A984D9D5B}"/>
            </a:ext>
          </a:extLst>
        </xdr:cNvPr>
        <xdr:cNvSpPr txBox="1"/>
      </xdr:nvSpPr>
      <xdr:spPr>
        <a:xfrm>
          <a:off x="819150" y="314325"/>
          <a:ext cx="6829425"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solidFill>
                <a:schemeClr val="dk1"/>
              </a:solidFill>
              <a:effectLst/>
              <a:latin typeface="+mn-lt"/>
              <a:ea typeface="+mn-ea"/>
              <a:cs typeface="+mn-cs"/>
            </a:rPr>
            <a:t>QUESTÃO 2 - A respeito do crédito e do princípio da não cumulatividade do IPI, assinale a opção CORRETA.</a:t>
          </a:r>
          <a:endParaRPr lang="pt-BR" sz="1100">
            <a:solidFill>
              <a:schemeClr val="dk1"/>
            </a:solidFill>
            <a:effectLst/>
            <a:latin typeface="+mn-lt"/>
            <a:ea typeface="+mn-ea"/>
            <a:cs typeface="+mn-cs"/>
          </a:endParaRPr>
        </a:p>
        <a:p>
          <a:pPr lvl="0"/>
          <a:endParaRPr lang="pt-BR" sz="1100" b="1">
            <a:solidFill>
              <a:srgbClr val="FF0000"/>
            </a:solidFill>
            <a:effectLst/>
            <a:latin typeface="+mn-lt"/>
            <a:ea typeface="+mn-ea"/>
            <a:cs typeface="+mn-cs"/>
          </a:endParaRPr>
        </a:p>
        <a:p>
          <a:pPr lvl="0"/>
          <a:r>
            <a:rPr lang="pt-BR" sz="1100" b="1">
              <a:solidFill>
                <a:srgbClr val="FF0000"/>
              </a:solidFill>
              <a:effectLst/>
              <a:latin typeface="+mn-lt"/>
              <a:ea typeface="+mn-ea"/>
              <a:cs typeface="+mn-cs"/>
            </a:rPr>
            <a:t>a) A </a:t>
          </a:r>
          <a:r>
            <a:rPr lang="pt-BR" sz="1100" b="1" u="sng">
              <a:solidFill>
                <a:srgbClr val="FF0000"/>
              </a:solidFill>
              <a:effectLst/>
              <a:latin typeface="+mn-lt"/>
              <a:ea typeface="+mn-ea"/>
              <a:cs typeface="+mn-cs"/>
            </a:rPr>
            <a:t>indústria não pode creditar-se </a:t>
          </a:r>
          <a:r>
            <a:rPr lang="pt-BR" sz="1100" b="1">
              <a:solidFill>
                <a:srgbClr val="FF0000"/>
              </a:solidFill>
              <a:effectLst/>
              <a:latin typeface="+mn-lt"/>
              <a:ea typeface="+mn-ea"/>
              <a:cs typeface="+mn-cs"/>
            </a:rPr>
            <a:t>do valor do </a:t>
          </a:r>
          <a:r>
            <a:rPr lang="pt-BR" sz="1100" b="1" u="sng">
              <a:solidFill>
                <a:srgbClr val="FF0000"/>
              </a:solidFill>
              <a:effectLst/>
              <a:latin typeface="+mn-lt"/>
              <a:ea typeface="+mn-ea"/>
              <a:cs typeface="+mn-cs"/>
            </a:rPr>
            <a:t>IPI relativo à energia elétrica consumida </a:t>
          </a:r>
          <a:r>
            <a:rPr lang="pt-BR" sz="1100" b="1">
              <a:solidFill>
                <a:srgbClr val="FF0000"/>
              </a:solidFill>
              <a:effectLst/>
              <a:latin typeface="+mn-lt"/>
              <a:ea typeface="+mn-ea"/>
              <a:cs typeface="+mn-cs"/>
            </a:rPr>
            <a:t>no processo de industrialização, por não se tratar de insumo ou matéria-prima que se incorpore à transformação do produto.</a:t>
          </a:r>
          <a:endParaRPr lang="pt-BR" sz="1100">
            <a:solidFill>
              <a:srgbClr val="FF0000"/>
            </a:solidFill>
            <a:effectLst/>
            <a:latin typeface="+mn-lt"/>
            <a:ea typeface="+mn-ea"/>
            <a:cs typeface="+mn-cs"/>
          </a:endParaRP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b) Se uma indústria utilizar, no processo de industrialização, diversos bens onerados pelo IPI sobre os quais incidam diferentes alíquotas, quando da saída do produto dessa indústria, </a:t>
          </a:r>
          <a:r>
            <a:rPr lang="pt-BR" sz="1100" b="1" u="sng">
              <a:solidFill>
                <a:schemeClr val="dk1"/>
              </a:solidFill>
              <a:effectLst/>
              <a:latin typeface="+mn-lt"/>
              <a:ea typeface="+mn-ea"/>
              <a:cs typeface="+mn-cs"/>
            </a:rPr>
            <a:t>deverá ser utilizada a alíquota médi</a:t>
          </a:r>
          <a:r>
            <a:rPr lang="pt-BR" sz="1100">
              <a:solidFill>
                <a:schemeClr val="dk1"/>
              </a:solidFill>
              <a:effectLst/>
              <a:latin typeface="+mn-lt"/>
              <a:ea typeface="+mn-ea"/>
              <a:cs typeface="+mn-cs"/>
            </a:rPr>
            <a:t>a, objetivando cumprir o princípio da não cumulatividade.</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c) Em razão da </a:t>
          </a:r>
          <a:r>
            <a:rPr lang="pt-BR" sz="1100" u="sng">
              <a:solidFill>
                <a:schemeClr val="dk1"/>
              </a:solidFill>
              <a:effectLst/>
              <a:latin typeface="+mn-lt"/>
              <a:ea typeface="+mn-ea"/>
              <a:cs typeface="+mn-cs"/>
            </a:rPr>
            <a:t>seletividade e essencialidade do produto é que poderá o </a:t>
          </a:r>
          <a:r>
            <a:rPr lang="pt-BR" sz="1100" u="sng">
              <a:solidFill>
                <a:srgbClr val="C00000"/>
              </a:solidFill>
              <a:effectLst/>
              <a:latin typeface="+mn-lt"/>
              <a:ea typeface="+mn-ea"/>
              <a:cs typeface="+mn-cs"/>
            </a:rPr>
            <a:t>industrial creditar-se do IPI </a:t>
          </a:r>
          <a:r>
            <a:rPr lang="pt-BR" sz="1100">
              <a:solidFill>
                <a:srgbClr val="C00000"/>
              </a:solidFill>
              <a:effectLst/>
              <a:latin typeface="+mn-lt"/>
              <a:ea typeface="+mn-ea"/>
              <a:cs typeface="+mn-cs"/>
            </a:rPr>
            <a:t>referente aos insumos adquiridos com alíquota zero</a:t>
          </a:r>
          <a:r>
            <a:rPr lang="pt-BR" sz="1100">
              <a:solidFill>
                <a:schemeClr val="dk1"/>
              </a:solidFill>
              <a:effectLst/>
              <a:latin typeface="+mn-lt"/>
              <a:ea typeface="+mn-ea"/>
              <a:cs typeface="+mn-cs"/>
            </a:rPr>
            <a:t>.</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d) A indústria pode creditar-se do IPI pago na aquisição de</a:t>
          </a:r>
          <a:r>
            <a:rPr lang="pt-BR" sz="1100" b="1" u="sng">
              <a:solidFill>
                <a:schemeClr val="dk1"/>
              </a:solidFill>
              <a:effectLst/>
              <a:latin typeface="+mn-lt"/>
              <a:ea typeface="+mn-ea"/>
              <a:cs typeface="+mn-cs"/>
            </a:rPr>
            <a:t> </a:t>
          </a:r>
          <a:r>
            <a:rPr lang="pt-BR" sz="1100" b="1" u="sng">
              <a:solidFill>
                <a:srgbClr val="C00000"/>
              </a:solidFill>
              <a:effectLst/>
              <a:latin typeface="+mn-lt"/>
              <a:ea typeface="+mn-ea"/>
              <a:cs typeface="+mn-cs"/>
            </a:rPr>
            <a:t>materiais destinados ao ativo permanente </a:t>
          </a:r>
          <a:r>
            <a:rPr lang="pt-BR" sz="1100">
              <a:solidFill>
                <a:schemeClr val="dk1"/>
              </a:solidFill>
              <a:effectLst/>
              <a:latin typeface="+mn-lt"/>
              <a:ea typeface="+mn-ea"/>
              <a:cs typeface="+mn-cs"/>
            </a:rPr>
            <a:t>da empresa, para fazer face ao princípio constitucional da não cumulatividade.</a:t>
          </a:r>
        </a:p>
        <a:p>
          <a:pPr lvl="0"/>
          <a:endParaRPr lang="pt-BR" sz="1100">
            <a:solidFill>
              <a:schemeClr val="dk1"/>
            </a:solidFill>
            <a:effectLst/>
            <a:latin typeface="+mn-lt"/>
            <a:ea typeface="+mn-ea"/>
            <a:cs typeface="+mn-cs"/>
          </a:endParaRPr>
        </a:p>
        <a:p>
          <a:pPr lvl="0"/>
          <a:r>
            <a:rPr lang="pt-BR" sz="1100">
              <a:solidFill>
                <a:schemeClr val="dk1"/>
              </a:solidFill>
              <a:effectLst/>
              <a:latin typeface="+mn-lt"/>
              <a:ea typeface="+mn-ea"/>
              <a:cs typeface="+mn-cs"/>
            </a:rPr>
            <a:t>e) </a:t>
          </a:r>
          <a:r>
            <a:rPr lang="pt-BR" sz="1100" u="sng">
              <a:solidFill>
                <a:schemeClr val="dk1"/>
              </a:solidFill>
              <a:effectLst/>
              <a:latin typeface="+mn-lt"/>
              <a:ea typeface="+mn-ea"/>
              <a:cs typeface="+mn-cs"/>
            </a:rPr>
            <a:t>Não gera crédito do IPI </a:t>
          </a:r>
          <a:r>
            <a:rPr lang="pt-BR" sz="1100">
              <a:solidFill>
                <a:schemeClr val="dk1"/>
              </a:solidFill>
              <a:effectLst/>
              <a:latin typeface="+mn-lt"/>
              <a:ea typeface="+mn-ea"/>
              <a:cs typeface="+mn-cs"/>
            </a:rPr>
            <a:t>o valor do tributo incidente sobre as </a:t>
          </a:r>
          <a:r>
            <a:rPr lang="pt-BR" sz="1100" b="1" u="sng">
              <a:solidFill>
                <a:schemeClr val="dk1"/>
              </a:solidFill>
              <a:effectLst/>
              <a:latin typeface="+mn-lt"/>
              <a:ea typeface="+mn-ea"/>
              <a:cs typeface="+mn-cs"/>
            </a:rPr>
            <a:t>embalagens recebidas para emprego em </a:t>
          </a:r>
        </a:p>
        <a:p>
          <a:pPr lvl="0"/>
          <a:r>
            <a:rPr lang="pt-BR" sz="1100" b="1" u="sng">
              <a:solidFill>
                <a:schemeClr val="dk1"/>
              </a:solidFill>
              <a:effectLst/>
              <a:latin typeface="+mn-lt"/>
              <a:ea typeface="+mn-ea"/>
              <a:cs typeface="+mn-cs"/>
            </a:rPr>
            <a:t>industrialização e acondicionamento.</a:t>
          </a:r>
        </a:p>
        <a:p>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266700</xdr:colOff>
      <xdr:row>1</xdr:row>
      <xdr:rowOff>85725</xdr:rowOff>
    </xdr:from>
    <xdr:to>
      <xdr:col>9</xdr:col>
      <xdr:colOff>600075</xdr:colOff>
      <xdr:row>5</xdr:row>
      <xdr:rowOff>19050</xdr:rowOff>
    </xdr:to>
    <xdr:sp macro="" textlink="">
      <xdr:nvSpPr>
        <xdr:cNvPr id="2" name="CaixaDeTexto 1">
          <a:extLst>
            <a:ext uri="{FF2B5EF4-FFF2-40B4-BE49-F238E27FC236}">
              <a16:creationId xmlns:a16="http://schemas.microsoft.com/office/drawing/2014/main" id="{F71507D9-D0A1-4C38-8E0B-1C8A2519383E}"/>
            </a:ext>
          </a:extLst>
        </xdr:cNvPr>
        <xdr:cNvSpPr txBox="1"/>
      </xdr:nvSpPr>
      <xdr:spPr>
        <a:xfrm>
          <a:off x="876300" y="276225"/>
          <a:ext cx="521017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3. Se o valor do produto vendido por uma indústria é R$ 1.000,00 e a alíquota do IPI é de 15%, qual é o valor total da nota fiscal?</a:t>
          </a:r>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565548</xdr:colOff>
      <xdr:row>0</xdr:row>
      <xdr:rowOff>0</xdr:rowOff>
    </xdr:from>
    <xdr:to>
      <xdr:col>7</xdr:col>
      <xdr:colOff>594123</xdr:colOff>
      <xdr:row>2</xdr:row>
      <xdr:rowOff>184547</xdr:rowOff>
    </xdr:to>
    <xdr:sp macro="" textlink="">
      <xdr:nvSpPr>
        <xdr:cNvPr id="2" name="CaixaDeTexto 1">
          <a:extLst>
            <a:ext uri="{FF2B5EF4-FFF2-40B4-BE49-F238E27FC236}">
              <a16:creationId xmlns:a16="http://schemas.microsoft.com/office/drawing/2014/main" id="{4242AF6E-2550-4BE4-8FD7-0689F1E9A50F}"/>
            </a:ext>
          </a:extLst>
        </xdr:cNvPr>
        <xdr:cNvSpPr txBox="1"/>
      </xdr:nvSpPr>
      <xdr:spPr>
        <a:xfrm>
          <a:off x="565548" y="0"/>
          <a:ext cx="4797028" cy="565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4. Se o </a:t>
          </a:r>
          <a:r>
            <a:rPr lang="pt-BR" b="1" u="sng"/>
            <a:t>total da NOTA FISCAL </a:t>
          </a:r>
          <a:r>
            <a:rPr lang="pt-BR"/>
            <a:t>emitida pela indústria é de R$ </a:t>
          </a:r>
          <a:r>
            <a:rPr lang="pt-BR" b="1" u="sng"/>
            <a:t>1.000,50</a:t>
          </a:r>
          <a:r>
            <a:rPr lang="pt-BR"/>
            <a:t>, e a alíquota do </a:t>
          </a:r>
          <a:r>
            <a:rPr lang="pt-BR" b="1" u="sng"/>
            <a:t>IPI é de 15%, </a:t>
          </a:r>
          <a:r>
            <a:rPr lang="pt-BR"/>
            <a:t>qual é o valor do produto?</a:t>
          </a:r>
          <a:endParaRPr lang="pt-B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1</xdr:row>
      <xdr:rowOff>66675</xdr:rowOff>
    </xdr:from>
    <xdr:to>
      <xdr:col>8</xdr:col>
      <xdr:colOff>533400</xdr:colOff>
      <xdr:row>5</xdr:row>
      <xdr:rowOff>171450</xdr:rowOff>
    </xdr:to>
    <xdr:sp macro="" textlink="">
      <xdr:nvSpPr>
        <xdr:cNvPr id="2" name="CaixaDeTexto 1">
          <a:extLst>
            <a:ext uri="{FF2B5EF4-FFF2-40B4-BE49-F238E27FC236}">
              <a16:creationId xmlns:a16="http://schemas.microsoft.com/office/drawing/2014/main" id="{D0E75D48-0855-47F8-808C-1DF691D541AA}"/>
            </a:ext>
          </a:extLst>
        </xdr:cNvPr>
        <xdr:cNvSpPr txBox="1"/>
      </xdr:nvSpPr>
      <xdr:spPr>
        <a:xfrm>
          <a:off x="781050" y="257175"/>
          <a:ext cx="54197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a:t>5. Um </a:t>
          </a:r>
          <a:r>
            <a:rPr lang="pt-BR" b="1" u="sng"/>
            <a:t>estabelecimento </a:t>
          </a:r>
          <a:r>
            <a:rPr lang="pt-BR" b="1" u="sng">
              <a:solidFill>
                <a:srgbClr val="FF0000"/>
              </a:solidFill>
            </a:rPr>
            <a:t>importou mercadorias </a:t>
          </a:r>
          <a:r>
            <a:rPr lang="pt-BR"/>
            <a:t>pelo valor total de R</a:t>
          </a:r>
          <a:r>
            <a:rPr lang="pt-BR">
              <a:solidFill>
                <a:srgbClr val="FF0000"/>
              </a:solidFill>
            </a:rPr>
            <a:t>$ 12.000,00</a:t>
          </a:r>
          <a:r>
            <a:rPr lang="pt-BR"/>
            <a:t>, incluso o IPI de 20% (desconsidere o ICMS). Supondo-se que o preço de venda é obtido com uma </a:t>
          </a:r>
          <a:r>
            <a:rPr lang="pt-BR" b="1" u="sng"/>
            <a:t>margem de lucro de 50</a:t>
          </a:r>
          <a:r>
            <a:rPr lang="pt-BR"/>
            <a:t>% sobre o preço de custo, qual é o valor total da nota fiscal de venda?</a:t>
          </a:r>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288504</xdr:colOff>
      <xdr:row>1</xdr:row>
      <xdr:rowOff>18553</xdr:rowOff>
    </xdr:from>
    <xdr:to>
      <xdr:col>13</xdr:col>
      <xdr:colOff>139240</xdr:colOff>
      <xdr:row>6</xdr:row>
      <xdr:rowOff>52171</xdr:rowOff>
    </xdr:to>
    <xdr:sp macro="" textlink="">
      <xdr:nvSpPr>
        <xdr:cNvPr id="2" name="CaixaDeTexto 1">
          <a:extLst>
            <a:ext uri="{FF2B5EF4-FFF2-40B4-BE49-F238E27FC236}">
              <a16:creationId xmlns:a16="http://schemas.microsoft.com/office/drawing/2014/main" id="{FD18C871-6288-4117-AAE1-D82A1ADB758D}"/>
            </a:ext>
          </a:extLst>
        </xdr:cNvPr>
        <xdr:cNvSpPr txBox="1"/>
      </xdr:nvSpPr>
      <xdr:spPr>
        <a:xfrm>
          <a:off x="288504" y="198167"/>
          <a:ext cx="8684493" cy="931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200"/>
            <a:t>6. Um estabelecimento equiparado a industrial vende uma </a:t>
          </a:r>
          <a:r>
            <a:rPr lang="pt-BR" sz="1200" u="sng">
              <a:solidFill>
                <a:srgbClr val="FF0000"/>
              </a:solidFill>
            </a:rPr>
            <a:t>quantidade de mercadoria por R$ 10.000,00 </a:t>
          </a:r>
          <a:r>
            <a:rPr lang="pt-BR" sz="1200"/>
            <a:t>(antes da inclusão do IPI de </a:t>
          </a:r>
          <a:r>
            <a:rPr lang="pt-BR" sz="1200">
              <a:solidFill>
                <a:schemeClr val="accent1"/>
              </a:solidFill>
            </a:rPr>
            <a:t>30</a:t>
          </a:r>
          <a:r>
            <a:rPr lang="pt-BR" sz="1200"/>
            <a:t>% e incluso ICMS de 18%) cujo comprador irá revendê-las. Nos campos apropriados da nota fiscal cobra do destinatário o valor de R$ 500,00 relativos a frete e concede um </a:t>
          </a:r>
          <a:r>
            <a:rPr lang="pt-BR" sz="1200" b="1" u="sng"/>
            <a:t>desconto comercial de R$ 1.000,00</a:t>
          </a:r>
          <a:r>
            <a:rPr lang="pt-BR" sz="1200"/>
            <a:t>. Qual é o valor total da nota fiscal e do ICMS?</a:t>
          </a:r>
        </a:p>
      </xdr:txBody>
    </xdr:sp>
    <xdr:clientData/>
  </xdr:twoCellAnchor>
  <xdr:twoCellAnchor>
    <xdr:from>
      <xdr:col>4</xdr:col>
      <xdr:colOff>520212</xdr:colOff>
      <xdr:row>14</xdr:row>
      <xdr:rowOff>122045</xdr:rowOff>
    </xdr:from>
    <xdr:to>
      <xdr:col>11</xdr:col>
      <xdr:colOff>102578</xdr:colOff>
      <xdr:row>28</xdr:row>
      <xdr:rowOff>117231</xdr:rowOff>
    </xdr:to>
    <xdr:sp macro="" textlink="">
      <xdr:nvSpPr>
        <xdr:cNvPr id="5" name="CaixaDeTexto 4">
          <a:extLst>
            <a:ext uri="{FF2B5EF4-FFF2-40B4-BE49-F238E27FC236}">
              <a16:creationId xmlns:a16="http://schemas.microsoft.com/office/drawing/2014/main" id="{D13E52BD-3FBF-4128-B3AC-2C8C0B017434}"/>
            </a:ext>
          </a:extLst>
        </xdr:cNvPr>
        <xdr:cNvSpPr txBox="1"/>
      </xdr:nvSpPr>
      <xdr:spPr>
        <a:xfrm>
          <a:off x="3766039" y="2789045"/>
          <a:ext cx="3839308" cy="2662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100" b="1" i="0" u="sng" strike="noStrike">
              <a:solidFill>
                <a:schemeClr val="dk1"/>
              </a:solidFill>
              <a:effectLst/>
              <a:latin typeface="+mn-lt"/>
              <a:ea typeface="+mn-ea"/>
              <a:cs typeface="+mn-cs"/>
              <a:hlinkClick xmlns:r="http://schemas.openxmlformats.org/officeDocument/2006/relationships" r:id=""/>
            </a:rPr>
            <a:t>Frete</a:t>
          </a:r>
          <a:r>
            <a:rPr lang="pt-BR" sz="1100" b="0" i="0" u="none" strike="noStrike">
              <a:solidFill>
                <a:schemeClr val="dk1"/>
              </a:solidFill>
              <a:effectLst/>
              <a:latin typeface="+mn-lt"/>
              <a:ea typeface="+mn-ea"/>
              <a:cs typeface="+mn-cs"/>
              <a:hlinkClick xmlns:r="http://schemas.openxmlformats.org/officeDocument/2006/relationships" r:id=""/>
            </a:rPr>
            <a:t> - Integração na base do IPI - O Valor do Frete na Base de Cálculo do IPI</a:t>
          </a:r>
          <a:endParaRPr lang="pt-BR" sz="1100" b="0" i="0">
            <a:solidFill>
              <a:schemeClr val="dk1"/>
            </a:solidFill>
            <a:effectLst/>
            <a:latin typeface="+mn-lt"/>
            <a:ea typeface="+mn-ea"/>
            <a:cs typeface="+mn-cs"/>
          </a:endParaRPr>
        </a:p>
        <a:p>
          <a:endParaRPr lang="pt-BR" sz="800" b="0" i="0">
            <a:solidFill>
              <a:schemeClr val="dk1"/>
            </a:solidFill>
            <a:effectLst/>
            <a:latin typeface="+mn-lt"/>
            <a:ea typeface="+mn-ea"/>
            <a:cs typeface="+mn-cs"/>
          </a:endParaRPr>
        </a:p>
        <a:p>
          <a:r>
            <a:rPr lang="pt-BR" sz="800" b="0" i="0">
              <a:solidFill>
                <a:schemeClr val="dk1"/>
              </a:solidFill>
              <a:effectLst/>
              <a:latin typeface="+mn-lt"/>
              <a:ea typeface="+mn-ea"/>
              <a:cs typeface="+mn-cs"/>
            </a:rPr>
            <a:t>Sim. Desde a edição da Lei nº 7.798/1989 , que por meio de seu art. 15 alterou o § 1º do art. 14 da Lei nº 4.502/1964 , o valor do frete cobrado na nota fiscal passou a integrar a base de cálculo do IPI.</a:t>
          </a:r>
        </a:p>
        <a:p>
          <a:endParaRPr lang="pt-BR" sz="800" b="0" i="0">
            <a:solidFill>
              <a:schemeClr val="dk1"/>
            </a:solidFill>
            <a:effectLst/>
            <a:latin typeface="+mn-lt"/>
            <a:ea typeface="+mn-ea"/>
            <a:cs typeface="+mn-cs"/>
          </a:endParaRPr>
        </a:p>
        <a:p>
          <a:r>
            <a:rPr lang="pt-BR" sz="800" b="0" i="0">
              <a:solidFill>
                <a:schemeClr val="dk1"/>
              </a:solidFill>
              <a:effectLst/>
              <a:latin typeface="+mn-lt"/>
              <a:ea typeface="+mn-ea"/>
              <a:cs typeface="+mn-cs"/>
            </a:rPr>
            <a:t>Na operação com produtos de diferentes alíquotas, o contribuinte deverá fazer o rateio proporcional ao peso de cada produto.</a:t>
          </a:r>
        </a:p>
        <a:p>
          <a:r>
            <a:rPr lang="pt-BR" sz="800" b="0" i="0">
              <a:solidFill>
                <a:schemeClr val="dk1"/>
              </a:solidFill>
              <a:effectLst/>
              <a:latin typeface="+mn-lt"/>
              <a:ea typeface="+mn-ea"/>
              <a:cs typeface="+mn-cs"/>
            </a:rPr>
            <a:t>Dessa forma a base de cálculo de cada produto com a adição da parcela relativa ao frete será oferecida à tributação de acordo com a sua alíquota.</a:t>
          </a:r>
        </a:p>
        <a:p>
          <a:endParaRPr lang="pt-BR" sz="800" b="0" i="0">
            <a:solidFill>
              <a:schemeClr val="dk1"/>
            </a:solidFill>
            <a:effectLst/>
            <a:latin typeface="+mn-lt"/>
            <a:ea typeface="+mn-ea"/>
            <a:cs typeface="+mn-cs"/>
          </a:endParaRPr>
        </a:p>
        <a:p>
          <a:r>
            <a:rPr lang="pt-BR" sz="800" b="0" i="0">
              <a:solidFill>
                <a:schemeClr val="dk1"/>
              </a:solidFill>
              <a:effectLst/>
              <a:latin typeface="+mn-lt"/>
              <a:ea typeface="+mn-ea"/>
              <a:cs typeface="+mn-cs"/>
            </a:rPr>
            <a:t>O tema é objeto de discussão judicial, sob alegação de que a base de cálculo prevista pelo CTN , Lei nº 5.172/1966 , só pode ser alterada por lei complementar e que a Lei nº 7.798/1989 é de hierarquia inferior e não pode modificá-lo.</a:t>
          </a:r>
        </a:p>
        <a:p>
          <a:endParaRPr lang="pt-BR" sz="800" b="0" i="0">
            <a:solidFill>
              <a:schemeClr val="dk1"/>
            </a:solidFill>
            <a:effectLst/>
            <a:latin typeface="+mn-lt"/>
            <a:ea typeface="+mn-ea"/>
            <a:cs typeface="+mn-cs"/>
          </a:endParaRPr>
        </a:p>
        <a:p>
          <a:r>
            <a:rPr lang="pt-BR" sz="800" b="0" i="0">
              <a:solidFill>
                <a:schemeClr val="dk1"/>
              </a:solidFill>
              <a:effectLst/>
              <a:latin typeface="+mn-lt"/>
              <a:ea typeface="+mn-ea"/>
              <a:cs typeface="+mn-cs"/>
            </a:rPr>
            <a:t>Preventivamente, o contribuinte deve seguir a disposição contida no RIPI/2010 , com a inclusão do valor do frete na base de cálculo do IPI. Porém, sentindo-se prejudicado, poderá arguir judicialmente.</a:t>
          </a:r>
        </a:p>
        <a:p>
          <a:endParaRPr lang="pt-BR" sz="800"/>
        </a:p>
      </xdr:txBody>
    </xdr:sp>
    <xdr:clientData/>
  </xdr:twoCellAnchor>
  <xdr:twoCellAnchor>
    <xdr:from>
      <xdr:col>4</xdr:col>
      <xdr:colOff>16329</xdr:colOff>
      <xdr:row>9</xdr:row>
      <xdr:rowOff>76200</xdr:rowOff>
    </xdr:from>
    <xdr:to>
      <xdr:col>4</xdr:col>
      <xdr:colOff>516402</xdr:colOff>
      <xdr:row>21</xdr:row>
      <xdr:rowOff>120591</xdr:rowOff>
    </xdr:to>
    <xdr:cxnSp macro="">
      <xdr:nvCxnSpPr>
        <xdr:cNvPr id="7" name="Conector de Seta Reta 6">
          <a:extLst>
            <a:ext uri="{FF2B5EF4-FFF2-40B4-BE49-F238E27FC236}">
              <a16:creationId xmlns:a16="http://schemas.microsoft.com/office/drawing/2014/main" id="{D60EEA1C-4215-4F4E-BB4C-781B387831BC}"/>
            </a:ext>
          </a:extLst>
        </xdr:cNvPr>
        <xdr:cNvCxnSpPr>
          <a:stCxn id="5" idx="1"/>
        </xdr:cNvCxnSpPr>
      </xdr:nvCxnSpPr>
      <xdr:spPr>
        <a:xfrm flipH="1" flipV="1">
          <a:off x="3363686" y="1692729"/>
          <a:ext cx="500073" cy="21997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534865</xdr:colOff>
      <xdr:row>7</xdr:row>
      <xdr:rowOff>186521</xdr:rowOff>
    </xdr:from>
    <xdr:to>
      <xdr:col>25</xdr:col>
      <xdr:colOff>179294</xdr:colOff>
      <xdr:row>39</xdr:row>
      <xdr:rowOff>22412</xdr:rowOff>
    </xdr:to>
    <xdr:sp macro="" textlink="">
      <xdr:nvSpPr>
        <xdr:cNvPr id="10" name="CaixaDeTexto 9">
          <a:extLst>
            <a:ext uri="{FF2B5EF4-FFF2-40B4-BE49-F238E27FC236}">
              <a16:creationId xmlns:a16="http://schemas.microsoft.com/office/drawing/2014/main" id="{C9C66521-34A5-47B2-9A51-B10C467F8086}"/>
            </a:ext>
          </a:extLst>
        </xdr:cNvPr>
        <xdr:cNvSpPr txBox="1"/>
      </xdr:nvSpPr>
      <xdr:spPr>
        <a:xfrm>
          <a:off x="8009189" y="1520021"/>
          <a:ext cx="8116076" cy="5931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t"/>
          <a:r>
            <a:rPr lang="pt-BR" sz="1050" b="1">
              <a:solidFill>
                <a:schemeClr val="accent1"/>
              </a:solidFill>
              <a:effectLst/>
            </a:rPr>
            <a:t>Os Descontos Incondicionais devem integrar a base de cálculo do IPI? </a:t>
          </a:r>
          <a:r>
            <a:rPr lang="pt-BR" sz="800">
              <a:effectLst/>
            </a:rPr>
            <a:t>(https://tdn.totvs.com/display/public/ConSeg/IPI+-+Desconto+Incondicional)</a:t>
          </a:r>
          <a:r>
            <a:rPr lang="pt-BR" sz="800" baseline="0">
              <a:effectLst/>
            </a:rPr>
            <a:t> </a:t>
          </a:r>
          <a:endParaRPr lang="pt-BR" sz="800">
            <a:effectLst/>
          </a:endParaRPr>
        </a:p>
        <a:p>
          <a:endParaRPr lang="pt-BR" sz="800"/>
        </a:p>
        <a:p>
          <a:pPr fontAlgn="t"/>
          <a:r>
            <a:rPr lang="pt-BR" sz="800">
              <a:effectLst/>
            </a:rPr>
            <a:t>Segundo entendimento da Receita Federal, consideram-se descontos incondicionais as parcelas redutoras do preço de vendas, quando constarem da nota fiscal de venda dos bens ou da fatura de serviços e não dependerem de evento posterior à emissão desses documentos. Esses descontos não se incluem na receita bruta da pessoa jurídica vendedora e, do ponto de vista da pessoa jurídica adquirente dos bens ou serviços, constituem redutor do custo de aquisição, não configurando receita.</a:t>
          </a:r>
        </a:p>
        <a:p>
          <a:pPr fontAlgn="t"/>
          <a:r>
            <a:rPr lang="pt-BR" sz="800">
              <a:effectLst/>
            </a:rPr>
            <a:t>Assim os descontos incondicionais não integram base de cálculo do IPI, como no exemplo apresentado abaixo:</a:t>
          </a:r>
        </a:p>
        <a:p>
          <a:pPr lvl="1" fontAlgn="t"/>
          <a:r>
            <a:rPr lang="pt-BR" sz="800">
              <a:solidFill>
                <a:schemeClr val="dk1"/>
              </a:solidFill>
              <a:effectLst/>
              <a:latin typeface="+mn-lt"/>
              <a:ea typeface="+mn-ea"/>
              <a:cs typeface="+mn-cs"/>
            </a:rPr>
            <a:t>Uma mercadoria possui um valor unitário de R$ 100,00</a:t>
          </a:r>
          <a:endParaRPr lang="pt-BR" sz="800">
            <a:effectLst/>
          </a:endParaRPr>
        </a:p>
        <a:p>
          <a:pPr lvl="1" fontAlgn="t"/>
          <a:r>
            <a:rPr lang="pt-BR" sz="800">
              <a:solidFill>
                <a:schemeClr val="dk1"/>
              </a:solidFill>
              <a:effectLst/>
              <a:latin typeface="+mn-lt"/>
              <a:ea typeface="+mn-ea"/>
              <a:cs typeface="+mn-cs"/>
            </a:rPr>
            <a:t>O varejista irá vender a mercadoria a R$10,00</a:t>
          </a:r>
          <a:endParaRPr lang="pt-BR" sz="800">
            <a:effectLst/>
          </a:endParaRPr>
        </a:p>
        <a:p>
          <a:pPr lvl="1" fontAlgn="t"/>
          <a:r>
            <a:rPr lang="pt-BR" sz="800">
              <a:solidFill>
                <a:schemeClr val="dk1"/>
              </a:solidFill>
              <a:effectLst/>
              <a:latin typeface="+mn-lt"/>
              <a:ea typeface="+mn-ea"/>
              <a:cs typeface="+mn-cs"/>
            </a:rPr>
            <a:t>O documento fiscal será emitido com o valor unitário de R$100,00 e um desconto de 90% o que representa um valor efetivo para a mercadoria de R$10,00;</a:t>
          </a:r>
          <a:endParaRPr lang="pt-BR" sz="800">
            <a:effectLst/>
          </a:endParaRPr>
        </a:p>
        <a:p>
          <a:pPr lvl="1" fontAlgn="t"/>
          <a:r>
            <a:rPr lang="pt-BR" sz="800">
              <a:solidFill>
                <a:schemeClr val="dk1"/>
              </a:solidFill>
              <a:effectLst/>
              <a:latin typeface="+mn-lt"/>
              <a:ea typeface="+mn-ea"/>
              <a:cs typeface="+mn-cs"/>
            </a:rPr>
            <a:t>Se a alíquota do IPI é de 20%, neste caso a base de cálculo do IPI é R$ 10,00 e o valor do IPI é de R$ 2,00, totalizando R$12,00 no total do documento.</a:t>
          </a:r>
          <a:endParaRPr lang="pt-BR" sz="800">
            <a:effectLst/>
          </a:endParaRPr>
        </a:p>
        <a:p>
          <a:pPr fontAlgn="t"/>
          <a:endParaRPr lang="pt-BR" sz="800">
            <a:effectLst/>
          </a:endParaRPr>
        </a:p>
        <a:p>
          <a:pPr fontAlgn="t"/>
          <a:r>
            <a:rPr lang="pt-BR" sz="800" b="1">
              <a:effectLst/>
            </a:rPr>
            <a:t>Conforme </a:t>
          </a:r>
          <a:r>
            <a:rPr lang="pt-BR" sz="800" b="1">
              <a:solidFill>
                <a:schemeClr val="dk1"/>
              </a:solidFill>
              <a:effectLst/>
              <a:latin typeface="+mn-lt"/>
              <a:ea typeface="+mn-ea"/>
              <a:cs typeface="+mn-cs"/>
            </a:rPr>
            <a:t>Solução de Consulta Cosit Nº 72, de 14 de Março de 2019:</a:t>
          </a:r>
          <a:br>
            <a:rPr lang="pt-BR" sz="800" b="1">
              <a:solidFill>
                <a:schemeClr val="dk1"/>
              </a:solidFill>
              <a:effectLst/>
              <a:latin typeface="+mn-lt"/>
              <a:ea typeface="+mn-ea"/>
              <a:cs typeface="+mn-cs"/>
            </a:rPr>
          </a:br>
          <a:endParaRPr lang="pt-BR" sz="800">
            <a:effectLst/>
          </a:endParaRPr>
        </a:p>
        <a:p>
          <a:pPr fontAlgn="t"/>
          <a:r>
            <a:rPr lang="pt-BR" sz="800" i="1">
              <a:solidFill>
                <a:schemeClr val="dk1"/>
              </a:solidFill>
              <a:effectLst/>
              <a:latin typeface="+mn-lt"/>
              <a:ea typeface="+mn-ea"/>
              <a:cs typeface="+mn-cs"/>
            </a:rPr>
            <a:t>ASSUNTO: IMPOSTO SOBRE PRODUTOS INDUSTRIALIZADOS - IPI</a:t>
          </a:r>
          <a:br>
            <a:rPr lang="pt-BR" sz="800" i="1">
              <a:solidFill>
                <a:schemeClr val="dk1"/>
              </a:solidFill>
              <a:effectLst/>
              <a:latin typeface="+mn-lt"/>
              <a:ea typeface="+mn-ea"/>
              <a:cs typeface="+mn-cs"/>
            </a:rPr>
          </a:br>
          <a:r>
            <a:rPr lang="pt-BR" sz="800" i="1">
              <a:solidFill>
                <a:schemeClr val="dk1"/>
              </a:solidFill>
              <a:effectLst/>
              <a:latin typeface="+mn-lt"/>
              <a:ea typeface="+mn-ea"/>
              <a:cs typeface="+mn-cs"/>
            </a:rPr>
            <a:t>BASE DE CÁLCULO. DESCONTOS INCONDICIONAIS.</a:t>
          </a:r>
          <a:br>
            <a:rPr lang="pt-BR" sz="800" i="1">
              <a:solidFill>
                <a:schemeClr val="dk1"/>
              </a:solidFill>
              <a:effectLst/>
              <a:latin typeface="+mn-lt"/>
              <a:ea typeface="+mn-ea"/>
              <a:cs typeface="+mn-cs"/>
            </a:rPr>
          </a:br>
          <a:r>
            <a:rPr lang="pt-BR" sz="800" b="1" i="1">
              <a:solidFill>
                <a:schemeClr val="dk1"/>
              </a:solidFill>
              <a:effectLst/>
              <a:latin typeface="+mn-lt"/>
              <a:ea typeface="+mn-ea"/>
              <a:cs typeface="+mn-cs"/>
            </a:rPr>
            <a:t>Os descontos incondicionais consideram-se parcelas redutoras do preço</a:t>
          </a:r>
          <a:br>
            <a:rPr lang="pt-BR" sz="800" i="1">
              <a:solidFill>
                <a:schemeClr val="dk1"/>
              </a:solidFill>
              <a:effectLst/>
              <a:latin typeface="+mn-lt"/>
              <a:ea typeface="+mn-ea"/>
              <a:cs typeface="+mn-cs"/>
            </a:rPr>
          </a:br>
          <a:r>
            <a:rPr lang="pt-BR" sz="800" b="1" i="1">
              <a:solidFill>
                <a:schemeClr val="dk1"/>
              </a:solidFill>
              <a:effectLst/>
              <a:latin typeface="+mn-lt"/>
              <a:ea typeface="+mn-ea"/>
              <a:cs typeface="+mn-cs"/>
            </a:rPr>
            <a:t>de vendas</a:t>
          </a:r>
          <a:r>
            <a:rPr lang="pt-BR" sz="800" i="1">
              <a:solidFill>
                <a:schemeClr val="dk1"/>
              </a:solidFill>
              <a:effectLst/>
              <a:latin typeface="+mn-lt"/>
              <a:ea typeface="+mn-ea"/>
              <a:cs typeface="+mn-cs"/>
            </a:rPr>
            <a:t>, quando constarem da nota fiscal de venda dos bens ou da</a:t>
          </a:r>
          <a:br>
            <a:rPr lang="pt-BR" sz="800" i="1">
              <a:solidFill>
                <a:schemeClr val="dk1"/>
              </a:solidFill>
              <a:effectLst/>
              <a:latin typeface="+mn-lt"/>
              <a:ea typeface="+mn-ea"/>
              <a:cs typeface="+mn-cs"/>
            </a:rPr>
          </a:br>
          <a:r>
            <a:rPr lang="pt-BR" sz="800" i="1">
              <a:solidFill>
                <a:schemeClr val="dk1"/>
              </a:solidFill>
              <a:effectLst/>
              <a:latin typeface="+mn-lt"/>
              <a:ea typeface="+mn-ea"/>
              <a:cs typeface="+mn-cs"/>
            </a:rPr>
            <a:t>fatura de serviços e não dependerem de evento posterior à emissão</a:t>
          </a:r>
          <a:br>
            <a:rPr lang="pt-BR" sz="800" i="1">
              <a:solidFill>
                <a:schemeClr val="dk1"/>
              </a:solidFill>
              <a:effectLst/>
              <a:latin typeface="+mn-lt"/>
              <a:ea typeface="+mn-ea"/>
              <a:cs typeface="+mn-cs"/>
            </a:rPr>
          </a:br>
          <a:r>
            <a:rPr lang="pt-BR" sz="800" i="1">
              <a:solidFill>
                <a:schemeClr val="dk1"/>
              </a:solidFill>
              <a:effectLst/>
              <a:latin typeface="+mn-lt"/>
              <a:ea typeface="+mn-ea"/>
              <a:cs typeface="+mn-cs"/>
            </a:rPr>
            <a:t>desses documentos.</a:t>
          </a:r>
          <a:br>
            <a:rPr lang="pt-BR" sz="800" i="1">
              <a:solidFill>
                <a:schemeClr val="dk1"/>
              </a:solidFill>
              <a:effectLst/>
              <a:latin typeface="+mn-lt"/>
              <a:ea typeface="+mn-ea"/>
              <a:cs typeface="+mn-cs"/>
            </a:rPr>
          </a:br>
          <a:r>
            <a:rPr lang="pt-BR" sz="800" b="1" i="1" u="sng">
              <a:solidFill>
                <a:srgbClr val="FF0000"/>
              </a:solidFill>
              <a:effectLst/>
              <a:latin typeface="+mn-lt"/>
              <a:ea typeface="+mn-ea"/>
              <a:cs typeface="+mn-cs"/>
            </a:rPr>
            <a:t>Os descontos incondicionais não integram o valor tributável </a:t>
          </a:r>
          <a:r>
            <a:rPr lang="pt-BR" sz="800" i="1">
              <a:solidFill>
                <a:schemeClr val="dk1"/>
              </a:solidFill>
              <a:effectLst/>
              <a:latin typeface="+mn-lt"/>
              <a:ea typeface="+mn-ea"/>
              <a:cs typeface="+mn-cs"/>
            </a:rPr>
            <a:t>para fins de</a:t>
          </a:r>
          <a:br>
            <a:rPr lang="pt-BR" sz="800" i="1">
              <a:solidFill>
                <a:schemeClr val="dk1"/>
              </a:solidFill>
              <a:effectLst/>
              <a:latin typeface="+mn-lt"/>
              <a:ea typeface="+mn-ea"/>
              <a:cs typeface="+mn-cs"/>
            </a:rPr>
          </a:br>
          <a:r>
            <a:rPr lang="pt-BR" sz="800" i="1">
              <a:solidFill>
                <a:schemeClr val="dk1"/>
              </a:solidFill>
              <a:effectLst/>
              <a:latin typeface="+mn-lt"/>
              <a:ea typeface="+mn-ea"/>
              <a:cs typeface="+mn-cs"/>
            </a:rPr>
            <a:t>incidência do IPI.</a:t>
          </a:r>
          <a:br>
            <a:rPr lang="pt-BR" sz="800" i="1">
              <a:solidFill>
                <a:schemeClr val="dk1"/>
              </a:solidFill>
              <a:effectLst/>
              <a:latin typeface="+mn-lt"/>
              <a:ea typeface="+mn-ea"/>
              <a:cs typeface="+mn-cs"/>
            </a:rPr>
          </a:br>
          <a:r>
            <a:rPr lang="pt-BR" sz="800" i="1">
              <a:solidFill>
                <a:schemeClr val="dk1"/>
              </a:solidFill>
              <a:effectLst/>
              <a:latin typeface="+mn-lt"/>
              <a:ea typeface="+mn-ea"/>
              <a:cs typeface="+mn-cs"/>
            </a:rPr>
            <a:t>Dispositivos Legais: Instrução Normativa SRF nº 51, de 1978, item 4.2;</a:t>
          </a:r>
          <a:br>
            <a:rPr lang="pt-BR" sz="800" i="1">
              <a:solidFill>
                <a:schemeClr val="dk1"/>
              </a:solidFill>
              <a:effectLst/>
              <a:latin typeface="+mn-lt"/>
              <a:ea typeface="+mn-ea"/>
              <a:cs typeface="+mn-cs"/>
            </a:rPr>
          </a:br>
          <a:r>
            <a:rPr lang="pt-BR" sz="800" i="1">
              <a:solidFill>
                <a:schemeClr val="dk1"/>
              </a:solidFill>
              <a:effectLst/>
              <a:latin typeface="+mn-lt"/>
              <a:ea typeface="+mn-ea"/>
              <a:cs typeface="+mn-cs"/>
            </a:rPr>
            <a:t>Resolução do Senado Federal de nº 1, de 2017.</a:t>
          </a:r>
          <a:br>
            <a:rPr lang="pt-BR" sz="800" b="1">
              <a:solidFill>
                <a:schemeClr val="dk1"/>
              </a:solidFill>
              <a:effectLst/>
              <a:latin typeface="+mn-lt"/>
              <a:ea typeface="+mn-ea"/>
              <a:cs typeface="+mn-cs"/>
            </a:rPr>
          </a:br>
          <a:endParaRPr lang="pt-BR" sz="800">
            <a:effectLst/>
          </a:endParaRPr>
        </a:p>
        <a:p>
          <a:pPr fontAlgn="t"/>
          <a:r>
            <a:rPr lang="pt-BR" sz="800" b="1">
              <a:effectLst/>
            </a:rPr>
            <a:t>Conclusão:</a:t>
          </a:r>
          <a:r>
            <a:rPr lang="pt-BR" sz="800">
              <a:effectLst/>
            </a:rPr>
            <a:t> Conforme rege a solução de consulta, o contribuinte deve considerar o desconto incondicional como parcelas redutoras do preço de vendas, em que a base de de cálculo do IPI será o valor líquido após a dedução do valor do desconto sobre o item da mercadoria.</a:t>
          </a:r>
        </a:p>
        <a:p>
          <a:pPr fontAlgn="t"/>
          <a:endParaRPr lang="pt-BR" sz="800" b="1">
            <a:effectLst/>
          </a:endParaRPr>
        </a:p>
        <a:p>
          <a:pPr fontAlgn="t"/>
          <a:r>
            <a:rPr lang="pt-BR" sz="800" b="1">
              <a:effectLst/>
            </a:rPr>
            <a:t>Exemplo:</a:t>
          </a:r>
          <a:endParaRPr lang="pt-BR" sz="800">
            <a:effectLst/>
          </a:endParaRPr>
        </a:p>
        <a:p>
          <a:pPr fontAlgn="t"/>
          <a:r>
            <a:rPr lang="pt-BR" sz="800">
              <a:effectLst/>
            </a:rPr>
            <a:t>Valor da mercadoria R$ 200,00</a:t>
          </a:r>
        </a:p>
        <a:p>
          <a:pPr fontAlgn="t"/>
          <a:endParaRPr lang="pt-BR" sz="800">
            <a:effectLst/>
          </a:endParaRPr>
        </a:p>
        <a:p>
          <a:pPr fontAlgn="t"/>
          <a:r>
            <a:rPr lang="pt-BR" sz="800" b="1">
              <a:effectLst/>
            </a:rPr>
            <a:t>Desconto incondicional de 10% no valor da mercadoria</a:t>
          </a:r>
          <a:endParaRPr lang="pt-BR" sz="800">
            <a:effectLst/>
          </a:endParaRPr>
        </a:p>
        <a:p>
          <a:pPr fontAlgn="t"/>
          <a:endParaRPr lang="pt-BR" sz="800">
            <a:effectLst/>
          </a:endParaRPr>
        </a:p>
        <a:p>
          <a:pPr fontAlgn="t"/>
          <a:r>
            <a:rPr lang="pt-BR" sz="800">
              <a:effectLst/>
            </a:rPr>
            <a:t>R$ 200,00 x 10% = 20,00</a:t>
          </a:r>
        </a:p>
        <a:p>
          <a:pPr fontAlgn="t"/>
          <a:r>
            <a:rPr lang="pt-BR" sz="800">
              <a:effectLst/>
            </a:rPr>
            <a:t>R$ 200,00 - R$20,00 = 180,00</a:t>
          </a:r>
        </a:p>
        <a:p>
          <a:pPr fontAlgn="t"/>
          <a:r>
            <a:rPr lang="pt-BR" sz="800">
              <a:effectLst/>
            </a:rPr>
            <a:t>Base de cálculo do IPI = 180,00</a:t>
          </a:r>
        </a:p>
        <a:p>
          <a:pPr fontAlgn="t"/>
          <a:r>
            <a:rPr lang="pt-BR" sz="800">
              <a:effectLst/>
            </a:rPr>
            <a:t>Alíquota do IPI: 10%</a:t>
          </a:r>
        </a:p>
        <a:p>
          <a:pPr fontAlgn="t"/>
          <a:endParaRPr lang="pt-BR" sz="800">
            <a:effectLst/>
          </a:endParaRPr>
        </a:p>
        <a:p>
          <a:pPr fontAlgn="t"/>
          <a:r>
            <a:rPr lang="pt-BR" sz="800">
              <a:effectLst/>
            </a:rPr>
            <a:t>Valor do IPI: 180,00 x 10% = 18,00</a:t>
          </a:r>
        </a:p>
        <a:p>
          <a:pPr fontAlgn="t"/>
          <a:r>
            <a:rPr lang="pt-BR" sz="800">
              <a:effectLst/>
            </a:rPr>
            <a:t>Valor total da NF= 180,00 + 18,00 = 198,00</a:t>
          </a:r>
        </a:p>
        <a:p>
          <a:pPr fontAlgn="t"/>
          <a:br>
            <a:rPr lang="pt-BR" sz="800">
              <a:effectLst/>
            </a:rPr>
          </a:br>
          <a:r>
            <a:rPr lang="pt-BR" sz="800" b="1">
              <a:effectLst/>
            </a:rPr>
            <a:t>Chamado/Ticket:</a:t>
          </a:r>
          <a:endParaRPr lang="pt-BR" sz="800">
            <a:effectLst/>
          </a:endParaRPr>
        </a:p>
        <a:p>
          <a:pPr fontAlgn="t"/>
          <a:r>
            <a:rPr lang="pt-BR" sz="800">
              <a:effectLst/>
            </a:rPr>
            <a:t>741708, 749534, 1005436; 1355620; </a:t>
          </a:r>
          <a:r>
            <a:rPr lang="pt-BR" sz="800">
              <a:solidFill>
                <a:schemeClr val="dk1"/>
              </a:solidFill>
              <a:effectLst/>
              <a:latin typeface="+mn-lt"/>
              <a:ea typeface="+mn-ea"/>
              <a:cs typeface="+mn-cs"/>
            </a:rPr>
            <a:t>5147044</a:t>
          </a:r>
          <a:endParaRPr lang="pt-BR" sz="800">
            <a:effectLst/>
          </a:endParaRPr>
        </a:p>
        <a:p>
          <a:pPr fontAlgn="t"/>
          <a:br>
            <a:rPr lang="pt-BR" sz="800">
              <a:effectLst/>
            </a:rPr>
          </a:br>
          <a:r>
            <a:rPr lang="pt-BR" sz="800" b="1">
              <a:solidFill>
                <a:schemeClr val="dk1"/>
              </a:solidFill>
              <a:effectLst/>
              <a:latin typeface="+mn-lt"/>
              <a:ea typeface="+mn-ea"/>
              <a:cs typeface="+mn-cs"/>
            </a:rPr>
            <a:t>Fonte:</a:t>
          </a:r>
          <a:r>
            <a:rPr lang="pt-BR" sz="800">
              <a:solidFill>
                <a:schemeClr val="dk1"/>
              </a:solidFill>
              <a:effectLst/>
              <a:latin typeface="+mn-lt"/>
              <a:ea typeface="+mn-ea"/>
              <a:cs typeface="+mn-cs"/>
            </a:rPr>
            <a:t>Recurso Extraordinário (RE) 567935, Resolução do Senado Federal 1/2017</a:t>
          </a:r>
          <a:endParaRPr lang="pt-BR" sz="800">
            <a:effectLst/>
          </a:endParaRPr>
        </a:p>
        <a:p>
          <a:pPr fontAlgn="t"/>
          <a:r>
            <a:rPr lang="pt-BR" sz="800" u="sng">
              <a:solidFill>
                <a:schemeClr val="dk1"/>
              </a:solidFill>
              <a:effectLst/>
              <a:latin typeface="+mn-lt"/>
              <a:ea typeface="+mn-ea"/>
              <a:cs typeface="+mn-cs"/>
              <a:hlinkClick xmlns:r="http://schemas.openxmlformats.org/officeDocument/2006/relationships" r:id=""/>
            </a:rPr>
            <a:t>Solução de Consulta Cosit Nº 72, de 14 de Março de 2019</a:t>
          </a:r>
          <a:endParaRPr lang="pt-BR" sz="800">
            <a:effectLst/>
          </a:endParaRPr>
        </a:p>
        <a:p>
          <a:endParaRPr lang="pt-BR" sz="800"/>
        </a:p>
      </xdr:txBody>
    </xdr:sp>
    <xdr:clientData/>
  </xdr:twoCellAnchor>
  <xdr:twoCellAnchor>
    <xdr:from>
      <xdr:col>3</xdr:col>
      <xdr:colOff>756557</xdr:colOff>
      <xdr:row>8</xdr:row>
      <xdr:rowOff>119743</xdr:rowOff>
    </xdr:from>
    <xdr:to>
      <xdr:col>11</xdr:col>
      <xdr:colOff>463502</xdr:colOff>
      <xdr:row>9</xdr:row>
      <xdr:rowOff>172036</xdr:rowOff>
    </xdr:to>
    <xdr:cxnSp macro="">
      <xdr:nvCxnSpPr>
        <xdr:cNvPr id="14" name="Conector de Seta Reta 13">
          <a:extLst>
            <a:ext uri="{FF2B5EF4-FFF2-40B4-BE49-F238E27FC236}">
              <a16:creationId xmlns:a16="http://schemas.microsoft.com/office/drawing/2014/main" id="{D090A42D-BA3F-4E9D-8FDC-B8005D886FED}"/>
            </a:ext>
          </a:extLst>
        </xdr:cNvPr>
        <xdr:cNvCxnSpPr/>
      </xdr:nvCxnSpPr>
      <xdr:spPr>
        <a:xfrm flipH="1" flipV="1">
          <a:off x="3341914" y="1556657"/>
          <a:ext cx="4736145" cy="231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39566</xdr:colOff>
      <xdr:row>30</xdr:row>
      <xdr:rowOff>70338</xdr:rowOff>
    </xdr:from>
    <xdr:to>
      <xdr:col>11</xdr:col>
      <xdr:colOff>123092</xdr:colOff>
      <xdr:row>53</xdr:row>
      <xdr:rowOff>164123</xdr:rowOff>
    </xdr:to>
    <xdr:sp macro="" textlink="">
      <xdr:nvSpPr>
        <xdr:cNvPr id="8" name="CaixaDeTexto 7">
          <a:extLst>
            <a:ext uri="{FF2B5EF4-FFF2-40B4-BE49-F238E27FC236}">
              <a16:creationId xmlns:a16="http://schemas.microsoft.com/office/drawing/2014/main" id="{8C1A3734-C783-48C1-A9AB-A2BEEE04D983}"/>
            </a:ext>
          </a:extLst>
        </xdr:cNvPr>
        <xdr:cNvSpPr txBox="1"/>
      </xdr:nvSpPr>
      <xdr:spPr>
        <a:xfrm>
          <a:off x="3380643" y="5521569"/>
          <a:ext cx="4350726" cy="4273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700" b="0" i="0">
              <a:solidFill>
                <a:schemeClr val="dk1"/>
              </a:solidFill>
              <a:effectLst/>
              <a:latin typeface="+mn-lt"/>
              <a:ea typeface="+mn-ea"/>
              <a:cs typeface="+mn-cs"/>
            </a:rPr>
            <a:t>O inciso II, do art. 190, do RIPI/10, determina que </a:t>
          </a:r>
          <a:r>
            <a:rPr lang="pt-BR" sz="700" b="1" i="0" u="sng">
              <a:solidFill>
                <a:schemeClr val="dk1"/>
              </a:solidFill>
              <a:effectLst/>
              <a:latin typeface="+mn-lt"/>
              <a:ea typeface="+mn-ea"/>
              <a:cs typeface="+mn-cs"/>
            </a:rPr>
            <a:t>constitui valor tributável dos produtos</a:t>
          </a:r>
          <a:r>
            <a:rPr lang="pt-BR" sz="700" b="0" i="0">
              <a:solidFill>
                <a:schemeClr val="dk1"/>
              </a:solidFill>
              <a:effectLst/>
              <a:latin typeface="+mn-lt"/>
              <a:ea typeface="+mn-ea"/>
              <a:cs typeface="+mn-cs"/>
            </a:rPr>
            <a:t>, o valor total da operação de que decorrer a </a:t>
          </a:r>
          <a:r>
            <a:rPr lang="pt-BR" sz="700" b="1" i="0" u="sng">
              <a:solidFill>
                <a:schemeClr val="dk1"/>
              </a:solidFill>
              <a:effectLst/>
              <a:latin typeface="+mn-lt"/>
              <a:ea typeface="+mn-ea"/>
              <a:cs typeface="+mn-cs"/>
            </a:rPr>
            <a:t>saída do estabelecimento industrial ou equiparado a industrial</a:t>
          </a:r>
          <a:r>
            <a:rPr lang="pt-BR" sz="700" b="0" i="0">
              <a:solidFill>
                <a:schemeClr val="dk1"/>
              </a:solidFill>
              <a:effectLst/>
              <a:latin typeface="+mn-lt"/>
              <a:ea typeface="+mn-ea"/>
              <a:cs typeface="+mn-cs"/>
            </a:rPr>
            <a:t>.</a:t>
          </a:r>
        </a:p>
        <a:p>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Portanto, o valor da operação compreende </a:t>
          </a:r>
          <a:r>
            <a:rPr lang="pt-BR" sz="700" b="1" i="0" u="sng">
              <a:solidFill>
                <a:schemeClr val="dk1"/>
              </a:solidFill>
              <a:effectLst/>
              <a:latin typeface="+mn-lt"/>
              <a:ea typeface="+mn-ea"/>
              <a:cs typeface="+mn-cs"/>
            </a:rPr>
            <a:t>o preço do produto</a:t>
          </a:r>
          <a:r>
            <a:rPr lang="pt-BR" sz="700" b="0" i="0">
              <a:solidFill>
                <a:schemeClr val="dk1"/>
              </a:solidFill>
              <a:effectLst/>
              <a:latin typeface="+mn-lt"/>
              <a:ea typeface="+mn-ea"/>
              <a:cs typeface="+mn-cs"/>
            </a:rPr>
            <a:t>, </a:t>
          </a:r>
          <a:r>
            <a:rPr lang="pt-BR" sz="700" b="1" i="0" u="sng">
              <a:solidFill>
                <a:schemeClr val="dk1"/>
              </a:solidFill>
              <a:effectLst/>
              <a:latin typeface="+mn-lt"/>
              <a:ea typeface="+mn-ea"/>
              <a:cs typeface="+mn-cs"/>
            </a:rPr>
            <a:t>acrescido do valor do frete </a:t>
          </a:r>
          <a:r>
            <a:rPr lang="pt-BR" sz="700" b="0" i="0">
              <a:solidFill>
                <a:schemeClr val="dk1"/>
              </a:solidFill>
              <a:effectLst/>
              <a:latin typeface="+mn-lt"/>
              <a:ea typeface="+mn-ea"/>
              <a:cs typeface="+mn-cs"/>
            </a:rPr>
            <a:t>e </a:t>
          </a:r>
          <a:r>
            <a:rPr lang="pt-BR" sz="700" b="1" i="0" u="sng">
              <a:solidFill>
                <a:schemeClr val="dk1"/>
              </a:solidFill>
              <a:effectLst/>
              <a:latin typeface="+mn-lt"/>
              <a:ea typeface="+mn-ea"/>
              <a:cs typeface="+mn-cs"/>
            </a:rPr>
            <a:t>das demais despesas acessórias, cobradas ou debitadas pelo contribuinte ao comprador ou destinatário</a:t>
          </a:r>
          <a:r>
            <a:rPr lang="pt-BR" sz="700" b="0" i="0">
              <a:solidFill>
                <a:schemeClr val="dk1"/>
              </a:solidFill>
              <a:effectLst/>
              <a:latin typeface="+mn-lt"/>
              <a:ea typeface="+mn-ea"/>
              <a:cs typeface="+mn-cs"/>
            </a:rPr>
            <a:t>, conforme § 1º, do art. 190, do RIPI/10.</a:t>
          </a:r>
        </a:p>
        <a:p>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Cabe ressaltar que, de acordo com o § 2º, do art. 190, do RIPI/10, será também considerado como cobrado ou debitado pelo contribuinte, ao comprador ou destinatário, para efeitos de inclusão na base de cálculo do IPI, o valor do frete, quando o transporte for realizado ou cobrado por firma controladora ou controlada, coligadas ou interligada, do estabelecimento contribuinte ou por firma com a qual este tenha relação de interdependência, mesmo quando o frete seja subcontratado (Lei nº 6.404, de 15 de dezembro de 1976, art. 243; Lei nº 10.406, de 10 de janeiro de 2002, art. 1.099, e Lei nº 11.941, de 27 de maio de 2009, art. 46, parágrafo único; Decreto-Lei nº 1.950, de 1982, art. 10, § 2º).</a:t>
          </a:r>
        </a:p>
        <a:p>
          <a:r>
            <a:rPr lang="pt-BR" sz="700" b="1" i="0" u="sng">
              <a:solidFill>
                <a:schemeClr val="dk1"/>
              </a:solidFill>
              <a:effectLst/>
              <a:latin typeface="+mn-lt"/>
              <a:ea typeface="+mn-ea"/>
              <a:cs typeface="+mn-cs"/>
            </a:rPr>
            <a:t>Acionista Controlador</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O acionista controlador deve usar o poder com o fim de fazer a companhia realizar o seu objeto e cumprir sua função social, e tem deveres e responsabilidades para com os demais acionistas da empresa, os que nela trabalham e para com a comunidade em que atua, cujos direitos e interesses deve lealmente respeitar e atender.</a:t>
          </a:r>
        </a:p>
        <a:p>
          <a:r>
            <a:rPr lang="pt-BR" sz="700" b="0" i="0">
              <a:solidFill>
                <a:schemeClr val="dk1"/>
              </a:solidFill>
              <a:effectLst/>
              <a:latin typeface="+mn-lt"/>
              <a:ea typeface="+mn-ea"/>
              <a:cs typeface="+mn-cs"/>
            </a:rPr>
            <a:t>Segundo o art. 116, da Lei nº 6.404/76, entende-se por acionista controlador a pessoa, natural ou jurídica, ou o grupo de pessoas vinculadas por acordo de voto, ou sob controle comum, que:</a:t>
          </a:r>
        </a:p>
        <a:p>
          <a:r>
            <a:rPr lang="pt-BR" sz="700" b="0" i="1">
              <a:solidFill>
                <a:schemeClr val="dk1"/>
              </a:solidFill>
              <a:effectLst/>
              <a:latin typeface="+mn-lt"/>
              <a:ea typeface="+mn-ea"/>
              <a:cs typeface="+mn-cs"/>
            </a:rPr>
            <a:t>a) é titular de direitos de sócio que lhe assegurem, de modo permanente, a maioria dos votos nas deliberações da assembléia-geral e o poder de eleger a maioria dos administradores da companhia; e</a:t>
          </a:r>
          <a:endParaRPr lang="pt-BR" sz="700" b="0" i="0">
            <a:solidFill>
              <a:schemeClr val="dk1"/>
            </a:solidFill>
            <a:effectLst/>
            <a:latin typeface="+mn-lt"/>
            <a:ea typeface="+mn-ea"/>
            <a:cs typeface="+mn-cs"/>
          </a:endParaRPr>
        </a:p>
        <a:p>
          <a:r>
            <a:rPr lang="pt-BR" sz="700" b="0" i="1">
              <a:solidFill>
                <a:schemeClr val="dk1"/>
              </a:solidFill>
              <a:effectLst/>
              <a:latin typeface="+mn-lt"/>
              <a:ea typeface="+mn-ea"/>
              <a:cs typeface="+mn-cs"/>
            </a:rPr>
            <a:t>b) usa efetivamente seu poder para dirigir as atividades sociais e orientar o funcionamento dos órgãos da companhia.</a:t>
          </a:r>
          <a:endParaRPr lang="pt-BR" sz="700" b="0" i="0">
            <a:solidFill>
              <a:schemeClr val="dk1"/>
            </a:solidFill>
            <a:effectLst/>
            <a:latin typeface="+mn-lt"/>
            <a:ea typeface="+mn-ea"/>
            <a:cs typeface="+mn-cs"/>
          </a:endParaRPr>
        </a:p>
        <a:p>
          <a:r>
            <a:rPr lang="pt-BR" sz="700" b="1" i="0" u="sng">
              <a:solidFill>
                <a:schemeClr val="dk1"/>
              </a:solidFill>
              <a:effectLst/>
              <a:latin typeface="+mn-lt"/>
              <a:ea typeface="+mn-ea"/>
              <a:cs typeface="+mn-cs"/>
            </a:rPr>
            <a:t>Sociedade Controlada, Coligada e Interligada</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De acordo com o § 2º, do art. 243, da Lei nº 6.404/76, considera-se controlada a sociedade na qual a controladora, diretamente ou através de outras controladas, é titular de direitos de sócio que lhe assegurem, de modo permanente, preponderância nas deliberações sociais e o poder de eleger a maioria dos administradores.</a:t>
          </a:r>
        </a:p>
        <a:p>
          <a:r>
            <a:rPr lang="pt-BR" sz="700" b="0" i="0">
              <a:solidFill>
                <a:schemeClr val="dk1"/>
              </a:solidFill>
              <a:effectLst/>
              <a:latin typeface="+mn-lt"/>
              <a:ea typeface="+mn-ea"/>
              <a:cs typeface="+mn-cs"/>
            </a:rPr>
            <a:t>São coligadas as sociedades nas quais a investidora tenha influência significativa, conforme § 1º, do art. 243, da Lei nº 6.404/76.</a:t>
          </a:r>
        </a:p>
        <a:p>
          <a:r>
            <a:rPr lang="pt-BR" sz="700" b="0" i="0">
              <a:solidFill>
                <a:schemeClr val="dk1"/>
              </a:solidFill>
              <a:effectLst/>
              <a:latin typeface="+mn-lt"/>
              <a:ea typeface="+mn-ea"/>
              <a:cs typeface="+mn-cs"/>
            </a:rPr>
            <a:t>A alínea “b”, do § 2º, do art. 10, do Decreto-Lei nº 1.950/82, considera interligadas, as pessoas jurídicas que tenham como controlador o mesmo sócio ou acionista.</a:t>
          </a:r>
        </a:p>
        <a:p>
          <a:r>
            <a:rPr lang="pt-BR" sz="700" b="1" i="0" u="sng">
              <a:solidFill>
                <a:schemeClr val="dk1"/>
              </a:solidFill>
              <a:effectLst/>
              <a:latin typeface="+mn-lt"/>
              <a:ea typeface="+mn-ea"/>
              <a:cs typeface="+mn-cs"/>
            </a:rPr>
            <a:t>Firmas Interdependentes</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Para fins da legislação do IPI, considerar-se-ão interdependentes duas firmas (RIPI/10, Art. 612):</a:t>
          </a:r>
        </a:p>
        <a:p>
          <a:r>
            <a:rPr lang="pt-BR" sz="700" b="0" i="1">
              <a:solidFill>
                <a:schemeClr val="dk1"/>
              </a:solidFill>
              <a:effectLst/>
              <a:latin typeface="+mn-lt"/>
              <a:ea typeface="+mn-ea"/>
              <a:cs typeface="+mn-cs"/>
            </a:rPr>
            <a:t>a) quando uma delas tiver participação na outra de quinze por cento ou mais do capital social, por si, seus sócios ou acionistas, bem como por intermédio de parentes destes até o segundo grau e respectivos cônjuges, se a participação societária for de pessoa física;</a:t>
          </a:r>
          <a:endParaRPr lang="pt-BR" sz="700" b="0" i="0">
            <a:solidFill>
              <a:schemeClr val="dk1"/>
            </a:solidFill>
            <a:effectLst/>
            <a:latin typeface="+mn-lt"/>
            <a:ea typeface="+mn-ea"/>
            <a:cs typeface="+mn-cs"/>
          </a:endParaRPr>
        </a:p>
        <a:p>
          <a:r>
            <a:rPr lang="pt-BR" sz="700" b="0" i="1">
              <a:solidFill>
                <a:schemeClr val="dk1"/>
              </a:solidFill>
              <a:effectLst/>
              <a:latin typeface="+mn-lt"/>
              <a:ea typeface="+mn-ea"/>
              <a:cs typeface="+mn-cs"/>
            </a:rPr>
            <a:t>b) quando, de ambas, uma mesma pessoa fizer parte, na qualidade de diretor, ou sócio com funções de gerência, ainda que exercidas sob outra denominação;</a:t>
          </a:r>
          <a:endParaRPr lang="pt-BR" sz="700" b="0" i="0">
            <a:solidFill>
              <a:schemeClr val="dk1"/>
            </a:solidFill>
            <a:effectLst/>
            <a:latin typeface="+mn-lt"/>
            <a:ea typeface="+mn-ea"/>
            <a:cs typeface="+mn-cs"/>
          </a:endParaRPr>
        </a:p>
        <a:p>
          <a:r>
            <a:rPr lang="pt-BR" sz="700" b="0" i="1">
              <a:solidFill>
                <a:schemeClr val="dk1"/>
              </a:solidFill>
              <a:effectLst/>
              <a:latin typeface="+mn-lt"/>
              <a:ea typeface="+mn-ea"/>
              <a:cs typeface="+mn-cs"/>
            </a:rPr>
            <a:t>c) quando uma tiver vendido ou consignado à outra, no ano anterior, mais de vinte por cento no caso de distribuição com exclusividade em determinada área do território nacional, e mais de cinquenta por cento, nos demais casos, do volume das vendas dos produtos tributados, de sua fabricação ou importação;</a:t>
          </a:r>
          <a:endParaRPr lang="pt-BR" sz="700" b="0" i="0">
            <a:solidFill>
              <a:schemeClr val="dk1"/>
            </a:solidFill>
            <a:effectLst/>
            <a:latin typeface="+mn-lt"/>
            <a:ea typeface="+mn-ea"/>
            <a:cs typeface="+mn-cs"/>
          </a:endParaRPr>
        </a:p>
        <a:p>
          <a:r>
            <a:rPr lang="pt-BR" sz="700" b="0" i="1">
              <a:solidFill>
                <a:schemeClr val="dk1"/>
              </a:solidFill>
              <a:effectLst/>
              <a:latin typeface="+mn-lt"/>
              <a:ea typeface="+mn-ea"/>
              <a:cs typeface="+mn-cs"/>
            </a:rPr>
            <a:t>d) quando uma delas, por qualquer forma ou título, for a única adquirente, de um ou de mais de um dos produtos industrializados ou importados pela outra, ainda quando a exclusividade se refira à padronagem, marca ou tipo do produto.</a:t>
          </a:r>
          <a:endParaRPr lang="pt-BR" sz="700" b="0" i="0">
            <a:solidFill>
              <a:schemeClr val="dk1"/>
            </a:solidFill>
            <a:effectLst/>
            <a:latin typeface="+mn-lt"/>
            <a:ea typeface="+mn-ea"/>
            <a:cs typeface="+mn-cs"/>
          </a:endParaRPr>
        </a:p>
        <a:p>
          <a:r>
            <a:rPr lang="pt-BR" sz="700" b="0" i="1">
              <a:solidFill>
                <a:schemeClr val="dk1"/>
              </a:solidFill>
              <a:effectLst/>
              <a:latin typeface="+mn-lt"/>
              <a:ea typeface="+mn-ea"/>
              <a:cs typeface="+mn-cs"/>
            </a:rPr>
            <a:t>e) quando uma vender à outra, mediante contrato de participação ou ajuste semelhante, produto tributado que tenha fabricado ou importado.</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Cabe ressaltar que não caracteriza a interdependência referida nas letras “c” e “d” a venda de matérias-primas e produtos intermediários, destinados exclusivamente à industrialização de produtos do comprador.</a:t>
          </a:r>
        </a:p>
        <a:p>
          <a:r>
            <a:rPr lang="pt-BR" sz="700" b="1" i="0" u="sng">
              <a:solidFill>
                <a:schemeClr val="dk1"/>
              </a:solidFill>
              <a:effectLst/>
              <a:latin typeface="+mn-lt"/>
              <a:ea typeface="+mn-ea"/>
              <a:cs typeface="+mn-cs"/>
            </a:rPr>
            <a:t>Alíquota Aplicada</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A alíquota do IPI aplicada sobre o frete constante na nota fiscal (cobrado ou repassado ao adquirente/recebedor da mercadoria) será a mesma alíquota do produto constante na nota fiscal, ou seja, se o produto é tributado com alíquota de 15%, o valor do frete também será tributado com alíquota de 15%.</a:t>
          </a:r>
        </a:p>
        <a:p>
          <a:r>
            <a:rPr lang="pt-BR" sz="700" b="0" i="0">
              <a:solidFill>
                <a:schemeClr val="dk1"/>
              </a:solidFill>
              <a:effectLst/>
              <a:latin typeface="+mn-lt"/>
              <a:ea typeface="+mn-ea"/>
              <a:cs typeface="+mn-cs"/>
            </a:rPr>
            <a:t>Se o produto for tributado com alíquota de 0% o valor do frete também será tributado com alíquota de 0%, não tendo destaque do IPI na nota fiscal.</a:t>
          </a:r>
        </a:p>
        <a:p>
          <a:r>
            <a:rPr lang="pt-BR" sz="700" b="0" i="0">
              <a:solidFill>
                <a:schemeClr val="dk1"/>
              </a:solidFill>
              <a:effectLst/>
              <a:latin typeface="+mn-lt"/>
              <a:ea typeface="+mn-ea"/>
              <a:cs typeface="+mn-cs"/>
            </a:rPr>
            <a:t>Mesma lógica, serve para produtos isentos de IPI ou não tributados, se o produto ou mercadoria constante na nota fiscal possuir isenção ou não tributação do IPI, o frete constante na nota fiscal também será isento ou não tributado, conforme o caso.</a:t>
          </a:r>
        </a:p>
        <a:p>
          <a:r>
            <a:rPr lang="pt-BR" sz="700" b="1" i="0" u="sng">
              <a:solidFill>
                <a:schemeClr val="dk1"/>
              </a:solidFill>
              <a:effectLst/>
              <a:latin typeface="+mn-lt"/>
              <a:ea typeface="+mn-ea"/>
              <a:cs typeface="+mn-cs"/>
            </a:rPr>
            <a:t>Exemplo:</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Valor do produto: R$ 150,00</a:t>
          </a:r>
        </a:p>
        <a:p>
          <a:r>
            <a:rPr lang="pt-BR" sz="700" b="0" i="0">
              <a:solidFill>
                <a:schemeClr val="dk1"/>
              </a:solidFill>
              <a:effectLst/>
              <a:latin typeface="+mn-lt"/>
              <a:ea typeface="+mn-ea"/>
              <a:cs typeface="+mn-cs"/>
            </a:rPr>
            <a:t>Alíquota do IPI: 15%</a:t>
          </a:r>
        </a:p>
        <a:p>
          <a:r>
            <a:rPr lang="pt-BR" sz="700" b="0" i="0">
              <a:solidFill>
                <a:schemeClr val="dk1"/>
              </a:solidFill>
              <a:effectLst/>
              <a:latin typeface="+mn-lt"/>
              <a:ea typeface="+mn-ea"/>
              <a:cs typeface="+mn-cs"/>
            </a:rPr>
            <a:t>Valor do IPI sobre o produto: R$ 22,50</a:t>
          </a:r>
        </a:p>
        <a:p>
          <a:r>
            <a:rPr lang="pt-BR" sz="700" b="0" i="0">
              <a:solidFill>
                <a:schemeClr val="dk1"/>
              </a:solidFill>
              <a:effectLst/>
              <a:latin typeface="+mn-lt"/>
              <a:ea typeface="+mn-ea"/>
              <a:cs typeface="+mn-cs"/>
            </a:rPr>
            <a:t>Valor do frete cobrado do destinatário da mercadoria: R$ 18,00</a:t>
          </a:r>
        </a:p>
        <a:p>
          <a:r>
            <a:rPr lang="pt-BR" sz="700" b="0" i="0">
              <a:solidFill>
                <a:schemeClr val="dk1"/>
              </a:solidFill>
              <a:effectLst/>
              <a:latin typeface="+mn-lt"/>
              <a:ea typeface="+mn-ea"/>
              <a:cs typeface="+mn-cs"/>
            </a:rPr>
            <a:t>Valor do IPI sobre o frete: R$ 2,70 (R$ 18,00 x 15%)</a:t>
          </a:r>
        </a:p>
        <a:p>
          <a:r>
            <a:rPr lang="pt-BR" sz="700" b="0" i="0">
              <a:solidFill>
                <a:schemeClr val="dk1"/>
              </a:solidFill>
              <a:effectLst/>
              <a:latin typeface="+mn-lt"/>
              <a:ea typeface="+mn-ea"/>
              <a:cs typeface="+mn-cs"/>
            </a:rPr>
            <a:t>Valor total do IPI: R$ 25,20 (R$ 22,50 + R$ 2,70)</a:t>
          </a:r>
        </a:p>
        <a:p>
          <a:r>
            <a:rPr lang="pt-BR" sz="700" b="0" i="0">
              <a:solidFill>
                <a:schemeClr val="dk1"/>
              </a:solidFill>
              <a:effectLst/>
              <a:latin typeface="+mn-lt"/>
              <a:ea typeface="+mn-ea"/>
              <a:cs typeface="+mn-cs"/>
            </a:rPr>
            <a:t>Valor total da nota fiscal: R$ 193,20 (R$ 150,00 + R$ 18,00 + R$ 25,20)</a:t>
          </a:r>
        </a:p>
        <a:p>
          <a:r>
            <a:rPr lang="pt-BR" sz="700" b="0" i="0">
              <a:solidFill>
                <a:schemeClr val="dk1"/>
              </a:solidFill>
              <a:effectLst/>
              <a:latin typeface="+mn-lt"/>
              <a:ea typeface="+mn-ea"/>
              <a:cs typeface="+mn-cs"/>
            </a:rPr>
            <a:t>Cabe ressaltar que as despesas de transporte cobradas ou debitadas ao destinatário, agora incluídas na base de cálculo do IPI, quando referentes a produtos sujeitos a diferentes alíquotas, ou isentos do imposto, serão rateadas proporcionalmente ao peso de cada produto, quando não seja possível determinar o valor efetivo do transporte atribuído a cada um deles (IN SRF nº 87/89, item 3).</a:t>
          </a:r>
        </a:p>
        <a:p>
          <a:r>
            <a:rPr lang="pt-BR" sz="700" b="1" i="0" u="sng">
              <a:solidFill>
                <a:schemeClr val="dk1"/>
              </a:solidFill>
              <a:effectLst/>
              <a:latin typeface="+mn-lt"/>
              <a:ea typeface="+mn-ea"/>
              <a:cs typeface="+mn-cs"/>
            </a:rPr>
            <a:t>Contribuintes Optantes pelo Simples Nacional</a:t>
          </a:r>
          <a:endParaRPr lang="pt-BR" sz="700" b="0" i="0">
            <a:solidFill>
              <a:schemeClr val="dk1"/>
            </a:solidFill>
            <a:effectLst/>
            <a:latin typeface="+mn-lt"/>
            <a:ea typeface="+mn-ea"/>
            <a:cs typeface="+mn-cs"/>
          </a:endParaRPr>
        </a:p>
        <a:p>
          <a:r>
            <a:rPr lang="pt-BR" sz="700" b="0" i="0">
              <a:solidFill>
                <a:schemeClr val="dk1"/>
              </a:solidFill>
              <a:effectLst/>
              <a:latin typeface="+mn-lt"/>
              <a:ea typeface="+mn-ea"/>
              <a:cs typeface="+mn-cs"/>
            </a:rPr>
            <a:t>As empresas optantes pelo Simples Nacional são tributadas de acordo com as receitas auferidas (LC nº 123/2006, arts. 3º e 18).</a:t>
          </a:r>
        </a:p>
        <a:p>
          <a:r>
            <a:rPr lang="pt-BR" sz="700" b="0" i="0">
              <a:solidFill>
                <a:schemeClr val="dk1"/>
              </a:solidFill>
              <a:effectLst/>
              <a:latin typeface="+mn-lt"/>
              <a:ea typeface="+mn-ea"/>
              <a:cs typeface="+mn-cs"/>
            </a:rPr>
            <a:t>Portanto, se a empresa vendedora da mercadoria for estabelecimento industrial ou equiparado a industrial e efetuar a cobrança do frete para entrega da mercadoria, este frete será considerado como parte da receita e, portanto, será normalmente tributado pelos impostos através da apuração do Simples Nacional.</a:t>
          </a:r>
        </a:p>
        <a:p>
          <a:r>
            <a:rPr lang="pt-BR" sz="700" b="0" i="0">
              <a:solidFill>
                <a:schemeClr val="dk1"/>
              </a:solidFill>
              <a:effectLst/>
              <a:latin typeface="+mn-lt"/>
              <a:ea typeface="+mn-ea"/>
              <a:cs typeface="+mn-cs"/>
            </a:rPr>
            <a:t>Como as indústrias e empresas equiparadas a indústrias são tributadas pelo Anexo II, com tributação de 0,5% de IPI, esta tributação alcançará o valor do produto e também o valor do frete cobrado do destinatário.</a:t>
          </a:r>
        </a:p>
        <a:p>
          <a:endParaRPr lang="pt-BR" sz="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568828</xdr:colOff>
      <xdr:row>36</xdr:row>
      <xdr:rowOff>135636</xdr:rowOff>
    </xdr:from>
    <xdr:to>
      <xdr:col>22</xdr:col>
      <xdr:colOff>171623</xdr:colOff>
      <xdr:row>43</xdr:row>
      <xdr:rowOff>136393</xdr:rowOff>
    </xdr:to>
    <xdr:sp macro="" textlink="">
      <xdr:nvSpPr>
        <xdr:cNvPr id="3" name="CaixaDeTexto 2">
          <a:extLst>
            <a:ext uri="{FF2B5EF4-FFF2-40B4-BE49-F238E27FC236}">
              <a16:creationId xmlns:a16="http://schemas.microsoft.com/office/drawing/2014/main" id="{0188966D-9622-4705-ABCB-AD45AFF4ABEA}"/>
            </a:ext>
          </a:extLst>
        </xdr:cNvPr>
        <xdr:cNvSpPr txBox="1"/>
      </xdr:nvSpPr>
      <xdr:spPr>
        <a:xfrm>
          <a:off x="12913228" y="6679871"/>
          <a:ext cx="7608277" cy="1255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i="0">
              <a:solidFill>
                <a:schemeClr val="dk1"/>
              </a:solidFill>
              <a:effectLst/>
              <a:latin typeface="+mn-lt"/>
              <a:ea typeface="+mn-ea"/>
              <a:cs typeface="+mn-cs"/>
            </a:rPr>
            <a:t>Neste sentido, a IN 404/2004 descrevia a forma de apuração da base de cálculo dos créditos de PIS/Cofins: o custo de aquisição. Previa que, para efeito dos créditos calculados sobre os bens adquiridos para revenda, deve ser observado que o IPI incidente na operação, quando recuperável, não integra o valor do custo dos bens (inciso I, §3º, artigo 8º) e que o ICMS integra o valor do custo de aquisição de bens e serviços (inciso II, §3º, artigo 8º).</a:t>
          </a:r>
          <a:endParaRPr lang="pt-BR" sz="1100"/>
        </a:p>
      </xdr:txBody>
    </xdr:sp>
    <xdr:clientData/>
  </xdr:twoCellAnchor>
  <xdr:twoCellAnchor>
    <xdr:from>
      <xdr:col>0</xdr:col>
      <xdr:colOff>1</xdr:colOff>
      <xdr:row>0</xdr:row>
      <xdr:rowOff>0</xdr:rowOff>
    </xdr:from>
    <xdr:to>
      <xdr:col>1</xdr:col>
      <xdr:colOff>1962151</xdr:colOff>
      <xdr:row>21</xdr:row>
      <xdr:rowOff>123824</xdr:rowOff>
    </xdr:to>
    <xdr:sp macro="" textlink="">
      <xdr:nvSpPr>
        <xdr:cNvPr id="4" name="CaixaDeTexto 3">
          <a:extLst>
            <a:ext uri="{FF2B5EF4-FFF2-40B4-BE49-F238E27FC236}">
              <a16:creationId xmlns:a16="http://schemas.microsoft.com/office/drawing/2014/main" id="{A807CF67-C3FD-43ED-B8E9-F880EFBA0D32}"/>
            </a:ext>
          </a:extLst>
        </xdr:cNvPr>
        <xdr:cNvSpPr txBox="1"/>
      </xdr:nvSpPr>
      <xdr:spPr>
        <a:xfrm>
          <a:off x="1" y="0"/>
          <a:ext cx="4057650" cy="4143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b="1"/>
            <a:t>7. A indústria Portões Panorâmicos (SP) adquiriu, no mês, 100 toneladas chapas de aços, da empresa Usiminas (MG), a R$ 6,80 por kg, com 12% de ICMS, 10% de IPI, que são utilizadas na produção de portões eletrônicos para condôminos (consumidor final).</a:t>
          </a:r>
        </a:p>
        <a:p>
          <a:endParaRPr lang="pt-BR"/>
        </a:p>
        <a:p>
          <a:r>
            <a:rPr lang="pt-BR" b="1"/>
            <a:t> Dentre as matérias-primas, custos operacionais incorridos no mês, foram: </a:t>
          </a:r>
        </a:p>
        <a:p>
          <a:pPr lvl="0" algn="l"/>
          <a:r>
            <a:rPr lang="pt-BR"/>
            <a:t>• Custos de materiais de solda utilizados no mês: $ 2.250,00 </a:t>
          </a:r>
        </a:p>
        <a:p>
          <a:pPr lvl="0" algn="l"/>
          <a:r>
            <a:rPr lang="pt-BR"/>
            <a:t>• Custo de Energia elétrica (mês): R$ 4.250,00;</a:t>
          </a:r>
        </a:p>
        <a:p>
          <a:pPr lvl="0" algn="l"/>
          <a:r>
            <a:rPr lang="pt-BR"/>
            <a:t> • Custo de mão de obra (mês): R$ 7.871,54;</a:t>
          </a:r>
        </a:p>
        <a:p>
          <a:pPr lvl="0" algn="l"/>
          <a:r>
            <a:rPr lang="pt-BR"/>
            <a:t> • </a:t>
          </a:r>
          <a:r>
            <a:rPr lang="pt-BR" u="sng">
              <a:solidFill>
                <a:srgbClr val="FF0000"/>
              </a:solidFill>
            </a:rPr>
            <a:t>Foram </a:t>
          </a:r>
          <a:r>
            <a:rPr lang="pt-BR" b="1" u="sng">
              <a:solidFill>
                <a:srgbClr val="FF0000"/>
              </a:solidFill>
            </a:rPr>
            <a:t>produzidos 27 portões</a:t>
          </a:r>
          <a:r>
            <a:rPr lang="pt-BR" u="sng">
              <a:solidFill>
                <a:srgbClr val="FF0000"/>
              </a:solidFill>
            </a:rPr>
            <a:t>, com 550 kg cada, sendo que os portões foram vendidos no mês seguinte, pelo preço médio de R$ 8.250,00 cada; </a:t>
          </a:r>
        </a:p>
        <a:p>
          <a:pPr lvl="0" algn="l"/>
          <a:r>
            <a:rPr lang="pt-BR"/>
            <a:t>• A alíquota de ICMS é de 18%; </a:t>
          </a:r>
        </a:p>
        <a:p>
          <a:pPr lvl="0" algn="l"/>
          <a:r>
            <a:rPr lang="pt-BR"/>
            <a:t>• A alíquota de IPI é de 15%; </a:t>
          </a:r>
        </a:p>
        <a:p>
          <a:pPr lvl="0" algn="l"/>
          <a:r>
            <a:rPr lang="pt-BR"/>
            <a:t>• A empresa é optante pelo lucro real.</a:t>
          </a:r>
        </a:p>
        <a:p>
          <a:r>
            <a:rPr lang="pt-BR" b="1"/>
            <a:t> </a:t>
          </a:r>
        </a:p>
        <a:p>
          <a:r>
            <a:rPr lang="pt-BR" b="1"/>
            <a:t>Calcule: </a:t>
          </a:r>
        </a:p>
        <a:p>
          <a:r>
            <a:rPr lang="pt-BR"/>
            <a:t>• O preço de Venda </a:t>
          </a:r>
        </a:p>
        <a:p>
          <a:r>
            <a:rPr lang="pt-BR"/>
            <a:t>• O IPI a recuperar e a recolher</a:t>
          </a:r>
        </a:p>
        <a:p>
          <a:r>
            <a:rPr lang="pt-BR"/>
            <a:t> • O ICMS, PIS e COFINS incidentes sobre as vendas. </a:t>
          </a:r>
          <a:endParaRPr lang="pt-BR" sz="1100"/>
        </a:p>
      </xdr:txBody>
    </xdr:sp>
    <xdr:clientData/>
  </xdr:twoCellAnchor>
  <xdr:twoCellAnchor>
    <xdr:from>
      <xdr:col>12</xdr:col>
      <xdr:colOff>723900</xdr:colOff>
      <xdr:row>13</xdr:row>
      <xdr:rowOff>180975</xdr:rowOff>
    </xdr:from>
    <xdr:to>
      <xdr:col>18</xdr:col>
      <xdr:colOff>123825</xdr:colOff>
      <xdr:row>20</xdr:row>
      <xdr:rowOff>174406</xdr:rowOff>
    </xdr:to>
    <xdr:sp macro="" textlink="">
      <xdr:nvSpPr>
        <xdr:cNvPr id="5" name="CaixaDeTexto 4">
          <a:extLst>
            <a:ext uri="{FF2B5EF4-FFF2-40B4-BE49-F238E27FC236}">
              <a16:creationId xmlns:a16="http://schemas.microsoft.com/office/drawing/2014/main" id="{3E041366-6F45-4E01-86BB-3FCAA77D214B}"/>
            </a:ext>
          </a:extLst>
        </xdr:cNvPr>
        <xdr:cNvSpPr txBox="1"/>
      </xdr:nvSpPr>
      <xdr:spPr>
        <a:xfrm>
          <a:off x="13401675" y="2657475"/>
          <a:ext cx="5676900" cy="13459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i="0">
              <a:solidFill>
                <a:schemeClr val="dk1"/>
              </a:solidFill>
              <a:effectLst/>
              <a:latin typeface="+mn-lt"/>
              <a:ea typeface="+mn-ea"/>
              <a:cs typeface="+mn-cs"/>
            </a:rPr>
            <a:t>Neste sentido, a IN 404/2004 descrevia a forma de apuração da base de cálculo dos créditos de PIS/Cofins: o custo de aquisição. Previa que, para efeito dos créditos calculados sobre os bens adquiridos para revenda, deve ser observado que o </a:t>
          </a:r>
          <a:r>
            <a:rPr lang="pt-BR" sz="1100" b="0" i="0">
              <a:solidFill>
                <a:srgbClr val="FF0000"/>
              </a:solidFill>
              <a:effectLst/>
              <a:latin typeface="+mn-lt"/>
              <a:ea typeface="+mn-ea"/>
              <a:cs typeface="+mn-cs"/>
            </a:rPr>
            <a:t>IPI incidente na operação, quando recuperável, não integra o valor do custo dos bens (inciso I, §3º, artigo 8º) e </a:t>
          </a:r>
          <a:r>
            <a:rPr lang="pt-BR" sz="1100" b="0" i="0">
              <a:solidFill>
                <a:schemeClr val="dk1"/>
              </a:solidFill>
              <a:effectLst/>
              <a:latin typeface="+mn-lt"/>
              <a:ea typeface="+mn-ea"/>
              <a:cs typeface="+mn-cs"/>
            </a:rPr>
            <a:t>que o ICMS integra o valor do custo de aquisição de bens e serviços (inciso II, §3º, artigo 8º).</a:t>
          </a:r>
          <a:endParaRPr lang="pt-BR" sz="1100"/>
        </a:p>
      </xdr:txBody>
    </xdr:sp>
    <xdr:clientData/>
  </xdr:twoCellAnchor>
  <xdr:twoCellAnchor>
    <xdr:from>
      <xdr:col>6</xdr:col>
      <xdr:colOff>739589</xdr:colOff>
      <xdr:row>2</xdr:row>
      <xdr:rowOff>134471</xdr:rowOff>
    </xdr:from>
    <xdr:to>
      <xdr:col>9</xdr:col>
      <xdr:colOff>44823</xdr:colOff>
      <xdr:row>15</xdr:row>
      <xdr:rowOff>123265</xdr:rowOff>
    </xdr:to>
    <xdr:cxnSp macro="">
      <xdr:nvCxnSpPr>
        <xdr:cNvPr id="6" name="Conector de Seta Reta 5">
          <a:extLst>
            <a:ext uri="{FF2B5EF4-FFF2-40B4-BE49-F238E27FC236}">
              <a16:creationId xmlns:a16="http://schemas.microsoft.com/office/drawing/2014/main" id="{E169F8ED-4AFE-4F8E-B4D4-CDE082D24944}"/>
            </a:ext>
          </a:extLst>
        </xdr:cNvPr>
        <xdr:cNvCxnSpPr/>
      </xdr:nvCxnSpPr>
      <xdr:spPr>
        <a:xfrm flipH="1">
          <a:off x="7463118" y="515471"/>
          <a:ext cx="2610970" cy="2465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9</xdr:row>
      <xdr:rowOff>33618</xdr:rowOff>
    </xdr:from>
    <xdr:to>
      <xdr:col>11</xdr:col>
      <xdr:colOff>67236</xdr:colOff>
      <xdr:row>33</xdr:row>
      <xdr:rowOff>179294</xdr:rowOff>
    </xdr:to>
    <xdr:cxnSp macro="">
      <xdr:nvCxnSpPr>
        <xdr:cNvPr id="7" name="Conector de Seta Reta 6">
          <a:extLst>
            <a:ext uri="{FF2B5EF4-FFF2-40B4-BE49-F238E27FC236}">
              <a16:creationId xmlns:a16="http://schemas.microsoft.com/office/drawing/2014/main" id="{816DCD9D-B73A-4207-9706-45437E87FF44}"/>
            </a:ext>
          </a:extLst>
        </xdr:cNvPr>
        <xdr:cNvCxnSpPr/>
      </xdr:nvCxnSpPr>
      <xdr:spPr>
        <a:xfrm>
          <a:off x="7552765" y="1748118"/>
          <a:ext cx="3630706" cy="4807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44823</xdr:colOff>
      <xdr:row>20</xdr:row>
      <xdr:rowOff>22412</xdr:rowOff>
    </xdr:from>
    <xdr:to>
      <xdr:col>10</xdr:col>
      <xdr:colOff>649942</xdr:colOff>
      <xdr:row>38</xdr:row>
      <xdr:rowOff>0</xdr:rowOff>
    </xdr:to>
    <xdr:cxnSp macro="">
      <xdr:nvCxnSpPr>
        <xdr:cNvPr id="10" name="Conector de Seta Reta 9">
          <a:extLst>
            <a:ext uri="{FF2B5EF4-FFF2-40B4-BE49-F238E27FC236}">
              <a16:creationId xmlns:a16="http://schemas.microsoft.com/office/drawing/2014/main" id="{5CCDC2F8-52B4-4369-B9A2-78B073F79BE9}"/>
            </a:ext>
          </a:extLst>
        </xdr:cNvPr>
        <xdr:cNvCxnSpPr/>
      </xdr:nvCxnSpPr>
      <xdr:spPr>
        <a:xfrm>
          <a:off x="7586382" y="3854824"/>
          <a:ext cx="3507442" cy="34738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168088</xdr:colOff>
      <xdr:row>0</xdr:row>
      <xdr:rowOff>112059</xdr:rowOff>
    </xdr:from>
    <xdr:to>
      <xdr:col>9</xdr:col>
      <xdr:colOff>680357</xdr:colOff>
      <xdr:row>17</xdr:row>
      <xdr:rowOff>78441</xdr:rowOff>
    </xdr:to>
    <xdr:sp macro="" textlink="">
      <xdr:nvSpPr>
        <xdr:cNvPr id="2" name="CaixaDeTexto 1">
          <a:extLst>
            <a:ext uri="{FF2B5EF4-FFF2-40B4-BE49-F238E27FC236}">
              <a16:creationId xmlns:a16="http://schemas.microsoft.com/office/drawing/2014/main" id="{2B0EF02A-3F6D-4BD0-8990-BE3C529ED123}"/>
            </a:ext>
          </a:extLst>
        </xdr:cNvPr>
        <xdr:cNvSpPr txBox="1"/>
      </xdr:nvSpPr>
      <xdr:spPr>
        <a:xfrm>
          <a:off x="168088" y="112059"/>
          <a:ext cx="6431376" cy="3245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a:t>8. A empresa Bahia Madero Ltda, estabelecida na </a:t>
          </a:r>
          <a:r>
            <a:rPr lang="pt-BR" sz="1400" b="1" u="sng"/>
            <a:t>cidade do Rio de Janeiro</a:t>
          </a:r>
          <a:r>
            <a:rPr lang="pt-BR" sz="1400"/>
            <a:t>, realizou importação de </a:t>
          </a:r>
          <a:r>
            <a:rPr lang="pt-BR" sz="1400" b="1" u="sng">
              <a:solidFill>
                <a:srgbClr val="FF0000"/>
              </a:solidFill>
            </a:rPr>
            <a:t>decantadores de vinho</a:t>
          </a:r>
          <a:r>
            <a:rPr lang="pt-BR" sz="1400"/>
            <a:t>, diretamente da Itália. </a:t>
          </a:r>
        </a:p>
        <a:p>
          <a:endParaRPr lang="pt-BR" sz="1400"/>
        </a:p>
        <a:p>
          <a:r>
            <a:rPr lang="pt-BR" sz="1400"/>
            <a:t>As </a:t>
          </a:r>
          <a:r>
            <a:rPr lang="pt-BR" sz="1400" b="1" u="sng"/>
            <a:t>mercadorias importadas, classificação Fiscal 7013.42.90</a:t>
          </a:r>
          <a:r>
            <a:rPr lang="pt-BR" sz="1400"/>
            <a:t>, foram desembaraçadas no Porto do Rio de Janeiro pelo valor total aduaneiro de US$ 240.000,00, em 18/02/2020, as mercadorias compreendem 1000 unidades(peças): </a:t>
          </a:r>
        </a:p>
        <a:p>
          <a:endParaRPr lang="pt-BR" sz="1400"/>
        </a:p>
        <a:p>
          <a:r>
            <a:rPr lang="pt-BR" sz="1400">
              <a:solidFill>
                <a:srgbClr val="FF0000"/>
              </a:solidFill>
            </a:rPr>
            <a:t>• Alíquota </a:t>
          </a:r>
          <a:r>
            <a:rPr lang="pt-BR" sz="1400" b="1">
              <a:solidFill>
                <a:srgbClr val="FF0000"/>
              </a:solidFill>
            </a:rPr>
            <a:t>do IC</a:t>
          </a:r>
          <a:r>
            <a:rPr lang="pt-BR" sz="1400" b="1" u="sng">
              <a:solidFill>
                <a:srgbClr val="FF0000"/>
              </a:solidFill>
            </a:rPr>
            <a:t>MS é de 19% nas operações internas</a:t>
          </a:r>
          <a:r>
            <a:rPr lang="pt-BR" sz="1400" b="1">
              <a:solidFill>
                <a:srgbClr val="FF0000"/>
              </a:solidFill>
            </a:rPr>
            <a:t>; </a:t>
          </a:r>
        </a:p>
        <a:p>
          <a:endParaRPr lang="pt-BR" sz="1400" b="1">
            <a:solidFill>
              <a:srgbClr val="FF0000"/>
            </a:solidFill>
          </a:endParaRPr>
        </a:p>
        <a:p>
          <a:r>
            <a:rPr lang="pt-BR" sz="1400">
              <a:solidFill>
                <a:srgbClr val="FF0000"/>
              </a:solidFill>
            </a:rPr>
            <a:t>• Utilize o simulador da Receita Federal para apurar os tributos incidentes sobre a importação. </a:t>
          </a:r>
        </a:p>
        <a:p>
          <a:endParaRPr lang="pt-BR" sz="1400">
            <a:solidFill>
              <a:srgbClr val="FF0000"/>
            </a:solidFill>
          </a:endParaRPr>
        </a:p>
        <a:p>
          <a:r>
            <a:rPr lang="pt-BR" sz="1400">
              <a:solidFill>
                <a:srgbClr val="FF0000"/>
              </a:solidFill>
            </a:rPr>
            <a:t>• Apure os tributos incidente</a:t>
          </a:r>
          <a:r>
            <a:rPr lang="pt-BR" sz="1400" baseline="0">
              <a:solidFill>
                <a:srgbClr val="FF0000"/>
              </a:solidFill>
            </a:rPr>
            <a:t> </a:t>
          </a:r>
          <a:r>
            <a:rPr lang="pt-BR" sz="1400">
              <a:solidFill>
                <a:srgbClr val="FF0000"/>
              </a:solidFill>
            </a:rPr>
            <a:t>na importação</a:t>
          </a:r>
        </a:p>
      </xdr:txBody>
    </xdr:sp>
    <xdr:clientData/>
  </xdr:twoCellAnchor>
  <xdr:twoCellAnchor editAs="oneCell">
    <xdr:from>
      <xdr:col>20</xdr:col>
      <xdr:colOff>625928</xdr:colOff>
      <xdr:row>4</xdr:row>
      <xdr:rowOff>137865</xdr:rowOff>
    </xdr:from>
    <xdr:to>
      <xdr:col>34</xdr:col>
      <xdr:colOff>492416</xdr:colOff>
      <xdr:row>31</xdr:row>
      <xdr:rowOff>171482</xdr:rowOff>
    </xdr:to>
    <xdr:pic>
      <xdr:nvPicPr>
        <xdr:cNvPr id="3" name="Imagem 2">
          <a:extLst>
            <a:ext uri="{FF2B5EF4-FFF2-40B4-BE49-F238E27FC236}">
              <a16:creationId xmlns:a16="http://schemas.microsoft.com/office/drawing/2014/main" id="{9D818ECB-7601-4AF7-8CD3-0AB51E7EFB96}"/>
            </a:ext>
          </a:extLst>
        </xdr:cNvPr>
        <xdr:cNvPicPr>
          <a:picLocks noChangeAspect="1"/>
        </xdr:cNvPicPr>
      </xdr:nvPicPr>
      <xdr:blipFill>
        <a:blip xmlns:r="http://schemas.openxmlformats.org/officeDocument/2006/relationships" r:embed="rId1"/>
        <a:stretch>
          <a:fillRect/>
        </a:stretch>
      </xdr:blipFill>
      <xdr:spPr>
        <a:xfrm>
          <a:off x="19294928" y="845436"/>
          <a:ext cx="8751951" cy="4850546"/>
        </a:xfrm>
        <a:prstGeom prst="rect">
          <a:avLst/>
        </a:prstGeom>
      </xdr:spPr>
    </xdr:pic>
    <xdr:clientData/>
  </xdr:twoCellAnchor>
  <xdr:twoCellAnchor>
    <xdr:from>
      <xdr:col>0</xdr:col>
      <xdr:colOff>186018</xdr:colOff>
      <xdr:row>18</xdr:row>
      <xdr:rowOff>108858</xdr:rowOff>
    </xdr:from>
    <xdr:to>
      <xdr:col>10</xdr:col>
      <xdr:colOff>0</xdr:colOff>
      <xdr:row>62</xdr:row>
      <xdr:rowOff>176893</xdr:rowOff>
    </xdr:to>
    <xdr:sp macro="" textlink="">
      <xdr:nvSpPr>
        <xdr:cNvPr id="4" name="CaixaDeTexto 3">
          <a:extLst>
            <a:ext uri="{FF2B5EF4-FFF2-40B4-BE49-F238E27FC236}">
              <a16:creationId xmlns:a16="http://schemas.microsoft.com/office/drawing/2014/main" id="{59ADF8CA-5849-47A1-9C91-27DB0DAE8C2E}"/>
            </a:ext>
          </a:extLst>
        </xdr:cNvPr>
        <xdr:cNvSpPr txBox="1"/>
      </xdr:nvSpPr>
      <xdr:spPr>
        <a:xfrm>
          <a:off x="186018" y="3578679"/>
          <a:ext cx="5937196" cy="847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a:t>Em seguida, a i</a:t>
          </a:r>
          <a:r>
            <a:rPr lang="pt-BR" sz="1400" b="1" u="sng"/>
            <a:t>mportadora promoveu a saída destas mercadorias para lojas estabelecidas em shopping centers que comercializam artigos importados adquiridos no mercado interno</a:t>
          </a:r>
          <a:r>
            <a:rPr lang="pt-BR" sz="1400"/>
            <a:t>. </a:t>
          </a:r>
        </a:p>
        <a:p>
          <a:endParaRPr lang="pt-BR" sz="1400"/>
        </a:p>
        <a:p>
          <a:r>
            <a:rPr lang="pt-BR" sz="1400"/>
            <a:t>a) A empresa realizou a seguintes vendas dos produtos adquiridos; </a:t>
          </a:r>
        </a:p>
        <a:p>
          <a:pPr lvl="1"/>
          <a:r>
            <a:rPr lang="pt-BR" sz="1400"/>
            <a:t>• 250 unidades, Bahia Madero Ltda (RJ) vendidas </a:t>
          </a:r>
          <a:r>
            <a:rPr lang="pt-BR" sz="1400" b="1" u="sng">
              <a:solidFill>
                <a:srgbClr val="FF0000"/>
              </a:solidFill>
            </a:rPr>
            <a:t>para Indústria </a:t>
          </a:r>
          <a:r>
            <a:rPr lang="pt-BR" sz="1400"/>
            <a:t>de Vidros e Pinturas de </a:t>
          </a:r>
          <a:r>
            <a:rPr lang="pt-BR" sz="1400" b="1" u="sng"/>
            <a:t>vidros (RJ), irá </a:t>
          </a:r>
          <a:r>
            <a:rPr lang="pt-BR" sz="1400"/>
            <a:t>realizar a pintura das peças e revender a lojas de vinhos;</a:t>
          </a:r>
        </a:p>
        <a:p>
          <a:pPr lvl="1"/>
          <a:r>
            <a:rPr lang="pt-BR" sz="1400"/>
            <a:t> • 300 unidades, Bahia Madero Ltda (RJ) vendidas para a </a:t>
          </a:r>
          <a:r>
            <a:rPr lang="pt-BR" sz="1400" b="1" u="sng">
              <a:solidFill>
                <a:srgbClr val="FF0000"/>
              </a:solidFill>
            </a:rPr>
            <a:t>Loja Comercial </a:t>
          </a:r>
          <a:r>
            <a:rPr lang="pt-BR" sz="1400"/>
            <a:t>de </a:t>
          </a:r>
          <a:r>
            <a:rPr lang="pt-BR" sz="1400" b="1"/>
            <a:t>Vinhos Uva verde (SP); </a:t>
          </a:r>
        </a:p>
        <a:p>
          <a:pPr lvl="1"/>
          <a:r>
            <a:rPr lang="pt-BR" sz="1400"/>
            <a:t>• 150 unidades, </a:t>
          </a:r>
          <a:r>
            <a:rPr lang="pt-BR" sz="1400" b="1"/>
            <a:t>Bahia Madero Ltda (RJ)</a:t>
          </a:r>
          <a:r>
            <a:rPr lang="pt-BR" sz="1400"/>
            <a:t> vendidas para </a:t>
          </a:r>
          <a:r>
            <a:rPr lang="pt-BR" sz="1400">
              <a:solidFill>
                <a:srgbClr val="FF0000"/>
              </a:solidFill>
            </a:rPr>
            <a:t>Loja </a:t>
          </a:r>
          <a:r>
            <a:rPr lang="pt-BR" sz="1200">
              <a:solidFill>
                <a:srgbClr val="FF0000"/>
              </a:solidFill>
            </a:rPr>
            <a:t>Comercial de Vinhos</a:t>
          </a:r>
          <a:r>
            <a:rPr lang="pt-BR" sz="1200"/>
            <a:t> </a:t>
          </a:r>
          <a:r>
            <a:rPr lang="pt-BR" sz="1200" b="1"/>
            <a:t>dos Sertã</a:t>
          </a:r>
          <a:r>
            <a:rPr lang="pt-BR" sz="1400" b="1"/>
            <a:t>o (PB);</a:t>
          </a:r>
        </a:p>
        <a:p>
          <a:pPr lvl="1"/>
          <a:r>
            <a:rPr lang="pt-BR" sz="1400"/>
            <a:t>• 250 unidades, </a:t>
          </a:r>
          <a:r>
            <a:rPr lang="pt-BR" sz="1400" b="1"/>
            <a:t>Bahia Madero Ltda (RJ) </a:t>
          </a:r>
          <a:r>
            <a:rPr lang="pt-BR" sz="1400"/>
            <a:t>vendidas para </a:t>
          </a:r>
          <a:r>
            <a:rPr lang="pt-BR" sz="1400">
              <a:solidFill>
                <a:srgbClr val="FF0000"/>
              </a:solidFill>
            </a:rPr>
            <a:t>Empório Bebidas Finas </a:t>
          </a:r>
          <a:r>
            <a:rPr lang="pt-BR" sz="1400" b="1"/>
            <a:t>(MS); </a:t>
          </a:r>
        </a:p>
        <a:p>
          <a:pPr lvl="1"/>
          <a:r>
            <a:rPr lang="pt-BR" sz="1400"/>
            <a:t>• 50 unidades, Bahia </a:t>
          </a:r>
          <a:r>
            <a:rPr lang="pt-BR" sz="1400" b="1"/>
            <a:t>Madero Ltda (RJ) </a:t>
          </a:r>
          <a:r>
            <a:rPr lang="pt-BR" sz="1400"/>
            <a:t>vendidas, pela internet para </a:t>
          </a:r>
          <a:r>
            <a:rPr lang="pt-BR" sz="1400" b="1">
              <a:solidFill>
                <a:srgbClr val="FF0000"/>
              </a:solidFill>
            </a:rPr>
            <a:t>consumidores finais </a:t>
          </a:r>
          <a:r>
            <a:rPr lang="pt-BR" sz="1400" b="1"/>
            <a:t>(RJ). </a:t>
          </a:r>
        </a:p>
        <a:p>
          <a:endParaRPr lang="pt-BR" sz="1400"/>
        </a:p>
        <a:p>
          <a:r>
            <a:rPr lang="pt-BR" sz="1400"/>
            <a:t>• A margem praticada pela empresa é</a:t>
          </a:r>
          <a:r>
            <a:rPr lang="pt-BR" sz="1400" b="1" u="sng"/>
            <a:t> de 25%; </a:t>
          </a:r>
        </a:p>
        <a:p>
          <a:endParaRPr lang="pt-BR" sz="1400"/>
        </a:p>
        <a:p>
          <a:r>
            <a:rPr lang="pt-BR" sz="1400"/>
            <a:t>• A empresa é </a:t>
          </a:r>
          <a:r>
            <a:rPr lang="pt-BR" sz="1400" b="1" u="sng"/>
            <a:t>optante do lucro real </a:t>
          </a:r>
          <a:r>
            <a:rPr lang="pt-BR" sz="1400"/>
            <a:t>(1,65% de PIS e 7,6% de Cofins); </a:t>
          </a:r>
        </a:p>
        <a:p>
          <a:endParaRPr lang="pt-BR" sz="1400"/>
        </a:p>
        <a:p>
          <a:r>
            <a:rPr lang="pt-BR" sz="1400"/>
            <a:t>• Na formação do preço de revenda das mercadorias, a Bahia Madero Ltda considerou o valor de R$ </a:t>
          </a:r>
          <a:r>
            <a:rPr lang="pt-BR" sz="1400" b="1" u="sng"/>
            <a:t>35,00 de frete. </a:t>
          </a:r>
        </a:p>
        <a:p>
          <a:endParaRPr lang="pt-BR" sz="1400"/>
        </a:p>
        <a:p>
          <a:r>
            <a:rPr lang="pt-BR" sz="1400"/>
            <a:t>Face ao exposto, pede-se: </a:t>
          </a:r>
        </a:p>
        <a:p>
          <a:endParaRPr lang="pt-BR" sz="1400"/>
        </a:p>
        <a:p>
          <a:r>
            <a:rPr lang="pt-BR" sz="1400"/>
            <a:t>• Determine o </a:t>
          </a:r>
          <a:r>
            <a:rPr lang="pt-BR" sz="1400" b="1"/>
            <a:t>preço de venda </a:t>
          </a:r>
          <a:r>
            <a:rPr lang="pt-BR" sz="1400"/>
            <a:t>na </a:t>
          </a:r>
          <a:r>
            <a:rPr lang="pt-BR" sz="1400" b="1" u="sng"/>
            <a:t>saída das mercadorias importadas</a:t>
          </a:r>
          <a:r>
            <a:rPr lang="pt-BR" sz="1400"/>
            <a:t>; </a:t>
          </a:r>
        </a:p>
        <a:p>
          <a:endParaRPr lang="pt-BR" sz="1400"/>
        </a:p>
        <a:p>
          <a:r>
            <a:rPr lang="pt-BR" sz="1400"/>
            <a:t>• Efetue a apuração dos tributos ao final do período de apuração, considerando que a Bahia Madero Ltda promoveu a saída de toda a mercadoria importada; </a:t>
          </a:r>
        </a:p>
        <a:p>
          <a:endParaRPr lang="pt-BR" sz="1400"/>
        </a:p>
        <a:p>
          <a:r>
            <a:rPr lang="pt-BR" sz="1400"/>
            <a:t>• Elabore a DRE da Bahia Madero;</a:t>
          </a:r>
          <a:endParaRPr lang="pt-BR" sz="1400">
            <a:solidFill>
              <a:srgbClr val="FF0000"/>
            </a:solidFill>
          </a:endParaRPr>
        </a:p>
      </xdr:txBody>
    </xdr:sp>
    <xdr:clientData/>
  </xdr:twoCellAnchor>
  <xdr:twoCellAnchor>
    <xdr:from>
      <xdr:col>15</xdr:col>
      <xdr:colOff>1021352</xdr:colOff>
      <xdr:row>6</xdr:row>
      <xdr:rowOff>88989</xdr:rowOff>
    </xdr:from>
    <xdr:to>
      <xdr:col>16</xdr:col>
      <xdr:colOff>113112</xdr:colOff>
      <xdr:row>11</xdr:row>
      <xdr:rowOff>83346</xdr:rowOff>
    </xdr:to>
    <xdr:cxnSp macro="">
      <xdr:nvCxnSpPr>
        <xdr:cNvPr id="6" name="Conector: Angulado 5">
          <a:extLst>
            <a:ext uri="{FF2B5EF4-FFF2-40B4-BE49-F238E27FC236}">
              <a16:creationId xmlns:a16="http://schemas.microsoft.com/office/drawing/2014/main" id="{166FE847-00C5-4475-A7B1-C67D3AA2454C}"/>
            </a:ext>
          </a:extLst>
        </xdr:cNvPr>
        <xdr:cNvCxnSpPr/>
      </xdr:nvCxnSpPr>
      <xdr:spPr>
        <a:xfrm rot="16200000" flipH="1">
          <a:off x="12821585" y="1540413"/>
          <a:ext cx="899232" cy="139510"/>
        </a:xfrm>
        <a:prstGeom prst="bentConnector3">
          <a:avLst>
            <a:gd name="adj1" fmla="val 24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cosmos.bluesoft.com.br/ncms/20060000-produtos-horticolas-fruta-cascas-de-fruta-e-outras-partes-de-plantas-conservados-com-acucar-passados-por-calda-glaceados-ou-cristalizados" TargetMode="External"/><Relationship Id="rId2" Type="http://schemas.openxmlformats.org/officeDocument/2006/relationships/hyperlink" Target="https://cosmos.bluesoft.com.br/ncms/04012010-leite-uht-ultra-high-temperature" TargetMode="External"/><Relationship Id="rId1" Type="http://schemas.openxmlformats.org/officeDocument/2006/relationships/hyperlink" Target="https://cosmos.bluesoft.com.br/ncms/21069090-outras" TargetMode="External"/><Relationship Id="rId5" Type="http://schemas.openxmlformats.org/officeDocument/2006/relationships/drawing" Target="../drawings/drawing10.xml"/><Relationship Id="rId4"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3" Type="http://schemas.openxmlformats.org/officeDocument/2006/relationships/hyperlink" Target="https://cosmos.bluesoft.com.br/ncms/24039990-outros" TargetMode="External"/><Relationship Id="rId2" Type="http://schemas.openxmlformats.org/officeDocument/2006/relationships/hyperlink" Target="https://cosmos.bluesoft.com.br/ncms/12130000-palhas-e-cascas-de-cereais-em-bruto-mesmo-picadas-moidas-prensadas-ou-em-pellets" TargetMode="External"/><Relationship Id="rId1" Type="http://schemas.openxmlformats.org/officeDocument/2006/relationships/hyperlink" Target="https://cosmos.bluesoft.com.br/ncms/24039990-outros" TargetMode="External"/><Relationship Id="rId5" Type="http://schemas.openxmlformats.org/officeDocument/2006/relationships/drawing" Target="../drawings/drawing1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4.receita.fazenda.gov.br/simulador/Simulacao-tag.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07B97-C740-4281-9907-CA9284F7CABE}">
  <dimension ref="A1"/>
  <sheetViews>
    <sheetView zoomScale="175" zoomScaleNormal="175" workbookViewId="0">
      <selection activeCell="A16" sqref="A16"/>
    </sheetView>
  </sheetViews>
  <sheetFormatPr defaultRowHeight="14.4" x14ac:dyDescent="0.3"/>
  <sheetData/>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9D3F-2427-4E5B-9F30-3425C613DD94}">
  <dimension ref="B15:N44"/>
  <sheetViews>
    <sheetView topLeftCell="A11" zoomScale="130" zoomScaleNormal="130" workbookViewId="0">
      <selection activeCell="I11" sqref="I11"/>
    </sheetView>
  </sheetViews>
  <sheetFormatPr defaultRowHeight="14.4" x14ac:dyDescent="0.3"/>
  <cols>
    <col min="2" max="2" width="23.33203125" bestFit="1" customWidth="1"/>
    <col min="3" max="3" width="10" bestFit="1" customWidth="1"/>
    <col min="4" max="4" width="7.33203125" bestFit="1" customWidth="1"/>
    <col min="5" max="5" width="12.33203125" bestFit="1" customWidth="1"/>
    <col min="6" max="6" width="10.5546875" bestFit="1" customWidth="1"/>
    <col min="7" max="7" width="14.88671875" bestFit="1" customWidth="1"/>
    <col min="8" max="8" width="10" bestFit="1" customWidth="1"/>
    <col min="9" max="9" width="12.6640625" style="95" bestFit="1" customWidth="1"/>
    <col min="10" max="11" width="10.77734375" bestFit="1" customWidth="1"/>
    <col min="12" max="12" width="11.109375" bestFit="1" customWidth="1"/>
    <col min="14" max="14" width="10.5546875" bestFit="1" customWidth="1"/>
  </cols>
  <sheetData>
    <row r="15" ht="22.5" customHeight="1" x14ac:dyDescent="0.3"/>
    <row r="17" spans="2:14" ht="15" thickBot="1" x14ac:dyDescent="0.35">
      <c r="B17" s="74" t="s">
        <v>115</v>
      </c>
      <c r="C17" s="96" t="s">
        <v>14</v>
      </c>
      <c r="D17" s="96" t="s">
        <v>121</v>
      </c>
      <c r="E17" s="96" t="s">
        <v>15</v>
      </c>
      <c r="F17" s="96" t="s">
        <v>19</v>
      </c>
      <c r="G17" s="96" t="s">
        <v>167</v>
      </c>
      <c r="H17" s="96" t="s">
        <v>1</v>
      </c>
      <c r="I17" s="96" t="s">
        <v>163</v>
      </c>
      <c r="J17" s="96"/>
    </row>
    <row r="18" spans="2:14" x14ac:dyDescent="0.3">
      <c r="B18" s="40" t="s">
        <v>116</v>
      </c>
      <c r="C18" s="4">
        <v>7000</v>
      </c>
      <c r="D18" s="5">
        <v>0.78</v>
      </c>
      <c r="E18" s="97">
        <f>D18*C18</f>
        <v>5460</v>
      </c>
      <c r="F18" s="6">
        <v>0</v>
      </c>
      <c r="G18" s="4">
        <f>E18*F18</f>
        <v>0</v>
      </c>
      <c r="H18" s="178">
        <v>0</v>
      </c>
      <c r="I18" s="133" t="s">
        <v>128</v>
      </c>
      <c r="J18" s="6" t="s">
        <v>123</v>
      </c>
      <c r="L18" s="10"/>
    </row>
    <row r="19" spans="2:14" x14ac:dyDescent="0.3">
      <c r="B19" s="40" t="s">
        <v>166</v>
      </c>
      <c r="C19" s="4">
        <v>500</v>
      </c>
      <c r="D19" s="5">
        <v>2.8</v>
      </c>
      <c r="E19" s="97">
        <f t="shared" ref="E19:E23" si="0">D19*C19</f>
        <v>1400</v>
      </c>
      <c r="F19" s="6">
        <v>0.18</v>
      </c>
      <c r="G19" s="4">
        <f t="shared" ref="G19:G24" si="1">E19*F19</f>
        <v>252</v>
      </c>
      <c r="H19" s="178">
        <v>0</v>
      </c>
      <c r="I19" s="134" t="s">
        <v>124</v>
      </c>
      <c r="J19" s="6">
        <v>0</v>
      </c>
      <c r="L19" s="10"/>
    </row>
    <row r="20" spans="2:14" x14ac:dyDescent="0.3">
      <c r="B20" s="40" t="s">
        <v>117</v>
      </c>
      <c r="C20" s="4">
        <v>200</v>
      </c>
      <c r="D20" s="5">
        <v>15.7</v>
      </c>
      <c r="E20" s="97">
        <f t="shared" si="0"/>
        <v>3140</v>
      </c>
      <c r="F20" s="6">
        <v>0.18</v>
      </c>
      <c r="G20" s="4">
        <f t="shared" si="1"/>
        <v>565.19999999999993</v>
      </c>
      <c r="H20" s="178">
        <v>0</v>
      </c>
      <c r="I20" s="134" t="s">
        <v>125</v>
      </c>
      <c r="J20" s="6">
        <v>0</v>
      </c>
      <c r="K20" s="101" t="s">
        <v>164</v>
      </c>
      <c r="L20" s="132">
        <f>SUM(E19:E23)</f>
        <v>41890</v>
      </c>
      <c r="M20">
        <v>0.18</v>
      </c>
      <c r="N20" s="3">
        <f>L20*M20</f>
        <v>7540.2</v>
      </c>
    </row>
    <row r="21" spans="2:14" x14ac:dyDescent="0.3">
      <c r="B21" s="40" t="s">
        <v>118</v>
      </c>
      <c r="C21" s="4">
        <v>3000</v>
      </c>
      <c r="D21" s="5">
        <v>3.7</v>
      </c>
      <c r="E21" s="97">
        <f t="shared" si="0"/>
        <v>11100</v>
      </c>
      <c r="F21" s="6">
        <v>0.18</v>
      </c>
      <c r="G21" s="4">
        <f t="shared" si="1"/>
        <v>1998</v>
      </c>
      <c r="H21" s="178">
        <v>0</v>
      </c>
      <c r="I21" s="134" t="s">
        <v>126</v>
      </c>
      <c r="J21" s="6">
        <v>0</v>
      </c>
      <c r="L21" s="10"/>
      <c r="N21" s="3"/>
    </row>
    <row r="22" spans="2:14" x14ac:dyDescent="0.3">
      <c r="B22" s="40" t="s">
        <v>119</v>
      </c>
      <c r="C22" s="4">
        <v>5</v>
      </c>
      <c r="D22" s="5">
        <v>750</v>
      </c>
      <c r="E22" s="97">
        <f t="shared" si="0"/>
        <v>3750</v>
      </c>
      <c r="F22" s="6">
        <v>0.18</v>
      </c>
      <c r="G22" s="4">
        <f t="shared" si="1"/>
        <v>675</v>
      </c>
      <c r="H22" s="178">
        <v>0</v>
      </c>
      <c r="I22" s="134" t="s">
        <v>127</v>
      </c>
      <c r="J22" s="6">
        <v>0</v>
      </c>
      <c r="L22" s="10"/>
    </row>
    <row r="23" spans="2:14" x14ac:dyDescent="0.3">
      <c r="B23" s="179" t="s">
        <v>120</v>
      </c>
      <c r="C23" s="89">
        <v>3</v>
      </c>
      <c r="D23" s="71">
        <v>7500</v>
      </c>
      <c r="E23" s="180">
        <f t="shared" si="0"/>
        <v>22500</v>
      </c>
      <c r="F23" s="181">
        <v>0.18</v>
      </c>
      <c r="G23" s="89">
        <f t="shared" si="1"/>
        <v>4050</v>
      </c>
      <c r="H23" s="89">
        <f>(E23/(1+0.05))*J23</f>
        <v>1071.4285714285713</v>
      </c>
      <c r="I23" s="182" t="s">
        <v>129</v>
      </c>
      <c r="J23" s="181">
        <v>0.05</v>
      </c>
      <c r="L23" s="10"/>
    </row>
    <row r="24" spans="2:14" x14ac:dyDescent="0.3">
      <c r="C24" s="4"/>
      <c r="D24" s="5"/>
      <c r="E24" s="97"/>
      <c r="F24" s="5"/>
      <c r="G24" s="5">
        <f t="shared" si="1"/>
        <v>0</v>
      </c>
      <c r="H24" s="5"/>
      <c r="I24" s="5"/>
      <c r="J24" s="5"/>
      <c r="L24" s="10"/>
    </row>
    <row r="25" spans="2:14" ht="15" thickBot="1" x14ac:dyDescent="0.35">
      <c r="B25" s="74" t="s">
        <v>15</v>
      </c>
      <c r="C25" s="98"/>
      <c r="D25" s="96"/>
      <c r="E25" s="99">
        <f>SUM(E18:E23)</f>
        <v>47350</v>
      </c>
      <c r="F25" s="100"/>
      <c r="G25" s="99">
        <f>SUM(G18:G23)</f>
        <v>7540.2</v>
      </c>
      <c r="H25" s="99">
        <f>SUM(H18:H23)</f>
        <v>1071.4285714285713</v>
      </c>
      <c r="I25" s="100"/>
      <c r="J25" s="100"/>
    </row>
    <row r="26" spans="2:14" x14ac:dyDescent="0.3">
      <c r="C26" s="2"/>
      <c r="E26">
        <f>E25/C27</f>
        <v>11.8375</v>
      </c>
      <c r="G26">
        <f>G25/$C$27</f>
        <v>1.8850499999999999</v>
      </c>
      <c r="H26">
        <f>H25/$C$27</f>
        <v>0.26785714285714285</v>
      </c>
      <c r="J26" s="95"/>
    </row>
    <row r="27" spans="2:14" x14ac:dyDescent="0.3">
      <c r="B27" t="s">
        <v>122</v>
      </c>
      <c r="C27" s="2">
        <v>4000</v>
      </c>
      <c r="D27" s="2">
        <v>12.25</v>
      </c>
      <c r="E27" s="2">
        <f>C27*D27</f>
        <v>49000</v>
      </c>
      <c r="F27">
        <f>E27/C27</f>
        <v>12.25</v>
      </c>
      <c r="G27" s="131" t="s">
        <v>22</v>
      </c>
      <c r="I27"/>
      <c r="J27" s="95"/>
    </row>
    <row r="28" spans="2:14" x14ac:dyDescent="0.3">
      <c r="B28" t="s">
        <v>11</v>
      </c>
      <c r="C28" s="135">
        <v>0.25</v>
      </c>
      <c r="E28" s="2">
        <f>E27*(+C28)</f>
        <v>12250</v>
      </c>
      <c r="F28" s="2">
        <f t="shared" ref="F28:F32" si="2">E28/$C$27</f>
        <v>3.0625</v>
      </c>
      <c r="G28" s="130" t="s">
        <v>161</v>
      </c>
      <c r="J28" s="3">
        <f>E29</f>
        <v>61250</v>
      </c>
      <c r="K28" s="3">
        <f>J28/(1-0.18)</f>
        <v>74695.121951219509</v>
      </c>
      <c r="L28" t="s">
        <v>185</v>
      </c>
      <c r="M28" s="1">
        <v>0.18</v>
      </c>
      <c r="N28" s="3">
        <f>K28*M28</f>
        <v>13445.121951219511</v>
      </c>
    </row>
    <row r="29" spans="2:14" x14ac:dyDescent="0.3">
      <c r="B29" t="s">
        <v>18</v>
      </c>
      <c r="E29" s="3">
        <f>E27+E28</f>
        <v>61250</v>
      </c>
      <c r="F29" s="2">
        <f t="shared" si="2"/>
        <v>15.3125</v>
      </c>
      <c r="J29" t="s">
        <v>184</v>
      </c>
    </row>
    <row r="30" spans="2:14" x14ac:dyDescent="0.3">
      <c r="B30" s="11" t="s">
        <v>130</v>
      </c>
      <c r="C30" s="183">
        <v>0.18</v>
      </c>
      <c r="D30" s="11"/>
      <c r="E30" s="13">
        <f>E29/(1-0.18)</f>
        <v>74695.121951219509</v>
      </c>
      <c r="F30" s="2">
        <f t="shared" si="2"/>
        <v>18.673780487804876</v>
      </c>
    </row>
    <row r="31" spans="2:14" x14ac:dyDescent="0.3">
      <c r="B31" s="22" t="s">
        <v>19</v>
      </c>
      <c r="C31" s="22"/>
      <c r="D31" s="153"/>
      <c r="E31" s="153">
        <f>E29/(1-0.18)*0.18</f>
        <v>13445.121951219511</v>
      </c>
      <c r="F31" s="2">
        <f t="shared" si="2"/>
        <v>3.3612804878048776</v>
      </c>
      <c r="G31" s="200" t="s">
        <v>162</v>
      </c>
      <c r="H31" s="3">
        <f>E31-N20</f>
        <v>5904.9219512195114</v>
      </c>
      <c r="I31" s="2">
        <f>H31/4000</f>
        <v>1.4762304878048778</v>
      </c>
    </row>
    <row r="32" spans="2:14" x14ac:dyDescent="0.3">
      <c r="B32" s="11" t="s">
        <v>1</v>
      </c>
      <c r="C32" s="183">
        <v>0.05</v>
      </c>
      <c r="D32" s="11"/>
      <c r="E32" s="13">
        <f>E30*C32</f>
        <v>3734.7560975609758</v>
      </c>
      <c r="F32" s="2">
        <f t="shared" si="2"/>
        <v>0.93368902439024393</v>
      </c>
      <c r="G32" s="200"/>
      <c r="I32" t="s">
        <v>132</v>
      </c>
    </row>
    <row r="33" spans="2:8" ht="15" thickBot="1" x14ac:dyDescent="0.35">
      <c r="B33" s="102" t="s">
        <v>131</v>
      </c>
      <c r="C33" s="102"/>
      <c r="D33" s="102"/>
      <c r="E33" s="103">
        <f>E30+E32</f>
        <v>78429.878048780491</v>
      </c>
      <c r="F33" s="143">
        <f>E33/$C$27</f>
        <v>19.607469512195124</v>
      </c>
      <c r="G33" s="21" t="s">
        <v>160</v>
      </c>
    </row>
    <row r="35" spans="2:8" x14ac:dyDescent="0.3">
      <c r="D35">
        <v>17</v>
      </c>
      <c r="G35" t="s">
        <v>169</v>
      </c>
      <c r="H35" s="3">
        <f>E32</f>
        <v>3734.7560975609758</v>
      </c>
    </row>
    <row r="36" spans="2:8" x14ac:dyDescent="0.3">
      <c r="C36" t="s">
        <v>1</v>
      </c>
      <c r="D36">
        <f>D35*5%</f>
        <v>0.85000000000000009</v>
      </c>
      <c r="G36" t="s">
        <v>182</v>
      </c>
      <c r="H36" s="3">
        <f>H23</f>
        <v>1071.4285714285713</v>
      </c>
    </row>
    <row r="37" spans="2:8" x14ac:dyDescent="0.3">
      <c r="C37" t="s">
        <v>18</v>
      </c>
      <c r="D37">
        <f>D35-D36</f>
        <v>16.149999999999999</v>
      </c>
      <c r="G37" s="11" t="s">
        <v>183</v>
      </c>
      <c r="H37" s="13">
        <f>H35-H36</f>
        <v>2663.3275261324043</v>
      </c>
    </row>
    <row r="38" spans="2:8" x14ac:dyDescent="0.3">
      <c r="C38" t="s">
        <v>19</v>
      </c>
      <c r="D38">
        <f>D37*0.18</f>
        <v>2.9069999999999996</v>
      </c>
    </row>
    <row r="39" spans="2:8" x14ac:dyDescent="0.3">
      <c r="D39">
        <f>D35-D36-D38</f>
        <v>13.242999999999999</v>
      </c>
    </row>
    <row r="40" spans="2:8" x14ac:dyDescent="0.3">
      <c r="C40" t="s">
        <v>64</v>
      </c>
      <c r="D40">
        <f>D35*0.25</f>
        <v>4.25</v>
      </c>
    </row>
    <row r="41" spans="2:8" x14ac:dyDescent="0.3">
      <c r="C41" t="s">
        <v>111</v>
      </c>
      <c r="D41">
        <f>D39-D40</f>
        <v>8.9929999999999986</v>
      </c>
    </row>
    <row r="42" spans="2:8" x14ac:dyDescent="0.3">
      <c r="C42" t="s">
        <v>168</v>
      </c>
      <c r="D42">
        <f>G26+H26</f>
        <v>2.1529071428571429</v>
      </c>
    </row>
    <row r="43" spans="2:8" x14ac:dyDescent="0.3">
      <c r="D43">
        <f>D41+D42</f>
        <v>11.145907142857141</v>
      </c>
    </row>
    <row r="44" spans="2:8" x14ac:dyDescent="0.3">
      <c r="D44" s="3">
        <f>D27-D43</f>
        <v>1.1040928571428594</v>
      </c>
    </row>
  </sheetData>
  <mergeCells count="1">
    <mergeCell ref="G31:G32"/>
  </mergeCells>
  <hyperlinks>
    <hyperlink ref="I22" r:id="rId1" display="https://cosmos.bluesoft.com.br/ncms/21069090-outras" xr:uid="{01DD03E8-545C-40D9-848D-2D09C34A4735}"/>
    <hyperlink ref="I18" r:id="rId2" display="https://cosmos.bluesoft.com.br/ncms/04012010-leite-uht-ultra-high-temperature" xr:uid="{2F8C4FC5-4C81-47B0-8141-01790DEFC95A}"/>
    <hyperlink ref="K20" r:id="rId3" display="https://cosmos.bluesoft.com.br/ncms/20060000-produtos-horticolas-fruta-cascas-de-fruta-e-outras-partes-de-plantas-conservados-com-acucar-passados-por-calda-glaceados-ou-cristalizados" xr:uid="{AD44D4E2-FF97-43F8-8C2F-C1448C04E2EE}"/>
  </hyperlinks>
  <pageMargins left="0.511811024" right="0.511811024" top="0.78740157499999996" bottom="0.78740157499999996" header="0.31496062000000002" footer="0.31496062000000002"/>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51EC-DA6A-4955-8227-31CD60D67B79}">
  <dimension ref="A15:T66"/>
  <sheetViews>
    <sheetView tabSelected="1" zoomScale="115" zoomScaleNormal="115" workbookViewId="0">
      <selection activeCell="G56" sqref="G56"/>
    </sheetView>
  </sheetViews>
  <sheetFormatPr defaultColWidth="3.109375" defaultRowHeight="14.4" x14ac:dyDescent="0.3"/>
  <cols>
    <col min="3" max="3" width="29" bestFit="1" customWidth="1"/>
    <col min="4" max="4" width="7" bestFit="1" customWidth="1"/>
    <col min="5" max="5" width="10.33203125" bestFit="1" customWidth="1"/>
    <col min="6" max="8" width="11.44140625" bestFit="1" customWidth="1"/>
    <col min="9" max="9" width="10.6640625" bestFit="1" customWidth="1"/>
    <col min="10" max="10" width="12.44140625" bestFit="1" customWidth="1"/>
    <col min="11" max="11" width="7" bestFit="1" customWidth="1"/>
    <col min="12" max="12" width="10.33203125" bestFit="1" customWidth="1"/>
    <col min="13" max="13" width="11.44140625" bestFit="1" customWidth="1"/>
    <col min="15" max="15" width="10.77734375" bestFit="1" customWidth="1"/>
  </cols>
  <sheetData>
    <row r="15" hidden="1" x14ac:dyDescent="0.3"/>
    <row r="16" hidden="1" x14ac:dyDescent="0.3"/>
    <row r="17" spans="1:20" hidden="1" x14ac:dyDescent="0.3"/>
    <row r="18" spans="1:20" hidden="1" x14ac:dyDescent="0.3"/>
    <row r="19" spans="1:20" hidden="1" x14ac:dyDescent="0.3"/>
    <row r="21" spans="1:20" ht="15" thickBot="1" x14ac:dyDescent="0.35">
      <c r="C21" s="74" t="s">
        <v>115</v>
      </c>
      <c r="D21" s="96" t="s">
        <v>14</v>
      </c>
      <c r="E21" s="96" t="s">
        <v>121</v>
      </c>
      <c r="F21" s="96" t="s">
        <v>15</v>
      </c>
      <c r="G21" s="96" t="s">
        <v>96</v>
      </c>
      <c r="H21" s="96" t="s">
        <v>18</v>
      </c>
      <c r="I21" s="96" t="s">
        <v>145</v>
      </c>
      <c r="J21" s="184" t="s">
        <v>73</v>
      </c>
      <c r="K21" s="136" t="s">
        <v>146</v>
      </c>
      <c r="L21" s="136" t="s">
        <v>147</v>
      </c>
      <c r="M21" s="96" t="s">
        <v>148</v>
      </c>
      <c r="N21" s="96"/>
      <c r="O21" s="96" t="s">
        <v>63</v>
      </c>
      <c r="P21" s="96"/>
      <c r="Q21" s="96"/>
      <c r="R21" s="96" t="s">
        <v>149</v>
      </c>
    </row>
    <row r="22" spans="1:20" x14ac:dyDescent="0.3">
      <c r="A22" t="s">
        <v>140</v>
      </c>
      <c r="C22" t="s">
        <v>139</v>
      </c>
      <c r="D22">
        <v>40000</v>
      </c>
      <c r="E22" s="2">
        <v>5.9</v>
      </c>
      <c r="F22" s="2">
        <f>D22*E22</f>
        <v>236000</v>
      </c>
      <c r="G22" s="1">
        <v>0.12</v>
      </c>
      <c r="H22" s="2">
        <f>F22/(1-G22)</f>
        <v>268181.81818181818</v>
      </c>
      <c r="I22" s="3">
        <f>G22*H22</f>
        <v>32181.81818181818</v>
      </c>
      <c r="J22" s="18">
        <f>H22</f>
        <v>268181.81818181818</v>
      </c>
      <c r="K22" s="137">
        <v>0.3</v>
      </c>
      <c r="L22" s="15">
        <f>J22*K22</f>
        <v>80454.545454545456</v>
      </c>
      <c r="M22" s="3">
        <f>L22+J22</f>
        <v>348636.36363636365</v>
      </c>
      <c r="O22" s="3">
        <f>H22*0.0925</f>
        <v>24806.81818181818</v>
      </c>
      <c r="R22" s="101" t="s">
        <v>133</v>
      </c>
      <c r="T22" s="1">
        <v>0.28999999999999998</v>
      </c>
    </row>
    <row r="23" spans="1:20" x14ac:dyDescent="0.3">
      <c r="A23" t="s">
        <v>141</v>
      </c>
      <c r="C23" t="s">
        <v>165</v>
      </c>
      <c r="D23">
        <v>50</v>
      </c>
      <c r="E23" s="2">
        <v>3.2</v>
      </c>
      <c r="F23" s="2">
        <f>D23*E23*150</f>
        <v>24000</v>
      </c>
      <c r="G23" s="1">
        <v>0.12</v>
      </c>
      <c r="H23" s="2">
        <f>F23/(1-G23)</f>
        <v>27272.727272727272</v>
      </c>
      <c r="I23" s="3">
        <f t="shared" ref="I23:I31" si="0">G23*H23</f>
        <v>3272.7272727272725</v>
      </c>
      <c r="J23" s="18">
        <f>H23</f>
        <v>27272.727272727272</v>
      </c>
      <c r="K23" s="137">
        <v>0.45</v>
      </c>
      <c r="L23" s="15">
        <f t="shared" ref="L23:L31" si="1">J23*K23</f>
        <v>12272.727272727272</v>
      </c>
      <c r="M23" s="3">
        <f t="shared" ref="M23:M31" si="2">L23+J23</f>
        <v>39545.454545454544</v>
      </c>
      <c r="O23" s="3">
        <f>H23*0.0925</f>
        <v>2522.7272727272725</v>
      </c>
      <c r="R23" t="s">
        <v>134</v>
      </c>
      <c r="T23" s="1">
        <v>0.25</v>
      </c>
    </row>
    <row r="24" spans="1:20" x14ac:dyDescent="0.3">
      <c r="E24" s="2"/>
      <c r="F24" s="2"/>
      <c r="H24" s="2"/>
      <c r="I24" s="3"/>
      <c r="J24" s="18"/>
      <c r="K24" s="137"/>
      <c r="L24" s="15"/>
      <c r="M24" s="3">
        <f t="shared" si="2"/>
        <v>0</v>
      </c>
      <c r="O24" s="3">
        <f t="shared" ref="O24:O26" si="3">H24*0.0925</f>
        <v>0</v>
      </c>
    </row>
    <row r="25" spans="1:20" x14ac:dyDescent="0.3">
      <c r="C25" t="s">
        <v>138</v>
      </c>
      <c r="D25">
        <v>15</v>
      </c>
      <c r="E25" s="2">
        <v>2.2000000000000002</v>
      </c>
      <c r="F25" s="2">
        <f>D25*1000*E25</f>
        <v>33000</v>
      </c>
      <c r="G25" s="1">
        <v>0.12</v>
      </c>
      <c r="H25" s="2">
        <f>F25/(1-G25)</f>
        <v>37500</v>
      </c>
      <c r="I25" s="3">
        <f t="shared" si="0"/>
        <v>4500</v>
      </c>
      <c r="J25" s="18">
        <f>H25</f>
        <v>37500</v>
      </c>
      <c r="K25" s="137">
        <v>0.3</v>
      </c>
      <c r="L25" s="15">
        <f t="shared" si="1"/>
        <v>11250</v>
      </c>
      <c r="M25" s="3">
        <f t="shared" si="2"/>
        <v>48750</v>
      </c>
      <c r="O25" s="3">
        <f>H25*0.0925</f>
        <v>3468.75</v>
      </c>
      <c r="R25" s="101" t="s">
        <v>133</v>
      </c>
    </row>
    <row r="26" spans="1:20" x14ac:dyDescent="0.3">
      <c r="C26" t="s">
        <v>136</v>
      </c>
      <c r="D26">
        <v>50000</v>
      </c>
      <c r="E26" s="2">
        <v>0.03</v>
      </c>
      <c r="F26" s="2">
        <f t="shared" ref="F26:F27" si="4">D26*E26</f>
        <v>1500</v>
      </c>
      <c r="G26" s="1">
        <v>0.12</v>
      </c>
      <c r="H26" s="2">
        <f>F26/(1-G26)</f>
        <v>1704.5454545454545</v>
      </c>
      <c r="I26" s="3">
        <f t="shared" si="0"/>
        <v>204.54545454545453</v>
      </c>
      <c r="J26" s="18">
        <f>H26</f>
        <v>1704.5454545454545</v>
      </c>
      <c r="K26" s="137">
        <v>0</v>
      </c>
      <c r="L26" s="15">
        <f t="shared" si="1"/>
        <v>0</v>
      </c>
      <c r="M26" s="3">
        <f t="shared" si="2"/>
        <v>1704.5454545454545</v>
      </c>
      <c r="O26" s="3">
        <f t="shared" si="3"/>
        <v>157.67045454545453</v>
      </c>
      <c r="R26" s="101" t="s">
        <v>135</v>
      </c>
      <c r="S26" t="s">
        <v>123</v>
      </c>
    </row>
    <row r="27" spans="1:20" x14ac:dyDescent="0.3">
      <c r="C27" t="s">
        <v>137</v>
      </c>
      <c r="D27">
        <v>10</v>
      </c>
      <c r="E27" s="2">
        <v>3750</v>
      </c>
      <c r="F27" s="2">
        <f t="shared" si="4"/>
        <v>37500</v>
      </c>
      <c r="G27" s="1">
        <v>0.18</v>
      </c>
      <c r="H27" s="2">
        <f>F27/(1-G27)</f>
        <v>45731.707317073167</v>
      </c>
      <c r="I27" s="3">
        <f t="shared" si="0"/>
        <v>8231.7073170731692</v>
      </c>
      <c r="J27" s="18">
        <f>H27</f>
        <v>45731.707317073167</v>
      </c>
      <c r="K27" s="138">
        <v>0.05</v>
      </c>
      <c r="L27" s="15">
        <f t="shared" si="1"/>
        <v>2286.5853658536585</v>
      </c>
      <c r="M27" s="3">
        <f t="shared" si="2"/>
        <v>48018.292682926825</v>
      </c>
      <c r="O27" s="3">
        <f>H27*0.0925</f>
        <v>4230.1829268292677</v>
      </c>
      <c r="R27" s="6" t="s">
        <v>129</v>
      </c>
    </row>
    <row r="28" spans="1:20" x14ac:dyDescent="0.3">
      <c r="E28" s="2"/>
      <c r="F28" s="2"/>
      <c r="H28" s="2"/>
      <c r="I28" s="3"/>
      <c r="J28" s="18"/>
      <c r="L28" s="3"/>
      <c r="M28" s="3">
        <f t="shared" si="2"/>
        <v>0</v>
      </c>
      <c r="O28" s="3">
        <f>SUM(O22:O27)</f>
        <v>35186.148835920176</v>
      </c>
    </row>
    <row r="29" spans="1:20" x14ac:dyDescent="0.3">
      <c r="E29" s="2"/>
      <c r="F29" s="2"/>
      <c r="H29" s="2"/>
      <c r="I29" s="3"/>
      <c r="J29" s="18"/>
      <c r="L29" s="3"/>
      <c r="M29" s="3">
        <f t="shared" si="2"/>
        <v>0</v>
      </c>
    </row>
    <row r="30" spans="1:20" x14ac:dyDescent="0.3">
      <c r="C30" t="s">
        <v>150</v>
      </c>
      <c r="D30">
        <v>12000</v>
      </c>
      <c r="E30" s="2">
        <v>5.5</v>
      </c>
      <c r="F30" s="2">
        <f>D30*E30</f>
        <v>66000</v>
      </c>
      <c r="G30" s="17">
        <v>0.3</v>
      </c>
      <c r="H30" s="2">
        <f>F30/(1-G30)</f>
        <v>94285.71428571429</v>
      </c>
      <c r="I30" s="3">
        <f>G30*H30</f>
        <v>28285.714285714286</v>
      </c>
      <c r="J30" s="18">
        <f>H30</f>
        <v>94285.71428571429</v>
      </c>
      <c r="L30" s="3">
        <f t="shared" si="1"/>
        <v>0</v>
      </c>
      <c r="M30" s="3">
        <f t="shared" si="2"/>
        <v>94285.71428571429</v>
      </c>
    </row>
    <row r="31" spans="1:20" x14ac:dyDescent="0.3">
      <c r="C31" s="11" t="s">
        <v>151</v>
      </c>
      <c r="D31">
        <v>5000</v>
      </c>
      <c r="E31" s="2">
        <v>3.8</v>
      </c>
      <c r="F31" s="2">
        <f>D31*E31</f>
        <v>19000</v>
      </c>
      <c r="G31" s="17">
        <v>0.3</v>
      </c>
      <c r="H31" s="2">
        <f>F31/(1-G31)</f>
        <v>27142.857142857145</v>
      </c>
      <c r="I31" s="3">
        <f t="shared" si="0"/>
        <v>8142.8571428571431</v>
      </c>
      <c r="J31" s="18">
        <f t="shared" ref="J31" si="5">H31</f>
        <v>27142.857142857145</v>
      </c>
      <c r="L31" s="3">
        <f t="shared" si="1"/>
        <v>0</v>
      </c>
      <c r="M31" s="3">
        <f t="shared" si="2"/>
        <v>27142.857142857145</v>
      </c>
    </row>
    <row r="32" spans="1:20" x14ac:dyDescent="0.3">
      <c r="E32" s="2"/>
      <c r="F32" s="2"/>
      <c r="H32" s="2"/>
    </row>
    <row r="33" spans="3:10" x14ac:dyDescent="0.3">
      <c r="I33" s="2"/>
      <c r="J33" s="2"/>
    </row>
    <row r="34" spans="3:10" x14ac:dyDescent="0.3">
      <c r="C34" t="s">
        <v>152</v>
      </c>
      <c r="E34" s="3">
        <f>E30</f>
        <v>5.5</v>
      </c>
      <c r="F34" s="3">
        <f>E31</f>
        <v>3.8</v>
      </c>
      <c r="I34" s="2"/>
      <c r="J34" s="2"/>
    </row>
    <row r="35" spans="3:10" x14ac:dyDescent="0.3">
      <c r="C35" t="s">
        <v>153</v>
      </c>
      <c r="E35" s="1">
        <v>0.3</v>
      </c>
      <c r="F35" s="1">
        <v>0.3</v>
      </c>
      <c r="I35" s="2"/>
      <c r="J35" s="2"/>
    </row>
    <row r="36" spans="3:10" x14ac:dyDescent="0.3">
      <c r="C36" s="11" t="s">
        <v>19</v>
      </c>
      <c r="D36" s="11"/>
      <c r="E36" s="13">
        <f>E34*E35</f>
        <v>1.65</v>
      </c>
      <c r="F36" s="13">
        <f>F34*F35</f>
        <v>1.1399999999999999</v>
      </c>
      <c r="I36" s="2"/>
      <c r="J36" s="2"/>
    </row>
    <row r="38" spans="3:10" x14ac:dyDescent="0.3">
      <c r="C38" s="113" t="s">
        <v>18</v>
      </c>
      <c r="D38" s="113"/>
      <c r="E38" s="114">
        <f>E34</f>
        <v>5.5</v>
      </c>
      <c r="F38" s="114">
        <f>E31</f>
        <v>3.8</v>
      </c>
    </row>
    <row r="39" spans="3:10" x14ac:dyDescent="0.3">
      <c r="C39" t="s">
        <v>156</v>
      </c>
      <c r="D39" s="1">
        <v>0.15</v>
      </c>
      <c r="E39" s="3">
        <f>E38*D39</f>
        <v>0.82499999999999996</v>
      </c>
      <c r="F39" s="3">
        <f>F38*D39</f>
        <v>0.56999999999999995</v>
      </c>
    </row>
    <row r="40" spans="3:10" ht="15" thickBot="1" x14ac:dyDescent="0.35">
      <c r="D40" s="12">
        <v>0.66500000000000004</v>
      </c>
      <c r="E40" s="18">
        <f>E39*D40</f>
        <v>0.54862500000000003</v>
      </c>
      <c r="F40" s="18">
        <f>F39*D40</f>
        <v>0.37905</v>
      </c>
      <c r="G40">
        <v>1045</v>
      </c>
      <c r="H40">
        <v>1045</v>
      </c>
    </row>
    <row r="41" spans="3:10" ht="15" thickBot="1" x14ac:dyDescent="0.35">
      <c r="C41" s="140" t="s">
        <v>157</v>
      </c>
      <c r="D41" s="141"/>
      <c r="E41" s="141">
        <v>1.5</v>
      </c>
      <c r="F41" s="142">
        <v>1.5</v>
      </c>
      <c r="G41" s="3">
        <f>E41/E34</f>
        <v>0.27272727272727271</v>
      </c>
      <c r="H41" s="3">
        <f>F41/F34</f>
        <v>0.39473684210526316</v>
      </c>
    </row>
    <row r="42" spans="3:10" x14ac:dyDescent="0.3">
      <c r="C42" t="s">
        <v>158</v>
      </c>
      <c r="E42" s="3">
        <f>E41+E40</f>
        <v>2.0486249999999999</v>
      </c>
      <c r="F42" s="3">
        <f>F41+F40</f>
        <v>1.8790499999999999</v>
      </c>
      <c r="G42" s="139">
        <f>G41/G40</f>
        <v>2.6098303610265332E-4</v>
      </c>
      <c r="H42" s="139">
        <f>H41/H40</f>
        <v>3.7773860488541928E-4</v>
      </c>
    </row>
    <row r="43" spans="3:10" x14ac:dyDescent="0.3">
      <c r="E43" s="3"/>
    </row>
    <row r="44" spans="3:10" x14ac:dyDescent="0.3">
      <c r="C44" s="73" t="s">
        <v>154</v>
      </c>
      <c r="D44" s="73"/>
      <c r="E44" s="115">
        <f>E34</f>
        <v>5.5</v>
      </c>
      <c r="F44" s="115">
        <f>F34</f>
        <v>3.8</v>
      </c>
    </row>
    <row r="45" spans="3:10" x14ac:dyDescent="0.3">
      <c r="C45" t="s">
        <v>63</v>
      </c>
      <c r="D45" s="1">
        <v>0.11</v>
      </c>
      <c r="E45" s="3">
        <f>E44*D45</f>
        <v>0.60499999999999998</v>
      </c>
      <c r="F45" s="3">
        <f>F44*D45</f>
        <v>0.41799999999999998</v>
      </c>
    </row>
    <row r="47" spans="3:10" x14ac:dyDescent="0.3">
      <c r="C47" s="11" t="str">
        <f>C36</f>
        <v>ICMS</v>
      </c>
      <c r="D47" s="11"/>
      <c r="E47" s="13">
        <f>E36</f>
        <v>1.65</v>
      </c>
      <c r="F47" s="3">
        <f>F36</f>
        <v>1.1399999999999999</v>
      </c>
    </row>
    <row r="48" spans="3:10" x14ac:dyDescent="0.3">
      <c r="C48" t="str">
        <f>C42</f>
        <v>Total IPI</v>
      </c>
      <c r="E48" s="3">
        <f>E42</f>
        <v>2.0486249999999999</v>
      </c>
      <c r="F48" s="3">
        <f>F42</f>
        <v>1.8790499999999999</v>
      </c>
    </row>
    <row r="49" spans="3:10" x14ac:dyDescent="0.3">
      <c r="C49" t="str">
        <f>C45</f>
        <v>PIS/COFINS</v>
      </c>
      <c r="E49" s="3">
        <f>E45</f>
        <v>0.60499999999999998</v>
      </c>
      <c r="F49" s="3">
        <f>F45</f>
        <v>0.41799999999999998</v>
      </c>
    </row>
    <row r="50" spans="3:10" x14ac:dyDescent="0.3">
      <c r="C50" t="s">
        <v>155</v>
      </c>
      <c r="E50" s="13">
        <f>E45+E41+E40+E36</f>
        <v>4.3036250000000003</v>
      </c>
      <c r="F50" s="13">
        <f>F45+F41+F40+F36</f>
        <v>3.4370500000000002</v>
      </c>
    </row>
    <row r="51" spans="3:10" x14ac:dyDescent="0.3">
      <c r="E51" s="144">
        <f>E50/E34</f>
        <v>0.78247727272727274</v>
      </c>
      <c r="F51" s="144">
        <f>F50/F34</f>
        <v>0.9044868421052632</v>
      </c>
    </row>
    <row r="52" spans="3:10" x14ac:dyDescent="0.3">
      <c r="F52" s="3"/>
      <c r="G52" s="11" t="s">
        <v>186</v>
      </c>
      <c r="H52" s="11" t="s">
        <v>53</v>
      </c>
    </row>
    <row r="53" spans="3:10" x14ac:dyDescent="0.3">
      <c r="C53" t="s">
        <v>27</v>
      </c>
      <c r="E53" s="3"/>
      <c r="G53" s="3">
        <f>SUM(L22:L27)</f>
        <v>106263.8580931264</v>
      </c>
      <c r="H53" s="3">
        <f>G53-G57</f>
        <v>72285.1080931264</v>
      </c>
    </row>
    <row r="54" spans="3:10" x14ac:dyDescent="0.3">
      <c r="C54" t="s">
        <v>54</v>
      </c>
      <c r="E54" s="3"/>
      <c r="G54" s="3">
        <f>SUM(I22:I27)</f>
        <v>48390.798226164079</v>
      </c>
      <c r="H54" s="3">
        <f>G54-G58</f>
        <v>22890.798226164079</v>
      </c>
    </row>
    <row r="55" spans="3:10" x14ac:dyDescent="0.3">
      <c r="C55" t="s">
        <v>159</v>
      </c>
      <c r="G55" s="3">
        <f>O28</f>
        <v>35186.148835920176</v>
      </c>
      <c r="H55" s="3">
        <f>G55-G59</f>
        <v>25836.148835920176</v>
      </c>
    </row>
    <row r="57" spans="3:10" x14ac:dyDescent="0.3">
      <c r="C57" t="s">
        <v>169</v>
      </c>
      <c r="E57" s="3">
        <f>E42*D30</f>
        <v>24583.5</v>
      </c>
      <c r="F57" s="3">
        <f>F42*D31</f>
        <v>9395.25</v>
      </c>
      <c r="G57" s="3">
        <f>SUM(E57:F57)</f>
        <v>33978.75</v>
      </c>
    </row>
    <row r="58" spans="3:10" x14ac:dyDescent="0.3">
      <c r="C58" t="s">
        <v>170</v>
      </c>
      <c r="E58" s="3">
        <f>E36*D30</f>
        <v>19800</v>
      </c>
      <c r="F58" s="3">
        <f>F36*D31</f>
        <v>5699.9999999999991</v>
      </c>
      <c r="G58" s="3">
        <f>SUM(E58:F58)</f>
        <v>25500</v>
      </c>
    </row>
    <row r="59" spans="3:10" x14ac:dyDescent="0.3">
      <c r="C59" t="s">
        <v>171</v>
      </c>
      <c r="E59" s="3">
        <f>E45*D30</f>
        <v>7260</v>
      </c>
      <c r="F59" s="3">
        <f>D31*F49</f>
        <v>2090</v>
      </c>
      <c r="G59" s="3">
        <f>SUM(E59:F59)</f>
        <v>9350</v>
      </c>
    </row>
    <row r="60" spans="3:10" ht="15" thickBot="1" x14ac:dyDescent="0.35"/>
    <row r="61" spans="3:10" x14ac:dyDescent="0.3">
      <c r="C61" s="104"/>
      <c r="D61" s="105"/>
      <c r="E61" s="105" t="s">
        <v>172</v>
      </c>
      <c r="F61" s="147" t="s">
        <v>1</v>
      </c>
      <c r="G61" s="145"/>
      <c r="I61" t="s">
        <v>177</v>
      </c>
    </row>
    <row r="62" spans="3:10" x14ac:dyDescent="0.3">
      <c r="C62" s="34" t="s">
        <v>174</v>
      </c>
      <c r="D62" s="29"/>
      <c r="E62" s="29">
        <v>7</v>
      </c>
      <c r="F62" s="148">
        <v>1.5</v>
      </c>
      <c r="G62" s="146">
        <v>0.39</v>
      </c>
      <c r="H62">
        <f>E62*G62</f>
        <v>2.73</v>
      </c>
      <c r="I62">
        <v>1045</v>
      </c>
      <c r="J62">
        <f>E62/I62</f>
        <v>6.6985645933014355E-3</v>
      </c>
    </row>
    <row r="63" spans="3:10" x14ac:dyDescent="0.3">
      <c r="C63" s="34" t="s">
        <v>175</v>
      </c>
      <c r="D63" s="29"/>
      <c r="E63" s="29">
        <v>5.5</v>
      </c>
      <c r="F63" s="148">
        <v>1.5</v>
      </c>
      <c r="G63" s="146">
        <v>0.39</v>
      </c>
      <c r="H63">
        <f t="shared" ref="H63:H65" si="6">E63*G63</f>
        <v>2.145</v>
      </c>
      <c r="I63">
        <v>1045</v>
      </c>
      <c r="J63">
        <f>E63/I63</f>
        <v>5.263157894736842E-3</v>
      </c>
    </row>
    <row r="64" spans="3:10" x14ac:dyDescent="0.3">
      <c r="C64" s="34" t="s">
        <v>176</v>
      </c>
      <c r="D64" s="29"/>
      <c r="E64" s="29">
        <v>4.5</v>
      </c>
      <c r="F64" s="148">
        <v>1.5</v>
      </c>
      <c r="G64" s="146">
        <v>0.39</v>
      </c>
      <c r="H64">
        <f t="shared" si="6"/>
        <v>1.7550000000000001</v>
      </c>
      <c r="I64">
        <v>1045</v>
      </c>
      <c r="J64">
        <f>E64/I64</f>
        <v>4.3062200956937796E-3</v>
      </c>
    </row>
    <row r="65" spans="3:10" ht="15" thickBot="1" x14ac:dyDescent="0.35">
      <c r="C65" s="36" t="s">
        <v>173</v>
      </c>
      <c r="D65" s="37"/>
      <c r="E65" s="37">
        <v>3.8</v>
      </c>
      <c r="F65" s="149">
        <v>1.5</v>
      </c>
      <c r="G65" s="146">
        <v>0.39</v>
      </c>
      <c r="H65">
        <f t="shared" si="6"/>
        <v>1.482</v>
      </c>
      <c r="I65">
        <v>1045</v>
      </c>
      <c r="J65">
        <f>E65/I65</f>
        <v>3.6363636363636364E-3</v>
      </c>
    </row>
    <row r="66" spans="3:10" x14ac:dyDescent="0.3">
      <c r="F66" s="2">
        <f>E62*G66</f>
        <v>0</v>
      </c>
      <c r="G66" s="1">
        <f>G65-G62</f>
        <v>0</v>
      </c>
    </row>
  </sheetData>
  <hyperlinks>
    <hyperlink ref="R22" r:id="rId1" display="https://cosmos.bluesoft.com.br/ncms/24039990-outros" xr:uid="{6FF63D95-24DF-4DE9-B78F-A4B55B091AA6}"/>
    <hyperlink ref="R26" r:id="rId2" display="https://cosmos.bluesoft.com.br/ncms/12130000-palhas-e-cascas-de-cereais-em-bruto-mesmo-picadas-moidas-prensadas-ou-em-pellets" xr:uid="{D566717F-3720-41CA-B2D9-B77558576FC8}"/>
    <hyperlink ref="R25" r:id="rId3" display="https://cosmos.bluesoft.com.br/ncms/24039990-outros" xr:uid="{1C4A79AB-FCD0-4A0C-A3AF-6E8FDC551AEC}"/>
  </hyperlinks>
  <pageMargins left="0.511811024" right="0.511811024" top="0.78740157499999996" bottom="0.78740157499999996" header="0.31496062000000002" footer="0.31496062000000002"/>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4B30D-FB75-4A23-83B8-6139A2C9E1B7}">
  <dimension ref="A1"/>
  <sheetViews>
    <sheetView topLeftCell="A2" zoomScale="295" zoomScaleNormal="295" workbookViewId="0">
      <selection activeCell="C15" sqref="C15"/>
    </sheetView>
  </sheetViews>
  <sheetFormatPr defaultRowHeight="14.4" x14ac:dyDescent="0.3"/>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296C5-F133-4C4E-A0A9-BCE5283289C1}">
  <dimension ref="A1"/>
  <sheetViews>
    <sheetView topLeftCell="A4" zoomScale="205" zoomScaleNormal="205" workbookViewId="0">
      <selection activeCell="F34" sqref="F34:F35"/>
    </sheetView>
  </sheetViews>
  <sheetFormatPr defaultRowHeight="14.4" x14ac:dyDescent="0.3"/>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983F-0A34-47F7-A4A0-FABF85A0DE1B}">
  <dimension ref="C7:J16"/>
  <sheetViews>
    <sheetView zoomScale="205" zoomScaleNormal="205" workbookViewId="0">
      <selection activeCell="F11" sqref="F11"/>
    </sheetView>
  </sheetViews>
  <sheetFormatPr defaultRowHeight="14.4" x14ac:dyDescent="0.3"/>
  <cols>
    <col min="3" max="3" width="15.109375" customWidth="1"/>
    <col min="4" max="5" width="9.5546875" bestFit="1" customWidth="1"/>
  </cols>
  <sheetData>
    <row r="7" spans="3:10" x14ac:dyDescent="0.3">
      <c r="C7" t="s">
        <v>2</v>
      </c>
      <c r="D7">
        <v>1000</v>
      </c>
    </row>
    <row r="8" spans="3:10" x14ac:dyDescent="0.3">
      <c r="C8" t="s">
        <v>0</v>
      </c>
      <c r="D8" s="1">
        <v>0.15</v>
      </c>
      <c r="F8" t="s">
        <v>142</v>
      </c>
      <c r="G8">
        <f>D7+D9</f>
        <v>1150</v>
      </c>
      <c r="H8" t="s">
        <v>144</v>
      </c>
      <c r="I8">
        <f>G8/(1+G9)</f>
        <v>1000.0000000000001</v>
      </c>
      <c r="J8">
        <f>G8-I8</f>
        <v>149.99999999999989</v>
      </c>
    </row>
    <row r="9" spans="3:10" x14ac:dyDescent="0.3">
      <c r="C9" t="s">
        <v>1</v>
      </c>
      <c r="D9">
        <f>D7*D8</f>
        <v>150</v>
      </c>
      <c r="F9" t="s">
        <v>143</v>
      </c>
      <c r="G9" s="1">
        <v>0.15</v>
      </c>
      <c r="I9">
        <f>I8*G9</f>
        <v>150</v>
      </c>
    </row>
    <row r="11" spans="3:10" x14ac:dyDescent="0.3">
      <c r="C11" s="77" t="s">
        <v>3</v>
      </c>
      <c r="D11" s="78">
        <f>D7+D9</f>
        <v>1150</v>
      </c>
      <c r="E11" s="3">
        <f>D11/(1+0.15)</f>
        <v>1000.0000000000001</v>
      </c>
      <c r="F11" s="3">
        <f>D11-E11</f>
        <v>149.99999999999989</v>
      </c>
    </row>
    <row r="12" spans="3:10" x14ac:dyDescent="0.3">
      <c r="C12" t="str">
        <f>C9</f>
        <v>IPI</v>
      </c>
      <c r="D12" s="2">
        <f>D9</f>
        <v>150</v>
      </c>
    </row>
    <row r="13" spans="3:10" x14ac:dyDescent="0.3">
      <c r="C13" t="s">
        <v>178</v>
      </c>
      <c r="D13" s="2">
        <f>D11-D12</f>
        <v>1000</v>
      </c>
    </row>
    <row r="14" spans="3:10" x14ac:dyDescent="0.3">
      <c r="D14" s="2"/>
    </row>
    <row r="15" spans="3:10" x14ac:dyDescent="0.3">
      <c r="D15" s="2"/>
    </row>
    <row r="16" spans="3:10" x14ac:dyDescent="0.3">
      <c r="D16" s="2"/>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6E265-F138-4337-BA21-B53818F067C6}">
  <dimension ref="B5:F16"/>
  <sheetViews>
    <sheetView topLeftCell="A7" zoomScale="205" zoomScaleNormal="205" workbookViewId="0">
      <selection activeCell="D9" sqref="D9"/>
    </sheetView>
  </sheetViews>
  <sheetFormatPr defaultRowHeight="14.4" x14ac:dyDescent="0.3"/>
  <cols>
    <col min="2" max="2" width="14.33203125" bestFit="1" customWidth="1"/>
    <col min="3" max="3" width="4.5546875" bestFit="1" customWidth="1"/>
    <col min="4" max="4" width="12.109375" style="5" bestFit="1" customWidth="1"/>
    <col min="5" max="5" width="9.109375" style="5"/>
    <col min="6" max="6" width="14.33203125" style="5" bestFit="1" customWidth="1"/>
    <col min="7" max="7" width="8" bestFit="1" customWidth="1"/>
    <col min="8" max="8" width="12.109375" bestFit="1" customWidth="1"/>
  </cols>
  <sheetData>
    <row r="5" spans="2:6" x14ac:dyDescent="0.3">
      <c r="B5" t="s">
        <v>3</v>
      </c>
      <c r="D5" s="152">
        <v>1000.5</v>
      </c>
    </row>
    <row r="6" spans="2:6" x14ac:dyDescent="0.3">
      <c r="B6" t="s">
        <v>0</v>
      </c>
      <c r="D6" s="6">
        <v>0.15</v>
      </c>
    </row>
    <row r="8" spans="2:6" x14ac:dyDescent="0.3">
      <c r="B8" t="s">
        <v>28</v>
      </c>
      <c r="C8" t="s">
        <v>6</v>
      </c>
      <c r="D8" s="150" t="s">
        <v>5</v>
      </c>
    </row>
    <row r="9" spans="2:6" x14ac:dyDescent="0.3">
      <c r="D9" s="151" t="s">
        <v>9</v>
      </c>
    </row>
    <row r="11" spans="2:6" x14ac:dyDescent="0.3">
      <c r="B11" t="s">
        <v>28</v>
      </c>
      <c r="C11" t="s">
        <v>6</v>
      </c>
      <c r="D11" s="8">
        <f>D5</f>
        <v>1000.5</v>
      </c>
      <c r="E11" s="7">
        <f>D5/(1+D6)</f>
        <v>870.00000000000011</v>
      </c>
      <c r="F11" s="7"/>
    </row>
    <row r="12" spans="2:6" x14ac:dyDescent="0.3">
      <c r="D12" s="4" t="s">
        <v>7</v>
      </c>
      <c r="E12" s="7">
        <f>E11*0.15</f>
        <v>130.5</v>
      </c>
      <c r="F12" s="7">
        <f>E12+E11</f>
        <v>1000.5000000000001</v>
      </c>
    </row>
    <row r="14" spans="2:6" x14ac:dyDescent="0.3">
      <c r="B14" t="s">
        <v>8</v>
      </c>
      <c r="D14" s="9">
        <f>E11</f>
        <v>870.00000000000011</v>
      </c>
    </row>
    <row r="15" spans="2:6" x14ac:dyDescent="0.3">
      <c r="B15" t="s">
        <v>0</v>
      </c>
      <c r="C15" s="1">
        <v>0.15</v>
      </c>
      <c r="D15" s="7">
        <f>D14*C15</f>
        <v>130.5</v>
      </c>
      <c r="E15" s="7">
        <f>D14*0.15</f>
        <v>130.5</v>
      </c>
    </row>
    <row r="16" spans="2:6" x14ac:dyDescent="0.3">
      <c r="D16" s="7">
        <f>D14+D15</f>
        <v>1000.5000000000001</v>
      </c>
    </row>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C3EC-6C5F-459D-9948-65693C2E38CD}">
  <dimension ref="C8:H14"/>
  <sheetViews>
    <sheetView zoomScale="205" zoomScaleNormal="205" workbookViewId="0">
      <selection activeCell="E14" sqref="E14"/>
    </sheetView>
  </sheetViews>
  <sheetFormatPr defaultRowHeight="14.4" x14ac:dyDescent="0.3"/>
  <cols>
    <col min="3" max="3" width="19.5546875" bestFit="1" customWidth="1"/>
    <col min="4" max="4" width="5.44140625" bestFit="1" customWidth="1"/>
    <col min="5" max="5" width="10.5546875" bestFit="1" customWidth="1"/>
    <col min="6" max="6" width="6.33203125" customWidth="1"/>
    <col min="7" max="7" width="11.88671875" bestFit="1" customWidth="1"/>
    <col min="8" max="8" width="10.44140625" bestFit="1" customWidth="1"/>
  </cols>
  <sheetData>
    <row r="8" spans="3:8" x14ac:dyDescent="0.3">
      <c r="C8" t="s">
        <v>10</v>
      </c>
      <c r="E8" s="2">
        <v>12000</v>
      </c>
    </row>
    <row r="9" spans="3:8" x14ac:dyDescent="0.3">
      <c r="C9" s="185" t="s">
        <v>187</v>
      </c>
      <c r="D9" s="186">
        <v>0.2</v>
      </c>
      <c r="E9" s="187">
        <f>E8-(E8/(1+$D$9))</f>
        <v>2000</v>
      </c>
      <c r="F9" s="3"/>
      <c r="G9" s="150" t="s">
        <v>5</v>
      </c>
      <c r="H9" s="3"/>
    </row>
    <row r="10" spans="3:8" x14ac:dyDescent="0.3">
      <c r="C10" s="11" t="s">
        <v>22</v>
      </c>
      <c r="D10" s="11"/>
      <c r="E10" s="13">
        <f>E8-E9</f>
        <v>10000</v>
      </c>
      <c r="G10" s="151" t="s">
        <v>9</v>
      </c>
      <c r="H10" s="1"/>
    </row>
    <row r="11" spans="3:8" x14ac:dyDescent="0.3">
      <c r="C11" s="154" t="s">
        <v>11</v>
      </c>
      <c r="D11" s="155">
        <v>0.5</v>
      </c>
      <c r="E11" s="156">
        <f>E10*D11</f>
        <v>5000</v>
      </c>
    </row>
    <row r="12" spans="3:8" x14ac:dyDescent="0.3">
      <c r="C12" t="s">
        <v>12</v>
      </c>
      <c r="E12" s="3">
        <f>E10+E11</f>
        <v>15000</v>
      </c>
    </row>
    <row r="13" spans="3:8" x14ac:dyDescent="0.3">
      <c r="C13" t="s">
        <v>188</v>
      </c>
      <c r="D13" s="1">
        <v>0.2</v>
      </c>
      <c r="E13" s="3">
        <f>E12*D13</f>
        <v>3000</v>
      </c>
      <c r="G13" s="3">
        <f>E13-E9</f>
        <v>1000</v>
      </c>
      <c r="H13" s="95">
        <f>G13/E13</f>
        <v>0.33333333333333331</v>
      </c>
    </row>
    <row r="14" spans="3:8" x14ac:dyDescent="0.3">
      <c r="C14" s="11" t="s">
        <v>30</v>
      </c>
      <c r="D14" s="11"/>
      <c r="E14" s="13">
        <f>E12+E13</f>
        <v>18000</v>
      </c>
    </row>
  </sheetData>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471D-C313-44E6-9FD3-0BBAFC68112A}">
  <dimension ref="B8:D17"/>
  <sheetViews>
    <sheetView topLeftCell="A34" zoomScale="145" zoomScaleNormal="145" workbookViewId="0">
      <selection activeCell="E20" sqref="E20"/>
    </sheetView>
  </sheetViews>
  <sheetFormatPr defaultRowHeight="14.4" x14ac:dyDescent="0.3"/>
  <cols>
    <col min="1" max="1" width="14" customWidth="1"/>
    <col min="2" max="2" width="18.88671875" bestFit="1" customWidth="1"/>
    <col min="3" max="3" width="4.6640625" bestFit="1" customWidth="1"/>
    <col min="4" max="4" width="11.109375" style="2" bestFit="1" customWidth="1"/>
  </cols>
  <sheetData>
    <row r="8" spans="2:4" x14ac:dyDescent="0.3">
      <c r="B8" t="s">
        <v>12</v>
      </c>
      <c r="D8" s="2">
        <v>10000</v>
      </c>
    </row>
    <row r="9" spans="2:4" x14ac:dyDescent="0.3">
      <c r="B9" s="14" t="s">
        <v>94</v>
      </c>
      <c r="C9" s="14"/>
      <c r="D9" s="28">
        <v>-1000</v>
      </c>
    </row>
    <row r="10" spans="2:4" x14ac:dyDescent="0.3">
      <c r="B10" s="79" t="s">
        <v>93</v>
      </c>
      <c r="C10" s="79"/>
      <c r="D10" s="70">
        <v>500</v>
      </c>
    </row>
    <row r="11" spans="2:4" x14ac:dyDescent="0.3">
      <c r="B11" s="77" t="s">
        <v>95</v>
      </c>
      <c r="C11" s="77"/>
      <c r="D11" s="78">
        <f>SUM(D8:D10)</f>
        <v>9500</v>
      </c>
    </row>
    <row r="12" spans="2:4" x14ac:dyDescent="0.3">
      <c r="B12" s="79" t="s">
        <v>96</v>
      </c>
      <c r="C12" s="80">
        <v>0.18</v>
      </c>
      <c r="D12" s="70">
        <f>C12*D11</f>
        <v>1710</v>
      </c>
    </row>
    <row r="14" spans="2:4" x14ac:dyDescent="0.3">
      <c r="B14" t="s">
        <v>73</v>
      </c>
      <c r="D14" s="2">
        <f>SUM(D8:D10)</f>
        <v>9500</v>
      </c>
    </row>
    <row r="15" spans="2:4" x14ac:dyDescent="0.3">
      <c r="B15" t="s">
        <v>0</v>
      </c>
      <c r="C15" s="1">
        <v>0.3</v>
      </c>
      <c r="D15" s="2">
        <f>C15*D14</f>
        <v>2850</v>
      </c>
    </row>
    <row r="17" spans="2:4" x14ac:dyDescent="0.3">
      <c r="B17" s="14" t="s">
        <v>3</v>
      </c>
      <c r="C17" s="14"/>
      <c r="D17" s="28">
        <f>D14+D15</f>
        <v>12350</v>
      </c>
    </row>
  </sheetData>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0521-522B-459A-A130-90F82F2AD42A}">
  <dimension ref="D1:R40"/>
  <sheetViews>
    <sheetView topLeftCell="B19" zoomScale="130" zoomScaleNormal="130" workbookViewId="0">
      <selection activeCell="L35" sqref="L35"/>
    </sheetView>
  </sheetViews>
  <sheetFormatPr defaultRowHeight="14.4" x14ac:dyDescent="0.3"/>
  <cols>
    <col min="1" max="2" width="31.44140625" customWidth="1"/>
    <col min="3" max="3" width="3.6640625" customWidth="1"/>
    <col min="4" max="4" width="22" bestFit="1" customWidth="1"/>
    <col min="5" max="5" width="6.109375" customWidth="1"/>
    <col min="6" max="6" width="5.77734375" bestFit="1" customWidth="1"/>
    <col min="7" max="7" width="12.33203125" bestFit="1" customWidth="1"/>
    <col min="8" max="8" width="3.109375" customWidth="1"/>
    <col min="9" max="9" width="34.109375" customWidth="1"/>
    <col min="10" max="10" width="6.109375" bestFit="1" customWidth="1"/>
    <col min="11" max="11" width="10" bestFit="1" customWidth="1"/>
    <col min="12" max="12" width="12.33203125" customWidth="1"/>
    <col min="13" max="13" width="9.5546875" customWidth="1"/>
    <col min="14" max="14" width="27.88671875" bestFit="1" customWidth="1"/>
    <col min="15" max="15" width="11.5546875" bestFit="1" customWidth="1"/>
    <col min="16" max="16" width="7" bestFit="1" customWidth="1"/>
    <col min="17" max="17" width="16.33203125" bestFit="1" customWidth="1"/>
  </cols>
  <sheetData>
    <row r="1" spans="4:16" x14ac:dyDescent="0.3">
      <c r="N1" s="11" t="s">
        <v>88</v>
      </c>
    </row>
    <row r="2" spans="4:16" x14ac:dyDescent="0.3">
      <c r="D2" s="11" t="s">
        <v>13</v>
      </c>
      <c r="E2" s="11" t="s">
        <v>14</v>
      </c>
      <c r="F2" s="11" t="s">
        <v>12</v>
      </c>
      <c r="G2" s="11" t="s">
        <v>15</v>
      </c>
      <c r="H2" s="11"/>
      <c r="I2" s="11" t="s">
        <v>13</v>
      </c>
      <c r="J2" s="11" t="s">
        <v>14</v>
      </c>
      <c r="K2" s="11" t="s">
        <v>12</v>
      </c>
      <c r="L2" s="11" t="s">
        <v>15</v>
      </c>
      <c r="P2" s="2"/>
    </row>
    <row r="3" spans="4:16" x14ac:dyDescent="0.3">
      <c r="D3" s="10" t="s">
        <v>16</v>
      </c>
      <c r="E3">
        <v>100</v>
      </c>
      <c r="F3">
        <v>6.8</v>
      </c>
      <c r="G3" s="2">
        <f>E3*F3*1000</f>
        <v>680000</v>
      </c>
      <c r="H3" s="2"/>
      <c r="I3" s="10" t="s">
        <v>20</v>
      </c>
      <c r="J3">
        <v>27</v>
      </c>
      <c r="K3" s="2">
        <v>8250</v>
      </c>
      <c r="L3" s="2">
        <f>J3*K3</f>
        <v>222750</v>
      </c>
      <c r="P3" s="3"/>
    </row>
    <row r="4" spans="4:16" x14ac:dyDescent="0.3">
      <c r="L4" s="2"/>
      <c r="P4" s="3"/>
    </row>
    <row r="5" spans="4:16" ht="15" thickBot="1" x14ac:dyDescent="0.35">
      <c r="D5" s="20" t="s">
        <v>17</v>
      </c>
      <c r="G5" s="3">
        <f>G3</f>
        <v>680000</v>
      </c>
      <c r="H5" s="3"/>
      <c r="I5" s="21" t="s">
        <v>21</v>
      </c>
      <c r="L5" s="2">
        <f>L3</f>
        <v>222750</v>
      </c>
      <c r="M5" s="3"/>
      <c r="N5" s="2"/>
      <c r="O5" s="3">
        <f>G5/(1+E6)</f>
        <v>618181.81818181812</v>
      </c>
      <c r="P5" s="3"/>
    </row>
    <row r="6" spans="4:16" x14ac:dyDescent="0.3">
      <c r="D6" s="188" t="s">
        <v>31</v>
      </c>
      <c r="E6" s="189">
        <v>0.1</v>
      </c>
      <c r="F6" s="190"/>
      <c r="G6" s="191">
        <f>G5-(G5/(1+E6))</f>
        <v>61818.181818181882</v>
      </c>
      <c r="H6" s="3"/>
      <c r="I6" s="22" t="s">
        <v>1</v>
      </c>
      <c r="J6" s="23">
        <v>0.15</v>
      </c>
      <c r="K6" s="22"/>
      <c r="L6" s="24">
        <f>L5-(L5/(1+J6))</f>
        <v>29054.347826086945</v>
      </c>
      <c r="M6" s="3"/>
      <c r="N6" s="2"/>
      <c r="O6" s="3">
        <f>G5-O5</f>
        <v>61818.181818181882</v>
      </c>
      <c r="P6" s="3"/>
    </row>
    <row r="7" spans="4:16" x14ac:dyDescent="0.3">
      <c r="D7" s="117" t="s">
        <v>18</v>
      </c>
      <c r="E7" s="118"/>
      <c r="F7" s="192"/>
      <c r="G7" s="119">
        <f>G5-G6</f>
        <v>618181.81818181812</v>
      </c>
      <c r="H7" s="3"/>
      <c r="I7" t="s">
        <v>18</v>
      </c>
      <c r="L7" s="2">
        <f>L5-L6</f>
        <v>193695.65217391305</v>
      </c>
      <c r="N7" s="2" t="s">
        <v>26</v>
      </c>
      <c r="O7" s="3">
        <f>G5</f>
        <v>680000</v>
      </c>
    </row>
    <row r="8" spans="4:16" x14ac:dyDescent="0.3">
      <c r="D8" s="120" t="s">
        <v>32</v>
      </c>
      <c r="E8" s="121">
        <v>0.12</v>
      </c>
      <c r="F8" s="122"/>
      <c r="G8" s="123">
        <f>G7*E8</f>
        <v>74181.818181818177</v>
      </c>
      <c r="H8" s="3"/>
      <c r="I8" s="22" t="s">
        <v>19</v>
      </c>
      <c r="J8" s="23">
        <v>0.18</v>
      </c>
      <c r="K8" s="22"/>
      <c r="L8" s="24">
        <f>L7*J8</f>
        <v>34865.217391304352</v>
      </c>
      <c r="N8" s="3" t="s">
        <v>1</v>
      </c>
      <c r="O8" s="3">
        <f>G6</f>
        <v>61818.181818181882</v>
      </c>
    </row>
    <row r="9" spans="4:16" x14ac:dyDescent="0.3">
      <c r="D9" s="124" t="s">
        <v>56</v>
      </c>
      <c r="E9" s="125">
        <v>1.6500000000000001E-2</v>
      </c>
      <c r="F9" s="3"/>
      <c r="G9" s="126">
        <f>G7*E9</f>
        <v>10200</v>
      </c>
      <c r="H9" s="3"/>
      <c r="I9" s="22"/>
      <c r="J9" s="23"/>
      <c r="K9" s="22"/>
      <c r="L9" s="24"/>
      <c r="N9" s="3" t="s">
        <v>19</v>
      </c>
      <c r="O9" s="3">
        <f>G8</f>
        <v>74181.818181818177</v>
      </c>
    </row>
    <row r="10" spans="4:16" ht="15" thickBot="1" x14ac:dyDescent="0.35">
      <c r="D10" s="127" t="s">
        <v>57</v>
      </c>
      <c r="E10" s="128">
        <v>7.5999999999999998E-2</v>
      </c>
      <c r="F10" s="3"/>
      <c r="G10" s="129">
        <f>G7*E10</f>
        <v>46981.818181818177</v>
      </c>
      <c r="H10" s="3"/>
      <c r="I10" s="22"/>
      <c r="J10" s="23"/>
      <c r="K10" s="22"/>
      <c r="L10" s="24"/>
      <c r="N10" s="3" t="s">
        <v>35</v>
      </c>
      <c r="O10" s="3">
        <f>O7-O8-O9</f>
        <v>544000</v>
      </c>
    </row>
    <row r="11" spans="4:16" x14ac:dyDescent="0.3">
      <c r="E11" s="12"/>
      <c r="I11" s="11" t="s">
        <v>18</v>
      </c>
      <c r="J11" s="11"/>
      <c r="K11" s="11"/>
      <c r="L11" s="27">
        <f>L7-L8</f>
        <v>158830.4347826087</v>
      </c>
      <c r="N11" s="19" t="s">
        <v>33</v>
      </c>
      <c r="O11" s="19">
        <v>100000</v>
      </c>
    </row>
    <row r="12" spans="4:16" x14ac:dyDescent="0.3">
      <c r="D12" t="s">
        <v>22</v>
      </c>
      <c r="E12">
        <v>100</v>
      </c>
      <c r="F12" s="3">
        <f>G12/(E12*1000)</f>
        <v>4.8681818181818182</v>
      </c>
      <c r="G12" s="3">
        <f>G5-G6-G8-G9-G10</f>
        <v>486818.18181818182</v>
      </c>
      <c r="H12" s="3"/>
      <c r="I12" s="14" t="s">
        <v>24</v>
      </c>
      <c r="J12" s="157">
        <v>1.6500000000000001E-2</v>
      </c>
      <c r="K12" s="14"/>
      <c r="L12" s="15">
        <f>L11*J12</f>
        <v>2620.7021739130437</v>
      </c>
      <c r="N12" t="s">
        <v>34</v>
      </c>
      <c r="O12" s="3">
        <f>O10/O11</f>
        <v>5.44</v>
      </c>
    </row>
    <row r="13" spans="4:16" x14ac:dyDescent="0.3">
      <c r="G13" s="3"/>
      <c r="H13" s="3"/>
      <c r="I13" s="14" t="s">
        <v>25</v>
      </c>
      <c r="J13" s="157">
        <v>7.5999999999999998E-2</v>
      </c>
      <c r="K13" s="14"/>
      <c r="L13" s="15">
        <f>L11*J13</f>
        <v>12071.113043478261</v>
      </c>
    </row>
    <row r="14" spans="4:16" x14ac:dyDescent="0.3">
      <c r="D14" s="16" t="s">
        <v>23</v>
      </c>
      <c r="E14" s="16">
        <v>550</v>
      </c>
      <c r="F14" s="16">
        <v>27</v>
      </c>
      <c r="G14" s="18">
        <f>E14*F12*F14</f>
        <v>72292.5</v>
      </c>
      <c r="H14" s="3"/>
    </row>
    <row r="16" spans="4:16" x14ac:dyDescent="0.3">
      <c r="D16" s="72" t="s">
        <v>92</v>
      </c>
      <c r="E16" s="73"/>
      <c r="F16" s="73"/>
      <c r="G16" s="73"/>
    </row>
    <row r="17" spans="4:18" ht="15" thickBot="1" x14ac:dyDescent="0.35">
      <c r="D17" s="11" t="s">
        <v>36</v>
      </c>
      <c r="E17" s="11"/>
      <c r="F17" s="11"/>
      <c r="G17" s="13">
        <f>L3</f>
        <v>222750</v>
      </c>
      <c r="I17" s="2" t="s">
        <v>44</v>
      </c>
      <c r="K17" s="2"/>
    </row>
    <row r="18" spans="4:18" x14ac:dyDescent="0.3">
      <c r="D18" s="31" t="s">
        <v>37</v>
      </c>
      <c r="E18" s="32"/>
      <c r="F18" s="32"/>
      <c r="G18" s="33">
        <f>L6</f>
        <v>29054.347826086945</v>
      </c>
      <c r="I18" s="11" t="s">
        <v>45</v>
      </c>
      <c r="J18" s="11"/>
      <c r="K18" s="13"/>
      <c r="L18" s="13">
        <f>G14</f>
        <v>72292.5</v>
      </c>
    </row>
    <row r="19" spans="4:18" x14ac:dyDescent="0.3">
      <c r="D19" s="34" t="s">
        <v>38</v>
      </c>
      <c r="E19" s="29"/>
      <c r="F19" s="29"/>
      <c r="G19" s="35">
        <f>L8</f>
        <v>34865.217391304352</v>
      </c>
      <c r="I19" s="10" t="s">
        <v>46</v>
      </c>
      <c r="J19" s="1"/>
      <c r="K19" s="3"/>
      <c r="L19" s="26">
        <v>2250</v>
      </c>
    </row>
    <row r="20" spans="4:18" x14ac:dyDescent="0.3">
      <c r="D20" s="34" t="s">
        <v>40</v>
      </c>
      <c r="E20" s="29"/>
      <c r="F20" s="29"/>
      <c r="G20" s="35">
        <f>L12</f>
        <v>2620.7021739130437</v>
      </c>
      <c r="I20" s="10" t="s">
        <v>47</v>
      </c>
      <c r="K20" s="3"/>
      <c r="L20" s="25">
        <v>4250</v>
      </c>
    </row>
    <row r="21" spans="4:18" ht="15" thickBot="1" x14ac:dyDescent="0.35">
      <c r="D21" s="36" t="s">
        <v>39</v>
      </c>
      <c r="E21" s="37"/>
      <c r="F21" s="37"/>
      <c r="G21" s="38">
        <f>L13</f>
        <v>12071.113043478261</v>
      </c>
      <c r="I21" s="10" t="s">
        <v>48</v>
      </c>
      <c r="L21" s="25">
        <v>7871.54</v>
      </c>
    </row>
    <row r="22" spans="4:18" x14ac:dyDescent="0.3">
      <c r="D22" s="11" t="s">
        <v>41</v>
      </c>
      <c r="E22" s="11"/>
      <c r="F22" s="11"/>
      <c r="G22" s="13">
        <f>G17-G18-G19-G20-G21</f>
        <v>144138.61956521741</v>
      </c>
      <c r="I22" s="11"/>
      <c r="J22" s="11"/>
      <c r="K22" s="11"/>
      <c r="L22" s="11"/>
    </row>
    <row r="23" spans="4:18" x14ac:dyDescent="0.3">
      <c r="D23" s="10" t="s">
        <v>42</v>
      </c>
      <c r="G23" s="2">
        <f>L23</f>
        <v>86664.04</v>
      </c>
      <c r="I23" s="10" t="s">
        <v>44</v>
      </c>
      <c r="L23" s="2">
        <f>SUM(L18:L21)</f>
        <v>86664.04</v>
      </c>
      <c r="N23" s="11" t="s">
        <v>87</v>
      </c>
    </row>
    <row r="24" spans="4:18" ht="15" thickBot="1" x14ac:dyDescent="0.35">
      <c r="D24" s="74" t="s">
        <v>43</v>
      </c>
      <c r="E24" s="74"/>
      <c r="F24" s="74"/>
      <c r="G24" s="75">
        <f>G22-G23</f>
        <v>57474.579565217413</v>
      </c>
      <c r="L24" s="2"/>
      <c r="P24" s="2"/>
      <c r="Q24" s="2" t="s">
        <v>90</v>
      </c>
    </row>
    <row r="25" spans="4:18" ht="15" thickBot="1" x14ac:dyDescent="0.35">
      <c r="D25" t="s">
        <v>49</v>
      </c>
      <c r="G25" s="3"/>
      <c r="I25" s="11" t="s">
        <v>60</v>
      </c>
      <c r="N25" s="57" t="s">
        <v>89</v>
      </c>
      <c r="O25" s="58"/>
      <c r="P25" s="59">
        <f>P32/(1-0.1-0.18-0.0925-O29)</f>
        <v>17.549549549549553</v>
      </c>
      <c r="Q25" s="60">
        <f>P32*O34</f>
        <v>15.584000000000001</v>
      </c>
    </row>
    <row r="26" spans="4:18" ht="15" thickBot="1" x14ac:dyDescent="0.35">
      <c r="D26" s="74" t="s">
        <v>50</v>
      </c>
      <c r="E26" s="76"/>
      <c r="F26" s="74"/>
      <c r="G26" s="75">
        <f>G24-G25</f>
        <v>57474.579565217413</v>
      </c>
      <c r="I26" s="158" t="s">
        <v>27</v>
      </c>
      <c r="J26" s="159"/>
      <c r="K26" s="159"/>
      <c r="L26" s="160">
        <f>G6</f>
        <v>61818.181818181882</v>
      </c>
      <c r="N26" s="34" t="s">
        <v>1</v>
      </c>
      <c r="O26" s="109">
        <v>9.2499999999999999E-2</v>
      </c>
      <c r="P26" s="62">
        <f>P25*O26</f>
        <v>1.6233333333333337</v>
      </c>
      <c r="Q26" s="63">
        <f>$Q$25*O26</f>
        <v>1.4415200000000001</v>
      </c>
    </row>
    <row r="27" spans="4:18" x14ac:dyDescent="0.3">
      <c r="D27" t="s">
        <v>59</v>
      </c>
      <c r="E27" s="1">
        <v>0.15</v>
      </c>
      <c r="G27" s="3">
        <f>G26*E27</f>
        <v>8621.1869347826123</v>
      </c>
      <c r="I27" s="34" t="s">
        <v>29</v>
      </c>
      <c r="J27" s="29"/>
      <c r="K27" s="29"/>
      <c r="L27" s="35">
        <f>L6</f>
        <v>29054.347826086945</v>
      </c>
      <c r="N27" s="34" t="s">
        <v>19</v>
      </c>
      <c r="O27" s="61">
        <v>0.18</v>
      </c>
      <c r="P27" s="62">
        <f>P25*O27</f>
        <v>3.1589189189189195</v>
      </c>
      <c r="Q27" s="63">
        <f>$Q$25*O27</f>
        <v>2.8051200000000001</v>
      </c>
    </row>
    <row r="28" spans="4:18" ht="15" thickBot="1" x14ac:dyDescent="0.35">
      <c r="D28" t="s">
        <v>58</v>
      </c>
      <c r="E28" s="1">
        <v>0.1</v>
      </c>
      <c r="G28" s="3">
        <f>(G26-20000)*E28</f>
        <v>3747.4579565217414</v>
      </c>
      <c r="I28" s="106" t="s">
        <v>53</v>
      </c>
      <c r="J28" s="107"/>
      <c r="K28" s="107"/>
      <c r="L28" s="108">
        <f>L26-L27</f>
        <v>32763.833992094937</v>
      </c>
      <c r="N28" s="34" t="s">
        <v>63</v>
      </c>
      <c r="O28" s="61">
        <v>0.1</v>
      </c>
      <c r="P28" s="62">
        <f>O28*P25</f>
        <v>1.7549549549549555</v>
      </c>
      <c r="Q28" s="63">
        <f>$Q$25*O28</f>
        <v>1.5584000000000002</v>
      </c>
    </row>
    <row r="29" spans="4:18" x14ac:dyDescent="0.3">
      <c r="D29" t="s">
        <v>51</v>
      </c>
      <c r="E29" s="1">
        <v>0.09</v>
      </c>
      <c r="G29" s="3">
        <f>G26*E29</f>
        <v>5172.712160869567</v>
      </c>
      <c r="N29" s="67" t="s">
        <v>64</v>
      </c>
      <c r="O29" s="68">
        <v>0.35</v>
      </c>
      <c r="P29" s="69">
        <f>P25*O29</f>
        <v>6.1423423423423431</v>
      </c>
      <c r="Q29" s="63">
        <f>Q25-P32-Q26-Q27-Q28</f>
        <v>4.9089600000000004</v>
      </c>
      <c r="R29" s="39">
        <f>Q29/Q25</f>
        <v>0.315</v>
      </c>
    </row>
    <row r="30" spans="4:18" ht="15" thickBot="1" x14ac:dyDescent="0.35">
      <c r="D30" s="74" t="s">
        <v>52</v>
      </c>
      <c r="E30" s="74"/>
      <c r="F30" s="75"/>
      <c r="G30" s="75">
        <f>G26-G27-G28-G29</f>
        <v>39933.222513043489</v>
      </c>
      <c r="I30" s="11"/>
      <c r="N30" s="34"/>
      <c r="O30" s="30"/>
      <c r="P30" s="62">
        <f>P25-P26-P27-P28-P29</f>
        <v>4.8700000000000019</v>
      </c>
      <c r="Q30" s="63">
        <f>Q25-Q26-Q27-Q28-Q29</f>
        <v>4.8699999999999992</v>
      </c>
    </row>
    <row r="31" spans="4:18" x14ac:dyDescent="0.3">
      <c r="G31" s="3">
        <f>G30/27</f>
        <v>1479.008241223833</v>
      </c>
      <c r="I31" s="22" t="s">
        <v>54</v>
      </c>
      <c r="J31" s="22"/>
      <c r="K31" s="22"/>
      <c r="L31" s="153">
        <f>G8</f>
        <v>74181.818181818177</v>
      </c>
      <c r="N31" s="34"/>
      <c r="O31" s="29"/>
      <c r="P31" s="29"/>
      <c r="Q31" s="64"/>
    </row>
    <row r="32" spans="4:18" ht="15" thickBot="1" x14ac:dyDescent="0.35">
      <c r="G32" s="41">
        <f>G30/G17</f>
        <v>0.17927372620894944</v>
      </c>
      <c r="I32" t="s">
        <v>55</v>
      </c>
      <c r="L32" s="3">
        <f>L8</f>
        <v>34865.217391304352</v>
      </c>
      <c r="N32" s="36" t="s">
        <v>22</v>
      </c>
      <c r="O32" s="37"/>
      <c r="P32" s="37">
        <v>4.87</v>
      </c>
      <c r="Q32" s="65"/>
    </row>
    <row r="33" spans="9:16" x14ac:dyDescent="0.3">
      <c r="I33" s="70" t="s">
        <v>53</v>
      </c>
      <c r="J33" s="70"/>
      <c r="K33" s="70"/>
      <c r="L33" s="70">
        <f>L31-L32</f>
        <v>39316.600790513825</v>
      </c>
    </row>
    <row r="34" spans="9:16" x14ac:dyDescent="0.3">
      <c r="N34" t="s">
        <v>65</v>
      </c>
      <c r="O34" s="16">
        <v>3.2</v>
      </c>
      <c r="P34" s="3">
        <f>P25/P32</f>
        <v>3.6036036036036041</v>
      </c>
    </row>
    <row r="35" spans="9:16" x14ac:dyDescent="0.3">
      <c r="I35" s="16" t="str">
        <f>D9</f>
        <v>PIS a Recuperar</v>
      </c>
      <c r="J35" s="116">
        <v>1.6500000000000001E-2</v>
      </c>
      <c r="K35" s="16"/>
      <c r="L35" s="18">
        <f>G9</f>
        <v>10200</v>
      </c>
      <c r="N35" t="s">
        <v>91</v>
      </c>
      <c r="O35" s="66">
        <f>Q29/Q25</f>
        <v>0.315</v>
      </c>
    </row>
    <row r="36" spans="9:16" x14ac:dyDescent="0.3">
      <c r="I36" s="16" t="str">
        <f>D10</f>
        <v>COFINS a Recuperar</v>
      </c>
      <c r="J36" s="116">
        <v>7.5999999999999998E-2</v>
      </c>
      <c r="K36" s="16"/>
      <c r="L36" s="18">
        <f>G10</f>
        <v>46981.818181818177</v>
      </c>
    </row>
    <row r="37" spans="9:16" x14ac:dyDescent="0.3">
      <c r="J37" s="27"/>
      <c r="K37" s="27"/>
      <c r="L37" s="27"/>
    </row>
    <row r="38" spans="9:16" x14ac:dyDescent="0.3">
      <c r="I38" t="s">
        <v>61</v>
      </c>
      <c r="L38" s="3">
        <f>G20</f>
        <v>2620.7021739130437</v>
      </c>
    </row>
    <row r="39" spans="9:16" x14ac:dyDescent="0.3">
      <c r="I39" t="s">
        <v>62</v>
      </c>
      <c r="L39" s="3">
        <f>G21</f>
        <v>12071.113043478261</v>
      </c>
    </row>
    <row r="40" spans="9:16" x14ac:dyDescent="0.3">
      <c r="I40" s="70" t="s">
        <v>53</v>
      </c>
      <c r="J40" s="70"/>
      <c r="K40" s="70"/>
      <c r="L40" s="70">
        <f>L35+L36-L38-L39</f>
        <v>42490.002964426872</v>
      </c>
    </row>
  </sheetData>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5DADC-9ABD-477E-BFDD-C2E03ECEC7DC}">
  <dimension ref="L1:Y74"/>
  <sheetViews>
    <sheetView topLeftCell="A7" zoomScaleNormal="100" workbookViewId="0">
      <selection activeCell="P25" sqref="P25"/>
    </sheetView>
  </sheetViews>
  <sheetFormatPr defaultRowHeight="14.4" x14ac:dyDescent="0.3"/>
  <cols>
    <col min="1" max="1" width="15.33203125" customWidth="1"/>
    <col min="10" max="10" width="10.44140625" customWidth="1"/>
    <col min="11" max="11" width="14.33203125" customWidth="1"/>
    <col min="12" max="12" width="5.6640625" style="40" bestFit="1" customWidth="1"/>
    <col min="13" max="13" width="33.44140625" bestFit="1" customWidth="1"/>
    <col min="14" max="14" width="11.44140625" bestFit="1" customWidth="1"/>
    <col min="15" max="16" width="14.44140625" bestFit="1" customWidth="1"/>
    <col min="17" max="17" width="11.44140625" bestFit="1" customWidth="1"/>
    <col min="18" max="18" width="13.77734375" customWidth="1"/>
    <col min="19" max="19" width="13.109375" bestFit="1" customWidth="1"/>
    <col min="20" max="20" width="8.88671875" bestFit="1" customWidth="1"/>
    <col min="21" max="21" width="9.33203125" bestFit="1" customWidth="1"/>
    <col min="22" max="23" width="9.6640625" bestFit="1" customWidth="1"/>
    <col min="25" max="25" width="11.5546875" bestFit="1" customWidth="1"/>
  </cols>
  <sheetData>
    <row r="1" spans="13:20" x14ac:dyDescent="0.3">
      <c r="M1" s="11" t="s">
        <v>85</v>
      </c>
      <c r="R1" s="101" t="s">
        <v>86</v>
      </c>
    </row>
    <row r="2" spans="13:20" x14ac:dyDescent="0.3">
      <c r="M2" s="11"/>
    </row>
    <row r="3" spans="13:20" x14ac:dyDescent="0.3">
      <c r="M3" s="40" t="s">
        <v>66</v>
      </c>
      <c r="N3" s="41"/>
      <c r="P3" s="28">
        <v>240000</v>
      </c>
    </row>
    <row r="4" spans="13:20" x14ac:dyDescent="0.3">
      <c r="M4" s="40" t="s">
        <v>67</v>
      </c>
      <c r="N4" s="41"/>
      <c r="O4" s="110">
        <v>70134290</v>
      </c>
    </row>
    <row r="5" spans="13:20" x14ac:dyDescent="0.3">
      <c r="M5" s="40" t="s">
        <v>68</v>
      </c>
      <c r="N5" s="41"/>
      <c r="O5" t="s">
        <v>69</v>
      </c>
    </row>
    <row r="6" spans="13:20" x14ac:dyDescent="0.3">
      <c r="M6" s="40" t="s">
        <v>83</v>
      </c>
      <c r="N6" s="53">
        <v>43879</v>
      </c>
      <c r="P6" s="54">
        <v>5.1772999999999998</v>
      </c>
    </row>
    <row r="7" spans="13:20" ht="15" thickBot="1" x14ac:dyDescent="0.35">
      <c r="M7" s="42" t="s">
        <v>70</v>
      </c>
      <c r="N7" s="43"/>
      <c r="O7" s="44"/>
      <c r="P7" s="45">
        <f>P3*P6</f>
        <v>1242552</v>
      </c>
    </row>
    <row r="8" spans="13:20" x14ac:dyDescent="0.3">
      <c r="M8" s="40" t="s">
        <v>71</v>
      </c>
      <c r="N8" s="41">
        <v>0.18</v>
      </c>
      <c r="O8" t="s">
        <v>72</v>
      </c>
      <c r="P8" s="25">
        <f>P7*N8</f>
        <v>223659.36</v>
      </c>
    </row>
    <row r="9" spans="13:20" x14ac:dyDescent="0.3">
      <c r="M9" s="46" t="s">
        <v>73</v>
      </c>
      <c r="N9" s="47"/>
      <c r="O9" s="48"/>
      <c r="P9" s="49">
        <f>P8+P7</f>
        <v>1466211.3599999999</v>
      </c>
      <c r="R9" s="1">
        <v>0</v>
      </c>
      <c r="S9" t="s">
        <v>193</v>
      </c>
      <c r="T9" s="1">
        <v>0.04</v>
      </c>
    </row>
    <row r="10" spans="13:20" x14ac:dyDescent="0.3">
      <c r="M10" s="40" t="s">
        <v>74</v>
      </c>
      <c r="N10" s="41">
        <v>0.1</v>
      </c>
      <c r="O10" t="s">
        <v>75</v>
      </c>
      <c r="P10" s="25">
        <f>P9*N10</f>
        <v>146621.136</v>
      </c>
      <c r="R10" s="1">
        <v>0</v>
      </c>
      <c r="S10" t="s">
        <v>189</v>
      </c>
    </row>
    <row r="11" spans="13:20" x14ac:dyDescent="0.3">
      <c r="M11" s="40"/>
      <c r="N11" s="41"/>
      <c r="P11" s="25"/>
      <c r="R11" s="1">
        <v>0</v>
      </c>
      <c r="S11" t="s">
        <v>190</v>
      </c>
    </row>
    <row r="12" spans="13:20" ht="15" thickBot="1" x14ac:dyDescent="0.35">
      <c r="M12" s="42" t="s">
        <v>180</v>
      </c>
      <c r="N12" s="43"/>
      <c r="O12" s="44"/>
      <c r="P12" s="45">
        <f>P7</f>
        <v>1242552</v>
      </c>
      <c r="R12" s="1">
        <v>0</v>
      </c>
      <c r="S12" t="s">
        <v>191</v>
      </c>
    </row>
    <row r="13" spans="13:20" x14ac:dyDescent="0.3">
      <c r="M13" s="40" t="s">
        <v>76</v>
      </c>
      <c r="N13" s="41">
        <v>2.1000000000000001E-2</v>
      </c>
      <c r="O13" t="s">
        <v>77</v>
      </c>
      <c r="P13" s="25">
        <f>P12*N13</f>
        <v>26093.592000000001</v>
      </c>
      <c r="R13" s="1">
        <v>0</v>
      </c>
      <c r="S13" t="s">
        <v>192</v>
      </c>
    </row>
    <row r="14" spans="13:20" x14ac:dyDescent="0.3">
      <c r="M14" s="40" t="s">
        <v>78</v>
      </c>
      <c r="N14" s="41">
        <v>9.6500000000000002E-2</v>
      </c>
      <c r="O14" t="s">
        <v>79</v>
      </c>
      <c r="P14" s="25">
        <f>P12*N14</f>
        <v>119906.268</v>
      </c>
    </row>
    <row r="15" spans="13:20" x14ac:dyDescent="0.3">
      <c r="M15" s="40"/>
      <c r="N15" s="41"/>
      <c r="R15" s="1">
        <v>0</v>
      </c>
      <c r="S15" t="s">
        <v>194</v>
      </c>
    </row>
    <row r="16" spans="13:20" ht="15" thickBot="1" x14ac:dyDescent="0.35">
      <c r="M16" s="42" t="s">
        <v>179</v>
      </c>
      <c r="N16" s="43"/>
      <c r="O16" s="44"/>
      <c r="P16" s="50">
        <f>(P7+P8+P10+P13+P14)/(1-N17)</f>
        <v>2171397.97037037</v>
      </c>
    </row>
    <row r="17" spans="13:16" x14ac:dyDescent="0.3">
      <c r="M17" s="40" t="s">
        <v>80</v>
      </c>
      <c r="N17" s="41">
        <v>0.19</v>
      </c>
      <c r="O17" t="s">
        <v>81</v>
      </c>
      <c r="P17" s="25">
        <f>P16*N17</f>
        <v>412565.61437037028</v>
      </c>
    </row>
    <row r="18" spans="13:16" x14ac:dyDescent="0.3">
      <c r="M18" s="40"/>
      <c r="N18" s="41"/>
    </row>
    <row r="19" spans="13:16" x14ac:dyDescent="0.3">
      <c r="M19" s="11" t="str">
        <f>M7</f>
        <v>Valor Aduaneiro Convertido</v>
      </c>
      <c r="N19" s="55">
        <f t="shared" ref="N19" si="0">O19/$O$28</f>
        <v>0.57223595902507962</v>
      </c>
      <c r="O19" s="13">
        <f>P7</f>
        <v>1242552</v>
      </c>
      <c r="P19" s="18">
        <f>O19/1000</f>
        <v>1242.5519999999999</v>
      </c>
    </row>
    <row r="20" spans="13:16" x14ac:dyDescent="0.3">
      <c r="M20" s="14" t="str">
        <f>O8</f>
        <v>Tributo II</v>
      </c>
      <c r="N20" s="161">
        <f>O20/$O$28</f>
        <v>0.10300247262451431</v>
      </c>
      <c r="O20" s="162">
        <f>P8</f>
        <v>223659.36</v>
      </c>
      <c r="P20" s="193">
        <f>O20/1000</f>
        <v>223.65935999999999</v>
      </c>
    </row>
    <row r="21" spans="13:16" x14ac:dyDescent="0.3">
      <c r="M21" s="163" t="str">
        <f>O10</f>
        <v>Tributo IPI</v>
      </c>
      <c r="N21" s="164">
        <f>O21/$O$28</f>
        <v>6.7523843164959393E-2</v>
      </c>
      <c r="O21" s="165">
        <f>P10</f>
        <v>146621.136</v>
      </c>
      <c r="P21" s="166">
        <f>O21/1000</f>
        <v>146.62113600000001</v>
      </c>
    </row>
    <row r="22" spans="13:16" x14ac:dyDescent="0.3">
      <c r="M22" s="163" t="str">
        <f>O13</f>
        <v>Tributo PIS</v>
      </c>
      <c r="N22" s="164">
        <f>O22/$O$28</f>
        <v>1.2016955139526671E-2</v>
      </c>
      <c r="O22" s="165">
        <f>P13</f>
        <v>26093.592000000001</v>
      </c>
      <c r="P22" s="166">
        <f>O22/1000</f>
        <v>26.093592000000001</v>
      </c>
    </row>
    <row r="23" spans="13:16" x14ac:dyDescent="0.3">
      <c r="M23" s="163" t="str">
        <f>O14</f>
        <v>Tributo COFINS</v>
      </c>
      <c r="N23" s="164">
        <f>O23/$O$28</f>
        <v>5.522077004592018E-2</v>
      </c>
      <c r="O23" s="165">
        <f>P14</f>
        <v>119906.268</v>
      </c>
      <c r="P23" s="166">
        <f>O23/1000</f>
        <v>119.906268</v>
      </c>
    </row>
    <row r="24" spans="13:16" x14ac:dyDescent="0.3">
      <c r="M24" s="163" t="str">
        <f>O17</f>
        <v>Tributo ICMS</v>
      </c>
      <c r="N24" s="164">
        <f>O24/$O$28</f>
        <v>0.19</v>
      </c>
      <c r="O24" s="165">
        <f>P17</f>
        <v>412565.61437037028</v>
      </c>
      <c r="P24" s="166">
        <f>O24/1000</f>
        <v>412.56561437037027</v>
      </c>
    </row>
    <row r="25" spans="13:16" x14ac:dyDescent="0.3">
      <c r="N25" s="51"/>
      <c r="O25" s="52"/>
      <c r="P25" s="3"/>
    </row>
    <row r="26" spans="13:16" x14ac:dyDescent="0.3">
      <c r="M26" s="11" t="s">
        <v>82</v>
      </c>
      <c r="N26" s="55">
        <f>O26/$O$28</f>
        <v>0.42776404097492055</v>
      </c>
      <c r="O26" s="56">
        <f>SUM(O20:O24)</f>
        <v>928845.9703703702</v>
      </c>
      <c r="P26" s="3">
        <f t="shared" ref="P20:P28" si="1">O26/1000</f>
        <v>928.8459703703702</v>
      </c>
    </row>
    <row r="27" spans="13:16" x14ac:dyDescent="0.3">
      <c r="N27" s="51"/>
      <c r="O27" s="52"/>
      <c r="P27" s="3"/>
    </row>
    <row r="28" spans="13:16" x14ac:dyDescent="0.3">
      <c r="M28" s="11" t="s">
        <v>84</v>
      </c>
      <c r="N28" s="55">
        <f>O28/$O$28</f>
        <v>1</v>
      </c>
      <c r="O28" s="56">
        <f>P16</f>
        <v>2171397.97037037</v>
      </c>
      <c r="P28" s="3">
        <f t="shared" si="1"/>
        <v>2171.3979703703699</v>
      </c>
    </row>
    <row r="30" spans="13:16" x14ac:dyDescent="0.3">
      <c r="M30" t="s">
        <v>97</v>
      </c>
      <c r="O30">
        <v>1000</v>
      </c>
    </row>
    <row r="31" spans="13:16" x14ac:dyDescent="0.3">
      <c r="M31" t="s">
        <v>98</v>
      </c>
      <c r="O31" s="25">
        <f>O28/O30</f>
        <v>2171.3979703703699</v>
      </c>
      <c r="P31" s="3">
        <f>P19+P20</f>
        <v>1466.2113599999998</v>
      </c>
    </row>
    <row r="33" spans="12:25" x14ac:dyDescent="0.3">
      <c r="M33" t="s">
        <v>24</v>
      </c>
      <c r="N33" s="12">
        <v>1.6500000000000001E-2</v>
      </c>
    </row>
    <row r="34" spans="12:25" x14ac:dyDescent="0.3">
      <c r="M34" t="s">
        <v>103</v>
      </c>
      <c r="N34" s="12">
        <v>7.5999999999999998E-2</v>
      </c>
    </row>
    <row r="35" spans="12:25" x14ac:dyDescent="0.3">
      <c r="M35" t="s">
        <v>19</v>
      </c>
      <c r="N35" s="1">
        <v>0.18</v>
      </c>
    </row>
    <row r="36" spans="12:25" x14ac:dyDescent="0.3">
      <c r="M36" t="s">
        <v>1</v>
      </c>
      <c r="N36" s="12">
        <f>N10</f>
        <v>0.1</v>
      </c>
    </row>
    <row r="37" spans="12:25" x14ac:dyDescent="0.3">
      <c r="M37" s="5"/>
      <c r="N37" s="5"/>
      <c r="O37" s="5"/>
      <c r="P37" s="5"/>
      <c r="Q37" s="5"/>
      <c r="R37" s="5"/>
      <c r="S37" s="5"/>
      <c r="T37" s="5"/>
      <c r="U37" s="5"/>
      <c r="V37" s="5"/>
      <c r="W37" s="5"/>
      <c r="X37" s="5"/>
    </row>
    <row r="38" spans="12:25" x14ac:dyDescent="0.3">
      <c r="M38" s="5"/>
      <c r="N38" s="89" t="s">
        <v>109</v>
      </c>
      <c r="O38" s="71" t="s">
        <v>107</v>
      </c>
      <c r="P38" s="71" t="s">
        <v>107</v>
      </c>
      <c r="Q38" s="71" t="s">
        <v>107</v>
      </c>
      <c r="R38" s="71" t="s">
        <v>108</v>
      </c>
      <c r="S38" s="5"/>
      <c r="T38" s="5"/>
      <c r="U38" s="5"/>
      <c r="V38" s="5"/>
      <c r="W38" s="5"/>
      <c r="X38" s="5"/>
      <c r="Y38" s="71"/>
    </row>
    <row r="39" spans="12:25" x14ac:dyDescent="0.3">
      <c r="M39" s="5"/>
      <c r="N39" s="5"/>
      <c r="O39" s="5"/>
      <c r="P39" s="5"/>
      <c r="Q39" s="5"/>
      <c r="R39" s="5"/>
      <c r="S39" s="5"/>
      <c r="T39" s="5"/>
      <c r="U39" s="5"/>
      <c r="V39" s="5"/>
      <c r="W39" s="5"/>
      <c r="X39" s="5"/>
    </row>
    <row r="40" spans="12:25" x14ac:dyDescent="0.3">
      <c r="N40" s="5" t="s">
        <v>99</v>
      </c>
      <c r="O40" s="5" t="s">
        <v>100</v>
      </c>
      <c r="P40" s="5" t="s">
        <v>101</v>
      </c>
      <c r="Q40" s="5" t="s">
        <v>102</v>
      </c>
      <c r="R40" s="5" t="s">
        <v>99</v>
      </c>
      <c r="X40" s="5"/>
      <c r="Y40" s="3"/>
    </row>
    <row r="41" spans="12:25" ht="15" thickBot="1" x14ac:dyDescent="0.35">
      <c r="M41" s="84" t="s">
        <v>14</v>
      </c>
      <c r="N41" s="85">
        <v>250</v>
      </c>
      <c r="O41" s="86">
        <v>300</v>
      </c>
      <c r="P41" s="86">
        <v>150</v>
      </c>
      <c r="Q41" s="86">
        <v>250</v>
      </c>
      <c r="R41" s="86">
        <v>50</v>
      </c>
      <c r="X41" s="5"/>
      <c r="Y41" s="3"/>
    </row>
    <row r="42" spans="12:25" x14ac:dyDescent="0.3">
      <c r="M42" s="195" t="s">
        <v>22</v>
      </c>
      <c r="N42" s="196">
        <f>P19+P20</f>
        <v>1466.2113599999998</v>
      </c>
      <c r="O42" s="197">
        <f>N42</f>
        <v>1466.2113599999998</v>
      </c>
      <c r="P42" s="197">
        <f t="shared" ref="P42:R42" si="2">O42</f>
        <v>1466.2113599999998</v>
      </c>
      <c r="Q42" s="197">
        <f t="shared" si="2"/>
        <v>1466.2113599999998</v>
      </c>
      <c r="R42" s="194">
        <f t="shared" si="2"/>
        <v>1466.2113599999998</v>
      </c>
      <c r="X42" s="5"/>
      <c r="Y42" s="3"/>
    </row>
    <row r="43" spans="12:25" x14ac:dyDescent="0.3">
      <c r="M43" s="81" t="s">
        <v>93</v>
      </c>
      <c r="N43" s="198">
        <v>35</v>
      </c>
      <c r="O43" s="198">
        <v>35</v>
      </c>
      <c r="P43" s="198">
        <v>35</v>
      </c>
      <c r="Q43" s="198">
        <v>35</v>
      </c>
      <c r="R43" s="198">
        <v>35</v>
      </c>
      <c r="X43" s="5"/>
      <c r="Y43" s="3"/>
    </row>
    <row r="44" spans="12:25" x14ac:dyDescent="0.3">
      <c r="M44" s="167" t="s">
        <v>18</v>
      </c>
      <c r="N44" s="199">
        <f>N42+N43</f>
        <v>1501.2113599999998</v>
      </c>
      <c r="O44" s="199">
        <f t="shared" ref="O44:R44" si="3">O42+O43</f>
        <v>1501.2113599999998</v>
      </c>
      <c r="P44" s="199">
        <f t="shared" si="3"/>
        <v>1501.2113599999998</v>
      </c>
      <c r="Q44" s="199">
        <f t="shared" si="3"/>
        <v>1501.2113599999998</v>
      </c>
      <c r="R44" s="199">
        <f t="shared" si="3"/>
        <v>1501.2113599999998</v>
      </c>
      <c r="X44" s="5"/>
    </row>
    <row r="45" spans="12:25" x14ac:dyDescent="0.3">
      <c r="L45" s="87">
        <v>0.25</v>
      </c>
      <c r="M45" s="81" t="s">
        <v>105</v>
      </c>
      <c r="N45" s="2">
        <f>N44*L45</f>
        <v>375.30283999999995</v>
      </c>
      <c r="O45" s="2">
        <f>O44*$L$45</f>
        <v>375.30283999999995</v>
      </c>
      <c r="P45" s="2">
        <f>P44*$L$45</f>
        <v>375.30283999999995</v>
      </c>
      <c r="Q45" s="2">
        <f>Q44*$L$45</f>
        <v>375.30283999999995</v>
      </c>
      <c r="R45" s="2">
        <f>R44*$L$45</f>
        <v>375.30283999999995</v>
      </c>
      <c r="X45" s="5"/>
    </row>
    <row r="46" spans="12:25" x14ac:dyDescent="0.3">
      <c r="M46" s="81" t="s">
        <v>104</v>
      </c>
      <c r="N46" s="4">
        <f>N44+N45</f>
        <v>1876.5141999999996</v>
      </c>
      <c r="O46" s="4">
        <f t="shared" ref="O46:R46" si="4">O44*1.25</f>
        <v>1876.5141999999996</v>
      </c>
      <c r="P46" s="4">
        <f t="shared" si="4"/>
        <v>1876.5141999999996</v>
      </c>
      <c r="Q46" s="4">
        <f t="shared" si="4"/>
        <v>1876.5141999999996</v>
      </c>
      <c r="R46" s="4">
        <f t="shared" si="4"/>
        <v>1876.5141999999996</v>
      </c>
    </row>
    <row r="47" spans="12:25" x14ac:dyDescent="0.3">
      <c r="M47" s="168" t="s">
        <v>24</v>
      </c>
      <c r="N47" s="169">
        <f>(N46/(1-$N$33))*$N$33</f>
        <v>31.481936248093536</v>
      </c>
      <c r="O47" s="169">
        <f t="shared" ref="O47:R47" si="5">(O46/(1-$N$33))*$N$33</f>
        <v>31.481936248093536</v>
      </c>
      <c r="P47" s="169">
        <f t="shared" si="5"/>
        <v>31.481936248093536</v>
      </c>
      <c r="Q47" s="169">
        <f t="shared" si="5"/>
        <v>31.481936248093536</v>
      </c>
      <c r="R47" s="169">
        <f t="shared" si="5"/>
        <v>31.481936248093536</v>
      </c>
      <c r="S47" s="163"/>
    </row>
    <row r="48" spans="12:25" x14ac:dyDescent="0.3">
      <c r="M48" s="168" t="s">
        <v>103</v>
      </c>
      <c r="N48" s="169">
        <f>(N46/(1-$N$34))*$N$34</f>
        <v>154.34532380952376</v>
      </c>
      <c r="O48" s="169">
        <f>(O46/(1-$N$34))*$N$34</f>
        <v>154.34532380952376</v>
      </c>
      <c r="P48" s="169">
        <f t="shared" ref="P48:R48" si="6">(P46/(1-$N$34))*$N$34</f>
        <v>154.34532380952376</v>
      </c>
      <c r="Q48" s="169">
        <f t="shared" si="6"/>
        <v>154.34532380952376</v>
      </c>
      <c r="R48" s="169">
        <f t="shared" si="6"/>
        <v>154.34532380952376</v>
      </c>
      <c r="S48" s="163"/>
    </row>
    <row r="49" spans="13:19" x14ac:dyDescent="0.3">
      <c r="M49" s="81" t="s">
        <v>106</v>
      </c>
      <c r="N49" s="1">
        <v>0.19</v>
      </c>
      <c r="O49" s="17">
        <v>0.12</v>
      </c>
      <c r="P49" s="1">
        <v>7.0000000000000007E-2</v>
      </c>
      <c r="Q49" s="1">
        <v>7.0000000000000007E-2</v>
      </c>
      <c r="R49" s="1">
        <v>0.19</v>
      </c>
    </row>
    <row r="50" spans="13:19" x14ac:dyDescent="0.3">
      <c r="M50" s="81" t="s">
        <v>19</v>
      </c>
      <c r="N50" s="4">
        <f>(N46/(1-$N$49))*$N$49</f>
        <v>440.16999753086407</v>
      </c>
      <c r="O50" s="4">
        <f>(O46/(1-$O$49))*$O$49</f>
        <v>255.88829999999996</v>
      </c>
      <c r="P50" s="4">
        <f>(P46/(1-$P$49))*$P$49</f>
        <v>141.24300430107527</v>
      </c>
      <c r="Q50" s="4">
        <f>(Q46/(1-$Q$49))*$Q$49</f>
        <v>141.24300430107527</v>
      </c>
      <c r="R50" s="4">
        <f>(R46/(1-$R$49))*$R$49</f>
        <v>440.16999753086407</v>
      </c>
    </row>
    <row r="51" spans="13:19" x14ac:dyDescent="0.3">
      <c r="M51" s="170" t="s">
        <v>181</v>
      </c>
      <c r="N51" s="171">
        <f>N46+N47+N48</f>
        <v>2062.341460057617</v>
      </c>
      <c r="O51" s="171">
        <f>O46+O47+O48+O50</f>
        <v>2318.2297600576171</v>
      </c>
      <c r="P51" s="171">
        <f>P46+P47+P48+P50</f>
        <v>2203.5844643586925</v>
      </c>
      <c r="Q51" s="171">
        <f>Q46+Q47+Q48+Q50</f>
        <v>2203.5844643586925</v>
      </c>
      <c r="R51" s="171">
        <f>R46+R47+R48+R50</f>
        <v>2502.5114575884809</v>
      </c>
    </row>
    <row r="52" spans="13:19" x14ac:dyDescent="0.3">
      <c r="M52" s="111" t="s">
        <v>1</v>
      </c>
      <c r="N52" s="112">
        <f>(N46+N47+N48)*$N$36</f>
        <v>206.23414600576172</v>
      </c>
      <c r="O52" s="112">
        <f>(O46+O47+O48+O50)*$N$36</f>
        <v>231.82297600576172</v>
      </c>
      <c r="P52" s="112">
        <f>(P46+P47+P48+P50)*$N$36</f>
        <v>220.35844643586927</v>
      </c>
      <c r="Q52" s="112">
        <f>(Q46+Q47+Q48+Q50)*$N$36</f>
        <v>220.35844643586927</v>
      </c>
      <c r="R52" s="112">
        <f>(R46+R47+R48+R50)*$N$36</f>
        <v>250.25114575884811</v>
      </c>
    </row>
    <row r="53" spans="13:19" ht="15" thickBot="1" x14ac:dyDescent="0.35">
      <c r="M53" s="82" t="s">
        <v>26</v>
      </c>
      <c r="N53" s="83">
        <f>N52+N46+N50+N48+N47</f>
        <v>2708.7456035942432</v>
      </c>
      <c r="O53" s="83">
        <f>O52+O46+O50+O48+O47</f>
        <v>2550.0527360633787</v>
      </c>
      <c r="P53" s="83">
        <f>P52+P46+P50+P48+P47</f>
        <v>2423.9429107945616</v>
      </c>
      <c r="Q53" s="83">
        <f>Q52+Q46+Q50+Q48+Q47</f>
        <v>2423.9429107945616</v>
      </c>
      <c r="R53" s="83">
        <f>R52+R46+R50+R48+R47</f>
        <v>2752.7626033473289</v>
      </c>
    </row>
    <row r="55" spans="13:19" x14ac:dyDescent="0.3">
      <c r="N55" s="3" t="str">
        <f>N38</f>
        <v>Indústria</v>
      </c>
      <c r="O55" s="3" t="str">
        <f t="shared" ref="O55:R55" si="7">O38</f>
        <v>Varejo</v>
      </c>
      <c r="P55" s="3" t="str">
        <f t="shared" si="7"/>
        <v>Varejo</v>
      </c>
      <c r="Q55" s="3" t="str">
        <f t="shared" si="7"/>
        <v>Varejo</v>
      </c>
      <c r="R55" s="3" t="str">
        <f t="shared" si="7"/>
        <v>Cons. Final</v>
      </c>
    </row>
    <row r="56" spans="13:19" x14ac:dyDescent="0.3">
      <c r="M56" s="92" t="s">
        <v>4</v>
      </c>
      <c r="N56" s="93">
        <f>N41*N53</f>
        <v>677186.40089856077</v>
      </c>
      <c r="O56" s="93">
        <f t="shared" ref="O56:R56" si="8">O41*O53</f>
        <v>765015.82081901364</v>
      </c>
      <c r="P56" s="93">
        <f t="shared" si="8"/>
        <v>363591.43661918421</v>
      </c>
      <c r="Q56" s="93">
        <f t="shared" si="8"/>
        <v>605985.72769864043</v>
      </c>
      <c r="R56" s="93">
        <f t="shared" si="8"/>
        <v>137638.13016736644</v>
      </c>
      <c r="S56" s="94">
        <f>SUM(N56:R56)</f>
        <v>2549417.5162027655</v>
      </c>
    </row>
    <row r="57" spans="13:19" x14ac:dyDescent="0.3">
      <c r="M57" s="172" t="s">
        <v>1</v>
      </c>
      <c r="N57" s="173">
        <f>N52*N41</f>
        <v>51558.536501440431</v>
      </c>
      <c r="O57" s="173">
        <f t="shared" ref="O57:R57" si="9">O52*O41</f>
        <v>69546.892801728522</v>
      </c>
      <c r="P57" s="173">
        <f t="shared" si="9"/>
        <v>33053.76696538039</v>
      </c>
      <c r="Q57" s="173">
        <f t="shared" si="9"/>
        <v>55089.611608967316</v>
      </c>
      <c r="R57" s="173">
        <f t="shared" si="9"/>
        <v>12512.557287942405</v>
      </c>
      <c r="S57" s="174">
        <f t="shared" ref="S57:S65" si="10">SUM(N57:R57)</f>
        <v>221761.36516545908</v>
      </c>
    </row>
    <row r="58" spans="13:19" x14ac:dyDescent="0.3">
      <c r="M58" s="175" t="str">
        <f>M50</f>
        <v>ICMS</v>
      </c>
      <c r="N58" s="176">
        <f>N50*N41</f>
        <v>110042.49938271602</v>
      </c>
      <c r="O58" s="176">
        <f t="shared" ref="O58:R58" si="11">O50*O41</f>
        <v>76766.489999999991</v>
      </c>
      <c r="P58" s="176">
        <f t="shared" si="11"/>
        <v>21186.450645161291</v>
      </c>
      <c r="Q58" s="176">
        <f t="shared" si="11"/>
        <v>35310.751075268818</v>
      </c>
      <c r="R58" s="176">
        <f t="shared" si="11"/>
        <v>22008.499876543203</v>
      </c>
      <c r="S58" s="177">
        <f t="shared" si="10"/>
        <v>265314.6909796893</v>
      </c>
    </row>
    <row r="59" spans="13:19" x14ac:dyDescent="0.3">
      <c r="M59" s="175" t="str">
        <f>M47</f>
        <v>PIS</v>
      </c>
      <c r="N59" s="176">
        <f>N47*N41</f>
        <v>7870.4840620233845</v>
      </c>
      <c r="O59" s="176">
        <f t="shared" ref="O59:R59" si="12">O47*O41</f>
        <v>9444.5808744280603</v>
      </c>
      <c r="P59" s="176">
        <f t="shared" si="12"/>
        <v>4722.2904372140301</v>
      </c>
      <c r="Q59" s="176">
        <f t="shared" si="12"/>
        <v>7870.4840620233845</v>
      </c>
      <c r="R59" s="176">
        <f t="shared" si="12"/>
        <v>1574.0968124046767</v>
      </c>
      <c r="S59" s="177">
        <f t="shared" si="10"/>
        <v>31481.936248093538</v>
      </c>
    </row>
    <row r="60" spans="13:19" x14ac:dyDescent="0.3">
      <c r="M60" s="175" t="str">
        <f t="shared" ref="M60" si="13">M48</f>
        <v>COFINS</v>
      </c>
      <c r="N60" s="176">
        <f>N48*N41</f>
        <v>38586.330952380944</v>
      </c>
      <c r="O60" s="176">
        <f t="shared" ref="O60:R60" si="14">O48*O41</f>
        <v>46303.597142857128</v>
      </c>
      <c r="P60" s="176">
        <f t="shared" si="14"/>
        <v>23151.798571428564</v>
      </c>
      <c r="Q60" s="176">
        <f t="shared" si="14"/>
        <v>38586.330952380944</v>
      </c>
      <c r="R60" s="176">
        <f t="shared" si="14"/>
        <v>7717.2661904761881</v>
      </c>
      <c r="S60" s="177">
        <f t="shared" si="10"/>
        <v>154345.32380952378</v>
      </c>
    </row>
    <row r="61" spans="13:19" x14ac:dyDescent="0.3">
      <c r="M61" s="29"/>
      <c r="N61" s="62"/>
      <c r="O61" s="62"/>
      <c r="P61" s="62"/>
      <c r="Q61" s="62"/>
      <c r="R61" s="62"/>
      <c r="S61" s="30"/>
    </row>
    <row r="62" spans="13:19" x14ac:dyDescent="0.3">
      <c r="M62" s="29" t="s">
        <v>110</v>
      </c>
      <c r="N62" s="62">
        <f>N56-N57-N58-N59-N60</f>
        <v>469128.54999999993</v>
      </c>
      <c r="O62" s="62">
        <f t="shared" ref="O62:R62" si="15">O56-O57-O58-O59-O60</f>
        <v>562954.25999999989</v>
      </c>
      <c r="P62" s="62">
        <f t="shared" si="15"/>
        <v>281477.12999999995</v>
      </c>
      <c r="Q62" s="62">
        <f t="shared" si="15"/>
        <v>469128.54999999993</v>
      </c>
      <c r="R62" s="62">
        <f t="shared" si="15"/>
        <v>93825.709999999977</v>
      </c>
      <c r="S62" s="30">
        <f t="shared" si="10"/>
        <v>1876514.1999999997</v>
      </c>
    </row>
    <row r="63" spans="13:19" x14ac:dyDescent="0.3">
      <c r="M63" s="29" t="s">
        <v>111</v>
      </c>
      <c r="N63" s="62">
        <f>($P$19+P20)*N41</f>
        <v>366552.83999999997</v>
      </c>
      <c r="O63" s="62">
        <f>($P$19+Q20)*O41</f>
        <v>372765.6</v>
      </c>
      <c r="P63" s="62">
        <f>($P$19+R20)*P41</f>
        <v>186382.8</v>
      </c>
      <c r="Q63" s="62">
        <f>($P$19+S20)*Q41</f>
        <v>310638</v>
      </c>
      <c r="R63" s="62">
        <f>($P$19+T20)*R41</f>
        <v>62127.6</v>
      </c>
      <c r="S63" s="30">
        <f t="shared" si="10"/>
        <v>1298466.8400000001</v>
      </c>
    </row>
    <row r="64" spans="13:19" x14ac:dyDescent="0.3">
      <c r="M64" s="29"/>
      <c r="N64" s="62"/>
      <c r="O64" s="62"/>
      <c r="P64" s="62"/>
      <c r="Q64" s="62"/>
      <c r="R64" s="62"/>
      <c r="S64" s="29"/>
    </row>
    <row r="65" spans="12:19" x14ac:dyDescent="0.3">
      <c r="M65" s="29" t="s">
        <v>114</v>
      </c>
      <c r="N65" s="62">
        <f>N62-N63</f>
        <v>102575.70999999996</v>
      </c>
      <c r="O65" s="62">
        <f t="shared" ref="O65:R65" si="16">O62-O63</f>
        <v>190188.65999999992</v>
      </c>
      <c r="P65" s="62">
        <f t="shared" si="16"/>
        <v>95094.329999999958</v>
      </c>
      <c r="Q65" s="62">
        <f t="shared" si="16"/>
        <v>158490.54999999993</v>
      </c>
      <c r="R65" s="62">
        <f t="shared" si="16"/>
        <v>31698.109999999979</v>
      </c>
      <c r="S65" s="30">
        <f t="shared" si="10"/>
        <v>578047.35999999975</v>
      </c>
    </row>
    <row r="66" spans="12:19" x14ac:dyDescent="0.3">
      <c r="M66" s="29"/>
      <c r="N66" s="29"/>
      <c r="O66" s="29"/>
      <c r="P66" s="29"/>
      <c r="Q66" s="29"/>
      <c r="R66" s="29"/>
      <c r="S66" s="29"/>
    </row>
    <row r="67" spans="12:19" x14ac:dyDescent="0.3">
      <c r="M67" s="29" t="s">
        <v>112</v>
      </c>
      <c r="N67" s="29"/>
      <c r="O67" s="29"/>
      <c r="P67" s="29"/>
      <c r="Q67" s="29"/>
      <c r="R67" s="29"/>
      <c r="S67" s="29"/>
    </row>
    <row r="68" spans="12:19" ht="15" thickBot="1" x14ac:dyDescent="0.35">
      <c r="M68" s="37"/>
      <c r="N68" s="37"/>
      <c r="O68" s="37"/>
      <c r="P68" s="37"/>
      <c r="Q68" s="37"/>
      <c r="R68" s="37"/>
      <c r="S68" s="37"/>
    </row>
    <row r="69" spans="12:19" ht="15" thickBot="1" x14ac:dyDescent="0.35">
      <c r="M69" s="90" t="s">
        <v>113</v>
      </c>
      <c r="N69" s="91">
        <f>N65-N67</f>
        <v>102575.70999999996</v>
      </c>
      <c r="O69" s="91">
        <f t="shared" ref="O69:R69" si="17">O65-O67</f>
        <v>190188.65999999992</v>
      </c>
      <c r="P69" s="91">
        <f t="shared" si="17"/>
        <v>95094.329999999958</v>
      </c>
      <c r="Q69" s="91">
        <f t="shared" si="17"/>
        <v>158490.54999999993</v>
      </c>
      <c r="R69" s="91">
        <f t="shared" si="17"/>
        <v>31698.109999999979</v>
      </c>
      <c r="S69" s="91">
        <f t="shared" ref="S69:S73" si="18">SUM(N69:R69)</f>
        <v>578047.35999999975</v>
      </c>
    </row>
    <row r="70" spans="12:19" x14ac:dyDescent="0.3">
      <c r="L70" s="88">
        <v>0.15</v>
      </c>
      <c r="M70" t="s">
        <v>59</v>
      </c>
      <c r="N70" s="3">
        <f>N69*$L$70</f>
        <v>15386.356499999994</v>
      </c>
      <c r="O70" s="3">
        <f t="shared" ref="O70:R70" si="19">O69*$L$70</f>
        <v>28528.298999999988</v>
      </c>
      <c r="P70" s="3">
        <f t="shared" si="19"/>
        <v>14264.149499999994</v>
      </c>
      <c r="Q70" s="3">
        <f t="shared" si="19"/>
        <v>23773.58249999999</v>
      </c>
      <c r="R70" s="3">
        <f t="shared" si="19"/>
        <v>4754.7164999999968</v>
      </c>
      <c r="S70" s="3">
        <f t="shared" si="18"/>
        <v>86707.103999999948</v>
      </c>
    </row>
    <row r="71" spans="12:19" x14ac:dyDescent="0.3">
      <c r="L71" s="88">
        <v>0.1</v>
      </c>
      <c r="M71" t="s">
        <v>58</v>
      </c>
      <c r="N71" s="3">
        <f>(N69-20000)*$L$71</f>
        <v>8257.5709999999963</v>
      </c>
      <c r="O71" s="3">
        <f t="shared" ref="O71:R71" si="20">(O69-20000)*$L$71</f>
        <v>17018.865999999991</v>
      </c>
      <c r="P71" s="3">
        <f t="shared" si="20"/>
        <v>7509.4329999999964</v>
      </c>
      <c r="Q71" s="3">
        <f t="shared" si="20"/>
        <v>13849.054999999993</v>
      </c>
      <c r="R71" s="3">
        <f t="shared" si="20"/>
        <v>1169.8109999999979</v>
      </c>
      <c r="S71" s="3">
        <f t="shared" si="18"/>
        <v>47804.735999999975</v>
      </c>
    </row>
    <row r="72" spans="12:19" x14ac:dyDescent="0.3">
      <c r="L72" s="88">
        <v>0.09</v>
      </c>
      <c r="M72" t="s">
        <v>51</v>
      </c>
      <c r="N72" s="3">
        <f>N69*$L$72</f>
        <v>9231.8138999999956</v>
      </c>
      <c r="O72" s="3">
        <f t="shared" ref="O72:R72" si="21">O69*$L$72</f>
        <v>17116.979399999993</v>
      </c>
      <c r="P72" s="3">
        <f t="shared" si="21"/>
        <v>8558.4896999999964</v>
      </c>
      <c r="Q72" s="3">
        <f t="shared" si="21"/>
        <v>14264.149499999994</v>
      </c>
      <c r="R72" s="3">
        <f t="shared" si="21"/>
        <v>2852.8298999999979</v>
      </c>
      <c r="S72" s="3">
        <f t="shared" si="18"/>
        <v>52024.262399999978</v>
      </c>
    </row>
    <row r="73" spans="12:19" ht="15" thickBot="1" x14ac:dyDescent="0.35">
      <c r="M73" s="74" t="s">
        <v>52</v>
      </c>
      <c r="N73" s="75">
        <f>N69-N70-N71-N72</f>
        <v>69699.968599999978</v>
      </c>
      <c r="O73" s="75">
        <f t="shared" ref="O73:R73" si="22">O69-O70-O71-O72</f>
        <v>127524.51559999994</v>
      </c>
      <c r="P73" s="75">
        <f t="shared" si="22"/>
        <v>64762.25779999997</v>
      </c>
      <c r="Q73" s="75">
        <f t="shared" si="22"/>
        <v>106603.76299999995</v>
      </c>
      <c r="R73" s="75">
        <f t="shared" si="22"/>
        <v>22920.752599999989</v>
      </c>
      <c r="S73" s="75">
        <f t="shared" si="18"/>
        <v>391511.25759999984</v>
      </c>
    </row>
    <row r="74" spans="12:19" x14ac:dyDescent="0.3">
      <c r="N74" s="95">
        <f>N73/N56</f>
        <v>0.10292582442221945</v>
      </c>
      <c r="O74" s="95">
        <f t="shared" ref="O74:S74" si="23">O73/O56</f>
        <v>0.16669526580963287</v>
      </c>
      <c r="P74" s="95">
        <f t="shared" si="23"/>
        <v>0.17811821533033023</v>
      </c>
      <c r="Q74" s="95">
        <f t="shared" si="23"/>
        <v>0.17591794348829037</v>
      </c>
      <c r="R74" s="95">
        <f t="shared" si="23"/>
        <v>0.16652909024649351</v>
      </c>
      <c r="S74" s="95">
        <f t="shared" si="23"/>
        <v>0.153568905489885</v>
      </c>
    </row>
  </sheetData>
  <hyperlinks>
    <hyperlink ref="R1" r:id="rId1" xr:uid="{CC5D8D86-9374-46BC-B735-E9D2F3C019FD}"/>
  </hyperlinks>
  <pageMargins left="0.511811024" right="0.511811024" top="0.78740157499999996" bottom="0.78740157499999996" header="0.31496062000000002" footer="0.3149606200000000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Ex0</vt:lpstr>
      <vt:lpstr>Ex1</vt:lpstr>
      <vt:lpstr>Ex2</vt:lpstr>
      <vt:lpstr>Ex.3</vt:lpstr>
      <vt:lpstr>Ex.4</vt:lpstr>
      <vt:lpstr>Ex5</vt:lpstr>
      <vt:lpstr>Ex.6</vt:lpstr>
      <vt:lpstr>Ex7</vt:lpstr>
      <vt:lpstr>Ex.8</vt:lpstr>
      <vt:lpstr>Ex.9</vt:lpstr>
      <vt:lpstr>Ex.10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amauryjose</dc:creator>
  <cp:lastModifiedBy>Amaury Rezende</cp:lastModifiedBy>
  <dcterms:created xsi:type="dcterms:W3CDTF">2020-09-09T12:03:51Z</dcterms:created>
  <dcterms:modified xsi:type="dcterms:W3CDTF">2022-04-05T16:41:01Z</dcterms:modified>
</cp:coreProperties>
</file>