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2.04.28 AUT5808\2022\Análise de investimento em incorporação residencial\"/>
    </mc:Choice>
  </mc:AlternateContent>
  <xr:revisionPtr revIDLastSave="0" documentId="13_ncr:1_{323A4A47-928A-48F3-B548-586439913F8C}" xr6:coauthVersionLast="47" xr6:coauthVersionMax="47" xr10:uidLastSave="{00000000-0000-0000-0000-000000000000}"/>
  <bookViews>
    <workbookView xWindow="-120" yWindow="-120" windowWidth="15600" windowHeight="11160" firstSheet="5" activeTab="9" xr2:uid="{E1BB5AA1-AC25-412A-BFFA-450B63E00A3A}"/>
  </bookViews>
  <sheets>
    <sheet name="Original" sheetId="1" r:id="rId1"/>
    <sheet name="$Constr" sheetId="3" r:id="rId2"/>
    <sheet name="Pagamentos" sheetId="2" r:id="rId3"/>
    <sheet name="1)$Terreno" sheetId="4" r:id="rId4"/>
    <sheet name="2)juros16%" sheetId="5" r:id="rId5"/>
    <sheet name="2)10%" sheetId="6" r:id="rId6"/>
    <sheet name="3)$X2" sheetId="7" r:id="rId7"/>
    <sheet name="3)$50%" sheetId="8" r:id="rId8"/>
    <sheet name="4)Permuta" sheetId="9" r:id="rId9"/>
    <sheet name="7)Especulação" sheetId="10" r:id="rId10"/>
  </sheets>
  <definedNames>
    <definedName name="_Hlk8423198" localSheetId="0">Original!$B$8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0" l="1"/>
  <c r="F5" i="10"/>
  <c r="H21" i="10"/>
  <c r="I21" i="10"/>
  <c r="J21" i="10"/>
  <c r="K21" i="10"/>
  <c r="L21" i="10"/>
  <c r="M21" i="10"/>
  <c r="N21" i="10" s="1"/>
  <c r="O21" i="10" s="1"/>
  <c r="P21" i="10" s="1"/>
  <c r="Q21" i="10" s="1"/>
  <c r="R21" i="10" s="1"/>
  <c r="S21" i="10" s="1"/>
  <c r="T21" i="10" s="1"/>
  <c r="U21" i="10" s="1"/>
  <c r="V21" i="10" s="1"/>
  <c r="W21" i="10" s="1"/>
  <c r="X21" i="10" s="1"/>
  <c r="Y21" i="10" s="1"/>
  <c r="Z21" i="10" s="1"/>
  <c r="AA21" i="10" s="1"/>
  <c r="AB21" i="10" s="1"/>
  <c r="AC21" i="10" s="1"/>
  <c r="AD21" i="10" s="1"/>
  <c r="G21" i="10"/>
  <c r="G20" i="10"/>
  <c r="H20" i="10"/>
  <c r="I20" i="10"/>
  <c r="J20" i="10"/>
  <c r="K20" i="10"/>
  <c r="L20" i="10"/>
  <c r="M20" i="10"/>
  <c r="N20" i="10"/>
  <c r="O20" i="10"/>
  <c r="P20" i="10"/>
  <c r="Q20" i="10"/>
  <c r="R20" i="10"/>
  <c r="S20" i="10"/>
  <c r="T20" i="10"/>
  <c r="U20" i="10"/>
  <c r="V20" i="10"/>
  <c r="W20" i="10"/>
  <c r="X20" i="10"/>
  <c r="Y20" i="10"/>
  <c r="Z20" i="10"/>
  <c r="AA20" i="10"/>
  <c r="AB20" i="10"/>
  <c r="AC20" i="10"/>
  <c r="AD20" i="10"/>
  <c r="AE20" i="10"/>
  <c r="AR18" i="10"/>
  <c r="AR20" i="10" s="1"/>
  <c r="AQ18" i="10"/>
  <c r="AQ20" i="10" s="1"/>
  <c r="AP18" i="10"/>
  <c r="AP20" i="10" s="1"/>
  <c r="AO18" i="10"/>
  <c r="AO20" i="10" s="1"/>
  <c r="AN18" i="10"/>
  <c r="AN20" i="10" s="1"/>
  <c r="AM18" i="10"/>
  <c r="AM20" i="10" s="1"/>
  <c r="AL18" i="10"/>
  <c r="AL20" i="10" s="1"/>
  <c r="AK18" i="10"/>
  <c r="AK20" i="10" s="1"/>
  <c r="AJ18" i="10"/>
  <c r="AI18" i="10"/>
  <c r="AI20" i="10" s="1"/>
  <c r="AH18" i="10"/>
  <c r="AH20" i="10" s="1"/>
  <c r="AG18" i="10"/>
  <c r="AG20" i="10" s="1"/>
  <c r="AF18" i="10"/>
  <c r="AF20" i="10" s="1"/>
  <c r="AE18" i="10"/>
  <c r="F18" i="10"/>
  <c r="B15" i="10"/>
  <c r="E15" i="10" s="1"/>
  <c r="F15" i="10" s="1"/>
  <c r="B8" i="10"/>
  <c r="B4" i="10"/>
  <c r="B6" i="10" s="1"/>
  <c r="E1" i="10"/>
  <c r="M21" i="4"/>
  <c r="N21" i="4"/>
  <c r="O21" i="4"/>
  <c r="P21" i="4" s="1"/>
  <c r="Q21" i="4" s="1"/>
  <c r="R21" i="4" s="1"/>
  <c r="S21" i="4" s="1"/>
  <c r="T21" i="4" s="1"/>
  <c r="U21" i="4" s="1"/>
  <c r="V21" i="4" s="1"/>
  <c r="W21" i="4" s="1"/>
  <c r="X21" i="4" s="1"/>
  <c r="Y21" i="4" s="1"/>
  <c r="Z21" i="4" s="1"/>
  <c r="AA21" i="4" s="1"/>
  <c r="AB21" i="4" s="1"/>
  <c r="AC21" i="4" s="1"/>
  <c r="AD21" i="4" s="1"/>
  <c r="AE21" i="4" s="1"/>
  <c r="AF21" i="4" s="1"/>
  <c r="AG21" i="4" s="1"/>
  <c r="AH21" i="4" s="1"/>
  <c r="AI21" i="4" s="1"/>
  <c r="AJ21" i="4" s="1"/>
  <c r="AK21" i="4" s="1"/>
  <c r="AL21" i="4" s="1"/>
  <c r="AM21" i="4" s="1"/>
  <c r="AN21" i="4" s="1"/>
  <c r="AO21" i="4" s="1"/>
  <c r="AP21" i="4" s="1"/>
  <c r="AQ21" i="4" s="1"/>
  <c r="AR21" i="4" s="1"/>
  <c r="AS21" i="4" s="1"/>
  <c r="AT21" i="4" s="1"/>
  <c r="AU21" i="4" s="1"/>
  <c r="AV21" i="4" s="1"/>
  <c r="AW21" i="4" s="1"/>
  <c r="AX21" i="4" s="1"/>
  <c r="AY21" i="4" s="1"/>
  <c r="AZ21" i="4" s="1"/>
  <c r="BA21" i="4" s="1"/>
  <c r="BB21" i="4" s="1"/>
  <c r="H21" i="4"/>
  <c r="I21" i="4"/>
  <c r="J21" i="4"/>
  <c r="K21" i="4"/>
  <c r="L21" i="4"/>
  <c r="G21" i="4"/>
  <c r="F21" i="4"/>
  <c r="F6" i="9"/>
  <c r="F7" i="9" s="1"/>
  <c r="E21" i="9"/>
  <c r="E26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B22" i="9"/>
  <c r="E22" i="9" s="1"/>
  <c r="F22" i="9" s="1"/>
  <c r="B9" i="9"/>
  <c r="B5" i="9"/>
  <c r="B7" i="9" s="1"/>
  <c r="E1" i="9"/>
  <c r="F7" i="7"/>
  <c r="T18" i="8"/>
  <c r="T20" i="8" s="1"/>
  <c r="S18" i="8"/>
  <c r="S20" i="8" s="1"/>
  <c r="R18" i="8"/>
  <c r="R20" i="8" s="1"/>
  <c r="Q18" i="8"/>
  <c r="Q20" i="8" s="1"/>
  <c r="P18" i="8"/>
  <c r="P20" i="8" s="1"/>
  <c r="O18" i="8"/>
  <c r="O20" i="8" s="1"/>
  <c r="N18" i="8"/>
  <c r="N20" i="8" s="1"/>
  <c r="M18" i="8"/>
  <c r="M20" i="8" s="1"/>
  <c r="L18" i="8"/>
  <c r="K18" i="8"/>
  <c r="K20" i="8" s="1"/>
  <c r="J18" i="8"/>
  <c r="J20" i="8" s="1"/>
  <c r="I18" i="8"/>
  <c r="I20" i="8" s="1"/>
  <c r="H18" i="8"/>
  <c r="H20" i="8" s="1"/>
  <c r="G18" i="8"/>
  <c r="G20" i="8" s="1"/>
  <c r="F18" i="8"/>
  <c r="B15" i="8"/>
  <c r="E15" i="8" s="1"/>
  <c r="F15" i="8" s="1"/>
  <c r="B8" i="8"/>
  <c r="B16" i="8" s="1"/>
  <c r="B6" i="8"/>
  <c r="B4" i="8"/>
  <c r="B10" i="8" s="1"/>
  <c r="E1" i="8"/>
  <c r="T18" i="7"/>
  <c r="T20" i="7" s="1"/>
  <c r="S18" i="7"/>
  <c r="S20" i="7" s="1"/>
  <c r="R18" i="7"/>
  <c r="R20" i="7" s="1"/>
  <c r="Q18" i="7"/>
  <c r="Q20" i="7" s="1"/>
  <c r="P18" i="7"/>
  <c r="P20" i="7" s="1"/>
  <c r="O18" i="7"/>
  <c r="O20" i="7" s="1"/>
  <c r="N18" i="7"/>
  <c r="N20" i="7" s="1"/>
  <c r="M18" i="7"/>
  <c r="M20" i="7" s="1"/>
  <c r="L18" i="7"/>
  <c r="K18" i="7"/>
  <c r="K20" i="7" s="1"/>
  <c r="J18" i="7"/>
  <c r="J20" i="7" s="1"/>
  <c r="I18" i="7"/>
  <c r="I20" i="7" s="1"/>
  <c r="H18" i="7"/>
  <c r="H20" i="7" s="1"/>
  <c r="G18" i="7"/>
  <c r="G20" i="7" s="1"/>
  <c r="F18" i="7"/>
  <c r="B15" i="7"/>
  <c r="E15" i="7" s="1"/>
  <c r="F15" i="7" s="1"/>
  <c r="B10" i="7"/>
  <c r="E19" i="7" s="1"/>
  <c r="B8" i="7"/>
  <c r="B16" i="7" s="1"/>
  <c r="B6" i="7"/>
  <c r="B4" i="7"/>
  <c r="E1" i="7"/>
  <c r="G7" i="5"/>
  <c r="F7" i="5"/>
  <c r="G7" i="6"/>
  <c r="F7" i="6"/>
  <c r="T18" i="6"/>
  <c r="T20" i="6" s="1"/>
  <c r="S18" i="6"/>
  <c r="S20" i="6" s="1"/>
  <c r="R18" i="6"/>
  <c r="R20" i="6" s="1"/>
  <c r="Q18" i="6"/>
  <c r="Q20" i="6" s="1"/>
  <c r="P18" i="6"/>
  <c r="P20" i="6" s="1"/>
  <c r="O18" i="6"/>
  <c r="O20" i="6" s="1"/>
  <c r="N18" i="6"/>
  <c r="N20" i="6" s="1"/>
  <c r="M18" i="6"/>
  <c r="M20" i="6" s="1"/>
  <c r="L18" i="6"/>
  <c r="K18" i="6"/>
  <c r="K20" i="6" s="1"/>
  <c r="J18" i="6"/>
  <c r="J20" i="6" s="1"/>
  <c r="I18" i="6"/>
  <c r="I20" i="6" s="1"/>
  <c r="H18" i="6"/>
  <c r="H20" i="6" s="1"/>
  <c r="G18" i="6"/>
  <c r="G20" i="6" s="1"/>
  <c r="F18" i="6"/>
  <c r="B15" i="6"/>
  <c r="E15" i="6" s="1"/>
  <c r="F15" i="6" s="1"/>
  <c r="B8" i="6"/>
  <c r="B6" i="6"/>
  <c r="B16" i="6" s="1"/>
  <c r="B4" i="6"/>
  <c r="B10" i="6" s="1"/>
  <c r="E1" i="6"/>
  <c r="E1" i="4"/>
  <c r="E1" i="5"/>
  <c r="T18" i="5"/>
  <c r="T20" i="5" s="1"/>
  <c r="S18" i="5"/>
  <c r="S20" i="5" s="1"/>
  <c r="R18" i="5"/>
  <c r="R20" i="5" s="1"/>
  <c r="Q18" i="5"/>
  <c r="Q20" i="5" s="1"/>
  <c r="P18" i="5"/>
  <c r="P20" i="5" s="1"/>
  <c r="O18" i="5"/>
  <c r="O20" i="5" s="1"/>
  <c r="N18" i="5"/>
  <c r="N20" i="5" s="1"/>
  <c r="M18" i="5"/>
  <c r="M20" i="5" s="1"/>
  <c r="L18" i="5"/>
  <c r="K18" i="5"/>
  <c r="K20" i="5" s="1"/>
  <c r="J18" i="5"/>
  <c r="J20" i="5" s="1"/>
  <c r="I18" i="5"/>
  <c r="I20" i="5" s="1"/>
  <c r="H18" i="5"/>
  <c r="H20" i="5" s="1"/>
  <c r="G18" i="5"/>
  <c r="G20" i="5" s="1"/>
  <c r="F18" i="5"/>
  <c r="B15" i="5"/>
  <c r="E15" i="5" s="1"/>
  <c r="F15" i="5" s="1"/>
  <c r="B8" i="5"/>
  <c r="B16" i="5" s="1"/>
  <c r="B6" i="5"/>
  <c r="B4" i="5"/>
  <c r="B10" i="5" s="1"/>
  <c r="R20" i="4"/>
  <c r="J20" i="4"/>
  <c r="T18" i="4"/>
  <c r="T20" i="4" s="1"/>
  <c r="S18" i="4"/>
  <c r="S20" i="4" s="1"/>
  <c r="R18" i="4"/>
  <c r="Q18" i="4"/>
  <c r="Q20" i="4" s="1"/>
  <c r="P18" i="4"/>
  <c r="P20" i="4" s="1"/>
  <c r="O18" i="4"/>
  <c r="O20" i="4" s="1"/>
  <c r="N18" i="4"/>
  <c r="N20" i="4" s="1"/>
  <c r="M18" i="4"/>
  <c r="M20" i="4" s="1"/>
  <c r="L18" i="4"/>
  <c r="K18" i="4"/>
  <c r="K20" i="4" s="1"/>
  <c r="J18" i="4"/>
  <c r="I18" i="4"/>
  <c r="I20" i="4" s="1"/>
  <c r="H18" i="4"/>
  <c r="H20" i="4" s="1"/>
  <c r="G18" i="4"/>
  <c r="G20" i="4" s="1"/>
  <c r="F18" i="4"/>
  <c r="B15" i="4"/>
  <c r="E15" i="4" s="1"/>
  <c r="F15" i="4" s="1"/>
  <c r="B8" i="4"/>
  <c r="B4" i="4"/>
  <c r="B10" i="4" s="1"/>
  <c r="E13" i="4" s="1"/>
  <c r="U18" i="1"/>
  <c r="F18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E19" i="1"/>
  <c r="E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B19" i="1"/>
  <c r="AD19" i="1"/>
  <c r="U19" i="1"/>
  <c r="BC19" i="1"/>
  <c r="L17" i="1"/>
  <c r="BC17" i="1" s="1"/>
  <c r="AF16" i="1"/>
  <c r="AG16" i="1"/>
  <c r="AH16" i="1"/>
  <c r="AI16" i="1"/>
  <c r="AJ16" i="1"/>
  <c r="AK16" i="1"/>
  <c r="AL16" i="1" s="1"/>
  <c r="AM16" i="1" s="1"/>
  <c r="AN16" i="1" s="1"/>
  <c r="AO16" i="1" s="1"/>
  <c r="AP16" i="1" s="1"/>
  <c r="AQ16" i="1" s="1"/>
  <c r="AR16" i="1" s="1"/>
  <c r="AS16" i="1" s="1"/>
  <c r="AT16" i="1" s="1"/>
  <c r="AU16" i="1" s="1"/>
  <c r="AV16" i="1" s="1"/>
  <c r="AW16" i="1" s="1"/>
  <c r="AX16" i="1" s="1"/>
  <c r="AY16" i="1" s="1"/>
  <c r="AZ16" i="1" s="1"/>
  <c r="BA16" i="1" s="1"/>
  <c r="AE16" i="1"/>
  <c r="AD16" i="1"/>
  <c r="D3" i="2"/>
  <c r="D2" i="2"/>
  <c r="B8" i="1"/>
  <c r="B10" i="3"/>
  <c r="B15" i="1"/>
  <c r="E15" i="1" s="1"/>
  <c r="B4" i="1"/>
  <c r="B6" i="1" s="1"/>
  <c r="B16" i="1" s="1"/>
  <c r="E1" i="1"/>
  <c r="B16" i="10" l="1"/>
  <c r="CA15" i="10"/>
  <c r="F20" i="10"/>
  <c r="B10" i="10"/>
  <c r="C21" i="9"/>
  <c r="B13" i="4"/>
  <c r="H10" i="9"/>
  <c r="G10" i="9" s="1"/>
  <c r="L21" i="9"/>
  <c r="L27" i="9" s="1"/>
  <c r="K21" i="9"/>
  <c r="K27" i="9" s="1"/>
  <c r="S21" i="9"/>
  <c r="S27" i="9" s="1"/>
  <c r="I21" i="9"/>
  <c r="I27" i="9" s="1"/>
  <c r="R21" i="9"/>
  <c r="R27" i="9" s="1"/>
  <c r="H21" i="9"/>
  <c r="H27" i="9" s="1"/>
  <c r="Q21" i="9"/>
  <c r="Q27" i="9" s="1"/>
  <c r="P21" i="9"/>
  <c r="P27" i="9" s="1"/>
  <c r="F21" i="9"/>
  <c r="F27" i="9" s="1"/>
  <c r="F28" i="9" s="1"/>
  <c r="N21" i="9"/>
  <c r="N27" i="9" s="1"/>
  <c r="B11" i="9"/>
  <c r="E16" i="9"/>
  <c r="AD16" i="9" s="1"/>
  <c r="B23" i="9"/>
  <c r="B24" i="9" s="1"/>
  <c r="E24" i="9" s="1"/>
  <c r="L24" i="9" s="1"/>
  <c r="BC22" i="9"/>
  <c r="B13" i="7"/>
  <c r="B13" i="8"/>
  <c r="E19" i="8"/>
  <c r="B14" i="8"/>
  <c r="E14" i="8" s="1"/>
  <c r="E12" i="8"/>
  <c r="E18" i="8"/>
  <c r="B12" i="8"/>
  <c r="E13" i="8"/>
  <c r="B17" i="8"/>
  <c r="E17" i="8" s="1"/>
  <c r="L17" i="8" s="1"/>
  <c r="E16" i="8"/>
  <c r="AD16" i="8" s="1"/>
  <c r="F20" i="8"/>
  <c r="BC15" i="8"/>
  <c r="B17" i="7"/>
  <c r="E17" i="7" s="1"/>
  <c r="L17" i="7" s="1"/>
  <c r="E16" i="7"/>
  <c r="AD16" i="7" s="1"/>
  <c r="F20" i="7"/>
  <c r="BC15" i="7"/>
  <c r="E13" i="7"/>
  <c r="B12" i="7"/>
  <c r="E18" i="7"/>
  <c r="E12" i="7"/>
  <c r="B14" i="7"/>
  <c r="E14" i="7" s="1"/>
  <c r="B13" i="6"/>
  <c r="B14" i="6"/>
  <c r="E14" i="6" s="1"/>
  <c r="E12" i="6"/>
  <c r="E19" i="6"/>
  <c r="B12" i="6"/>
  <c r="E13" i="6"/>
  <c r="E18" i="6"/>
  <c r="B17" i="6"/>
  <c r="E17" i="6" s="1"/>
  <c r="L17" i="6" s="1"/>
  <c r="E16" i="6"/>
  <c r="AD16" i="6" s="1"/>
  <c r="BC15" i="6"/>
  <c r="F20" i="6"/>
  <c r="B14" i="5"/>
  <c r="E14" i="5" s="1"/>
  <c r="E12" i="5"/>
  <c r="E18" i="5"/>
  <c r="B12" i="5"/>
  <c r="B13" i="5"/>
  <c r="E19" i="5"/>
  <c r="E13" i="5"/>
  <c r="B17" i="5"/>
  <c r="E17" i="5" s="1"/>
  <c r="L17" i="5" s="1"/>
  <c r="E16" i="5"/>
  <c r="AD16" i="5" s="1"/>
  <c r="F20" i="5"/>
  <c r="BC15" i="5"/>
  <c r="F20" i="4"/>
  <c r="BC15" i="4"/>
  <c r="BB13" i="4"/>
  <c r="AD13" i="4"/>
  <c r="AD19" i="4"/>
  <c r="E19" i="4"/>
  <c r="B14" i="4"/>
  <c r="E14" i="4" s="1"/>
  <c r="E12" i="4"/>
  <c r="E18" i="4"/>
  <c r="B12" i="4"/>
  <c r="B6" i="4"/>
  <c r="B16" i="4"/>
  <c r="F15" i="1"/>
  <c r="E20" i="1"/>
  <c r="E21" i="1" s="1"/>
  <c r="BC18" i="1"/>
  <c r="BC16" i="1"/>
  <c r="E16" i="1"/>
  <c r="B17" i="1"/>
  <c r="E17" i="1" s="1"/>
  <c r="B10" i="1"/>
  <c r="B13" i="10" l="1"/>
  <c r="E19" i="10"/>
  <c r="B12" i="10"/>
  <c r="B14" i="10"/>
  <c r="E14" i="10" s="1"/>
  <c r="E12" i="10"/>
  <c r="E18" i="10"/>
  <c r="E13" i="10"/>
  <c r="F21" i="10"/>
  <c r="AE21" i="10" s="1"/>
  <c r="AF21" i="10" s="1"/>
  <c r="AG21" i="10" s="1"/>
  <c r="AH21" i="10" s="1"/>
  <c r="AI21" i="10" s="1"/>
  <c r="B17" i="10"/>
  <c r="E17" i="10" s="1"/>
  <c r="AJ17" i="10" s="1"/>
  <c r="E16" i="10"/>
  <c r="BB16" i="10" s="1"/>
  <c r="G21" i="9"/>
  <c r="G27" i="9" s="1"/>
  <c r="G28" i="9" s="1"/>
  <c r="H28" i="9" s="1"/>
  <c r="I28" i="9" s="1"/>
  <c r="J28" i="9" s="1"/>
  <c r="K28" i="9" s="1"/>
  <c r="L28" i="9" s="1"/>
  <c r="M28" i="9" s="1"/>
  <c r="N28" i="9" s="1"/>
  <c r="O28" i="9" s="1"/>
  <c r="P28" i="9" s="1"/>
  <c r="Q28" i="9" s="1"/>
  <c r="R28" i="9" s="1"/>
  <c r="S28" i="9" s="1"/>
  <c r="T28" i="9" s="1"/>
  <c r="J21" i="9"/>
  <c r="J27" i="9" s="1"/>
  <c r="AD26" i="9"/>
  <c r="O21" i="9"/>
  <c r="O27" i="9" s="1"/>
  <c r="T21" i="9"/>
  <c r="T27" i="9" s="1"/>
  <c r="M21" i="9"/>
  <c r="M27" i="9" s="1"/>
  <c r="E15" i="9"/>
  <c r="U26" i="9" s="1"/>
  <c r="E25" i="9"/>
  <c r="B15" i="9"/>
  <c r="E23" i="9"/>
  <c r="B17" i="9"/>
  <c r="E17" i="9" s="1"/>
  <c r="B16" i="9"/>
  <c r="BB16" i="9"/>
  <c r="BC24" i="9"/>
  <c r="AE16" i="9"/>
  <c r="AF16" i="9" s="1"/>
  <c r="AG16" i="9" s="1"/>
  <c r="AH16" i="9" s="1"/>
  <c r="AI16" i="9" s="1"/>
  <c r="AJ16" i="9" s="1"/>
  <c r="AK16" i="9" s="1"/>
  <c r="AL16" i="9" s="1"/>
  <c r="AM16" i="9" s="1"/>
  <c r="AN16" i="9" s="1"/>
  <c r="AO16" i="9" s="1"/>
  <c r="AP16" i="9" s="1"/>
  <c r="AQ16" i="9" s="1"/>
  <c r="AR16" i="9" s="1"/>
  <c r="AS16" i="9" s="1"/>
  <c r="AT16" i="9" s="1"/>
  <c r="AU16" i="9" s="1"/>
  <c r="AV16" i="9" s="1"/>
  <c r="AW16" i="9" s="1"/>
  <c r="AX16" i="9" s="1"/>
  <c r="AY16" i="9" s="1"/>
  <c r="AZ16" i="9" s="1"/>
  <c r="BA16" i="9" s="1"/>
  <c r="U19" i="8"/>
  <c r="BB12" i="8"/>
  <c r="U12" i="8"/>
  <c r="E20" i="8"/>
  <c r="E21" i="8" s="1"/>
  <c r="BB14" i="8"/>
  <c r="BC14" i="8" s="1"/>
  <c r="BB19" i="8"/>
  <c r="AE16" i="8"/>
  <c r="AF16" i="8" s="1"/>
  <c r="AG16" i="8" s="1"/>
  <c r="AH16" i="8" s="1"/>
  <c r="AI16" i="8" s="1"/>
  <c r="AJ16" i="8" s="1"/>
  <c r="AK16" i="8" s="1"/>
  <c r="AL16" i="8" s="1"/>
  <c r="AM16" i="8" s="1"/>
  <c r="AN16" i="8" s="1"/>
  <c r="AO16" i="8" s="1"/>
  <c r="AP16" i="8" s="1"/>
  <c r="AQ16" i="8" s="1"/>
  <c r="AR16" i="8" s="1"/>
  <c r="AS16" i="8" s="1"/>
  <c r="AT16" i="8" s="1"/>
  <c r="AU16" i="8" s="1"/>
  <c r="AV16" i="8" s="1"/>
  <c r="AW16" i="8" s="1"/>
  <c r="AX16" i="8" s="1"/>
  <c r="AY16" i="8" s="1"/>
  <c r="AZ16" i="8" s="1"/>
  <c r="BA16" i="8" s="1"/>
  <c r="BC16" i="8"/>
  <c r="L20" i="8"/>
  <c r="BC17" i="8"/>
  <c r="AD19" i="8"/>
  <c r="BB13" i="8"/>
  <c r="AD13" i="8"/>
  <c r="AD19" i="7"/>
  <c r="BB13" i="7"/>
  <c r="AD13" i="7"/>
  <c r="AE16" i="7"/>
  <c r="AF16" i="7" s="1"/>
  <c r="AG16" i="7" s="1"/>
  <c r="AH16" i="7" s="1"/>
  <c r="AI16" i="7" s="1"/>
  <c r="AJ16" i="7" s="1"/>
  <c r="AK16" i="7" s="1"/>
  <c r="AL16" i="7" s="1"/>
  <c r="AM16" i="7" s="1"/>
  <c r="AN16" i="7" s="1"/>
  <c r="AO16" i="7" s="1"/>
  <c r="AP16" i="7" s="1"/>
  <c r="AQ16" i="7" s="1"/>
  <c r="AR16" i="7" s="1"/>
  <c r="AS16" i="7" s="1"/>
  <c r="AT16" i="7" s="1"/>
  <c r="AU16" i="7" s="1"/>
  <c r="AV16" i="7" s="1"/>
  <c r="AW16" i="7" s="1"/>
  <c r="AX16" i="7" s="1"/>
  <c r="AY16" i="7" s="1"/>
  <c r="AZ16" i="7" s="1"/>
  <c r="BA16" i="7" s="1"/>
  <c r="BC16" i="7"/>
  <c r="BB14" i="7"/>
  <c r="BC14" i="7" s="1"/>
  <c r="BB19" i="7"/>
  <c r="L20" i="7"/>
  <c r="BC17" i="7"/>
  <c r="U19" i="7"/>
  <c r="U12" i="7"/>
  <c r="BB12" i="7"/>
  <c r="E20" i="7"/>
  <c r="E21" i="7" s="1"/>
  <c r="U19" i="6"/>
  <c r="BB12" i="6"/>
  <c r="U12" i="6"/>
  <c r="E20" i="6"/>
  <c r="E21" i="6" s="1"/>
  <c r="AE16" i="6"/>
  <c r="AF16" i="6" s="1"/>
  <c r="AG16" i="6" s="1"/>
  <c r="AH16" i="6" s="1"/>
  <c r="AI16" i="6" s="1"/>
  <c r="AJ16" i="6" s="1"/>
  <c r="AK16" i="6" s="1"/>
  <c r="AL16" i="6" s="1"/>
  <c r="AM16" i="6" s="1"/>
  <c r="AN16" i="6" s="1"/>
  <c r="AO16" i="6" s="1"/>
  <c r="AP16" i="6" s="1"/>
  <c r="AQ16" i="6" s="1"/>
  <c r="AR16" i="6" s="1"/>
  <c r="AS16" i="6" s="1"/>
  <c r="AT16" i="6" s="1"/>
  <c r="AU16" i="6" s="1"/>
  <c r="AV16" i="6" s="1"/>
  <c r="AW16" i="6" s="1"/>
  <c r="AX16" i="6" s="1"/>
  <c r="AY16" i="6" s="1"/>
  <c r="AZ16" i="6" s="1"/>
  <c r="BA16" i="6" s="1"/>
  <c r="BC16" i="6"/>
  <c r="AD19" i="6"/>
  <c r="BB13" i="6"/>
  <c r="AD13" i="6"/>
  <c r="BB14" i="6"/>
  <c r="BC14" i="6" s="1"/>
  <c r="BB19" i="6"/>
  <c r="L20" i="6"/>
  <c r="BC17" i="6"/>
  <c r="U19" i="5"/>
  <c r="U12" i="5"/>
  <c r="E20" i="5"/>
  <c r="E21" i="5" s="1"/>
  <c r="BB12" i="5"/>
  <c r="AE16" i="5"/>
  <c r="AF16" i="5" s="1"/>
  <c r="AG16" i="5" s="1"/>
  <c r="AH16" i="5" s="1"/>
  <c r="AI16" i="5" s="1"/>
  <c r="AJ16" i="5" s="1"/>
  <c r="AK16" i="5" s="1"/>
  <c r="AL16" i="5" s="1"/>
  <c r="AM16" i="5" s="1"/>
  <c r="AN16" i="5" s="1"/>
  <c r="AO16" i="5" s="1"/>
  <c r="AP16" i="5" s="1"/>
  <c r="AQ16" i="5" s="1"/>
  <c r="AR16" i="5" s="1"/>
  <c r="AS16" i="5" s="1"/>
  <c r="AT16" i="5" s="1"/>
  <c r="AU16" i="5" s="1"/>
  <c r="AV16" i="5" s="1"/>
  <c r="AW16" i="5" s="1"/>
  <c r="AX16" i="5" s="1"/>
  <c r="AY16" i="5" s="1"/>
  <c r="AZ16" i="5" s="1"/>
  <c r="BA16" i="5" s="1"/>
  <c r="BB14" i="5"/>
  <c r="BC14" i="5" s="1"/>
  <c r="BB19" i="5"/>
  <c r="L20" i="5"/>
  <c r="BC17" i="5"/>
  <c r="AD19" i="5"/>
  <c r="BB13" i="5"/>
  <c r="AD13" i="5"/>
  <c r="E16" i="4"/>
  <c r="AD16" i="4" s="1"/>
  <c r="B17" i="4"/>
  <c r="E17" i="4" s="1"/>
  <c r="L17" i="4" s="1"/>
  <c r="AE13" i="4"/>
  <c r="AF13" i="4" s="1"/>
  <c r="AG13" i="4" s="1"/>
  <c r="AH13" i="4" s="1"/>
  <c r="AI13" i="4" s="1"/>
  <c r="AJ13" i="4" s="1"/>
  <c r="AK13" i="4" s="1"/>
  <c r="AL13" i="4" s="1"/>
  <c r="AM13" i="4" s="1"/>
  <c r="AN13" i="4" s="1"/>
  <c r="AO13" i="4" s="1"/>
  <c r="AP13" i="4" s="1"/>
  <c r="AQ13" i="4" s="1"/>
  <c r="AR13" i="4" s="1"/>
  <c r="AS13" i="4" s="1"/>
  <c r="AT13" i="4" s="1"/>
  <c r="AU13" i="4" s="1"/>
  <c r="AV13" i="4" s="1"/>
  <c r="AW13" i="4" s="1"/>
  <c r="AX13" i="4" s="1"/>
  <c r="AY13" i="4" s="1"/>
  <c r="AZ13" i="4" s="1"/>
  <c r="BA13" i="4" s="1"/>
  <c r="BB12" i="4"/>
  <c r="U12" i="4"/>
  <c r="U19" i="4"/>
  <c r="BB14" i="4"/>
  <c r="BC14" i="4" s="1"/>
  <c r="BB19" i="4"/>
  <c r="BC15" i="1"/>
  <c r="BC20" i="1" s="1"/>
  <c r="F20" i="1"/>
  <c r="E22" i="1" s="1"/>
  <c r="E13" i="1"/>
  <c r="B14" i="1"/>
  <c r="E14" i="1" s="1"/>
  <c r="BB14" i="1" s="1"/>
  <c r="BC14" i="1" s="1"/>
  <c r="B13" i="1"/>
  <c r="E12" i="1"/>
  <c r="B12" i="1"/>
  <c r="BZ12" i="10" l="1"/>
  <c r="AS19" i="10"/>
  <c r="AS12" i="10"/>
  <c r="E20" i="10"/>
  <c r="E22" i="10" s="1"/>
  <c r="BZ14" i="10"/>
  <c r="CA14" i="10" s="1"/>
  <c r="BZ19" i="10"/>
  <c r="BC16" i="10"/>
  <c r="BD16" i="10" s="1"/>
  <c r="BE16" i="10" s="1"/>
  <c r="BF16" i="10" s="1"/>
  <c r="BG16" i="10" s="1"/>
  <c r="BH16" i="10" s="1"/>
  <c r="BI16" i="10" s="1"/>
  <c r="BJ16" i="10" s="1"/>
  <c r="BK16" i="10" s="1"/>
  <c r="BL16" i="10" s="1"/>
  <c r="BM16" i="10" s="1"/>
  <c r="BN16" i="10" s="1"/>
  <c r="BO16" i="10" s="1"/>
  <c r="BP16" i="10" s="1"/>
  <c r="BQ16" i="10" s="1"/>
  <c r="BR16" i="10" s="1"/>
  <c r="BS16" i="10" s="1"/>
  <c r="BT16" i="10" s="1"/>
  <c r="BU16" i="10" s="1"/>
  <c r="BV16" i="10" s="1"/>
  <c r="BW16" i="10" s="1"/>
  <c r="BX16" i="10" s="1"/>
  <c r="BY16" i="10" s="1"/>
  <c r="CA16" i="10"/>
  <c r="AJ20" i="10"/>
  <c r="CA17" i="10"/>
  <c r="AJ21" i="10"/>
  <c r="AK21" i="10" s="1"/>
  <c r="AL21" i="10" s="1"/>
  <c r="AM21" i="10" s="1"/>
  <c r="AN21" i="10" s="1"/>
  <c r="AO21" i="10" s="1"/>
  <c r="AP21" i="10" s="1"/>
  <c r="AQ21" i="10" s="1"/>
  <c r="AR21" i="10" s="1"/>
  <c r="BB19" i="10"/>
  <c r="BZ13" i="10"/>
  <c r="BB13" i="10"/>
  <c r="BB15" i="9"/>
  <c r="BB18" i="9" s="1"/>
  <c r="BB21" i="9" s="1"/>
  <c r="BB17" i="9"/>
  <c r="BC17" i="9" s="1"/>
  <c r="BB26" i="9"/>
  <c r="AD23" i="9"/>
  <c r="AE23" i="9" s="1"/>
  <c r="AF23" i="9" s="1"/>
  <c r="AG23" i="9" s="1"/>
  <c r="AH23" i="9" s="1"/>
  <c r="AI23" i="9" s="1"/>
  <c r="AJ23" i="9" s="1"/>
  <c r="AK23" i="9" s="1"/>
  <c r="AL23" i="9" s="1"/>
  <c r="AM23" i="9" s="1"/>
  <c r="AN23" i="9" s="1"/>
  <c r="AO23" i="9" s="1"/>
  <c r="AP23" i="9" s="1"/>
  <c r="AQ23" i="9" s="1"/>
  <c r="AR23" i="9" s="1"/>
  <c r="AS23" i="9" s="1"/>
  <c r="AT23" i="9" s="1"/>
  <c r="AU23" i="9" s="1"/>
  <c r="AV23" i="9" s="1"/>
  <c r="AW23" i="9" s="1"/>
  <c r="AX23" i="9" s="1"/>
  <c r="AY23" i="9" s="1"/>
  <c r="AZ23" i="9" s="1"/>
  <c r="BA23" i="9" s="1"/>
  <c r="E27" i="9"/>
  <c r="E29" i="9" s="1"/>
  <c r="U15" i="9"/>
  <c r="U18" i="9" s="1"/>
  <c r="U21" i="9" s="1"/>
  <c r="BC26" i="9"/>
  <c r="BC16" i="9"/>
  <c r="BC23" i="9"/>
  <c r="BC19" i="8"/>
  <c r="BC19" i="7"/>
  <c r="V12" i="8"/>
  <c r="U18" i="8"/>
  <c r="BB18" i="8"/>
  <c r="BB20" i="8" s="1"/>
  <c r="AE13" i="8"/>
  <c r="AF13" i="8" s="1"/>
  <c r="AG13" i="8" s="1"/>
  <c r="AH13" i="8" s="1"/>
  <c r="AI13" i="8" s="1"/>
  <c r="AJ13" i="8" s="1"/>
  <c r="AK13" i="8" s="1"/>
  <c r="AL13" i="8" s="1"/>
  <c r="AM13" i="8" s="1"/>
  <c r="AN13" i="8" s="1"/>
  <c r="AO13" i="8" s="1"/>
  <c r="AP13" i="8" s="1"/>
  <c r="AQ13" i="8" s="1"/>
  <c r="AR13" i="8" s="1"/>
  <c r="AS13" i="8" s="1"/>
  <c r="AT13" i="8" s="1"/>
  <c r="AU13" i="8" s="1"/>
  <c r="AV13" i="8" s="1"/>
  <c r="AW13" i="8" s="1"/>
  <c r="AX13" i="8" s="1"/>
  <c r="AY13" i="8" s="1"/>
  <c r="AZ13" i="8" s="1"/>
  <c r="BA13" i="8" s="1"/>
  <c r="BB18" i="7"/>
  <c r="BB20" i="7" s="1"/>
  <c r="V12" i="7"/>
  <c r="U18" i="7"/>
  <c r="U20" i="7" s="1"/>
  <c r="AE13" i="7"/>
  <c r="AF13" i="7" s="1"/>
  <c r="AG13" i="7" s="1"/>
  <c r="AH13" i="7" s="1"/>
  <c r="AI13" i="7" s="1"/>
  <c r="AJ13" i="7" s="1"/>
  <c r="AK13" i="7" s="1"/>
  <c r="AL13" i="7" s="1"/>
  <c r="AM13" i="7" s="1"/>
  <c r="AN13" i="7" s="1"/>
  <c r="AO13" i="7" s="1"/>
  <c r="AP13" i="7" s="1"/>
  <c r="AQ13" i="7" s="1"/>
  <c r="AR13" i="7" s="1"/>
  <c r="AS13" i="7" s="1"/>
  <c r="AT13" i="7" s="1"/>
  <c r="AU13" i="7" s="1"/>
  <c r="AV13" i="7" s="1"/>
  <c r="AW13" i="7" s="1"/>
  <c r="AX13" i="7" s="1"/>
  <c r="AY13" i="7" s="1"/>
  <c r="AZ13" i="7" s="1"/>
  <c r="BA13" i="7" s="1"/>
  <c r="V12" i="6"/>
  <c r="U18" i="6"/>
  <c r="BB18" i="6"/>
  <c r="BB20" i="6" s="1"/>
  <c r="AE13" i="6"/>
  <c r="AF13" i="6" s="1"/>
  <c r="AG13" i="6" s="1"/>
  <c r="AH13" i="6" s="1"/>
  <c r="AI13" i="6" s="1"/>
  <c r="AJ13" i="6" s="1"/>
  <c r="AK13" i="6" s="1"/>
  <c r="AL13" i="6" s="1"/>
  <c r="AM13" i="6" s="1"/>
  <c r="AN13" i="6" s="1"/>
  <c r="AO13" i="6" s="1"/>
  <c r="AP13" i="6" s="1"/>
  <c r="AQ13" i="6" s="1"/>
  <c r="AR13" i="6" s="1"/>
  <c r="AS13" i="6" s="1"/>
  <c r="AT13" i="6" s="1"/>
  <c r="AU13" i="6" s="1"/>
  <c r="AV13" i="6" s="1"/>
  <c r="AW13" i="6" s="1"/>
  <c r="AX13" i="6" s="1"/>
  <c r="AY13" i="6" s="1"/>
  <c r="AZ13" i="6" s="1"/>
  <c r="BA13" i="6" s="1"/>
  <c r="BC13" i="6"/>
  <c r="BC19" i="6"/>
  <c r="BB18" i="5"/>
  <c r="BB20" i="5" s="1"/>
  <c r="V12" i="5"/>
  <c r="U20" i="5"/>
  <c r="U18" i="5"/>
  <c r="BC19" i="5"/>
  <c r="AE13" i="5"/>
  <c r="AF13" i="5" s="1"/>
  <c r="AG13" i="5" s="1"/>
  <c r="AH13" i="5" s="1"/>
  <c r="AI13" i="5" s="1"/>
  <c r="AJ13" i="5" s="1"/>
  <c r="AK13" i="5" s="1"/>
  <c r="AL13" i="5" s="1"/>
  <c r="AM13" i="5" s="1"/>
  <c r="AN13" i="5" s="1"/>
  <c r="AO13" i="5" s="1"/>
  <c r="AP13" i="5" s="1"/>
  <c r="AQ13" i="5" s="1"/>
  <c r="AR13" i="5" s="1"/>
  <c r="AS13" i="5" s="1"/>
  <c r="AT13" i="5" s="1"/>
  <c r="AU13" i="5" s="1"/>
  <c r="AV13" i="5" s="1"/>
  <c r="AW13" i="5" s="1"/>
  <c r="AX13" i="5" s="1"/>
  <c r="AY13" i="5" s="1"/>
  <c r="AZ13" i="5" s="1"/>
  <c r="BA13" i="5" s="1"/>
  <c r="BC16" i="5"/>
  <c r="BB18" i="4"/>
  <c r="BB20" i="4" s="1"/>
  <c r="BC13" i="4"/>
  <c r="L20" i="4"/>
  <c r="BC17" i="4"/>
  <c r="AE16" i="4"/>
  <c r="AF16" i="4" s="1"/>
  <c r="AG16" i="4" s="1"/>
  <c r="AH16" i="4" s="1"/>
  <c r="AI16" i="4" s="1"/>
  <c r="AJ16" i="4" s="1"/>
  <c r="AK16" i="4" s="1"/>
  <c r="AL16" i="4" s="1"/>
  <c r="AM16" i="4" s="1"/>
  <c r="AN16" i="4" s="1"/>
  <c r="AO16" i="4" s="1"/>
  <c r="AP16" i="4" s="1"/>
  <c r="AQ16" i="4" s="1"/>
  <c r="AR16" i="4" s="1"/>
  <c r="AS16" i="4" s="1"/>
  <c r="AT16" i="4" s="1"/>
  <c r="AU16" i="4" s="1"/>
  <c r="AV16" i="4" s="1"/>
  <c r="AW16" i="4" s="1"/>
  <c r="AX16" i="4" s="1"/>
  <c r="AY16" i="4" s="1"/>
  <c r="AZ16" i="4" s="1"/>
  <c r="BA16" i="4" s="1"/>
  <c r="BC19" i="4"/>
  <c r="V12" i="4"/>
  <c r="U18" i="4"/>
  <c r="E20" i="4"/>
  <c r="E22" i="4" s="1"/>
  <c r="U12" i="1"/>
  <c r="BB12" i="1"/>
  <c r="BB13" i="1"/>
  <c r="AD13" i="1"/>
  <c r="AE13" i="1" s="1"/>
  <c r="AF13" i="1" s="1"/>
  <c r="AG13" i="1" s="1"/>
  <c r="AH13" i="1" s="1"/>
  <c r="AI13" i="1" s="1"/>
  <c r="AJ13" i="1" s="1"/>
  <c r="AK13" i="1" s="1"/>
  <c r="AL13" i="1" s="1"/>
  <c r="AM13" i="1" s="1"/>
  <c r="AN13" i="1" s="1"/>
  <c r="AO13" i="1" s="1"/>
  <c r="AP13" i="1" s="1"/>
  <c r="AQ13" i="1" s="1"/>
  <c r="AR13" i="1" s="1"/>
  <c r="AS13" i="1" s="1"/>
  <c r="AT13" i="1" s="1"/>
  <c r="AU13" i="1" s="1"/>
  <c r="AV13" i="1" s="1"/>
  <c r="AW13" i="1" s="1"/>
  <c r="AX13" i="1" s="1"/>
  <c r="AY13" i="1" s="1"/>
  <c r="AZ13" i="1" s="1"/>
  <c r="BA13" i="1" s="1"/>
  <c r="BC13" i="1"/>
  <c r="BC13" i="10" l="1"/>
  <c r="BD13" i="10" s="1"/>
  <c r="BE13" i="10" s="1"/>
  <c r="BF13" i="10" s="1"/>
  <c r="BG13" i="10" s="1"/>
  <c r="BH13" i="10" s="1"/>
  <c r="BI13" i="10" s="1"/>
  <c r="BJ13" i="10" s="1"/>
  <c r="BK13" i="10" s="1"/>
  <c r="BL13" i="10" s="1"/>
  <c r="BM13" i="10" s="1"/>
  <c r="BN13" i="10" s="1"/>
  <c r="BO13" i="10" s="1"/>
  <c r="BP13" i="10" s="1"/>
  <c r="BQ13" i="10" s="1"/>
  <c r="BR13" i="10" s="1"/>
  <c r="BS13" i="10" s="1"/>
  <c r="BT13" i="10" s="1"/>
  <c r="BU13" i="10" s="1"/>
  <c r="BV13" i="10" s="1"/>
  <c r="BW13" i="10" s="1"/>
  <c r="BX13" i="10" s="1"/>
  <c r="BY13" i="10" s="1"/>
  <c r="CA13" i="10"/>
  <c r="AT12" i="10"/>
  <c r="AS18" i="10"/>
  <c r="AS20" i="10" s="1"/>
  <c r="CA19" i="10"/>
  <c r="BZ18" i="10"/>
  <c r="BZ20" i="10" s="1"/>
  <c r="U27" i="9"/>
  <c r="BB25" i="9"/>
  <c r="BB27" i="9"/>
  <c r="BC16" i="4"/>
  <c r="V15" i="9"/>
  <c r="V18" i="9" s="1"/>
  <c r="V21" i="9" s="1"/>
  <c r="U25" i="9"/>
  <c r="U20" i="8"/>
  <c r="W12" i="8"/>
  <c r="V18" i="8"/>
  <c r="BC13" i="8"/>
  <c r="W12" i="7"/>
  <c r="V18" i="7"/>
  <c r="BC13" i="7"/>
  <c r="U20" i="6"/>
  <c r="W12" i="6"/>
  <c r="V18" i="6"/>
  <c r="W12" i="5"/>
  <c r="V18" i="5"/>
  <c r="BC13" i="5"/>
  <c r="U20" i="4"/>
  <c r="V18" i="4"/>
  <c r="W12" i="4"/>
  <c r="V12" i="1"/>
  <c r="W12" i="1" s="1"/>
  <c r="X12" i="1" s="1"/>
  <c r="Y12" i="1" s="1"/>
  <c r="Z12" i="1" s="1"/>
  <c r="AA12" i="1" s="1"/>
  <c r="AB12" i="1" s="1"/>
  <c r="AC12" i="1" s="1"/>
  <c r="AD12" i="1" s="1"/>
  <c r="AE12" i="1" s="1"/>
  <c r="AF12" i="1" s="1"/>
  <c r="AG12" i="1" s="1"/>
  <c r="AH12" i="1" s="1"/>
  <c r="AI12" i="1" s="1"/>
  <c r="AJ12" i="1" s="1"/>
  <c r="AK12" i="1" s="1"/>
  <c r="AL12" i="1" s="1"/>
  <c r="AM12" i="1" s="1"/>
  <c r="AN12" i="1" s="1"/>
  <c r="AO12" i="1" s="1"/>
  <c r="AP12" i="1" s="1"/>
  <c r="AQ12" i="1" s="1"/>
  <c r="AR12" i="1" s="1"/>
  <c r="AS12" i="1" s="1"/>
  <c r="AT12" i="1" s="1"/>
  <c r="AU12" i="1" s="1"/>
  <c r="AV12" i="1" s="1"/>
  <c r="AW12" i="1" s="1"/>
  <c r="AX12" i="1" s="1"/>
  <c r="AY12" i="1" s="1"/>
  <c r="AZ12" i="1" s="1"/>
  <c r="BA12" i="1" s="1"/>
  <c r="BC12" i="1"/>
  <c r="AU12" i="10" l="1"/>
  <c r="AT18" i="10"/>
  <c r="AS21" i="10"/>
  <c r="U28" i="9"/>
  <c r="V25" i="9"/>
  <c r="V27" i="9" s="1"/>
  <c r="W15" i="9"/>
  <c r="W18" i="9" s="1"/>
  <c r="W21" i="9" s="1"/>
  <c r="V20" i="8"/>
  <c r="W18" i="8"/>
  <c r="W20" i="8" s="1"/>
  <c r="X12" i="8"/>
  <c r="V20" i="7"/>
  <c r="W18" i="7"/>
  <c r="W20" i="7" s="1"/>
  <c r="X12" i="7"/>
  <c r="V20" i="6"/>
  <c r="X12" i="6"/>
  <c r="W18" i="6"/>
  <c r="W20" i="6" s="1"/>
  <c r="V20" i="5"/>
  <c r="W18" i="5"/>
  <c r="W20" i="5" s="1"/>
  <c r="X12" i="5"/>
  <c r="W18" i="4"/>
  <c r="W20" i="4"/>
  <c r="X12" i="4"/>
  <c r="V20" i="4"/>
  <c r="AT20" i="10" l="1"/>
  <c r="AV12" i="10"/>
  <c r="AU18" i="10"/>
  <c r="AU20" i="10" s="1"/>
  <c r="W27" i="9"/>
  <c r="V28" i="9"/>
  <c r="W28" i="9" s="1"/>
  <c r="X15" i="9"/>
  <c r="X18" i="9" s="1"/>
  <c r="X21" i="9" s="1"/>
  <c r="W25" i="9"/>
  <c r="X18" i="8"/>
  <c r="X20" i="8" s="1"/>
  <c r="Y12" i="8"/>
  <c r="X18" i="7"/>
  <c r="X20" i="7" s="1"/>
  <c r="Y12" i="7"/>
  <c r="X18" i="6"/>
  <c r="X20" i="6" s="1"/>
  <c r="Y12" i="6"/>
  <c r="X18" i="5"/>
  <c r="X20" i="5" s="1"/>
  <c r="Y12" i="5"/>
  <c r="X18" i="4"/>
  <c r="X20" i="4" s="1"/>
  <c r="Y12" i="4"/>
  <c r="AV18" i="10" l="1"/>
  <c r="AV20" i="10" s="1"/>
  <c r="AW12" i="10"/>
  <c r="AT21" i="10"/>
  <c r="AU21" i="10" s="1"/>
  <c r="Y15" i="9"/>
  <c r="Y18" i="9" s="1"/>
  <c r="Y21" i="9" s="1"/>
  <c r="X25" i="9"/>
  <c r="X27" i="9" s="1"/>
  <c r="Y18" i="8"/>
  <c r="Y20" i="8" s="1"/>
  <c r="Z12" i="8"/>
  <c r="Y18" i="7"/>
  <c r="Y20" i="7" s="1"/>
  <c r="Z12" i="7"/>
  <c r="Y18" i="6"/>
  <c r="Y20" i="6" s="1"/>
  <c r="Z12" i="6"/>
  <c r="Y18" i="5"/>
  <c r="Y20" i="5" s="1"/>
  <c r="Z12" i="5"/>
  <c r="Z12" i="4"/>
  <c r="Y18" i="4"/>
  <c r="Y20" i="4"/>
  <c r="AV21" i="10" l="1"/>
  <c r="AW18" i="10"/>
  <c r="AW20" i="10" s="1"/>
  <c r="AX12" i="10"/>
  <c r="X28" i="9"/>
  <c r="Y28" i="9" s="1"/>
  <c r="Y27" i="9"/>
  <c r="Y25" i="9"/>
  <c r="Z15" i="9"/>
  <c r="Z18" i="9" s="1"/>
  <c r="Z21" i="9" s="1"/>
  <c r="Z18" i="8"/>
  <c r="Z20" i="8" s="1"/>
  <c r="AA12" i="8"/>
  <c r="AA12" i="7"/>
  <c r="Z18" i="7"/>
  <c r="Z20" i="7" s="1"/>
  <c r="Z18" i="6"/>
  <c r="Z20" i="6" s="1"/>
  <c r="AA12" i="6"/>
  <c r="AA12" i="5"/>
  <c r="Z18" i="5"/>
  <c r="Z20" i="5" s="1"/>
  <c r="AA12" i="4"/>
  <c r="Z18" i="4"/>
  <c r="Z20" i="4" s="1"/>
  <c r="AW21" i="10" l="1"/>
  <c r="AX18" i="10"/>
  <c r="AX20" i="10" s="1"/>
  <c r="AY12" i="10"/>
  <c r="Z25" i="9"/>
  <c r="Z27" i="9" s="1"/>
  <c r="Z28" i="9" s="1"/>
  <c r="AA15" i="9"/>
  <c r="AA18" i="9" s="1"/>
  <c r="AA21" i="9" s="1"/>
  <c r="AB12" i="8"/>
  <c r="AA18" i="8"/>
  <c r="AA20" i="8" s="1"/>
  <c r="AB12" i="7"/>
  <c r="AA18" i="7"/>
  <c r="AA20" i="7" s="1"/>
  <c r="AB12" i="6"/>
  <c r="AA18" i="6"/>
  <c r="AA20" i="6" s="1"/>
  <c r="AB12" i="5"/>
  <c r="AA20" i="5"/>
  <c r="AA18" i="5"/>
  <c r="AB12" i="4"/>
  <c r="AA18" i="4"/>
  <c r="AA20" i="4" s="1"/>
  <c r="AY18" i="10" l="1"/>
  <c r="AZ12" i="10"/>
  <c r="AY20" i="10"/>
  <c r="AX21" i="10"/>
  <c r="AA25" i="9"/>
  <c r="AA27" i="9" s="1"/>
  <c r="AA28" i="9" s="1"/>
  <c r="AB15" i="9"/>
  <c r="AB18" i="9" s="1"/>
  <c r="AB21" i="9" s="1"/>
  <c r="AC12" i="8"/>
  <c r="AB18" i="8"/>
  <c r="AB20" i="8" s="1"/>
  <c r="AC12" i="7"/>
  <c r="AB18" i="7"/>
  <c r="AB20" i="7" s="1"/>
  <c r="AC12" i="6"/>
  <c r="AB18" i="6"/>
  <c r="AB20" i="6" s="1"/>
  <c r="AC12" i="5"/>
  <c r="AB18" i="5"/>
  <c r="AB20" i="5" s="1"/>
  <c r="AB18" i="4"/>
  <c r="AB20" i="4" s="1"/>
  <c r="AC12" i="4"/>
  <c r="AY21" i="10" l="1"/>
  <c r="BA12" i="10"/>
  <c r="AZ18" i="10"/>
  <c r="AZ20" i="10" s="1"/>
  <c r="AC15" i="9"/>
  <c r="AC18" i="9" s="1"/>
  <c r="AC21" i="9" s="1"/>
  <c r="AB25" i="9"/>
  <c r="AB27" i="9" s="1"/>
  <c r="AB28" i="9" s="1"/>
  <c r="AD12" i="8"/>
  <c r="AC18" i="8"/>
  <c r="AC20" i="8" s="1"/>
  <c r="AD12" i="7"/>
  <c r="AC18" i="7"/>
  <c r="AC20" i="7" s="1"/>
  <c r="AD12" i="6"/>
  <c r="AC18" i="6"/>
  <c r="AC20" i="6" s="1"/>
  <c r="AC18" i="5"/>
  <c r="AC20" i="5" s="1"/>
  <c r="AD12" i="5"/>
  <c r="AD12" i="4"/>
  <c r="AC18" i="4"/>
  <c r="AC20" i="4" s="1"/>
  <c r="AZ21" i="10" l="1"/>
  <c r="BB12" i="10"/>
  <c r="BA18" i="10"/>
  <c r="BA20" i="10" s="1"/>
  <c r="AC25" i="9"/>
  <c r="AC27" i="9" s="1"/>
  <c r="AC28" i="9" s="1"/>
  <c r="AD15" i="9"/>
  <c r="AD18" i="9" s="1"/>
  <c r="AD21" i="9" s="1"/>
  <c r="AE12" i="8"/>
  <c r="AD18" i="8"/>
  <c r="AD20" i="8" s="1"/>
  <c r="AE12" i="7"/>
  <c r="AD18" i="7"/>
  <c r="AD20" i="7" s="1"/>
  <c r="AE12" i="6"/>
  <c r="AD18" i="6"/>
  <c r="AD20" i="6" s="1"/>
  <c r="AE12" i="5"/>
  <c r="AD18" i="5"/>
  <c r="AD20" i="5" s="1"/>
  <c r="AD18" i="4"/>
  <c r="AD20" i="4" s="1"/>
  <c r="AE12" i="4"/>
  <c r="BA21" i="10" l="1"/>
  <c r="BC12" i="10"/>
  <c r="BB18" i="10"/>
  <c r="BB20" i="10" s="1"/>
  <c r="BB21" i="10" s="1"/>
  <c r="AE15" i="9"/>
  <c r="AE18" i="9" s="1"/>
  <c r="AE21" i="9" s="1"/>
  <c r="AD25" i="9"/>
  <c r="AD27" i="9" s="1"/>
  <c r="AD28" i="9" s="1"/>
  <c r="AE18" i="8"/>
  <c r="AE20" i="8" s="1"/>
  <c r="AF12" i="8"/>
  <c r="AE18" i="7"/>
  <c r="AE20" i="7" s="1"/>
  <c r="AF12" i="7"/>
  <c r="AE18" i="6"/>
  <c r="AE20" i="6" s="1"/>
  <c r="AF12" i="6"/>
  <c r="AE18" i="5"/>
  <c r="AE20" i="5" s="1"/>
  <c r="AF12" i="5"/>
  <c r="AE18" i="4"/>
  <c r="AF12" i="4"/>
  <c r="AE20" i="4"/>
  <c r="BD12" i="10" l="1"/>
  <c r="BC18" i="10"/>
  <c r="BC20" i="10" s="1"/>
  <c r="BC21" i="10" s="1"/>
  <c r="AE25" i="9"/>
  <c r="AE27" i="9" s="1"/>
  <c r="AE28" i="9" s="1"/>
  <c r="AF15" i="9"/>
  <c r="AF18" i="9" s="1"/>
  <c r="AF21" i="9" s="1"/>
  <c r="AF18" i="8"/>
  <c r="AF20" i="8"/>
  <c r="AG12" i="8"/>
  <c r="AF18" i="7"/>
  <c r="AF20" i="7" s="1"/>
  <c r="AG12" i="7"/>
  <c r="AF18" i="6"/>
  <c r="AF20" i="6" s="1"/>
  <c r="AG12" i="6"/>
  <c r="AG12" i="5"/>
  <c r="AF18" i="5"/>
  <c r="AF20" i="5" s="1"/>
  <c r="AF18" i="4"/>
  <c r="AF20" i="4" s="1"/>
  <c r="AG12" i="4"/>
  <c r="BD18" i="10" l="1"/>
  <c r="BD20" i="10" s="1"/>
  <c r="BD21" i="10" s="1"/>
  <c r="BE12" i="10"/>
  <c r="AF25" i="9"/>
  <c r="AF27" i="9" s="1"/>
  <c r="AF28" i="9" s="1"/>
  <c r="AG15" i="9"/>
  <c r="AG18" i="9" s="1"/>
  <c r="AG21" i="9" s="1"/>
  <c r="AG18" i="8"/>
  <c r="AG20" i="8" s="1"/>
  <c r="AH12" i="8"/>
  <c r="AG18" i="7"/>
  <c r="AG20" i="7" s="1"/>
  <c r="AH12" i="7"/>
  <c r="AG18" i="6"/>
  <c r="AG20" i="6" s="1"/>
  <c r="AH12" i="6"/>
  <c r="AG18" i="5"/>
  <c r="AG20" i="5" s="1"/>
  <c r="AH12" i="5"/>
  <c r="AH12" i="4"/>
  <c r="AG18" i="4"/>
  <c r="AG20" i="4"/>
  <c r="BE18" i="10" l="1"/>
  <c r="BE20" i="10" s="1"/>
  <c r="BE21" i="10" s="1"/>
  <c r="BF12" i="10"/>
  <c r="AG25" i="9"/>
  <c r="AG27" i="9" s="1"/>
  <c r="AG28" i="9" s="1"/>
  <c r="AH15" i="9"/>
  <c r="AH18" i="9" s="1"/>
  <c r="AH21" i="9" s="1"/>
  <c r="AH18" i="8"/>
  <c r="AH20" i="8" s="1"/>
  <c r="AI12" i="8"/>
  <c r="AH18" i="7"/>
  <c r="AH20" i="7" s="1"/>
  <c r="AI12" i="7"/>
  <c r="AH18" i="6"/>
  <c r="AH20" i="6" s="1"/>
  <c r="AI12" i="6"/>
  <c r="AI12" i="5"/>
  <c r="AH18" i="5"/>
  <c r="AH20" i="5" s="1"/>
  <c r="AI12" i="4"/>
  <c r="AH18" i="4"/>
  <c r="AH20" i="4" s="1"/>
  <c r="BF18" i="10" l="1"/>
  <c r="BF20" i="10" s="1"/>
  <c r="BF21" i="10" s="1"/>
  <c r="BG12" i="10"/>
  <c r="AI15" i="9"/>
  <c r="AI18" i="9" s="1"/>
  <c r="AI21" i="9" s="1"/>
  <c r="AH25" i="9"/>
  <c r="AH27" i="9" s="1"/>
  <c r="AH28" i="9" s="1"/>
  <c r="AJ12" i="8"/>
  <c r="AI18" i="8"/>
  <c r="AI20" i="8" s="1"/>
  <c r="AJ12" i="7"/>
  <c r="AI18" i="7"/>
  <c r="AI20" i="7" s="1"/>
  <c r="AJ12" i="6"/>
  <c r="AI18" i="6"/>
  <c r="AI20" i="6" s="1"/>
  <c r="AJ12" i="5"/>
  <c r="AI18" i="5"/>
  <c r="AI20" i="5" s="1"/>
  <c r="AJ12" i="4"/>
  <c r="AI18" i="4"/>
  <c r="AI20" i="4" s="1"/>
  <c r="BH12" i="10" l="1"/>
  <c r="BG18" i="10"/>
  <c r="BG20" i="10" s="1"/>
  <c r="BG21" i="10" s="1"/>
  <c r="AJ15" i="9"/>
  <c r="AJ18" i="9" s="1"/>
  <c r="AJ21" i="9" s="1"/>
  <c r="AI25" i="9"/>
  <c r="AI27" i="9" s="1"/>
  <c r="AI28" i="9" s="1"/>
  <c r="AK12" i="8"/>
  <c r="AJ18" i="8"/>
  <c r="AJ20" i="8" s="1"/>
  <c r="AK12" i="7"/>
  <c r="AJ18" i="7"/>
  <c r="AJ20" i="7" s="1"/>
  <c r="AK12" i="6"/>
  <c r="AJ18" i="6"/>
  <c r="AJ20" i="6" s="1"/>
  <c r="AK12" i="5"/>
  <c r="AJ18" i="5"/>
  <c r="AJ20" i="5" s="1"/>
  <c r="AJ18" i="4"/>
  <c r="AJ20" i="4" s="1"/>
  <c r="AK12" i="4"/>
  <c r="BI12" i="10" l="1"/>
  <c r="BH18" i="10"/>
  <c r="BH20" i="10" s="1"/>
  <c r="BH21" i="10" s="1"/>
  <c r="AK15" i="9"/>
  <c r="AK18" i="9" s="1"/>
  <c r="AK21" i="9" s="1"/>
  <c r="AJ25" i="9"/>
  <c r="AJ27" i="9" s="1"/>
  <c r="AJ28" i="9" s="1"/>
  <c r="AL12" i="8"/>
  <c r="AK18" i="8"/>
  <c r="AK20" i="8" s="1"/>
  <c r="AL12" i="7"/>
  <c r="AK18" i="7"/>
  <c r="AK20" i="7" s="1"/>
  <c r="AL12" i="6"/>
  <c r="AK18" i="6"/>
  <c r="AK20" i="6"/>
  <c r="AK18" i="5"/>
  <c r="AK20" i="5" s="1"/>
  <c r="AL12" i="5"/>
  <c r="AL12" i="4"/>
  <c r="AK18" i="4"/>
  <c r="AK20" i="4" s="1"/>
  <c r="BJ12" i="10" l="1"/>
  <c r="BI18" i="10"/>
  <c r="BI20" i="10" s="1"/>
  <c r="BI21" i="10" s="1"/>
  <c r="AL15" i="9"/>
  <c r="AL18" i="9" s="1"/>
  <c r="AL21" i="9" s="1"/>
  <c r="AK25" i="9"/>
  <c r="AK27" i="9" s="1"/>
  <c r="AK28" i="9" s="1"/>
  <c r="AM12" i="8"/>
  <c r="AL18" i="8"/>
  <c r="AL20" i="8" s="1"/>
  <c r="AM12" i="7"/>
  <c r="AL18" i="7"/>
  <c r="AL20" i="7" s="1"/>
  <c r="AM12" i="6"/>
  <c r="AL18" i="6"/>
  <c r="AL20" i="6" s="1"/>
  <c r="AM12" i="5"/>
  <c r="AL18" i="5"/>
  <c r="AL20" i="5" s="1"/>
  <c r="AL18" i="4"/>
  <c r="AL20" i="4" s="1"/>
  <c r="AM12" i="4"/>
  <c r="BK12" i="10" l="1"/>
  <c r="BJ18" i="10"/>
  <c r="BJ20" i="10" s="1"/>
  <c r="BJ21" i="10" s="1"/>
  <c r="AM15" i="9"/>
  <c r="AM18" i="9" s="1"/>
  <c r="AM21" i="9" s="1"/>
  <c r="AL25" i="9"/>
  <c r="AL27" i="9" s="1"/>
  <c r="AL28" i="9" s="1"/>
  <c r="AM18" i="8"/>
  <c r="AM20" i="8" s="1"/>
  <c r="AN12" i="8"/>
  <c r="AN12" i="7"/>
  <c r="AM18" i="7"/>
  <c r="AM20" i="7" s="1"/>
  <c r="AM18" i="6"/>
  <c r="AM20" i="6" s="1"/>
  <c r="AN12" i="6"/>
  <c r="AM18" i="5"/>
  <c r="AM20" i="5" s="1"/>
  <c r="AN12" i="5"/>
  <c r="AN12" i="4"/>
  <c r="AM18" i="4"/>
  <c r="AM20" i="4" s="1"/>
  <c r="BL12" i="10" l="1"/>
  <c r="BK18" i="10"/>
  <c r="BK20" i="10" s="1"/>
  <c r="BK21" i="10" s="1"/>
  <c r="AN15" i="9"/>
  <c r="AN18" i="9" s="1"/>
  <c r="AN21" i="9" s="1"/>
  <c r="AM25" i="9"/>
  <c r="AM27" i="9" s="1"/>
  <c r="AM28" i="9" s="1"/>
  <c r="AN18" i="8"/>
  <c r="AN20" i="8" s="1"/>
  <c r="AO12" i="8"/>
  <c r="AN18" i="7"/>
  <c r="AN20" i="7" s="1"/>
  <c r="AO12" i="7"/>
  <c r="AN18" i="6"/>
  <c r="AN20" i="6" s="1"/>
  <c r="AO12" i="6"/>
  <c r="AN18" i="5"/>
  <c r="AN20" i="5" s="1"/>
  <c r="AO12" i="5"/>
  <c r="AN18" i="4"/>
  <c r="AN20" i="4" s="1"/>
  <c r="AO12" i="4"/>
  <c r="BL18" i="10" l="1"/>
  <c r="BL20" i="10" s="1"/>
  <c r="BL21" i="10" s="1"/>
  <c r="BM12" i="10"/>
  <c r="AN25" i="9"/>
  <c r="AN27" i="9" s="1"/>
  <c r="AN28" i="9" s="1"/>
  <c r="AO15" i="9"/>
  <c r="AO18" i="9" s="1"/>
  <c r="AO21" i="9" s="1"/>
  <c r="AO18" i="8"/>
  <c r="AO20" i="8" s="1"/>
  <c r="AP12" i="8"/>
  <c r="AO18" i="7"/>
  <c r="AO20" i="7" s="1"/>
  <c r="AP12" i="7"/>
  <c r="AO18" i="6"/>
  <c r="AO20" i="6" s="1"/>
  <c r="AP12" i="6"/>
  <c r="AO18" i="5"/>
  <c r="AO20" i="5" s="1"/>
  <c r="AP12" i="5"/>
  <c r="AP12" i="4"/>
  <c r="AO18" i="4"/>
  <c r="AO20" i="4"/>
  <c r="BM18" i="10" l="1"/>
  <c r="BM20" i="10"/>
  <c r="BM21" i="10" s="1"/>
  <c r="BN12" i="10"/>
  <c r="AO25" i="9"/>
  <c r="AO27" i="9" s="1"/>
  <c r="AO28" i="9" s="1"/>
  <c r="AP15" i="9"/>
  <c r="AP18" i="9" s="1"/>
  <c r="AP21" i="9" s="1"/>
  <c r="AP18" i="8"/>
  <c r="AP20" i="8" s="1"/>
  <c r="AQ12" i="8"/>
  <c r="AQ12" i="7"/>
  <c r="AP18" i="7"/>
  <c r="AP20" i="7" s="1"/>
  <c r="AQ12" i="6"/>
  <c r="AP18" i="6"/>
  <c r="AP20" i="6" s="1"/>
  <c r="AQ12" i="5"/>
  <c r="AP20" i="5"/>
  <c r="AP18" i="5"/>
  <c r="AQ12" i="4"/>
  <c r="AP18" i="4"/>
  <c r="AP20" i="4"/>
  <c r="BN18" i="10" l="1"/>
  <c r="BN20" i="10" s="1"/>
  <c r="BN21" i="10" s="1"/>
  <c r="BO12" i="10"/>
  <c r="AQ15" i="9"/>
  <c r="AQ18" i="9" s="1"/>
  <c r="AQ21" i="9" s="1"/>
  <c r="AP25" i="9"/>
  <c r="AP27" i="9" s="1"/>
  <c r="AP28" i="9" s="1"/>
  <c r="AR12" i="8"/>
  <c r="AQ18" i="8"/>
  <c r="AQ20" i="8" s="1"/>
  <c r="AR12" i="7"/>
  <c r="AQ18" i="7"/>
  <c r="AQ20" i="7" s="1"/>
  <c r="AR12" i="6"/>
  <c r="AQ18" i="6"/>
  <c r="AQ20" i="6" s="1"/>
  <c r="AR12" i="5"/>
  <c r="AQ18" i="5"/>
  <c r="AQ20" i="5" s="1"/>
  <c r="AR12" i="4"/>
  <c r="AQ18" i="4"/>
  <c r="AQ20" i="4" s="1"/>
  <c r="BP12" i="10" l="1"/>
  <c r="BO18" i="10"/>
  <c r="BO20" i="10" s="1"/>
  <c r="BO21" i="10" s="1"/>
  <c r="AR15" i="9"/>
  <c r="AR18" i="9" s="1"/>
  <c r="AR21" i="9" s="1"/>
  <c r="AQ25" i="9"/>
  <c r="AQ27" i="9" s="1"/>
  <c r="AQ28" i="9" s="1"/>
  <c r="AS12" i="8"/>
  <c r="AR18" i="8"/>
  <c r="AR20" i="8" s="1"/>
  <c r="AS12" i="7"/>
  <c r="AR18" i="7"/>
  <c r="AR20" i="7" s="1"/>
  <c r="AS12" i="6"/>
  <c r="AR18" i="6"/>
  <c r="AR20" i="6" s="1"/>
  <c r="AS12" i="5"/>
  <c r="AR18" i="5"/>
  <c r="AR20" i="5" s="1"/>
  <c r="AR18" i="4"/>
  <c r="AR20" i="4" s="1"/>
  <c r="AS12" i="4"/>
  <c r="BQ12" i="10" l="1"/>
  <c r="BP18" i="10"/>
  <c r="BP20" i="10" s="1"/>
  <c r="BP21" i="10" s="1"/>
  <c r="AS15" i="9"/>
  <c r="AS18" i="9" s="1"/>
  <c r="AS21" i="9" s="1"/>
  <c r="AR25" i="9"/>
  <c r="AR27" i="9" s="1"/>
  <c r="AR28" i="9" s="1"/>
  <c r="AT12" i="8"/>
  <c r="AS18" i="8"/>
  <c r="AS20" i="8" s="1"/>
  <c r="AT12" i="7"/>
  <c r="AS18" i="7"/>
  <c r="AS20" i="7" s="1"/>
  <c r="AT12" i="6"/>
  <c r="AS18" i="6"/>
  <c r="AS20" i="6" s="1"/>
  <c r="AT12" i="5"/>
  <c r="AS18" i="5"/>
  <c r="AS20" i="5" s="1"/>
  <c r="AT12" i="4"/>
  <c r="AS18" i="4"/>
  <c r="AS20" i="4" s="1"/>
  <c r="BR12" i="10" l="1"/>
  <c r="BQ18" i="10"/>
  <c r="BQ20" i="10"/>
  <c r="BQ21" i="10" s="1"/>
  <c r="AT15" i="9"/>
  <c r="AT18" i="9" s="1"/>
  <c r="AT21" i="9" s="1"/>
  <c r="AS25" i="9"/>
  <c r="AS27" i="9" s="1"/>
  <c r="AS28" i="9" s="1"/>
  <c r="AU12" i="8"/>
  <c r="AT18" i="8"/>
  <c r="AT20" i="8" s="1"/>
  <c r="AU12" i="7"/>
  <c r="AT18" i="7"/>
  <c r="AT20" i="7" s="1"/>
  <c r="AU12" i="6"/>
  <c r="AT18" i="6"/>
  <c r="AT20" i="6" s="1"/>
  <c r="AU12" i="5"/>
  <c r="AT18" i="5"/>
  <c r="AT20" i="5" s="1"/>
  <c r="AT18" i="4"/>
  <c r="AT20" i="4" s="1"/>
  <c r="AU12" i="4"/>
  <c r="BS12" i="10" l="1"/>
  <c r="BR18" i="10"/>
  <c r="BR20" i="10" s="1"/>
  <c r="BR21" i="10" s="1"/>
  <c r="AU15" i="9"/>
  <c r="AU18" i="9" s="1"/>
  <c r="AU21" i="9" s="1"/>
  <c r="AT25" i="9"/>
  <c r="AT27" i="9" s="1"/>
  <c r="AT28" i="9" s="1"/>
  <c r="AV12" i="8"/>
  <c r="AU18" i="8"/>
  <c r="AU20" i="8" s="1"/>
  <c r="AV12" i="7"/>
  <c r="AU18" i="7"/>
  <c r="AU20" i="7" s="1"/>
  <c r="AU18" i="6"/>
  <c r="AU20" i="6" s="1"/>
  <c r="AV12" i="6"/>
  <c r="AU18" i="5"/>
  <c r="AU20" i="5" s="1"/>
  <c r="AV12" i="5"/>
  <c r="AU18" i="4"/>
  <c r="AV12" i="4"/>
  <c r="AU20" i="4"/>
  <c r="BT12" i="10" l="1"/>
  <c r="BS18" i="10"/>
  <c r="BS20" i="10" s="1"/>
  <c r="BS21" i="10" s="1"/>
  <c r="AV15" i="9"/>
  <c r="AV18" i="9" s="1"/>
  <c r="AV21" i="9" s="1"/>
  <c r="AU25" i="9"/>
  <c r="AU27" i="9" s="1"/>
  <c r="AU28" i="9" s="1"/>
  <c r="AV18" i="8"/>
  <c r="AV20" i="8" s="1"/>
  <c r="AW12" i="8"/>
  <c r="AV18" i="7"/>
  <c r="AV20" i="7" s="1"/>
  <c r="AW12" i="7"/>
  <c r="AV18" i="6"/>
  <c r="AV20" i="6" s="1"/>
  <c r="AW12" i="6"/>
  <c r="AV18" i="5"/>
  <c r="AV20" i="5" s="1"/>
  <c r="AW12" i="5"/>
  <c r="AV18" i="4"/>
  <c r="AV20" i="4" s="1"/>
  <c r="AW12" i="4"/>
  <c r="BT18" i="10" l="1"/>
  <c r="BT20" i="10" s="1"/>
  <c r="BT21" i="10" s="1"/>
  <c r="BU12" i="10"/>
  <c r="AV25" i="9"/>
  <c r="AV27" i="9" s="1"/>
  <c r="AV28" i="9" s="1"/>
  <c r="AW15" i="9"/>
  <c r="AW18" i="9" s="1"/>
  <c r="AW21" i="9" s="1"/>
  <c r="AW18" i="8"/>
  <c r="AW20" i="8" s="1"/>
  <c r="AX12" i="8"/>
  <c r="AW18" i="7"/>
  <c r="AW20" i="7" s="1"/>
  <c r="AX12" i="7"/>
  <c r="AW18" i="6"/>
  <c r="AW20" i="6" s="1"/>
  <c r="AX12" i="6"/>
  <c r="AW18" i="5"/>
  <c r="AW20" i="5" s="1"/>
  <c r="AX12" i="5"/>
  <c r="AX12" i="4"/>
  <c r="AW18" i="4"/>
  <c r="AW20" i="4"/>
  <c r="BU18" i="10" l="1"/>
  <c r="BU20" i="10" s="1"/>
  <c r="BU21" i="10" s="1"/>
  <c r="BV12" i="10"/>
  <c r="AW25" i="9"/>
  <c r="AW27" i="9" s="1"/>
  <c r="AW28" i="9" s="1"/>
  <c r="AX15" i="9"/>
  <c r="AX18" i="9" s="1"/>
  <c r="AX21" i="9" s="1"/>
  <c r="AX18" i="8"/>
  <c r="AX20" i="8" s="1"/>
  <c r="AY12" i="8"/>
  <c r="AX18" i="7"/>
  <c r="AY12" i="7"/>
  <c r="AX20" i="7"/>
  <c r="AX18" i="6"/>
  <c r="AX20" i="6" s="1"/>
  <c r="AY12" i="6"/>
  <c r="AY12" i="5"/>
  <c r="AX18" i="5"/>
  <c r="AX20" i="5"/>
  <c r="AY12" i="4"/>
  <c r="AX18" i="4"/>
  <c r="AX20" i="4"/>
  <c r="BV18" i="10" l="1"/>
  <c r="BV20" i="10" s="1"/>
  <c r="BV21" i="10" s="1"/>
  <c r="BW12" i="10"/>
  <c r="AX25" i="9"/>
  <c r="AX27" i="9" s="1"/>
  <c r="AX28" i="9" s="1"/>
  <c r="AY15" i="9"/>
  <c r="AY18" i="9" s="1"/>
  <c r="AY21" i="9" s="1"/>
  <c r="AZ12" i="8"/>
  <c r="AY18" i="8"/>
  <c r="AY20" i="8" s="1"/>
  <c r="AZ12" i="7"/>
  <c r="AY18" i="7"/>
  <c r="AY20" i="7" s="1"/>
  <c r="AZ12" i="6"/>
  <c r="AY18" i="6"/>
  <c r="AY20" i="6" s="1"/>
  <c r="AZ12" i="5"/>
  <c r="AY18" i="5"/>
  <c r="AY20" i="5" s="1"/>
  <c r="AZ12" i="4"/>
  <c r="AY18" i="4"/>
  <c r="AY20" i="4" s="1"/>
  <c r="BX12" i="10" l="1"/>
  <c r="BW18" i="10"/>
  <c r="BW20" i="10" s="1"/>
  <c r="BW21" i="10" s="1"/>
  <c r="AY25" i="9"/>
  <c r="AY27" i="9" s="1"/>
  <c r="AY28" i="9" s="1"/>
  <c r="AZ15" i="9"/>
  <c r="AZ18" i="9" s="1"/>
  <c r="AZ21" i="9" s="1"/>
  <c r="BA12" i="8"/>
  <c r="AZ18" i="8"/>
  <c r="AZ20" i="8" s="1"/>
  <c r="BA12" i="7"/>
  <c r="AZ18" i="7"/>
  <c r="AZ20" i="7" s="1"/>
  <c r="BA12" i="6"/>
  <c r="AZ18" i="6"/>
  <c r="AZ20" i="6" s="1"/>
  <c r="BA12" i="5"/>
  <c r="AZ18" i="5"/>
  <c r="AZ20" i="5" s="1"/>
  <c r="AZ18" i="4"/>
  <c r="AZ20" i="4" s="1"/>
  <c r="BA12" i="4"/>
  <c r="BY12" i="10" l="1"/>
  <c r="BX18" i="10"/>
  <c r="BX20" i="10" s="1"/>
  <c r="BX21" i="10" s="1"/>
  <c r="BA15" i="9"/>
  <c r="BA18" i="9" s="1"/>
  <c r="BA21" i="9" s="1"/>
  <c r="AZ25" i="9"/>
  <c r="AZ27" i="9" s="1"/>
  <c r="AZ28" i="9" s="1"/>
  <c r="BA18" i="8"/>
  <c r="BC18" i="8" s="1"/>
  <c r="BC12" i="8"/>
  <c r="BC20" i="8" s="1"/>
  <c r="BA18" i="7"/>
  <c r="BC18" i="7" s="1"/>
  <c r="BC12" i="7"/>
  <c r="BC20" i="7" s="1"/>
  <c r="BA18" i="6"/>
  <c r="BC18" i="6" s="1"/>
  <c r="BC12" i="6"/>
  <c r="BC20" i="6" s="1"/>
  <c r="BA18" i="5"/>
  <c r="BC18" i="5" s="1"/>
  <c r="BC12" i="5"/>
  <c r="BC20" i="5" s="1"/>
  <c r="BA18" i="4"/>
  <c r="BC18" i="4" s="1"/>
  <c r="BC12" i="4"/>
  <c r="BC20" i="4" s="1"/>
  <c r="BY18" i="10" l="1"/>
  <c r="CA18" i="10" s="1"/>
  <c r="BY20" i="10"/>
  <c r="E23" i="10" s="1"/>
  <c r="CA12" i="10"/>
  <c r="CA20" i="10" s="1"/>
  <c r="BC21" i="9"/>
  <c r="BC15" i="9"/>
  <c r="BA25" i="9"/>
  <c r="BA27" i="9" s="1"/>
  <c r="BA20" i="8"/>
  <c r="BA20" i="7"/>
  <c r="BA20" i="6"/>
  <c r="BA20" i="5"/>
  <c r="BA20" i="4"/>
  <c r="E25" i="10" l="1"/>
  <c r="BY21" i="10"/>
  <c r="BZ21" i="10" s="1"/>
  <c r="E30" i="9"/>
  <c r="BA28" i="9"/>
  <c r="BB28" i="9" s="1"/>
  <c r="E23" i="4"/>
  <c r="E25" i="4"/>
  <c r="BC25" i="9"/>
  <c r="BC27" i="9" s="1"/>
  <c r="E24" i="8"/>
  <c r="E22" i="8"/>
  <c r="E24" i="7"/>
  <c r="E22" i="7"/>
  <c r="E24" i="6"/>
  <c r="E22" i="6"/>
  <c r="E22" i="5"/>
  <c r="E24" i="5"/>
  <c r="E32" i="9" l="1"/>
</calcChain>
</file>

<file path=xl/sharedStrings.xml><?xml version="1.0" encoding="utf-8"?>
<sst xmlns="http://schemas.openxmlformats.org/spreadsheetml/2006/main" count="373" uniqueCount="57">
  <si>
    <t>Tx Atratividade</t>
  </si>
  <si>
    <t>a.a.</t>
  </si>
  <si>
    <t>a.m.</t>
  </si>
  <si>
    <t>área de terreno</t>
  </si>
  <si>
    <t>m²</t>
  </si>
  <si>
    <t>CA</t>
  </si>
  <si>
    <t>Área útil</t>
  </si>
  <si>
    <t>eficuência de projeto</t>
  </si>
  <si>
    <t>Área construída</t>
  </si>
  <si>
    <t>C. Terreno</t>
  </si>
  <si>
    <t>/m²</t>
  </si>
  <si>
    <t>C. Construção</t>
  </si>
  <si>
    <t>Preço Venda</t>
  </si>
  <si>
    <t>R$/m²</t>
  </si>
  <si>
    <t>Ítem</t>
  </si>
  <si>
    <t>Quantidade</t>
  </si>
  <si>
    <t>Subtotal</t>
  </si>
  <si>
    <t>VGV</t>
  </si>
  <si>
    <t>Vendas</t>
  </si>
  <si>
    <t>Poupança</t>
  </si>
  <si>
    <t>Lançamento - Vendido ao longo de 6 meses</t>
  </si>
  <si>
    <t xml:space="preserve">Vendido ao longo de 1 ano após o período de lançamento </t>
  </si>
  <si>
    <t>Fim da obra</t>
  </si>
  <si>
    <t>-</t>
  </si>
  <si>
    <t>VGV lançamenrto</t>
  </si>
  <si>
    <t>VGV Pós Lançamento</t>
  </si>
  <si>
    <t>VGV Chaves</t>
  </si>
  <si>
    <t>%</t>
  </si>
  <si>
    <t>Referência</t>
  </si>
  <si>
    <t>Terreno</t>
  </si>
  <si>
    <t>obra</t>
  </si>
  <si>
    <t>Projeto</t>
  </si>
  <si>
    <t>Tabela 647 - Custo de projeto m², por tipo de projeto e padrão de acabamento</t>
  </si>
  <si>
    <t>Unidade da Federação = São Paulo</t>
  </si>
  <si>
    <t>Variável = Custo de projeto m² (Reais)</t>
  </si>
  <si>
    <t>Tipo de projeto = PR12-3QP..6013 Prédio residencial, pilotis, 12 pavimentos tipo, sala, 3 quartos, circulação, banheiro, lavabo, cozinha, área de serviço, quarto e WC de empregada</t>
  </si>
  <si>
    <t>Padrão de acabamento = Alto</t>
  </si>
  <si>
    <t>Mês = abril 2020</t>
  </si>
  <si>
    <t>BDI + Elrevafdores</t>
  </si>
  <si>
    <t>Custo de Obra</t>
  </si>
  <si>
    <t>Obra</t>
  </si>
  <si>
    <t>C. Administrativos</t>
  </si>
  <si>
    <t>C. Venda</t>
  </si>
  <si>
    <t>chaves</t>
  </si>
  <si>
    <t>Saldo</t>
  </si>
  <si>
    <t>VPL</t>
  </si>
  <si>
    <t>Margem dinâmica</t>
  </si>
  <si>
    <t>Resposta</t>
  </si>
  <si>
    <t>Margem estática</t>
  </si>
  <si>
    <t>TIR</t>
  </si>
  <si>
    <t>Aumento</t>
  </si>
  <si>
    <t>Área vendável</t>
  </si>
  <si>
    <t>VGV vendável</t>
  </si>
  <si>
    <t>VGV integral</t>
  </si>
  <si>
    <t>Soma VGV</t>
  </si>
  <si>
    <t>VGV Integral</t>
  </si>
  <si>
    <t>Acumulado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</si>
</sst>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R$&quot;\ #,##0;[Red]\-&quot;R$&quot;\ #,##0"/>
    <numFmt numFmtId="8" formatCode="&quot;R$&quot;\ #,##0.00;[Red]\-&quot;R$&quot;\ #,##0.00"/>
    <numFmt numFmtId="164" formatCode="0.0000%"/>
    <numFmt numFmtId="165" formatCode="#,##0_ ;[Red]\-#,##0\ "/>
    <numFmt numFmtId="166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.5"/>
      <color rgb="FF000000"/>
      <name val="Verdana"/>
      <family val="2"/>
    </font>
    <font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9" fontId="0" fillId="0" borderId="0" xfId="0" applyNumberFormat="1"/>
    <xf numFmtId="164" fontId="0" fillId="0" borderId="0" xfId="1" applyNumberFormat="1" applyFont="1"/>
    <xf numFmtId="0" fontId="0" fillId="2" borderId="0" xfId="0" applyFill="1"/>
    <xf numFmtId="9" fontId="0" fillId="2" borderId="0" xfId="0" applyNumberFormat="1" applyFill="1"/>
    <xf numFmtId="0" fontId="0" fillId="0" borderId="0" xfId="0" quotePrefix="1"/>
    <xf numFmtId="2" fontId="3" fillId="2" borderId="0" xfId="0" applyNumberFormat="1" applyFont="1" applyFill="1"/>
    <xf numFmtId="0" fontId="2" fillId="3" borderId="0" xfId="0" applyFont="1" applyFill="1"/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vertical="center" wrapText="1"/>
    </xf>
    <xf numFmtId="9" fontId="4" fillId="0" borderId="4" xfId="0" applyNumberFormat="1" applyFont="1" applyBorder="1" applyAlignment="1">
      <alignment vertical="center" wrapText="1"/>
    </xf>
    <xf numFmtId="9" fontId="4" fillId="0" borderId="4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165" fontId="0" fillId="0" borderId="0" xfId="0" applyNumberFormat="1"/>
    <xf numFmtId="0" fontId="0" fillId="0" borderId="5" xfId="0" applyBorder="1"/>
    <xf numFmtId="165" fontId="0" fillId="0" borderId="5" xfId="0" applyNumberFormat="1" applyBorder="1"/>
    <xf numFmtId="9" fontId="0" fillId="0" borderId="5" xfId="0" applyNumberFormat="1" applyBorder="1"/>
    <xf numFmtId="0" fontId="0" fillId="0" borderId="0" xfId="0" applyFill="1" applyBorder="1"/>
    <xf numFmtId="8" fontId="0" fillId="0" borderId="0" xfId="0" applyNumberFormat="1"/>
    <xf numFmtId="0" fontId="5" fillId="3" borderId="0" xfId="0" applyFont="1" applyFill="1"/>
    <xf numFmtId="166" fontId="0" fillId="0" borderId="0" xfId="1" applyNumberFormat="1" applyFont="1"/>
    <xf numFmtId="10" fontId="0" fillId="0" borderId="0" xfId="1" applyNumberFormat="1" applyFont="1"/>
    <xf numFmtId="164" fontId="0" fillId="0" borderId="0" xfId="0" applyNumberFormat="1"/>
    <xf numFmtId="0" fontId="6" fillId="4" borderId="0" xfId="0" applyFont="1" applyFill="1"/>
    <xf numFmtId="166" fontId="5" fillId="3" borderId="0" xfId="1" applyNumberFormat="1" applyFont="1" applyFill="1"/>
    <xf numFmtId="9" fontId="5" fillId="3" borderId="0" xfId="1" applyNumberFormat="1" applyFont="1" applyFill="1"/>
    <xf numFmtId="0" fontId="0" fillId="0" borderId="0" xfId="0" applyFill="1"/>
    <xf numFmtId="0" fontId="2" fillId="0" borderId="0" xfId="0" applyFont="1" applyFill="1"/>
    <xf numFmtId="165" fontId="0" fillId="5" borderId="0" xfId="0" applyNumberFormat="1" applyFill="1"/>
    <xf numFmtId="9" fontId="0" fillId="5" borderId="0" xfId="0" applyNumberFormat="1" applyFill="1"/>
    <xf numFmtId="0" fontId="0" fillId="5" borderId="0" xfId="0" applyFill="1"/>
    <xf numFmtId="1" fontId="7" fillId="2" borderId="0" xfId="0" applyNumberFormat="1" applyFont="1" applyFill="1"/>
    <xf numFmtId="1" fontId="5" fillId="3" borderId="0" xfId="0" applyNumberFormat="1" applyFont="1" applyFill="1"/>
    <xf numFmtId="6" fontId="0" fillId="0" borderId="0" xfId="0" applyNumberFormat="1"/>
    <xf numFmtId="1" fontId="0" fillId="2" borderId="0" xfId="0" applyNumberFormat="1" applyFill="1"/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'1)$Terreno'!$F$21:$BB$21</c:f>
              <c:numCache>
                <c:formatCode>#,##0_ ;[Red]\-#,##0\ </c:formatCode>
                <c:ptCount val="49"/>
                <c:pt idx="0">
                  <c:v>-59787424.189256944</c:v>
                </c:pt>
                <c:pt idx="1">
                  <c:v>-59787424.189256944</c:v>
                </c:pt>
                <c:pt idx="2">
                  <c:v>-59787424.189256944</c:v>
                </c:pt>
                <c:pt idx="3">
                  <c:v>-59787424.189256944</c:v>
                </c:pt>
                <c:pt idx="4">
                  <c:v>-59787424.189256944</c:v>
                </c:pt>
                <c:pt idx="5">
                  <c:v>-59787424.189256944</c:v>
                </c:pt>
                <c:pt idx="6">
                  <c:v>-64363723.965256944</c:v>
                </c:pt>
                <c:pt idx="7">
                  <c:v>-64363723.965256944</c:v>
                </c:pt>
                <c:pt idx="8">
                  <c:v>-64363723.965256944</c:v>
                </c:pt>
                <c:pt idx="9">
                  <c:v>-64363723.965256944</c:v>
                </c:pt>
                <c:pt idx="10">
                  <c:v>-64363723.965256944</c:v>
                </c:pt>
                <c:pt idx="11">
                  <c:v>-64363723.965256944</c:v>
                </c:pt>
                <c:pt idx="12">
                  <c:v>-64363723.965256944</c:v>
                </c:pt>
                <c:pt idx="13">
                  <c:v>-64363723.965256944</c:v>
                </c:pt>
                <c:pt idx="14">
                  <c:v>-64363723.965256944</c:v>
                </c:pt>
                <c:pt idx="15">
                  <c:v>-75563723.965256944</c:v>
                </c:pt>
                <c:pt idx="16">
                  <c:v>-74763723.965256944</c:v>
                </c:pt>
                <c:pt idx="17">
                  <c:v>-73963723.965256944</c:v>
                </c:pt>
                <c:pt idx="18">
                  <c:v>-73163723.965256944</c:v>
                </c:pt>
                <c:pt idx="19">
                  <c:v>-72363723.965256944</c:v>
                </c:pt>
                <c:pt idx="20">
                  <c:v>-71563723.965256944</c:v>
                </c:pt>
                <c:pt idx="21">
                  <c:v>-70763723.965256944</c:v>
                </c:pt>
                <c:pt idx="22">
                  <c:v>-69963723.965256944</c:v>
                </c:pt>
                <c:pt idx="23">
                  <c:v>-69163723.965256944</c:v>
                </c:pt>
                <c:pt idx="24">
                  <c:v>-86755702.898590282</c:v>
                </c:pt>
                <c:pt idx="25">
                  <c:v>-89347681.831923619</c:v>
                </c:pt>
                <c:pt idx="26">
                  <c:v>-91939660.765256956</c:v>
                </c:pt>
                <c:pt idx="27">
                  <c:v>-94531639.698590294</c:v>
                </c:pt>
                <c:pt idx="28">
                  <c:v>-97123618.631923631</c:v>
                </c:pt>
                <c:pt idx="29">
                  <c:v>-99715597.565256968</c:v>
                </c:pt>
                <c:pt idx="30">
                  <c:v>-102307576.49859031</c:v>
                </c:pt>
                <c:pt idx="31">
                  <c:v>-104899555.43192364</c:v>
                </c:pt>
                <c:pt idx="32">
                  <c:v>-107491534.36525698</c:v>
                </c:pt>
                <c:pt idx="33">
                  <c:v>-110083513.29859032</c:v>
                </c:pt>
                <c:pt idx="34">
                  <c:v>-112675492.23192365</c:v>
                </c:pt>
                <c:pt idx="35">
                  <c:v>-115267471.16525699</c:v>
                </c:pt>
                <c:pt idx="36">
                  <c:v>-117859450.09859033</c:v>
                </c:pt>
                <c:pt idx="37">
                  <c:v>-120451429.03192367</c:v>
                </c:pt>
                <c:pt idx="38">
                  <c:v>-123043407.965257</c:v>
                </c:pt>
                <c:pt idx="39">
                  <c:v>-125635386.89859034</c:v>
                </c:pt>
                <c:pt idx="40">
                  <c:v>-128227365.83192368</c:v>
                </c:pt>
                <c:pt idx="41">
                  <c:v>-130819344.76525702</c:v>
                </c:pt>
                <c:pt idx="42">
                  <c:v>-133411323.69859035</c:v>
                </c:pt>
                <c:pt idx="43">
                  <c:v>-136003302.63192368</c:v>
                </c:pt>
                <c:pt idx="44">
                  <c:v>-138595281.56525701</c:v>
                </c:pt>
                <c:pt idx="45">
                  <c:v>-141187260.49859035</c:v>
                </c:pt>
                <c:pt idx="46">
                  <c:v>-143779239.43192369</c:v>
                </c:pt>
                <c:pt idx="47">
                  <c:v>-146371218.36525702</c:v>
                </c:pt>
                <c:pt idx="48">
                  <c:v>55228781.634742975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44-4466-9CF8-2E9612FA5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5652992"/>
        <c:axId val="505653408"/>
      </c:lineChart>
      <c:catAx>
        <c:axId val="5056529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05653408"/>
        <c:crosses val="autoZero"/>
        <c:auto val="1"/>
        <c:lblAlgn val="ctr"/>
        <c:lblOffset val="100"/>
        <c:noMultiLvlLbl val="0"/>
      </c:catAx>
      <c:valAx>
        <c:axId val="505653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05652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'4)Permuta'!$F$28:$BB$28</c:f>
              <c:numCache>
                <c:formatCode>#,##0_ ;[Red]\-#,##0\ 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-4576299.7759999996</c:v>
                </c:pt>
                <c:pt idx="7">
                  <c:v>-4576299.7759999996</c:v>
                </c:pt>
                <c:pt idx="8">
                  <c:v>-4576299.7759999996</c:v>
                </c:pt>
                <c:pt idx="9">
                  <c:v>-4576299.7759999996</c:v>
                </c:pt>
                <c:pt idx="10">
                  <c:v>-4576299.7759999996</c:v>
                </c:pt>
                <c:pt idx="11">
                  <c:v>-4576299.7759999996</c:v>
                </c:pt>
                <c:pt idx="12">
                  <c:v>-4576299.7759999996</c:v>
                </c:pt>
                <c:pt idx="13">
                  <c:v>-4576299.7759999996</c:v>
                </c:pt>
                <c:pt idx="14">
                  <c:v>-4576299.7759999996</c:v>
                </c:pt>
                <c:pt idx="15">
                  <c:v>-11802740.599823993</c:v>
                </c:pt>
                <c:pt idx="16">
                  <c:v>-11328442.171641698</c:v>
                </c:pt>
                <c:pt idx="17">
                  <c:v>-10854143.743459404</c:v>
                </c:pt>
                <c:pt idx="18">
                  <c:v>-10379845.315277109</c:v>
                </c:pt>
                <c:pt idx="19">
                  <c:v>-9905546.8870948143</c:v>
                </c:pt>
                <c:pt idx="20">
                  <c:v>-9431248.4589125197</c:v>
                </c:pt>
                <c:pt idx="21">
                  <c:v>-8956950.0307302251</c:v>
                </c:pt>
                <c:pt idx="22">
                  <c:v>-8482651.6025479306</c:v>
                </c:pt>
                <c:pt idx="23">
                  <c:v>-8008353.174365636</c:v>
                </c:pt>
                <c:pt idx="24">
                  <c:v>-21111757.321086213</c:v>
                </c:pt>
                <c:pt idx="25">
                  <c:v>-24589237.402798932</c:v>
                </c:pt>
                <c:pt idx="26">
                  <c:v>-28066717.484511651</c:v>
                </c:pt>
                <c:pt idx="27">
                  <c:v>-31544197.56622437</c:v>
                </c:pt>
                <c:pt idx="28">
                  <c:v>-35021677.647937089</c:v>
                </c:pt>
                <c:pt idx="29">
                  <c:v>-38499157.729649812</c:v>
                </c:pt>
                <c:pt idx="30">
                  <c:v>-41976637.811362535</c:v>
                </c:pt>
                <c:pt idx="31">
                  <c:v>-45454117.893075258</c:v>
                </c:pt>
                <c:pt idx="32">
                  <c:v>-48931597.97478798</c:v>
                </c:pt>
                <c:pt idx="33">
                  <c:v>-52409078.056500703</c:v>
                </c:pt>
                <c:pt idx="34">
                  <c:v>-55886558.138213426</c:v>
                </c:pt>
                <c:pt idx="35">
                  <c:v>-59364038.219926149</c:v>
                </c:pt>
                <c:pt idx="36">
                  <c:v>-62841518.301638871</c:v>
                </c:pt>
                <c:pt idx="37">
                  <c:v>-66318998.383351594</c:v>
                </c:pt>
                <c:pt idx="38">
                  <c:v>-69796478.465064317</c:v>
                </c:pt>
                <c:pt idx="39">
                  <c:v>-73273958.54677704</c:v>
                </c:pt>
                <c:pt idx="40">
                  <c:v>-76751438.628489763</c:v>
                </c:pt>
                <c:pt idx="41">
                  <c:v>-80228918.710202485</c:v>
                </c:pt>
                <c:pt idx="42">
                  <c:v>-83706398.791915208</c:v>
                </c:pt>
                <c:pt idx="43">
                  <c:v>-87183878.873627931</c:v>
                </c:pt>
                <c:pt idx="44">
                  <c:v>-90661358.955340654</c:v>
                </c:pt>
                <c:pt idx="45">
                  <c:v>-94138839.037053376</c:v>
                </c:pt>
                <c:pt idx="46">
                  <c:v>-97616319.118766099</c:v>
                </c:pt>
                <c:pt idx="47">
                  <c:v>-101093799.20047882</c:v>
                </c:pt>
                <c:pt idx="48">
                  <c:v>18282838.9941414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A7-408A-AA27-D4410129A6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5304064"/>
        <c:axId val="645298656"/>
      </c:lineChart>
      <c:catAx>
        <c:axId val="64530406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45298656"/>
        <c:crosses val="autoZero"/>
        <c:auto val="1"/>
        <c:lblAlgn val="ctr"/>
        <c:lblOffset val="100"/>
        <c:noMultiLvlLbl val="0"/>
      </c:catAx>
      <c:valAx>
        <c:axId val="645298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45304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'1)$Terreno'!$F$21:$BB$21</c:f>
              <c:numCache>
                <c:formatCode>#,##0_ ;[Red]\-#,##0\ </c:formatCode>
                <c:ptCount val="49"/>
                <c:pt idx="0">
                  <c:v>-59787424.189256944</c:v>
                </c:pt>
                <c:pt idx="1">
                  <c:v>-59787424.189256944</c:v>
                </c:pt>
                <c:pt idx="2">
                  <c:v>-59787424.189256944</c:v>
                </c:pt>
                <c:pt idx="3">
                  <c:v>-59787424.189256944</c:v>
                </c:pt>
                <c:pt idx="4">
                  <c:v>-59787424.189256944</c:v>
                </c:pt>
                <c:pt idx="5">
                  <c:v>-59787424.189256944</c:v>
                </c:pt>
                <c:pt idx="6">
                  <c:v>-64363723.965256944</c:v>
                </c:pt>
                <c:pt idx="7">
                  <c:v>-64363723.965256944</c:v>
                </c:pt>
                <c:pt idx="8">
                  <c:v>-64363723.965256944</c:v>
                </c:pt>
                <c:pt idx="9">
                  <c:v>-64363723.965256944</c:v>
                </c:pt>
                <c:pt idx="10">
                  <c:v>-64363723.965256944</c:v>
                </c:pt>
                <c:pt idx="11">
                  <c:v>-64363723.965256944</c:v>
                </c:pt>
                <c:pt idx="12">
                  <c:v>-64363723.965256944</c:v>
                </c:pt>
                <c:pt idx="13">
                  <c:v>-64363723.965256944</c:v>
                </c:pt>
                <c:pt idx="14">
                  <c:v>-64363723.965256944</c:v>
                </c:pt>
                <c:pt idx="15">
                  <c:v>-75563723.965256944</c:v>
                </c:pt>
                <c:pt idx="16">
                  <c:v>-74763723.965256944</c:v>
                </c:pt>
                <c:pt idx="17">
                  <c:v>-73963723.965256944</c:v>
                </c:pt>
                <c:pt idx="18">
                  <c:v>-73163723.965256944</c:v>
                </c:pt>
                <c:pt idx="19">
                  <c:v>-72363723.965256944</c:v>
                </c:pt>
                <c:pt idx="20">
                  <c:v>-71563723.965256944</c:v>
                </c:pt>
                <c:pt idx="21">
                  <c:v>-70763723.965256944</c:v>
                </c:pt>
                <c:pt idx="22">
                  <c:v>-69963723.965256944</c:v>
                </c:pt>
                <c:pt idx="23">
                  <c:v>-69163723.965256944</c:v>
                </c:pt>
                <c:pt idx="24">
                  <c:v>-86755702.898590282</c:v>
                </c:pt>
                <c:pt idx="25">
                  <c:v>-89347681.831923619</c:v>
                </c:pt>
                <c:pt idx="26">
                  <c:v>-91939660.765256956</c:v>
                </c:pt>
                <c:pt idx="27">
                  <c:v>-94531639.698590294</c:v>
                </c:pt>
                <c:pt idx="28">
                  <c:v>-97123618.631923631</c:v>
                </c:pt>
                <c:pt idx="29">
                  <c:v>-99715597.565256968</c:v>
                </c:pt>
                <c:pt idx="30">
                  <c:v>-102307576.49859031</c:v>
                </c:pt>
                <c:pt idx="31">
                  <c:v>-104899555.43192364</c:v>
                </c:pt>
                <c:pt idx="32">
                  <c:v>-107491534.36525698</c:v>
                </c:pt>
                <c:pt idx="33">
                  <c:v>-110083513.29859032</c:v>
                </c:pt>
                <c:pt idx="34">
                  <c:v>-112675492.23192365</c:v>
                </c:pt>
                <c:pt idx="35">
                  <c:v>-115267471.16525699</c:v>
                </c:pt>
                <c:pt idx="36">
                  <c:v>-117859450.09859033</c:v>
                </c:pt>
                <c:pt idx="37">
                  <c:v>-120451429.03192367</c:v>
                </c:pt>
                <c:pt idx="38">
                  <c:v>-123043407.965257</c:v>
                </c:pt>
                <c:pt idx="39">
                  <c:v>-125635386.89859034</c:v>
                </c:pt>
                <c:pt idx="40">
                  <c:v>-128227365.83192368</c:v>
                </c:pt>
                <c:pt idx="41">
                  <c:v>-130819344.76525702</c:v>
                </c:pt>
                <c:pt idx="42">
                  <c:v>-133411323.69859035</c:v>
                </c:pt>
                <c:pt idx="43">
                  <c:v>-136003302.63192368</c:v>
                </c:pt>
                <c:pt idx="44">
                  <c:v>-138595281.56525701</c:v>
                </c:pt>
                <c:pt idx="45">
                  <c:v>-141187260.49859035</c:v>
                </c:pt>
                <c:pt idx="46">
                  <c:v>-143779239.43192369</c:v>
                </c:pt>
                <c:pt idx="47">
                  <c:v>-146371218.36525702</c:v>
                </c:pt>
                <c:pt idx="48">
                  <c:v>55228781.634742975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A9-444A-B4C5-AEC143DAE2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5652992"/>
        <c:axId val="505653408"/>
      </c:lineChart>
      <c:catAx>
        <c:axId val="5056529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05653408"/>
        <c:crosses val="autoZero"/>
        <c:auto val="1"/>
        <c:lblAlgn val="ctr"/>
        <c:lblOffset val="100"/>
        <c:noMultiLvlLbl val="0"/>
      </c:catAx>
      <c:valAx>
        <c:axId val="505653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05652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1057275</xdr:colOff>
      <xdr:row>21</xdr:row>
      <xdr:rowOff>23812</xdr:rowOff>
    </xdr:from>
    <xdr:to>
      <xdr:col>11</xdr:col>
      <xdr:colOff>609600</xdr:colOff>
      <xdr:row>35</xdr:row>
      <xdr:rowOff>100012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2890DBB-7825-4FFF-87F0-5E446FEAC9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</xdr:colOff>
      <xdr:row>28</xdr:row>
      <xdr:rowOff>23812</xdr:rowOff>
    </xdr:from>
    <xdr:to>
      <xdr:col>12</xdr:col>
      <xdr:colOff>109537</xdr:colOff>
      <xdr:row>42</xdr:row>
      <xdr:rowOff>100012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D7AF753-CFDF-40DC-9BD4-0DC99716F8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22</xdr:row>
      <xdr:rowOff>166687</xdr:rowOff>
    </xdr:from>
    <xdr:to>
      <xdr:col>35</xdr:col>
      <xdr:colOff>666750</xdr:colOff>
      <xdr:row>37</xdr:row>
      <xdr:rowOff>52387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14C9E0F-64D8-4763-A172-C45DEF4890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F39E5-A02D-473D-AB3E-5B3A1DE76537}">
  <dimension ref="A1:BC23"/>
  <sheetViews>
    <sheetView workbookViewId="0">
      <pane xSplit="5" ySplit="11" topLeftCell="S12" activePane="bottomRight" state="frozen"/>
      <selection pane="topRight" activeCell="F1" sqref="F1"/>
      <selection pane="bottomLeft" activeCell="A12" sqref="A12"/>
      <selection pane="bottomRight" activeCell="E22" sqref="E22"/>
    </sheetView>
  </sheetViews>
  <sheetFormatPr defaultRowHeight="15" x14ac:dyDescent="0.25"/>
  <cols>
    <col min="1" max="1" width="15" customWidth="1"/>
    <col min="2" max="2" width="12.28515625" bestFit="1" customWidth="1"/>
    <col min="5" max="5" width="16.140625" bestFit="1" customWidth="1"/>
    <col min="6" max="6" width="11.28515625" bestFit="1" customWidth="1"/>
    <col min="12" max="12" width="10.28515625" bestFit="1" customWidth="1"/>
    <col min="21" max="21" width="11.5703125" bestFit="1" customWidth="1"/>
    <col min="30" max="30" width="12.28515625" bestFit="1" customWidth="1"/>
    <col min="31" max="31" width="10.28515625" bestFit="1" customWidth="1"/>
    <col min="53" max="53" width="10.28515625" bestFit="1" customWidth="1"/>
    <col min="54" max="54" width="12.5703125" bestFit="1" customWidth="1"/>
    <col min="55" max="55" width="12.28515625" bestFit="1" customWidth="1"/>
    <col min="56" max="56" width="11.5703125" bestFit="1" customWidth="1"/>
  </cols>
  <sheetData>
    <row r="1" spans="1:55" x14ac:dyDescent="0.25">
      <c r="A1" t="s">
        <v>0</v>
      </c>
      <c r="C1" s="4">
        <v>0.13</v>
      </c>
      <c r="D1" t="s">
        <v>1</v>
      </c>
      <c r="E1" s="2">
        <f>(1.13^(1/12))-1</f>
        <v>1.02368443581764E-2</v>
      </c>
      <c r="F1" t="s">
        <v>2</v>
      </c>
    </row>
    <row r="2" spans="1:55" x14ac:dyDescent="0.25">
      <c r="A2" t="s">
        <v>3</v>
      </c>
      <c r="B2" s="3">
        <v>10000</v>
      </c>
      <c r="C2" t="s">
        <v>4</v>
      </c>
    </row>
    <row r="3" spans="1:55" x14ac:dyDescent="0.25">
      <c r="A3" t="s">
        <v>5</v>
      </c>
      <c r="B3" s="3">
        <v>4</v>
      </c>
    </row>
    <row r="4" spans="1:55" x14ac:dyDescent="0.25">
      <c r="A4" t="s">
        <v>6</v>
      </c>
      <c r="B4">
        <f>B2*B3</f>
        <v>40000</v>
      </c>
    </row>
    <row r="5" spans="1:55" x14ac:dyDescent="0.25">
      <c r="A5" t="s">
        <v>7</v>
      </c>
      <c r="B5" s="3">
        <v>1.6</v>
      </c>
    </row>
    <row r="6" spans="1:55" x14ac:dyDescent="0.25">
      <c r="A6" t="s">
        <v>8</v>
      </c>
      <c r="B6">
        <f>B4*B5</f>
        <v>64000</v>
      </c>
      <c r="C6" t="s">
        <v>4</v>
      </c>
    </row>
    <row r="7" spans="1:55" x14ac:dyDescent="0.25">
      <c r="A7" t="s">
        <v>9</v>
      </c>
      <c r="B7" s="3">
        <v>-7000</v>
      </c>
      <c r="C7" s="5" t="s">
        <v>10</v>
      </c>
    </row>
    <row r="8" spans="1:55" x14ac:dyDescent="0.25">
      <c r="A8" t="s">
        <v>11</v>
      </c>
      <c r="B8" s="6">
        <f>-'$Constr'!B10</f>
        <v>-1787.6170999999999</v>
      </c>
      <c r="C8" t="s">
        <v>13</v>
      </c>
    </row>
    <row r="9" spans="1:55" x14ac:dyDescent="0.25">
      <c r="A9" t="s">
        <v>12</v>
      </c>
      <c r="B9" s="3">
        <v>7500</v>
      </c>
      <c r="C9" t="s">
        <v>13</v>
      </c>
    </row>
    <row r="10" spans="1:55" x14ac:dyDescent="0.25">
      <c r="A10" t="s">
        <v>17</v>
      </c>
      <c r="B10">
        <f>B4*B9</f>
        <v>300000000</v>
      </c>
    </row>
    <row r="11" spans="1:55" x14ac:dyDescent="0.25">
      <c r="A11" s="7" t="s">
        <v>14</v>
      </c>
      <c r="B11" s="7" t="s">
        <v>15</v>
      </c>
      <c r="C11" s="7" t="s">
        <v>27</v>
      </c>
      <c r="D11" s="7" t="s">
        <v>28</v>
      </c>
      <c r="E11" s="7" t="s">
        <v>16</v>
      </c>
      <c r="F11" s="7">
        <v>0</v>
      </c>
      <c r="G11" s="7">
        <v>1</v>
      </c>
      <c r="H11" s="7">
        <v>2</v>
      </c>
      <c r="I11" s="7">
        <v>3</v>
      </c>
      <c r="J11" s="7">
        <v>4</v>
      </c>
      <c r="K11" s="7">
        <v>5</v>
      </c>
      <c r="L11" s="7">
        <v>6</v>
      </c>
      <c r="M11" s="7">
        <v>7</v>
      </c>
      <c r="N11" s="7">
        <v>8</v>
      </c>
      <c r="O11" s="7">
        <v>9</v>
      </c>
      <c r="P11" s="7">
        <v>10</v>
      </c>
      <c r="Q11" s="7">
        <v>11</v>
      </c>
      <c r="R11" s="7">
        <v>12</v>
      </c>
      <c r="S11" s="7">
        <v>13</v>
      </c>
      <c r="T11" s="7">
        <v>14</v>
      </c>
      <c r="U11" s="7">
        <v>15</v>
      </c>
      <c r="V11" s="7">
        <v>16</v>
      </c>
      <c r="W11" s="7">
        <v>17</v>
      </c>
      <c r="X11" s="7">
        <v>18</v>
      </c>
      <c r="Y11" s="7">
        <v>19</v>
      </c>
      <c r="Z11" s="7">
        <v>20</v>
      </c>
      <c r="AA11" s="7">
        <v>21</v>
      </c>
      <c r="AB11" s="7">
        <v>22</v>
      </c>
      <c r="AC11" s="7">
        <v>23</v>
      </c>
      <c r="AD11" s="7">
        <v>24</v>
      </c>
      <c r="AE11" s="7">
        <v>25</v>
      </c>
      <c r="AF11" s="7">
        <v>26</v>
      </c>
      <c r="AG11" s="7">
        <v>27</v>
      </c>
      <c r="AH11" s="7">
        <v>28</v>
      </c>
      <c r="AI11" s="7">
        <v>29</v>
      </c>
      <c r="AJ11" s="7">
        <v>30</v>
      </c>
      <c r="AK11" s="7">
        <v>31</v>
      </c>
      <c r="AL11" s="7">
        <v>32</v>
      </c>
      <c r="AM11" s="7">
        <v>33</v>
      </c>
      <c r="AN11" s="7">
        <v>34</v>
      </c>
      <c r="AO11" s="7">
        <v>35</v>
      </c>
      <c r="AP11" s="7">
        <v>36</v>
      </c>
      <c r="AQ11" s="7">
        <v>37</v>
      </c>
      <c r="AR11" s="7">
        <v>38</v>
      </c>
      <c r="AS11" s="7">
        <v>39</v>
      </c>
      <c r="AT11" s="7">
        <v>40</v>
      </c>
      <c r="AU11" s="7">
        <v>41</v>
      </c>
      <c r="AV11" s="7">
        <v>42</v>
      </c>
      <c r="AW11" s="7">
        <v>43</v>
      </c>
      <c r="AX11" s="7">
        <v>44</v>
      </c>
      <c r="AY11" s="7">
        <v>45</v>
      </c>
      <c r="AZ11" s="7">
        <v>46</v>
      </c>
      <c r="BA11" s="7">
        <v>47</v>
      </c>
      <c r="BB11" s="7">
        <v>48</v>
      </c>
      <c r="BC11" t="s">
        <v>16</v>
      </c>
    </row>
    <row r="12" spans="1:55" x14ac:dyDescent="0.25">
      <c r="A12" t="s">
        <v>24</v>
      </c>
      <c r="B12" s="15">
        <f>B10*Pagamentos!B2</f>
        <v>120000000</v>
      </c>
      <c r="C12" s="1">
        <v>0.4</v>
      </c>
      <c r="D12" t="s">
        <v>17</v>
      </c>
      <c r="E12" s="15">
        <f>C12*B10</f>
        <v>120000000</v>
      </c>
      <c r="U12" s="15">
        <f>E12*Pagamentos!C2/33</f>
        <v>909090.90909090906</v>
      </c>
      <c r="V12" s="15">
        <f>U12</f>
        <v>909090.90909090906</v>
      </c>
      <c r="W12" s="15">
        <f t="shared" ref="W12:BA12" si="0">V12</f>
        <v>909090.90909090906</v>
      </c>
      <c r="X12" s="15">
        <f t="shared" si="0"/>
        <v>909090.90909090906</v>
      </c>
      <c r="Y12" s="15">
        <f t="shared" si="0"/>
        <v>909090.90909090906</v>
      </c>
      <c r="Z12" s="15">
        <f t="shared" si="0"/>
        <v>909090.90909090906</v>
      </c>
      <c r="AA12" s="15">
        <f t="shared" si="0"/>
        <v>909090.90909090906</v>
      </c>
      <c r="AB12" s="15">
        <f t="shared" si="0"/>
        <v>909090.90909090906</v>
      </c>
      <c r="AC12" s="15">
        <f t="shared" si="0"/>
        <v>909090.90909090906</v>
      </c>
      <c r="AD12" s="15">
        <f t="shared" si="0"/>
        <v>909090.90909090906</v>
      </c>
      <c r="AE12" s="15">
        <f t="shared" si="0"/>
        <v>909090.90909090906</v>
      </c>
      <c r="AF12" s="15">
        <f t="shared" si="0"/>
        <v>909090.90909090906</v>
      </c>
      <c r="AG12" s="15">
        <f t="shared" si="0"/>
        <v>909090.90909090906</v>
      </c>
      <c r="AH12" s="15">
        <f t="shared" si="0"/>
        <v>909090.90909090906</v>
      </c>
      <c r="AI12" s="15">
        <f t="shared" si="0"/>
        <v>909090.90909090906</v>
      </c>
      <c r="AJ12" s="15">
        <f t="shared" si="0"/>
        <v>909090.90909090906</v>
      </c>
      <c r="AK12" s="15">
        <f t="shared" si="0"/>
        <v>909090.90909090906</v>
      </c>
      <c r="AL12" s="15">
        <f t="shared" si="0"/>
        <v>909090.90909090906</v>
      </c>
      <c r="AM12" s="15">
        <f t="shared" si="0"/>
        <v>909090.90909090906</v>
      </c>
      <c r="AN12" s="15">
        <f t="shared" si="0"/>
        <v>909090.90909090906</v>
      </c>
      <c r="AO12" s="15">
        <f t="shared" si="0"/>
        <v>909090.90909090906</v>
      </c>
      <c r="AP12" s="15">
        <f t="shared" si="0"/>
        <v>909090.90909090906</v>
      </c>
      <c r="AQ12" s="15">
        <f t="shared" si="0"/>
        <v>909090.90909090906</v>
      </c>
      <c r="AR12" s="15">
        <f t="shared" si="0"/>
        <v>909090.90909090906</v>
      </c>
      <c r="AS12" s="15">
        <f t="shared" si="0"/>
        <v>909090.90909090906</v>
      </c>
      <c r="AT12" s="15">
        <f t="shared" si="0"/>
        <v>909090.90909090906</v>
      </c>
      <c r="AU12" s="15">
        <f t="shared" si="0"/>
        <v>909090.90909090906</v>
      </c>
      <c r="AV12" s="15">
        <f t="shared" si="0"/>
        <v>909090.90909090906</v>
      </c>
      <c r="AW12" s="15">
        <f t="shared" si="0"/>
        <v>909090.90909090906</v>
      </c>
      <c r="AX12" s="15">
        <f t="shared" si="0"/>
        <v>909090.90909090906</v>
      </c>
      <c r="AY12" s="15">
        <f t="shared" si="0"/>
        <v>909090.90909090906</v>
      </c>
      <c r="AZ12" s="15">
        <f t="shared" si="0"/>
        <v>909090.90909090906</v>
      </c>
      <c r="BA12" s="15">
        <f t="shared" si="0"/>
        <v>909090.90909090906</v>
      </c>
      <c r="BB12" s="15">
        <f>E12*Pagamentos!D2</f>
        <v>90000000</v>
      </c>
      <c r="BC12" s="15">
        <f t="shared" ref="BC12:BC19" si="1">SUM(F12:BB12)</f>
        <v>120000000</v>
      </c>
    </row>
    <row r="13" spans="1:55" x14ac:dyDescent="0.25">
      <c r="A13" t="s">
        <v>25</v>
      </c>
      <c r="B13" s="15">
        <f>B10*Pagamentos!B3</f>
        <v>150000000</v>
      </c>
      <c r="C13" s="1">
        <v>0.5</v>
      </c>
      <c r="D13" t="s">
        <v>17</v>
      </c>
      <c r="E13" s="15">
        <f>C13*B10</f>
        <v>150000000</v>
      </c>
      <c r="AD13" s="15">
        <f>E13*Pagamentos!C3/24</f>
        <v>1562500</v>
      </c>
      <c r="AE13" s="15">
        <f>AD13</f>
        <v>1562500</v>
      </c>
      <c r="AF13" s="15">
        <f t="shared" ref="AF13:BA13" si="2">AE13</f>
        <v>1562500</v>
      </c>
      <c r="AG13" s="15">
        <f t="shared" si="2"/>
        <v>1562500</v>
      </c>
      <c r="AH13" s="15">
        <f t="shared" si="2"/>
        <v>1562500</v>
      </c>
      <c r="AI13" s="15">
        <f t="shared" si="2"/>
        <v>1562500</v>
      </c>
      <c r="AJ13" s="15">
        <f t="shared" si="2"/>
        <v>1562500</v>
      </c>
      <c r="AK13" s="15">
        <f t="shared" si="2"/>
        <v>1562500</v>
      </c>
      <c r="AL13" s="15">
        <f t="shared" si="2"/>
        <v>1562500</v>
      </c>
      <c r="AM13" s="15">
        <f t="shared" si="2"/>
        <v>1562500</v>
      </c>
      <c r="AN13" s="15">
        <f t="shared" si="2"/>
        <v>1562500</v>
      </c>
      <c r="AO13" s="15">
        <f t="shared" si="2"/>
        <v>1562500</v>
      </c>
      <c r="AP13" s="15">
        <f t="shared" si="2"/>
        <v>1562500</v>
      </c>
      <c r="AQ13" s="15">
        <f t="shared" si="2"/>
        <v>1562500</v>
      </c>
      <c r="AR13" s="15">
        <f t="shared" si="2"/>
        <v>1562500</v>
      </c>
      <c r="AS13" s="15">
        <f t="shared" si="2"/>
        <v>1562500</v>
      </c>
      <c r="AT13" s="15">
        <f t="shared" si="2"/>
        <v>1562500</v>
      </c>
      <c r="AU13" s="15">
        <f t="shared" si="2"/>
        <v>1562500</v>
      </c>
      <c r="AV13" s="15">
        <f t="shared" si="2"/>
        <v>1562500</v>
      </c>
      <c r="AW13" s="15">
        <f t="shared" si="2"/>
        <v>1562500</v>
      </c>
      <c r="AX13" s="15">
        <f t="shared" si="2"/>
        <v>1562500</v>
      </c>
      <c r="AY13" s="15">
        <f t="shared" si="2"/>
        <v>1562500</v>
      </c>
      <c r="AZ13" s="15">
        <f t="shared" si="2"/>
        <v>1562500</v>
      </c>
      <c r="BA13" s="15">
        <f t="shared" si="2"/>
        <v>1562500</v>
      </c>
      <c r="BB13" s="15">
        <f>E13*Pagamentos!D3</f>
        <v>112500000</v>
      </c>
      <c r="BC13" s="15">
        <f t="shared" si="1"/>
        <v>150000000</v>
      </c>
    </row>
    <row r="14" spans="1:55" x14ac:dyDescent="0.25">
      <c r="A14" t="s">
        <v>26</v>
      </c>
      <c r="B14" s="15">
        <f>B10*Pagamentos!B4</f>
        <v>30000000</v>
      </c>
      <c r="C14" s="1">
        <v>0.1</v>
      </c>
      <c r="D14" t="s">
        <v>17</v>
      </c>
      <c r="E14" s="15">
        <f t="shared" ref="E14:E17" si="3">B14</f>
        <v>30000000</v>
      </c>
      <c r="BB14" s="15">
        <f>E14</f>
        <v>30000000</v>
      </c>
      <c r="BC14" s="15">
        <f t="shared" si="1"/>
        <v>30000000</v>
      </c>
    </row>
    <row r="15" spans="1:55" x14ac:dyDescent="0.25">
      <c r="A15" t="s">
        <v>29</v>
      </c>
      <c r="B15" s="15">
        <f>B7*B2</f>
        <v>-70000000</v>
      </c>
      <c r="E15" s="15">
        <f t="shared" si="3"/>
        <v>-70000000</v>
      </c>
      <c r="F15" s="15">
        <f>E15</f>
        <v>-70000000</v>
      </c>
      <c r="BC15" s="15">
        <f t="shared" si="1"/>
        <v>-70000000</v>
      </c>
    </row>
    <row r="16" spans="1:55" x14ac:dyDescent="0.25">
      <c r="A16" t="s">
        <v>30</v>
      </c>
      <c r="B16" s="15">
        <f>B8*B6</f>
        <v>-114407494.39999999</v>
      </c>
      <c r="E16" s="15">
        <f t="shared" si="3"/>
        <v>-114407494.39999999</v>
      </c>
      <c r="AD16" s="15">
        <f>E16/24</f>
        <v>-4766978.9333333327</v>
      </c>
      <c r="AE16" s="15">
        <f>AD16</f>
        <v>-4766978.9333333327</v>
      </c>
      <c r="AF16" s="15">
        <f t="shared" ref="AF16:BA16" si="4">AE16</f>
        <v>-4766978.9333333327</v>
      </c>
      <c r="AG16" s="15">
        <f t="shared" si="4"/>
        <v>-4766978.9333333327</v>
      </c>
      <c r="AH16" s="15">
        <f t="shared" si="4"/>
        <v>-4766978.9333333327</v>
      </c>
      <c r="AI16" s="15">
        <f t="shared" si="4"/>
        <v>-4766978.9333333327</v>
      </c>
      <c r="AJ16" s="15">
        <f t="shared" si="4"/>
        <v>-4766978.9333333327</v>
      </c>
      <c r="AK16" s="15">
        <f t="shared" si="4"/>
        <v>-4766978.9333333327</v>
      </c>
      <c r="AL16" s="15">
        <f t="shared" si="4"/>
        <v>-4766978.9333333327</v>
      </c>
      <c r="AM16" s="15">
        <f t="shared" si="4"/>
        <v>-4766978.9333333327</v>
      </c>
      <c r="AN16" s="15">
        <f t="shared" si="4"/>
        <v>-4766978.9333333327</v>
      </c>
      <c r="AO16" s="15">
        <f t="shared" si="4"/>
        <v>-4766978.9333333327</v>
      </c>
      <c r="AP16" s="15">
        <f t="shared" si="4"/>
        <v>-4766978.9333333327</v>
      </c>
      <c r="AQ16" s="15">
        <f t="shared" si="4"/>
        <v>-4766978.9333333327</v>
      </c>
      <c r="AR16" s="15">
        <f t="shared" si="4"/>
        <v>-4766978.9333333327</v>
      </c>
      <c r="AS16" s="15">
        <f t="shared" si="4"/>
        <v>-4766978.9333333327</v>
      </c>
      <c r="AT16" s="15">
        <f t="shared" si="4"/>
        <v>-4766978.9333333327</v>
      </c>
      <c r="AU16" s="15">
        <f t="shared" si="4"/>
        <v>-4766978.9333333327</v>
      </c>
      <c r="AV16" s="15">
        <f t="shared" si="4"/>
        <v>-4766978.9333333327</v>
      </c>
      <c r="AW16" s="15">
        <f t="shared" si="4"/>
        <v>-4766978.9333333327</v>
      </c>
      <c r="AX16" s="15">
        <f t="shared" si="4"/>
        <v>-4766978.9333333327</v>
      </c>
      <c r="AY16" s="15">
        <f t="shared" si="4"/>
        <v>-4766978.9333333327</v>
      </c>
      <c r="AZ16" s="15">
        <f t="shared" si="4"/>
        <v>-4766978.9333333327</v>
      </c>
      <c r="BA16" s="15">
        <f t="shared" si="4"/>
        <v>-4766978.9333333327</v>
      </c>
      <c r="BC16" s="15">
        <f t="shared" si="1"/>
        <v>-114407494.40000001</v>
      </c>
    </row>
    <row r="17" spans="1:55" x14ac:dyDescent="0.25">
      <c r="A17" t="s">
        <v>31</v>
      </c>
      <c r="B17" s="15">
        <f>B16*C17</f>
        <v>-4576299.7759999996</v>
      </c>
      <c r="C17" s="1">
        <v>0.04</v>
      </c>
      <c r="D17" t="s">
        <v>40</v>
      </c>
      <c r="E17" s="15">
        <f t="shared" si="3"/>
        <v>-4576299.7759999996</v>
      </c>
      <c r="L17" s="15">
        <f>E17</f>
        <v>-4576299.7759999996</v>
      </c>
      <c r="BC17" s="15">
        <f t="shared" si="1"/>
        <v>-4576299.7759999996</v>
      </c>
    </row>
    <row r="18" spans="1:55" x14ac:dyDescent="0.25">
      <c r="A18" t="s">
        <v>41</v>
      </c>
      <c r="B18" s="15"/>
      <c r="C18" s="1">
        <v>-0.12</v>
      </c>
      <c r="D18" t="s">
        <v>17</v>
      </c>
      <c r="E18" s="15">
        <f>--B10*C18</f>
        <v>-36000000</v>
      </c>
      <c r="F18" s="15">
        <f>SUM(F12:F14)*$C$18</f>
        <v>0</v>
      </c>
      <c r="G18" s="15">
        <f t="shared" ref="G18:BB18" si="5">SUM(G12:G14)*$C$18</f>
        <v>0</v>
      </c>
      <c r="H18" s="15">
        <f t="shared" si="5"/>
        <v>0</v>
      </c>
      <c r="I18" s="15">
        <f t="shared" si="5"/>
        <v>0</v>
      </c>
      <c r="J18" s="15">
        <f t="shared" si="5"/>
        <v>0</v>
      </c>
      <c r="K18" s="15">
        <f t="shared" si="5"/>
        <v>0</v>
      </c>
      <c r="L18" s="15">
        <f t="shared" si="5"/>
        <v>0</v>
      </c>
      <c r="M18" s="15">
        <f t="shared" si="5"/>
        <v>0</v>
      </c>
      <c r="N18" s="15">
        <f t="shared" si="5"/>
        <v>0</v>
      </c>
      <c r="O18" s="15">
        <f t="shared" si="5"/>
        <v>0</v>
      </c>
      <c r="P18" s="15">
        <f t="shared" si="5"/>
        <v>0</v>
      </c>
      <c r="Q18" s="15">
        <f t="shared" si="5"/>
        <v>0</v>
      </c>
      <c r="R18" s="15">
        <f t="shared" si="5"/>
        <v>0</v>
      </c>
      <c r="S18" s="15">
        <f t="shared" si="5"/>
        <v>0</v>
      </c>
      <c r="T18" s="15">
        <f t="shared" si="5"/>
        <v>0</v>
      </c>
      <c r="U18" s="15">
        <f>SUM(U12:U14)*$C$18</f>
        <v>-109090.90909090909</v>
      </c>
      <c r="V18" s="15">
        <f t="shared" si="5"/>
        <v>-109090.90909090909</v>
      </c>
      <c r="W18" s="15">
        <f t="shared" si="5"/>
        <v>-109090.90909090909</v>
      </c>
      <c r="X18" s="15">
        <f t="shared" si="5"/>
        <v>-109090.90909090909</v>
      </c>
      <c r="Y18" s="15">
        <f t="shared" si="5"/>
        <v>-109090.90909090909</v>
      </c>
      <c r="Z18" s="15">
        <f t="shared" si="5"/>
        <v>-109090.90909090909</v>
      </c>
      <c r="AA18" s="15">
        <f t="shared" si="5"/>
        <v>-109090.90909090909</v>
      </c>
      <c r="AB18" s="15">
        <f t="shared" si="5"/>
        <v>-109090.90909090909</v>
      </c>
      <c r="AC18" s="15">
        <f t="shared" si="5"/>
        <v>-109090.90909090909</v>
      </c>
      <c r="AD18" s="15">
        <f t="shared" si="5"/>
        <v>-296590.90909090912</v>
      </c>
      <c r="AE18" s="15">
        <f t="shared" si="5"/>
        <v>-296590.90909090912</v>
      </c>
      <c r="AF18" s="15">
        <f t="shared" si="5"/>
        <v>-296590.90909090912</v>
      </c>
      <c r="AG18" s="15">
        <f t="shared" si="5"/>
        <v>-296590.90909090912</v>
      </c>
      <c r="AH18" s="15">
        <f t="shared" si="5"/>
        <v>-296590.90909090912</v>
      </c>
      <c r="AI18" s="15">
        <f t="shared" si="5"/>
        <v>-296590.90909090912</v>
      </c>
      <c r="AJ18" s="15">
        <f t="shared" si="5"/>
        <v>-296590.90909090912</v>
      </c>
      <c r="AK18" s="15">
        <f t="shared" si="5"/>
        <v>-296590.90909090912</v>
      </c>
      <c r="AL18" s="15">
        <f t="shared" si="5"/>
        <v>-296590.90909090912</v>
      </c>
      <c r="AM18" s="15">
        <f t="shared" si="5"/>
        <v>-296590.90909090912</v>
      </c>
      <c r="AN18" s="15">
        <f t="shared" si="5"/>
        <v>-296590.90909090912</v>
      </c>
      <c r="AO18" s="15">
        <f t="shared" si="5"/>
        <v>-296590.90909090912</v>
      </c>
      <c r="AP18" s="15">
        <f t="shared" si="5"/>
        <v>-296590.90909090912</v>
      </c>
      <c r="AQ18" s="15">
        <f t="shared" si="5"/>
        <v>-296590.90909090912</v>
      </c>
      <c r="AR18" s="15">
        <f t="shared" si="5"/>
        <v>-296590.90909090912</v>
      </c>
      <c r="AS18" s="15">
        <f t="shared" si="5"/>
        <v>-296590.90909090912</v>
      </c>
      <c r="AT18" s="15">
        <f t="shared" si="5"/>
        <v>-296590.90909090912</v>
      </c>
      <c r="AU18" s="15">
        <f t="shared" si="5"/>
        <v>-296590.90909090912</v>
      </c>
      <c r="AV18" s="15">
        <f t="shared" si="5"/>
        <v>-296590.90909090912</v>
      </c>
      <c r="AW18" s="15">
        <f t="shared" si="5"/>
        <v>-296590.90909090912</v>
      </c>
      <c r="AX18" s="15">
        <f t="shared" si="5"/>
        <v>-296590.90909090912</v>
      </c>
      <c r="AY18" s="15">
        <f t="shared" si="5"/>
        <v>-296590.90909090912</v>
      </c>
      <c r="AZ18" s="15">
        <f t="shared" si="5"/>
        <v>-296590.90909090912</v>
      </c>
      <c r="BA18" s="15">
        <f t="shared" si="5"/>
        <v>-296590.90909090912</v>
      </c>
      <c r="BB18" s="15">
        <f t="shared" si="5"/>
        <v>-27900000</v>
      </c>
      <c r="BC18" s="15">
        <f t="shared" si="1"/>
        <v>-36000000</v>
      </c>
    </row>
    <row r="19" spans="1:55" x14ac:dyDescent="0.25">
      <c r="A19" s="16" t="s">
        <v>42</v>
      </c>
      <c r="B19" s="17"/>
      <c r="C19" s="18">
        <v>-0.1</v>
      </c>
      <c r="D19" s="16" t="s">
        <v>17</v>
      </c>
      <c r="E19" s="17">
        <f>B10*C19</f>
        <v>-30000000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7">
        <f>C19*E12</f>
        <v>-12000000</v>
      </c>
      <c r="V19" s="16"/>
      <c r="W19" s="16"/>
      <c r="X19" s="16"/>
      <c r="Y19" s="16"/>
      <c r="Z19" s="16"/>
      <c r="AA19" s="16"/>
      <c r="AB19" s="16"/>
      <c r="AC19" s="16"/>
      <c r="AD19" s="17">
        <f>C19*E13</f>
        <v>-15000000</v>
      </c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7">
        <f>C19*E14</f>
        <v>-3000000</v>
      </c>
      <c r="BC19" s="17">
        <f t="shared" si="1"/>
        <v>-30000000</v>
      </c>
    </row>
    <row r="20" spans="1:55" x14ac:dyDescent="0.25">
      <c r="A20" s="19" t="s">
        <v>44</v>
      </c>
      <c r="B20" s="15"/>
      <c r="E20" s="15">
        <f>SUM(E12:E19)</f>
        <v>45016205.824000016</v>
      </c>
      <c r="F20" s="15">
        <f t="shared" ref="F20:BC20" si="6">SUM(F12:F19)</f>
        <v>-70000000</v>
      </c>
      <c r="G20" s="15">
        <f t="shared" si="6"/>
        <v>0</v>
      </c>
      <c r="H20" s="15">
        <f t="shared" si="6"/>
        <v>0</v>
      </c>
      <c r="I20" s="15">
        <f t="shared" si="6"/>
        <v>0</v>
      </c>
      <c r="J20" s="15">
        <f t="shared" si="6"/>
        <v>0</v>
      </c>
      <c r="K20" s="15">
        <f t="shared" si="6"/>
        <v>0</v>
      </c>
      <c r="L20" s="15">
        <f t="shared" si="6"/>
        <v>-4576299.7759999996</v>
      </c>
      <c r="M20" s="15">
        <f t="shared" si="6"/>
        <v>0</v>
      </c>
      <c r="N20" s="15">
        <f t="shared" si="6"/>
        <v>0</v>
      </c>
      <c r="O20" s="15">
        <f t="shared" si="6"/>
        <v>0</v>
      </c>
      <c r="P20" s="15">
        <f t="shared" si="6"/>
        <v>0</v>
      </c>
      <c r="Q20" s="15">
        <f t="shared" si="6"/>
        <v>0</v>
      </c>
      <c r="R20" s="15">
        <f t="shared" si="6"/>
        <v>0</v>
      </c>
      <c r="S20" s="15">
        <f t="shared" si="6"/>
        <v>0</v>
      </c>
      <c r="T20" s="15">
        <f t="shared" si="6"/>
        <v>0</v>
      </c>
      <c r="U20" s="15">
        <f t="shared" si="6"/>
        <v>-11200000</v>
      </c>
      <c r="V20" s="15">
        <f t="shared" si="6"/>
        <v>800000</v>
      </c>
      <c r="W20" s="15">
        <f t="shared" si="6"/>
        <v>800000</v>
      </c>
      <c r="X20" s="15">
        <f t="shared" si="6"/>
        <v>800000</v>
      </c>
      <c r="Y20" s="15">
        <f t="shared" si="6"/>
        <v>800000</v>
      </c>
      <c r="Z20" s="15">
        <f t="shared" si="6"/>
        <v>800000</v>
      </c>
      <c r="AA20" s="15">
        <f t="shared" si="6"/>
        <v>800000</v>
      </c>
      <c r="AB20" s="15">
        <f t="shared" si="6"/>
        <v>800000</v>
      </c>
      <c r="AC20" s="15">
        <f t="shared" si="6"/>
        <v>800000</v>
      </c>
      <c r="AD20" s="15">
        <f t="shared" si="6"/>
        <v>-17591978.933333334</v>
      </c>
      <c r="AE20" s="15">
        <f t="shared" si="6"/>
        <v>-2591978.9333333327</v>
      </c>
      <c r="AF20" s="15">
        <f t="shared" si="6"/>
        <v>-2591978.9333333327</v>
      </c>
      <c r="AG20" s="15">
        <f t="shared" si="6"/>
        <v>-2591978.9333333327</v>
      </c>
      <c r="AH20" s="15">
        <f t="shared" si="6"/>
        <v>-2591978.9333333327</v>
      </c>
      <c r="AI20" s="15">
        <f t="shared" si="6"/>
        <v>-2591978.9333333327</v>
      </c>
      <c r="AJ20" s="15">
        <f t="shared" si="6"/>
        <v>-2591978.9333333327</v>
      </c>
      <c r="AK20" s="15">
        <f t="shared" si="6"/>
        <v>-2591978.9333333327</v>
      </c>
      <c r="AL20" s="15">
        <f t="shared" si="6"/>
        <v>-2591978.9333333327</v>
      </c>
      <c r="AM20" s="15">
        <f t="shared" si="6"/>
        <v>-2591978.9333333327</v>
      </c>
      <c r="AN20" s="15">
        <f t="shared" si="6"/>
        <v>-2591978.9333333327</v>
      </c>
      <c r="AO20" s="15">
        <f t="shared" si="6"/>
        <v>-2591978.9333333327</v>
      </c>
      <c r="AP20" s="15">
        <f t="shared" si="6"/>
        <v>-2591978.9333333327</v>
      </c>
      <c r="AQ20" s="15">
        <f t="shared" si="6"/>
        <v>-2591978.9333333327</v>
      </c>
      <c r="AR20" s="15">
        <f t="shared" si="6"/>
        <v>-2591978.9333333327</v>
      </c>
      <c r="AS20" s="15">
        <f t="shared" si="6"/>
        <v>-2591978.9333333327</v>
      </c>
      <c r="AT20" s="15">
        <f t="shared" si="6"/>
        <v>-2591978.9333333327</v>
      </c>
      <c r="AU20" s="15">
        <f t="shared" si="6"/>
        <v>-2591978.9333333327</v>
      </c>
      <c r="AV20" s="15">
        <f t="shared" si="6"/>
        <v>-2591978.9333333327</v>
      </c>
      <c r="AW20" s="15">
        <f t="shared" si="6"/>
        <v>-2591978.9333333327</v>
      </c>
      <c r="AX20" s="15">
        <f t="shared" si="6"/>
        <v>-2591978.9333333327</v>
      </c>
      <c r="AY20" s="15">
        <f t="shared" si="6"/>
        <v>-2591978.9333333327</v>
      </c>
      <c r="AZ20" s="15">
        <f t="shared" si="6"/>
        <v>-2591978.9333333327</v>
      </c>
      <c r="BA20" s="15">
        <f t="shared" si="6"/>
        <v>-2591978.9333333327</v>
      </c>
      <c r="BB20" s="15">
        <f t="shared" si="6"/>
        <v>201600000</v>
      </c>
      <c r="BC20" s="15">
        <f t="shared" si="6"/>
        <v>45016205.824000001</v>
      </c>
    </row>
    <row r="21" spans="1:55" x14ac:dyDescent="0.25">
      <c r="A21" s="19" t="s">
        <v>48</v>
      </c>
      <c r="B21" s="15"/>
      <c r="E21" s="23">
        <f>E20/B10</f>
        <v>0.15005401941333338</v>
      </c>
    </row>
    <row r="22" spans="1:55" x14ac:dyDescent="0.25">
      <c r="A22" t="s">
        <v>45</v>
      </c>
      <c r="B22" s="15"/>
      <c r="E22" s="20">
        <f>NPV(E1,G20:BB20)+F20</f>
        <v>-10212575.810743056</v>
      </c>
    </row>
    <row r="23" spans="1:55" x14ac:dyDescent="0.25">
      <c r="A23" t="s">
        <v>46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E5F3A-5CBE-4F12-9FEC-13DD8852B4B7}">
  <dimension ref="A1:CA25"/>
  <sheetViews>
    <sheetView tabSelected="1" workbookViewId="0">
      <selection activeCell="G5" sqref="G5"/>
    </sheetView>
  </sheetViews>
  <sheetFormatPr defaultRowHeight="15" x14ac:dyDescent="0.25"/>
  <cols>
    <col min="1" max="1" width="15" customWidth="1"/>
    <col min="2" max="2" width="12.28515625" bestFit="1" customWidth="1"/>
    <col min="5" max="5" width="16.140625" bestFit="1" customWidth="1"/>
    <col min="6" max="6" width="11.28515625" bestFit="1" customWidth="1"/>
    <col min="7" max="30" width="11.28515625" customWidth="1"/>
    <col min="31" max="31" width="11.28515625" bestFit="1" customWidth="1"/>
    <col min="36" max="36" width="11.28515625" bestFit="1" customWidth="1"/>
    <col min="45" max="45" width="11.5703125" bestFit="1" customWidth="1"/>
    <col min="54" max="54" width="12.28515625" bestFit="1" customWidth="1"/>
    <col min="55" max="55" width="10.28515625" bestFit="1" customWidth="1"/>
    <col min="77" max="77" width="10.28515625" bestFit="1" customWidth="1"/>
    <col min="78" max="78" width="12.5703125" bestFit="1" customWidth="1"/>
    <col min="79" max="79" width="12.28515625" bestFit="1" customWidth="1"/>
    <col min="80" max="80" width="11.5703125" bestFit="1" customWidth="1"/>
  </cols>
  <sheetData>
    <row r="1" spans="1:79" x14ac:dyDescent="0.25">
      <c r="A1" t="s">
        <v>0</v>
      </c>
      <c r="C1" s="4">
        <v>0.13</v>
      </c>
      <c r="D1" t="s">
        <v>1</v>
      </c>
      <c r="E1" s="2">
        <f>((1+C1)^(1/12))-1</f>
        <v>1.02368443581764E-2</v>
      </c>
      <c r="F1" t="s">
        <v>2</v>
      </c>
    </row>
    <row r="2" spans="1:79" x14ac:dyDescent="0.25">
      <c r="A2" t="s">
        <v>3</v>
      </c>
      <c r="B2" s="3">
        <v>10000</v>
      </c>
      <c r="C2" t="s">
        <v>4</v>
      </c>
    </row>
    <row r="3" spans="1:79" x14ac:dyDescent="0.25">
      <c r="A3" t="s">
        <v>5</v>
      </c>
      <c r="B3" s="3">
        <v>4</v>
      </c>
    </row>
    <row r="4" spans="1:79" x14ac:dyDescent="0.25">
      <c r="A4" t="s">
        <v>6</v>
      </c>
      <c r="B4">
        <f>B2*B3</f>
        <v>40000</v>
      </c>
    </row>
    <row r="5" spans="1:79" ht="18.75" x14ac:dyDescent="0.3">
      <c r="A5" t="s">
        <v>7</v>
      </c>
      <c r="B5" s="3">
        <v>1.6</v>
      </c>
      <c r="E5" s="21" t="s">
        <v>47</v>
      </c>
      <c r="F5" s="34">
        <f>B9-'1)$Terreno'!B9</f>
        <v>862.33305178537557</v>
      </c>
      <c r="G5" s="26">
        <f>F5/'1)$Terreno'!B9</f>
        <v>0.11497774023805007</v>
      </c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 t="s">
        <v>13</v>
      </c>
    </row>
    <row r="6" spans="1:79" x14ac:dyDescent="0.25">
      <c r="A6" t="s">
        <v>8</v>
      </c>
      <c r="B6">
        <f>B4*B5</f>
        <v>64000</v>
      </c>
      <c r="C6" t="s">
        <v>4</v>
      </c>
    </row>
    <row r="7" spans="1:79" x14ac:dyDescent="0.25">
      <c r="A7" t="s">
        <v>9</v>
      </c>
      <c r="B7" s="3">
        <v>-5978.7424189256944</v>
      </c>
      <c r="C7" s="5" t="s">
        <v>10</v>
      </c>
    </row>
    <row r="8" spans="1:79" x14ac:dyDescent="0.25">
      <c r="A8" t="s">
        <v>11</v>
      </c>
      <c r="B8" s="6">
        <f>-'$Constr'!B10</f>
        <v>-1787.6170999999999</v>
      </c>
      <c r="C8" t="s">
        <v>13</v>
      </c>
    </row>
    <row r="9" spans="1:79" x14ac:dyDescent="0.25">
      <c r="A9" t="s">
        <v>12</v>
      </c>
      <c r="B9" s="36">
        <v>8362.3330517853756</v>
      </c>
      <c r="C9" t="s">
        <v>13</v>
      </c>
    </row>
    <row r="10" spans="1:79" x14ac:dyDescent="0.25">
      <c r="A10" t="s">
        <v>17</v>
      </c>
      <c r="B10">
        <f>B4*B9</f>
        <v>334493322.07141501</v>
      </c>
    </row>
    <row r="11" spans="1:79" x14ac:dyDescent="0.25">
      <c r="A11" s="7" t="s">
        <v>14</v>
      </c>
      <c r="B11" s="7" t="s">
        <v>15</v>
      </c>
      <c r="C11" s="7" t="s">
        <v>27</v>
      </c>
      <c r="D11" s="7" t="s">
        <v>28</v>
      </c>
      <c r="E11" s="7" t="s">
        <v>16</v>
      </c>
      <c r="F11" s="7">
        <v>0</v>
      </c>
      <c r="G11" s="7">
        <v>1</v>
      </c>
      <c r="H11" s="7">
        <v>2</v>
      </c>
      <c r="I11" s="7">
        <v>3</v>
      </c>
      <c r="J11" s="7">
        <v>4</v>
      </c>
      <c r="K11" s="7">
        <v>5</v>
      </c>
      <c r="L11" s="7">
        <v>6</v>
      </c>
      <c r="M11" s="7">
        <v>7</v>
      </c>
      <c r="N11" s="7">
        <v>8</v>
      </c>
      <c r="O11" s="7">
        <v>9</v>
      </c>
      <c r="P11" s="7">
        <v>10</v>
      </c>
      <c r="Q11" s="7">
        <v>11</v>
      </c>
      <c r="R11" s="7">
        <v>12</v>
      </c>
      <c r="S11" s="7">
        <v>13</v>
      </c>
      <c r="T11" s="7">
        <v>14</v>
      </c>
      <c r="U11" s="7">
        <v>15</v>
      </c>
      <c r="V11" s="7">
        <v>16</v>
      </c>
      <c r="W11" s="7">
        <v>17</v>
      </c>
      <c r="X11" s="7">
        <v>18</v>
      </c>
      <c r="Y11" s="7">
        <v>19</v>
      </c>
      <c r="Z11" s="7">
        <v>20</v>
      </c>
      <c r="AA11" s="7">
        <v>21</v>
      </c>
      <c r="AB11" s="7">
        <v>22</v>
      </c>
      <c r="AC11" s="7">
        <v>23</v>
      </c>
      <c r="AD11" s="7">
        <v>24</v>
      </c>
      <c r="AE11" s="7">
        <v>25</v>
      </c>
      <c r="AF11" s="7">
        <v>26</v>
      </c>
      <c r="AG11" s="7">
        <v>27</v>
      </c>
      <c r="AH11" s="7">
        <v>28</v>
      </c>
      <c r="AI11" s="7">
        <v>29</v>
      </c>
      <c r="AJ11" s="7">
        <v>30</v>
      </c>
      <c r="AK11" s="7">
        <v>31</v>
      </c>
      <c r="AL11" s="7">
        <v>32</v>
      </c>
      <c r="AM11" s="7">
        <v>33</v>
      </c>
      <c r="AN11" s="7">
        <v>34</v>
      </c>
      <c r="AO11" s="7">
        <v>35</v>
      </c>
      <c r="AP11" s="7">
        <v>36</v>
      </c>
      <c r="AQ11" s="7">
        <v>37</v>
      </c>
      <c r="AR11" s="7">
        <v>38</v>
      </c>
      <c r="AS11" s="7">
        <v>39</v>
      </c>
      <c r="AT11" s="7">
        <v>40</v>
      </c>
      <c r="AU11" s="7">
        <v>41</v>
      </c>
      <c r="AV11" s="7">
        <v>42</v>
      </c>
      <c r="AW11" s="7">
        <v>43</v>
      </c>
      <c r="AX11" s="7">
        <v>44</v>
      </c>
      <c r="AY11" s="7">
        <v>45</v>
      </c>
      <c r="AZ11" s="7">
        <v>46</v>
      </c>
      <c r="BA11" s="7">
        <v>47</v>
      </c>
      <c r="BB11" s="7">
        <v>48</v>
      </c>
      <c r="BC11" s="7">
        <v>49</v>
      </c>
      <c r="BD11" s="7">
        <v>50</v>
      </c>
      <c r="BE11" s="7">
        <v>51</v>
      </c>
      <c r="BF11" s="7">
        <v>52</v>
      </c>
      <c r="BG11" s="7">
        <v>53</v>
      </c>
      <c r="BH11" s="7">
        <v>54</v>
      </c>
      <c r="BI11" s="7">
        <v>55</v>
      </c>
      <c r="BJ11" s="7">
        <v>56</v>
      </c>
      <c r="BK11" s="7">
        <v>57</v>
      </c>
      <c r="BL11" s="7">
        <v>58</v>
      </c>
      <c r="BM11" s="7">
        <v>59</v>
      </c>
      <c r="BN11" s="7">
        <v>60</v>
      </c>
      <c r="BO11" s="7">
        <v>61</v>
      </c>
      <c r="BP11" s="7">
        <v>62</v>
      </c>
      <c r="BQ11" s="7">
        <v>63</v>
      </c>
      <c r="BR11" s="7">
        <v>64</v>
      </c>
      <c r="BS11" s="7">
        <v>65</v>
      </c>
      <c r="BT11" s="7">
        <v>66</v>
      </c>
      <c r="BU11" s="7">
        <v>67</v>
      </c>
      <c r="BV11" s="7">
        <v>68</v>
      </c>
      <c r="BW11" s="7">
        <v>69</v>
      </c>
      <c r="BX11" s="7">
        <v>70</v>
      </c>
      <c r="BY11" s="7">
        <v>71</v>
      </c>
      <c r="BZ11" s="7">
        <v>72</v>
      </c>
      <c r="CA11" t="s">
        <v>16</v>
      </c>
    </row>
    <row r="12" spans="1:79" x14ac:dyDescent="0.25">
      <c r="A12" t="s">
        <v>24</v>
      </c>
      <c r="B12" s="15">
        <f>B10*Pagamentos!B2</f>
        <v>133797328.82856601</v>
      </c>
      <c r="C12" s="1">
        <v>0.4</v>
      </c>
      <c r="D12" t="s">
        <v>17</v>
      </c>
      <c r="E12" s="15">
        <f>C12*B10</f>
        <v>133797328.82856601</v>
      </c>
      <c r="AS12" s="15">
        <f>E12*Pagamentos!C2/33</f>
        <v>1013616.1274891365</v>
      </c>
      <c r="AT12" s="15">
        <f>AS12</f>
        <v>1013616.1274891365</v>
      </c>
      <c r="AU12" s="15">
        <f t="shared" ref="AU12:BJ13" si="0">AT12</f>
        <v>1013616.1274891365</v>
      </c>
      <c r="AV12" s="15">
        <f t="shared" si="0"/>
        <v>1013616.1274891365</v>
      </c>
      <c r="AW12" s="15">
        <f t="shared" si="0"/>
        <v>1013616.1274891365</v>
      </c>
      <c r="AX12" s="15">
        <f t="shared" si="0"/>
        <v>1013616.1274891365</v>
      </c>
      <c r="AY12" s="15">
        <f t="shared" si="0"/>
        <v>1013616.1274891365</v>
      </c>
      <c r="AZ12" s="15">
        <f t="shared" si="0"/>
        <v>1013616.1274891365</v>
      </c>
      <c r="BA12" s="15">
        <f t="shared" si="0"/>
        <v>1013616.1274891365</v>
      </c>
      <c r="BB12" s="15">
        <f t="shared" si="0"/>
        <v>1013616.1274891365</v>
      </c>
      <c r="BC12" s="15">
        <f t="shared" si="0"/>
        <v>1013616.1274891365</v>
      </c>
      <c r="BD12" s="15">
        <f t="shared" si="0"/>
        <v>1013616.1274891365</v>
      </c>
      <c r="BE12" s="15">
        <f t="shared" si="0"/>
        <v>1013616.1274891365</v>
      </c>
      <c r="BF12" s="15">
        <f t="shared" si="0"/>
        <v>1013616.1274891365</v>
      </c>
      <c r="BG12" s="15">
        <f t="shared" si="0"/>
        <v>1013616.1274891365</v>
      </c>
      <c r="BH12" s="15">
        <f t="shared" si="0"/>
        <v>1013616.1274891365</v>
      </c>
      <c r="BI12" s="15">
        <f t="shared" si="0"/>
        <v>1013616.1274891365</v>
      </c>
      <c r="BJ12" s="15">
        <f t="shared" si="0"/>
        <v>1013616.1274891365</v>
      </c>
      <c r="BK12" s="15">
        <f t="shared" ref="BK12:BY13" si="1">BJ12</f>
        <v>1013616.1274891365</v>
      </c>
      <c r="BL12" s="15">
        <f t="shared" si="1"/>
        <v>1013616.1274891365</v>
      </c>
      <c r="BM12" s="15">
        <f t="shared" si="1"/>
        <v>1013616.1274891365</v>
      </c>
      <c r="BN12" s="15">
        <f t="shared" si="1"/>
        <v>1013616.1274891365</v>
      </c>
      <c r="BO12" s="15">
        <f t="shared" si="1"/>
        <v>1013616.1274891365</v>
      </c>
      <c r="BP12" s="15">
        <f t="shared" si="1"/>
        <v>1013616.1274891365</v>
      </c>
      <c r="BQ12" s="15">
        <f t="shared" si="1"/>
        <v>1013616.1274891365</v>
      </c>
      <c r="BR12" s="15">
        <f t="shared" si="1"/>
        <v>1013616.1274891365</v>
      </c>
      <c r="BS12" s="15">
        <f t="shared" si="1"/>
        <v>1013616.1274891365</v>
      </c>
      <c r="BT12" s="15">
        <f t="shared" si="1"/>
        <v>1013616.1274891365</v>
      </c>
      <c r="BU12" s="15">
        <f t="shared" si="1"/>
        <v>1013616.1274891365</v>
      </c>
      <c r="BV12" s="15">
        <f t="shared" si="1"/>
        <v>1013616.1274891365</v>
      </c>
      <c r="BW12" s="15">
        <f t="shared" si="1"/>
        <v>1013616.1274891365</v>
      </c>
      <c r="BX12" s="15">
        <f t="shared" si="1"/>
        <v>1013616.1274891365</v>
      </c>
      <c r="BY12" s="15">
        <f t="shared" si="1"/>
        <v>1013616.1274891365</v>
      </c>
      <c r="BZ12" s="15">
        <f>E12*Pagamentos!D2</f>
        <v>100347996.62142451</v>
      </c>
      <c r="CA12" s="15">
        <f t="shared" ref="CA12:CA19" si="2">SUM(F12:BZ12)</f>
        <v>133797328.82856598</v>
      </c>
    </row>
    <row r="13" spans="1:79" x14ac:dyDescent="0.25">
      <c r="A13" t="s">
        <v>25</v>
      </c>
      <c r="B13" s="15">
        <f>B10*Pagamentos!B3</f>
        <v>167246661.0357075</v>
      </c>
      <c r="C13" s="1">
        <v>0.5</v>
      </c>
      <c r="D13" t="s">
        <v>17</v>
      </c>
      <c r="E13" s="15">
        <f>C13*B10</f>
        <v>167246661.0357075</v>
      </c>
      <c r="BB13" s="15">
        <f>E13*Pagamentos!C3/24</f>
        <v>1742152.7191219532</v>
      </c>
      <c r="BC13" s="15">
        <f>BB13</f>
        <v>1742152.7191219532</v>
      </c>
      <c r="BD13" s="15">
        <f t="shared" si="0"/>
        <v>1742152.7191219532</v>
      </c>
      <c r="BE13" s="15">
        <f t="shared" si="0"/>
        <v>1742152.7191219532</v>
      </c>
      <c r="BF13" s="15">
        <f t="shared" si="0"/>
        <v>1742152.7191219532</v>
      </c>
      <c r="BG13" s="15">
        <f t="shared" si="0"/>
        <v>1742152.7191219532</v>
      </c>
      <c r="BH13" s="15">
        <f t="shared" si="0"/>
        <v>1742152.7191219532</v>
      </c>
      <c r="BI13" s="15">
        <f t="shared" si="0"/>
        <v>1742152.7191219532</v>
      </c>
      <c r="BJ13" s="15">
        <f t="shared" si="0"/>
        <v>1742152.7191219532</v>
      </c>
      <c r="BK13" s="15">
        <f t="shared" si="1"/>
        <v>1742152.7191219532</v>
      </c>
      <c r="BL13" s="15">
        <f t="shared" si="1"/>
        <v>1742152.7191219532</v>
      </c>
      <c r="BM13" s="15">
        <f t="shared" si="1"/>
        <v>1742152.7191219532</v>
      </c>
      <c r="BN13" s="15">
        <f t="shared" si="1"/>
        <v>1742152.7191219532</v>
      </c>
      <c r="BO13" s="15">
        <f t="shared" si="1"/>
        <v>1742152.7191219532</v>
      </c>
      <c r="BP13" s="15">
        <f t="shared" si="1"/>
        <v>1742152.7191219532</v>
      </c>
      <c r="BQ13" s="15">
        <f t="shared" si="1"/>
        <v>1742152.7191219532</v>
      </c>
      <c r="BR13" s="15">
        <f t="shared" si="1"/>
        <v>1742152.7191219532</v>
      </c>
      <c r="BS13" s="15">
        <f t="shared" si="1"/>
        <v>1742152.7191219532</v>
      </c>
      <c r="BT13" s="15">
        <f t="shared" si="1"/>
        <v>1742152.7191219532</v>
      </c>
      <c r="BU13" s="15">
        <f t="shared" si="1"/>
        <v>1742152.7191219532</v>
      </c>
      <c r="BV13" s="15">
        <f t="shared" si="1"/>
        <v>1742152.7191219532</v>
      </c>
      <c r="BW13" s="15">
        <f t="shared" si="1"/>
        <v>1742152.7191219532</v>
      </c>
      <c r="BX13" s="15">
        <f t="shared" si="1"/>
        <v>1742152.7191219532</v>
      </c>
      <c r="BY13" s="15">
        <f t="shared" si="1"/>
        <v>1742152.7191219532</v>
      </c>
      <c r="BZ13" s="15">
        <f>E13*Pagamentos!D3</f>
        <v>125434995.77678064</v>
      </c>
      <c r="CA13" s="15">
        <f t="shared" si="2"/>
        <v>167246661.0357075</v>
      </c>
    </row>
    <row r="14" spans="1:79" x14ac:dyDescent="0.25">
      <c r="A14" t="s">
        <v>26</v>
      </c>
      <c r="B14" s="15">
        <f>B10*Pagamentos!B4</f>
        <v>33449332.207141504</v>
      </c>
      <c r="C14" s="1">
        <v>0.1</v>
      </c>
      <c r="D14" t="s">
        <v>17</v>
      </c>
      <c r="E14" s="15">
        <f t="shared" ref="E14:E17" si="3">B14</f>
        <v>33449332.207141504</v>
      </c>
      <c r="BZ14" s="15">
        <f>E14</f>
        <v>33449332.207141504</v>
      </c>
      <c r="CA14" s="15">
        <f t="shared" si="2"/>
        <v>33449332.207141504</v>
      </c>
    </row>
    <row r="15" spans="1:79" x14ac:dyDescent="0.25">
      <c r="A15" t="s">
        <v>29</v>
      </c>
      <c r="B15" s="15">
        <f>B7*B2</f>
        <v>-59787424.189256944</v>
      </c>
      <c r="E15" s="15">
        <f t="shared" si="3"/>
        <v>-59787424.189256944</v>
      </c>
      <c r="F15" s="15">
        <f>E15</f>
        <v>-59787424.189256944</v>
      </c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CA15" s="15">
        <f t="shared" si="2"/>
        <v>-59787424.189256944</v>
      </c>
    </row>
    <row r="16" spans="1:79" x14ac:dyDescent="0.25">
      <c r="A16" t="s">
        <v>30</v>
      </c>
      <c r="B16" s="15">
        <f>B8*B6</f>
        <v>-114407494.39999999</v>
      </c>
      <c r="E16" s="15">
        <f t="shared" si="3"/>
        <v>-114407494.39999999</v>
      </c>
      <c r="BB16" s="15">
        <f>E16/24</f>
        <v>-4766978.9333333327</v>
      </c>
      <c r="BC16" s="15">
        <f>BB16</f>
        <v>-4766978.9333333327</v>
      </c>
      <c r="BD16" s="15">
        <f t="shared" ref="BD16:BY16" si="4">BC16</f>
        <v>-4766978.9333333327</v>
      </c>
      <c r="BE16" s="15">
        <f t="shared" si="4"/>
        <v>-4766978.9333333327</v>
      </c>
      <c r="BF16" s="15">
        <f t="shared" si="4"/>
        <v>-4766978.9333333327</v>
      </c>
      <c r="BG16" s="15">
        <f t="shared" si="4"/>
        <v>-4766978.9333333327</v>
      </c>
      <c r="BH16" s="15">
        <f t="shared" si="4"/>
        <v>-4766978.9333333327</v>
      </c>
      <c r="BI16" s="15">
        <f t="shared" si="4"/>
        <v>-4766978.9333333327</v>
      </c>
      <c r="BJ16" s="15">
        <f t="shared" si="4"/>
        <v>-4766978.9333333327</v>
      </c>
      <c r="BK16" s="15">
        <f t="shared" si="4"/>
        <v>-4766978.9333333327</v>
      </c>
      <c r="BL16" s="15">
        <f t="shared" si="4"/>
        <v>-4766978.9333333327</v>
      </c>
      <c r="BM16" s="15">
        <f t="shared" si="4"/>
        <v>-4766978.9333333327</v>
      </c>
      <c r="BN16" s="15">
        <f t="shared" si="4"/>
        <v>-4766978.9333333327</v>
      </c>
      <c r="BO16" s="15">
        <f t="shared" si="4"/>
        <v>-4766978.9333333327</v>
      </c>
      <c r="BP16" s="15">
        <f t="shared" si="4"/>
        <v>-4766978.9333333327</v>
      </c>
      <c r="BQ16" s="15">
        <f t="shared" si="4"/>
        <v>-4766978.9333333327</v>
      </c>
      <c r="BR16" s="15">
        <f t="shared" si="4"/>
        <v>-4766978.9333333327</v>
      </c>
      <c r="BS16" s="15">
        <f t="shared" si="4"/>
        <v>-4766978.9333333327</v>
      </c>
      <c r="BT16" s="15">
        <f t="shared" si="4"/>
        <v>-4766978.9333333327</v>
      </c>
      <c r="BU16" s="15">
        <f t="shared" si="4"/>
        <v>-4766978.9333333327</v>
      </c>
      <c r="BV16" s="15">
        <f t="shared" si="4"/>
        <v>-4766978.9333333327</v>
      </c>
      <c r="BW16" s="15">
        <f t="shared" si="4"/>
        <v>-4766978.9333333327</v>
      </c>
      <c r="BX16" s="15">
        <f t="shared" si="4"/>
        <v>-4766978.9333333327</v>
      </c>
      <c r="BY16" s="15">
        <f t="shared" si="4"/>
        <v>-4766978.9333333327</v>
      </c>
      <c r="CA16" s="15">
        <f t="shared" si="2"/>
        <v>-114407494.40000001</v>
      </c>
    </row>
    <row r="17" spans="1:79" x14ac:dyDescent="0.25">
      <c r="A17" t="s">
        <v>31</v>
      </c>
      <c r="B17" s="15">
        <f>B16*C17</f>
        <v>-4576299.7759999996</v>
      </c>
      <c r="C17" s="1">
        <v>0.04</v>
      </c>
      <c r="D17" t="s">
        <v>40</v>
      </c>
      <c r="E17" s="15">
        <f t="shared" si="3"/>
        <v>-4576299.7759999996</v>
      </c>
      <c r="AJ17" s="15">
        <f>E17</f>
        <v>-4576299.7759999996</v>
      </c>
      <c r="CA17" s="15">
        <f t="shared" si="2"/>
        <v>-4576299.7759999996</v>
      </c>
    </row>
    <row r="18" spans="1:79" x14ac:dyDescent="0.25">
      <c r="A18" t="s">
        <v>41</v>
      </c>
      <c r="B18" s="15"/>
      <c r="C18" s="1">
        <v>-0.12</v>
      </c>
      <c r="D18" t="s">
        <v>17</v>
      </c>
      <c r="E18" s="15">
        <f>--B10*C18</f>
        <v>-40139198.6485698</v>
      </c>
      <c r="F18" s="15">
        <f>SUM(F12:F14)*$C$18</f>
        <v>0</v>
      </c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>
        <f t="shared" ref="AE18:BZ18" si="5">SUM(AE12:AE14)*$C$18</f>
        <v>0</v>
      </c>
      <c r="AF18" s="15">
        <f t="shared" si="5"/>
        <v>0</v>
      </c>
      <c r="AG18" s="15">
        <f t="shared" si="5"/>
        <v>0</v>
      </c>
      <c r="AH18" s="15">
        <f t="shared" si="5"/>
        <v>0</v>
      </c>
      <c r="AI18" s="15">
        <f t="shared" si="5"/>
        <v>0</v>
      </c>
      <c r="AJ18" s="15">
        <f t="shared" si="5"/>
        <v>0</v>
      </c>
      <c r="AK18" s="15">
        <f t="shared" si="5"/>
        <v>0</v>
      </c>
      <c r="AL18" s="15">
        <f t="shared" si="5"/>
        <v>0</v>
      </c>
      <c r="AM18" s="15">
        <f t="shared" si="5"/>
        <v>0</v>
      </c>
      <c r="AN18" s="15">
        <f t="shared" si="5"/>
        <v>0</v>
      </c>
      <c r="AO18" s="15">
        <f t="shared" si="5"/>
        <v>0</v>
      </c>
      <c r="AP18" s="15">
        <f t="shared" si="5"/>
        <v>0</v>
      </c>
      <c r="AQ18" s="15">
        <f t="shared" si="5"/>
        <v>0</v>
      </c>
      <c r="AR18" s="15">
        <f t="shared" si="5"/>
        <v>0</v>
      </c>
      <c r="AS18" s="15">
        <f>SUM(AS12:AS14)*$C$18</f>
        <v>-121633.93529869638</v>
      </c>
      <c r="AT18" s="15">
        <f t="shared" si="5"/>
        <v>-121633.93529869638</v>
      </c>
      <c r="AU18" s="15">
        <f t="shared" si="5"/>
        <v>-121633.93529869638</v>
      </c>
      <c r="AV18" s="15">
        <f t="shared" si="5"/>
        <v>-121633.93529869638</v>
      </c>
      <c r="AW18" s="15">
        <f t="shared" si="5"/>
        <v>-121633.93529869638</v>
      </c>
      <c r="AX18" s="15">
        <f t="shared" si="5"/>
        <v>-121633.93529869638</v>
      </c>
      <c r="AY18" s="15">
        <f t="shared" si="5"/>
        <v>-121633.93529869638</v>
      </c>
      <c r="AZ18" s="15">
        <f t="shared" si="5"/>
        <v>-121633.93529869638</v>
      </c>
      <c r="BA18" s="15">
        <f t="shared" si="5"/>
        <v>-121633.93529869638</v>
      </c>
      <c r="BB18" s="15">
        <f t="shared" si="5"/>
        <v>-330692.26159333077</v>
      </c>
      <c r="BC18" s="15">
        <f t="shared" si="5"/>
        <v>-330692.26159333077</v>
      </c>
      <c r="BD18" s="15">
        <f t="shared" si="5"/>
        <v>-330692.26159333077</v>
      </c>
      <c r="BE18" s="15">
        <f t="shared" si="5"/>
        <v>-330692.26159333077</v>
      </c>
      <c r="BF18" s="15">
        <f t="shared" si="5"/>
        <v>-330692.26159333077</v>
      </c>
      <c r="BG18" s="15">
        <f t="shared" si="5"/>
        <v>-330692.26159333077</v>
      </c>
      <c r="BH18" s="15">
        <f t="shared" si="5"/>
        <v>-330692.26159333077</v>
      </c>
      <c r="BI18" s="15">
        <f t="shared" si="5"/>
        <v>-330692.26159333077</v>
      </c>
      <c r="BJ18" s="15">
        <f t="shared" si="5"/>
        <v>-330692.26159333077</v>
      </c>
      <c r="BK18" s="15">
        <f t="shared" si="5"/>
        <v>-330692.26159333077</v>
      </c>
      <c r="BL18" s="15">
        <f t="shared" si="5"/>
        <v>-330692.26159333077</v>
      </c>
      <c r="BM18" s="15">
        <f t="shared" si="5"/>
        <v>-330692.26159333077</v>
      </c>
      <c r="BN18" s="15">
        <f t="shared" si="5"/>
        <v>-330692.26159333077</v>
      </c>
      <c r="BO18" s="15">
        <f t="shared" si="5"/>
        <v>-330692.26159333077</v>
      </c>
      <c r="BP18" s="15">
        <f t="shared" si="5"/>
        <v>-330692.26159333077</v>
      </c>
      <c r="BQ18" s="15">
        <f t="shared" si="5"/>
        <v>-330692.26159333077</v>
      </c>
      <c r="BR18" s="15">
        <f t="shared" si="5"/>
        <v>-330692.26159333077</v>
      </c>
      <c r="BS18" s="15">
        <f t="shared" si="5"/>
        <v>-330692.26159333077</v>
      </c>
      <c r="BT18" s="15">
        <f t="shared" si="5"/>
        <v>-330692.26159333077</v>
      </c>
      <c r="BU18" s="15">
        <f t="shared" si="5"/>
        <v>-330692.26159333077</v>
      </c>
      <c r="BV18" s="15">
        <f t="shared" si="5"/>
        <v>-330692.26159333077</v>
      </c>
      <c r="BW18" s="15">
        <f t="shared" si="5"/>
        <v>-330692.26159333077</v>
      </c>
      <c r="BX18" s="15">
        <f t="shared" si="5"/>
        <v>-330692.26159333077</v>
      </c>
      <c r="BY18" s="15">
        <f t="shared" si="5"/>
        <v>-330692.26159333077</v>
      </c>
      <c r="BZ18" s="15">
        <f t="shared" si="5"/>
        <v>-31107878.952641599</v>
      </c>
      <c r="CA18" s="15">
        <f t="shared" si="2"/>
        <v>-40139198.6485698</v>
      </c>
    </row>
    <row r="19" spans="1:79" x14ac:dyDescent="0.25">
      <c r="A19" s="16" t="s">
        <v>42</v>
      </c>
      <c r="B19" s="17"/>
      <c r="C19" s="18">
        <v>-0.1</v>
      </c>
      <c r="D19" s="16" t="s">
        <v>17</v>
      </c>
      <c r="E19" s="17">
        <f>B10*C19</f>
        <v>-33449332.207141504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7">
        <f>C19*E12</f>
        <v>-13379732.882856602</v>
      </c>
      <c r="AT19" s="16"/>
      <c r="AU19" s="16"/>
      <c r="AV19" s="16"/>
      <c r="AW19" s="16"/>
      <c r="AX19" s="16"/>
      <c r="AY19" s="16"/>
      <c r="AZ19" s="16"/>
      <c r="BA19" s="16"/>
      <c r="BB19" s="17">
        <f>C19*E13</f>
        <v>-16724666.103570752</v>
      </c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7">
        <f>C19*E14</f>
        <v>-3344933.2207141505</v>
      </c>
      <c r="CA19" s="17">
        <f t="shared" si="2"/>
        <v>-33449332.207141504</v>
      </c>
    </row>
    <row r="20" spans="1:79" x14ac:dyDescent="0.25">
      <c r="A20" s="19" t="s">
        <v>44</v>
      </c>
      <c r="B20" s="15"/>
      <c r="E20" s="15">
        <f>SUM(E12:E19)</f>
        <v>82133572.850446835</v>
      </c>
      <c r="F20" s="15">
        <f t="shared" ref="F20:CA20" si="6">SUM(F12:F19)</f>
        <v>-59787424.189256944</v>
      </c>
      <c r="G20" s="15">
        <f t="shared" si="6"/>
        <v>0</v>
      </c>
      <c r="H20" s="15">
        <f t="shared" si="6"/>
        <v>0</v>
      </c>
      <c r="I20" s="15">
        <f t="shared" si="6"/>
        <v>0</v>
      </c>
      <c r="J20" s="15">
        <f t="shared" si="6"/>
        <v>0</v>
      </c>
      <c r="K20" s="15">
        <f t="shared" si="6"/>
        <v>0</v>
      </c>
      <c r="L20" s="15">
        <f t="shared" si="6"/>
        <v>0</v>
      </c>
      <c r="M20" s="15">
        <f t="shared" si="6"/>
        <v>0</v>
      </c>
      <c r="N20" s="15">
        <f t="shared" si="6"/>
        <v>0</v>
      </c>
      <c r="O20" s="15">
        <f t="shared" si="6"/>
        <v>0</v>
      </c>
      <c r="P20" s="15">
        <f t="shared" si="6"/>
        <v>0</v>
      </c>
      <c r="Q20" s="15">
        <f t="shared" si="6"/>
        <v>0</v>
      </c>
      <c r="R20" s="15">
        <f t="shared" si="6"/>
        <v>0</v>
      </c>
      <c r="S20" s="15">
        <f t="shared" si="6"/>
        <v>0</v>
      </c>
      <c r="T20" s="15">
        <f t="shared" si="6"/>
        <v>0</v>
      </c>
      <c r="U20" s="15">
        <f t="shared" si="6"/>
        <v>0</v>
      </c>
      <c r="V20" s="15">
        <f t="shared" si="6"/>
        <v>0</v>
      </c>
      <c r="W20" s="15">
        <f t="shared" si="6"/>
        <v>0</v>
      </c>
      <c r="X20" s="15">
        <f t="shared" si="6"/>
        <v>0</v>
      </c>
      <c r="Y20" s="15">
        <f t="shared" si="6"/>
        <v>0</v>
      </c>
      <c r="Z20" s="15">
        <f t="shared" si="6"/>
        <v>0</v>
      </c>
      <c r="AA20" s="15">
        <f t="shared" si="6"/>
        <v>0</v>
      </c>
      <c r="AB20" s="15">
        <f t="shared" si="6"/>
        <v>0</v>
      </c>
      <c r="AC20" s="15">
        <f t="shared" si="6"/>
        <v>0</v>
      </c>
      <c r="AD20" s="15">
        <f t="shared" si="6"/>
        <v>0</v>
      </c>
      <c r="AE20" s="15">
        <f>SUM(AE12:AE19)</f>
        <v>0</v>
      </c>
      <c r="AF20" s="15">
        <f t="shared" si="6"/>
        <v>0</v>
      </c>
      <c r="AG20" s="15">
        <f t="shared" si="6"/>
        <v>0</v>
      </c>
      <c r="AH20" s="15">
        <f t="shared" si="6"/>
        <v>0</v>
      </c>
      <c r="AI20" s="15">
        <f t="shared" si="6"/>
        <v>0</v>
      </c>
      <c r="AJ20" s="15">
        <f t="shared" si="6"/>
        <v>-4576299.7759999996</v>
      </c>
      <c r="AK20" s="15">
        <f t="shared" si="6"/>
        <v>0</v>
      </c>
      <c r="AL20" s="15">
        <f t="shared" si="6"/>
        <v>0</v>
      </c>
      <c r="AM20" s="15">
        <f t="shared" si="6"/>
        <v>0</v>
      </c>
      <c r="AN20" s="15">
        <f t="shared" si="6"/>
        <v>0</v>
      </c>
      <c r="AO20" s="15">
        <f t="shared" si="6"/>
        <v>0</v>
      </c>
      <c r="AP20" s="15">
        <f t="shared" si="6"/>
        <v>0</v>
      </c>
      <c r="AQ20" s="15">
        <f t="shared" si="6"/>
        <v>0</v>
      </c>
      <c r="AR20" s="15">
        <f t="shared" si="6"/>
        <v>0</v>
      </c>
      <c r="AS20" s="15">
        <f t="shared" si="6"/>
        <v>-12487750.690666161</v>
      </c>
      <c r="AT20" s="15">
        <f t="shared" si="6"/>
        <v>891982.19219044014</v>
      </c>
      <c r="AU20" s="15">
        <f t="shared" si="6"/>
        <v>891982.19219044014</v>
      </c>
      <c r="AV20" s="15">
        <f t="shared" si="6"/>
        <v>891982.19219044014</v>
      </c>
      <c r="AW20" s="15">
        <f t="shared" si="6"/>
        <v>891982.19219044014</v>
      </c>
      <c r="AX20" s="15">
        <f t="shared" si="6"/>
        <v>891982.19219044014</v>
      </c>
      <c r="AY20" s="15">
        <f t="shared" si="6"/>
        <v>891982.19219044014</v>
      </c>
      <c r="AZ20" s="15">
        <f t="shared" si="6"/>
        <v>891982.19219044014</v>
      </c>
      <c r="BA20" s="15">
        <f t="shared" si="6"/>
        <v>891982.19219044014</v>
      </c>
      <c r="BB20" s="15">
        <f t="shared" si="6"/>
        <v>-19066568.451886326</v>
      </c>
      <c r="BC20" s="15">
        <f t="shared" si="6"/>
        <v>-2341902.3483155733</v>
      </c>
      <c r="BD20" s="15">
        <f t="shared" si="6"/>
        <v>-2341902.3483155733</v>
      </c>
      <c r="BE20" s="15">
        <f t="shared" si="6"/>
        <v>-2341902.3483155733</v>
      </c>
      <c r="BF20" s="15">
        <f t="shared" si="6"/>
        <v>-2341902.3483155733</v>
      </c>
      <c r="BG20" s="15">
        <f t="shared" si="6"/>
        <v>-2341902.3483155733</v>
      </c>
      <c r="BH20" s="15">
        <f t="shared" si="6"/>
        <v>-2341902.3483155733</v>
      </c>
      <c r="BI20" s="15">
        <f t="shared" si="6"/>
        <v>-2341902.3483155733</v>
      </c>
      <c r="BJ20" s="15">
        <f t="shared" si="6"/>
        <v>-2341902.3483155733</v>
      </c>
      <c r="BK20" s="15">
        <f t="shared" si="6"/>
        <v>-2341902.3483155733</v>
      </c>
      <c r="BL20" s="15">
        <f t="shared" si="6"/>
        <v>-2341902.3483155733</v>
      </c>
      <c r="BM20" s="15">
        <f t="shared" si="6"/>
        <v>-2341902.3483155733</v>
      </c>
      <c r="BN20" s="15">
        <f t="shared" si="6"/>
        <v>-2341902.3483155733</v>
      </c>
      <c r="BO20" s="15">
        <f t="shared" si="6"/>
        <v>-2341902.3483155733</v>
      </c>
      <c r="BP20" s="15">
        <f t="shared" si="6"/>
        <v>-2341902.3483155733</v>
      </c>
      <c r="BQ20" s="15">
        <f t="shared" si="6"/>
        <v>-2341902.3483155733</v>
      </c>
      <c r="BR20" s="15">
        <f t="shared" si="6"/>
        <v>-2341902.3483155733</v>
      </c>
      <c r="BS20" s="15">
        <f t="shared" si="6"/>
        <v>-2341902.3483155733</v>
      </c>
      <c r="BT20" s="15">
        <f t="shared" si="6"/>
        <v>-2341902.3483155733</v>
      </c>
      <c r="BU20" s="15">
        <f t="shared" si="6"/>
        <v>-2341902.3483155733</v>
      </c>
      <c r="BV20" s="15">
        <f t="shared" si="6"/>
        <v>-2341902.3483155733</v>
      </c>
      <c r="BW20" s="15">
        <f t="shared" si="6"/>
        <v>-2341902.3483155733</v>
      </c>
      <c r="BX20" s="15">
        <f t="shared" si="6"/>
        <v>-2341902.3483155733</v>
      </c>
      <c r="BY20" s="15">
        <f t="shared" si="6"/>
        <v>-2341902.3483155733</v>
      </c>
      <c r="BZ20" s="15">
        <f t="shared" si="6"/>
        <v>224779512.43199092</v>
      </c>
      <c r="CA20" s="15">
        <f t="shared" si="6"/>
        <v>82133572.850446746</v>
      </c>
    </row>
    <row r="21" spans="1:79" x14ac:dyDescent="0.25">
      <c r="A21" s="19" t="s">
        <v>56</v>
      </c>
      <c r="B21" s="15"/>
      <c r="E21" s="15"/>
      <c r="F21" s="15">
        <f>F20</f>
        <v>-59787424.189256944</v>
      </c>
      <c r="G21" s="15">
        <f>F21+G20</f>
        <v>-59787424.189256944</v>
      </c>
      <c r="H21" s="15">
        <f t="shared" ref="H21:AD21" si="7">G21+H20</f>
        <v>-59787424.189256944</v>
      </c>
      <c r="I21" s="15">
        <f t="shared" si="7"/>
        <v>-59787424.189256944</v>
      </c>
      <c r="J21" s="15">
        <f t="shared" si="7"/>
        <v>-59787424.189256944</v>
      </c>
      <c r="K21" s="15">
        <f t="shared" si="7"/>
        <v>-59787424.189256944</v>
      </c>
      <c r="L21" s="15">
        <f t="shared" si="7"/>
        <v>-59787424.189256944</v>
      </c>
      <c r="M21" s="15">
        <f t="shared" si="7"/>
        <v>-59787424.189256944</v>
      </c>
      <c r="N21" s="15">
        <f t="shared" si="7"/>
        <v>-59787424.189256944</v>
      </c>
      <c r="O21" s="15">
        <f t="shared" si="7"/>
        <v>-59787424.189256944</v>
      </c>
      <c r="P21" s="15">
        <f t="shared" si="7"/>
        <v>-59787424.189256944</v>
      </c>
      <c r="Q21" s="15">
        <f t="shared" si="7"/>
        <v>-59787424.189256944</v>
      </c>
      <c r="R21" s="15">
        <f t="shared" si="7"/>
        <v>-59787424.189256944</v>
      </c>
      <c r="S21" s="15">
        <f t="shared" si="7"/>
        <v>-59787424.189256944</v>
      </c>
      <c r="T21" s="15">
        <f t="shared" si="7"/>
        <v>-59787424.189256944</v>
      </c>
      <c r="U21" s="15">
        <f t="shared" si="7"/>
        <v>-59787424.189256944</v>
      </c>
      <c r="V21" s="15">
        <f t="shared" si="7"/>
        <v>-59787424.189256944</v>
      </c>
      <c r="W21" s="15">
        <f t="shared" si="7"/>
        <v>-59787424.189256944</v>
      </c>
      <c r="X21" s="15">
        <f t="shared" si="7"/>
        <v>-59787424.189256944</v>
      </c>
      <c r="Y21" s="15">
        <f t="shared" si="7"/>
        <v>-59787424.189256944</v>
      </c>
      <c r="Z21" s="15">
        <f t="shared" si="7"/>
        <v>-59787424.189256944</v>
      </c>
      <c r="AA21" s="15">
        <f t="shared" si="7"/>
        <v>-59787424.189256944</v>
      </c>
      <c r="AB21" s="15">
        <f t="shared" si="7"/>
        <v>-59787424.189256944</v>
      </c>
      <c r="AC21" s="15">
        <f t="shared" si="7"/>
        <v>-59787424.189256944</v>
      </c>
      <c r="AD21" s="15">
        <f t="shared" si="7"/>
        <v>-59787424.189256944</v>
      </c>
      <c r="AE21" s="15">
        <f>F21+AE20</f>
        <v>-59787424.189256944</v>
      </c>
      <c r="AF21" s="15">
        <f t="shared" ref="AF21:BZ21" si="8">AE21+AF20</f>
        <v>-59787424.189256944</v>
      </c>
      <c r="AG21" s="15">
        <f t="shared" si="8"/>
        <v>-59787424.189256944</v>
      </c>
      <c r="AH21" s="15">
        <f t="shared" si="8"/>
        <v>-59787424.189256944</v>
      </c>
      <c r="AI21" s="15">
        <f t="shared" si="8"/>
        <v>-59787424.189256944</v>
      </c>
      <c r="AJ21" s="15">
        <f t="shared" si="8"/>
        <v>-64363723.965256944</v>
      </c>
      <c r="AK21" s="15">
        <f t="shared" si="8"/>
        <v>-64363723.965256944</v>
      </c>
      <c r="AL21" s="15">
        <f t="shared" si="8"/>
        <v>-64363723.965256944</v>
      </c>
      <c r="AM21" s="15">
        <f t="shared" si="8"/>
        <v>-64363723.965256944</v>
      </c>
      <c r="AN21" s="15">
        <f t="shared" si="8"/>
        <v>-64363723.965256944</v>
      </c>
      <c r="AO21" s="15">
        <f t="shared" si="8"/>
        <v>-64363723.965256944</v>
      </c>
      <c r="AP21" s="15">
        <f t="shared" si="8"/>
        <v>-64363723.965256944</v>
      </c>
      <c r="AQ21" s="15">
        <f t="shared" si="8"/>
        <v>-64363723.965256944</v>
      </c>
      <c r="AR21" s="15">
        <f t="shared" si="8"/>
        <v>-64363723.965256944</v>
      </c>
      <c r="AS21" s="15">
        <f t="shared" si="8"/>
        <v>-76851474.655923098</v>
      </c>
      <c r="AT21" s="15">
        <f t="shared" si="8"/>
        <v>-75959492.46373266</v>
      </c>
      <c r="AU21" s="15">
        <f t="shared" si="8"/>
        <v>-75067510.271542221</v>
      </c>
      <c r="AV21" s="15">
        <f t="shared" si="8"/>
        <v>-74175528.079351783</v>
      </c>
      <c r="AW21" s="15">
        <f t="shared" si="8"/>
        <v>-73283545.887161344</v>
      </c>
      <c r="AX21" s="15">
        <f t="shared" si="8"/>
        <v>-72391563.694970906</v>
      </c>
      <c r="AY21" s="15">
        <f t="shared" si="8"/>
        <v>-71499581.502780467</v>
      </c>
      <c r="AZ21" s="15">
        <f t="shared" si="8"/>
        <v>-70607599.310590029</v>
      </c>
      <c r="BA21" s="15">
        <f t="shared" si="8"/>
        <v>-69715617.11839959</v>
      </c>
      <c r="BB21" s="15">
        <f t="shared" si="8"/>
        <v>-88782185.570285916</v>
      </c>
      <c r="BC21" s="15">
        <f t="shared" si="8"/>
        <v>-91124087.918601483</v>
      </c>
      <c r="BD21" s="15">
        <f t="shared" si="8"/>
        <v>-93465990.26691705</v>
      </c>
      <c r="BE21" s="15">
        <f t="shared" si="8"/>
        <v>-95807892.615232617</v>
      </c>
      <c r="BF21" s="15">
        <f t="shared" si="8"/>
        <v>-98149794.963548183</v>
      </c>
      <c r="BG21" s="15">
        <f t="shared" si="8"/>
        <v>-100491697.31186375</v>
      </c>
      <c r="BH21" s="15">
        <f t="shared" si="8"/>
        <v>-102833599.66017932</v>
      </c>
      <c r="BI21" s="15">
        <f t="shared" si="8"/>
        <v>-105175502.00849488</v>
      </c>
      <c r="BJ21" s="15">
        <f t="shared" si="8"/>
        <v>-107517404.35681045</v>
      </c>
      <c r="BK21" s="15">
        <f t="shared" si="8"/>
        <v>-109859306.70512602</v>
      </c>
      <c r="BL21" s="15">
        <f t="shared" si="8"/>
        <v>-112201209.05344158</v>
      </c>
      <c r="BM21" s="15">
        <f t="shared" si="8"/>
        <v>-114543111.40175715</v>
      </c>
      <c r="BN21" s="15">
        <f t="shared" si="8"/>
        <v>-116885013.75007272</v>
      </c>
      <c r="BO21" s="15">
        <f t="shared" si="8"/>
        <v>-119226916.09838828</v>
      </c>
      <c r="BP21" s="15">
        <f t="shared" si="8"/>
        <v>-121568818.44670385</v>
      </c>
      <c r="BQ21" s="15">
        <f t="shared" si="8"/>
        <v>-123910720.79501942</v>
      </c>
      <c r="BR21" s="15">
        <f t="shared" si="8"/>
        <v>-126252623.14333498</v>
      </c>
      <c r="BS21" s="15">
        <f t="shared" si="8"/>
        <v>-128594525.49165055</v>
      </c>
      <c r="BT21" s="15">
        <f t="shared" si="8"/>
        <v>-130936427.83996612</v>
      </c>
      <c r="BU21" s="15">
        <f t="shared" si="8"/>
        <v>-133278330.18828169</v>
      </c>
      <c r="BV21" s="15">
        <f t="shared" si="8"/>
        <v>-135620232.53659725</v>
      </c>
      <c r="BW21" s="15">
        <f t="shared" si="8"/>
        <v>-137962134.88491282</v>
      </c>
      <c r="BX21" s="15">
        <f t="shared" si="8"/>
        <v>-140304037.23322839</v>
      </c>
      <c r="BY21" s="15">
        <f t="shared" si="8"/>
        <v>-142645939.58154395</v>
      </c>
      <c r="BZ21" s="15">
        <f t="shared" si="8"/>
        <v>82133572.850446969</v>
      </c>
      <c r="CA21" s="15"/>
    </row>
    <row r="22" spans="1:79" x14ac:dyDescent="0.25">
      <c r="A22" s="19" t="s">
        <v>48</v>
      </c>
      <c r="B22" s="15"/>
      <c r="E22" s="23">
        <f>E20/B10</f>
        <v>0.24554622598089162</v>
      </c>
    </row>
    <row r="23" spans="1:79" x14ac:dyDescent="0.25">
      <c r="A23" t="s">
        <v>45</v>
      </c>
      <c r="B23" s="15"/>
      <c r="E23" s="35">
        <f>NPV(E1,G20:BZ20)+F20</f>
        <v>0</v>
      </c>
    </row>
    <row r="24" spans="1:79" x14ac:dyDescent="0.25">
      <c r="A24" t="s">
        <v>46</v>
      </c>
    </row>
    <row r="25" spans="1:79" x14ac:dyDescent="0.25">
      <c r="A25" t="s">
        <v>49</v>
      </c>
      <c r="E25" s="24">
        <f>IRR(F20:BZ20)</f>
        <v>1.02368443581764E-2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1085B-B151-46FC-8FFF-2182BCDF167B}">
  <dimension ref="A1:B10"/>
  <sheetViews>
    <sheetView workbookViewId="0">
      <selection activeCell="B11" sqref="B11"/>
    </sheetView>
  </sheetViews>
  <sheetFormatPr defaultRowHeight="15" x14ac:dyDescent="0.25"/>
  <cols>
    <col min="1" max="1" width="32.42578125" customWidth="1"/>
  </cols>
  <sheetData>
    <row r="1" spans="1:2" x14ac:dyDescent="0.25">
      <c r="A1" t="s">
        <v>32</v>
      </c>
    </row>
    <row r="2" spans="1:2" x14ac:dyDescent="0.25">
      <c r="A2" t="s">
        <v>33</v>
      </c>
    </row>
    <row r="3" spans="1:2" x14ac:dyDescent="0.25">
      <c r="A3" t="s">
        <v>34</v>
      </c>
    </row>
    <row r="4" spans="1:2" x14ac:dyDescent="0.25">
      <c r="A4" t="s">
        <v>35</v>
      </c>
    </row>
    <row r="5" spans="1:2" x14ac:dyDescent="0.25">
      <c r="A5" t="s">
        <v>36</v>
      </c>
    </row>
    <row r="6" spans="1:2" x14ac:dyDescent="0.25">
      <c r="A6" t="s">
        <v>37</v>
      </c>
    </row>
    <row r="7" spans="1:2" x14ac:dyDescent="0.25">
      <c r="A7">
        <v>1304.83</v>
      </c>
    </row>
    <row r="9" spans="1:2" x14ac:dyDescent="0.25">
      <c r="A9" t="s">
        <v>38</v>
      </c>
      <c r="B9" s="1">
        <v>0.37</v>
      </c>
    </row>
    <row r="10" spans="1:2" x14ac:dyDescent="0.25">
      <c r="A10" t="s">
        <v>39</v>
      </c>
      <c r="B10">
        <f>A7*(1+B9)</f>
        <v>1787.6170999999999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9E0A4-C480-4551-ACF9-CFCFA98026C9}">
  <dimension ref="A1:D4"/>
  <sheetViews>
    <sheetView workbookViewId="0">
      <selection activeCell="E15" sqref="E15"/>
    </sheetView>
  </sheetViews>
  <sheetFormatPr defaultRowHeight="15" x14ac:dyDescent="0.25"/>
  <cols>
    <col min="1" max="1" width="24.7109375" customWidth="1"/>
  </cols>
  <sheetData>
    <row r="1" spans="1:4" ht="15.75" thickBot="1" x14ac:dyDescent="0.3">
      <c r="A1" s="8"/>
      <c r="B1" s="9" t="s">
        <v>18</v>
      </c>
      <c r="C1" s="10" t="s">
        <v>19</v>
      </c>
      <c r="D1" t="s">
        <v>43</v>
      </c>
    </row>
    <row r="2" spans="1:4" ht="26.25" thickBot="1" x14ac:dyDescent="0.3">
      <c r="A2" s="11" t="s">
        <v>20</v>
      </c>
      <c r="B2" s="12">
        <v>0.4</v>
      </c>
      <c r="C2" s="13">
        <v>0.25</v>
      </c>
      <c r="D2" s="1">
        <f>1-C2</f>
        <v>0.75</v>
      </c>
    </row>
    <row r="3" spans="1:4" ht="39" thickBot="1" x14ac:dyDescent="0.3">
      <c r="A3" s="11" t="s">
        <v>21</v>
      </c>
      <c r="B3" s="12">
        <v>0.5</v>
      </c>
      <c r="C3" s="13">
        <v>0.25</v>
      </c>
      <c r="D3" s="1">
        <f t="shared" ref="D3" si="0">1-C3</f>
        <v>0.75</v>
      </c>
    </row>
    <row r="4" spans="1:4" ht="26.25" thickBot="1" x14ac:dyDescent="0.3">
      <c r="A4" s="11" t="s">
        <v>22</v>
      </c>
      <c r="B4" s="12">
        <v>0.1</v>
      </c>
      <c r="C4" s="14" t="s">
        <v>23</v>
      </c>
      <c r="D4" s="1">
        <v>1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2B450-0124-46B7-8747-05BABF29BC96}">
  <dimension ref="A1:BC25"/>
  <sheetViews>
    <sheetView topLeftCell="A7" workbookViewId="0">
      <selection activeCell="A7" sqref="A1:XFD1048576"/>
    </sheetView>
  </sheetViews>
  <sheetFormatPr defaultRowHeight="15" x14ac:dyDescent="0.25"/>
  <cols>
    <col min="1" max="1" width="15" customWidth="1"/>
    <col min="2" max="2" width="12.28515625" bestFit="1" customWidth="1"/>
    <col min="5" max="5" width="16.140625" bestFit="1" customWidth="1"/>
    <col min="6" max="7" width="11.28515625" bestFit="1" customWidth="1"/>
    <col min="12" max="12" width="11.28515625" bestFit="1" customWidth="1"/>
    <col min="21" max="21" width="11.5703125" bestFit="1" customWidth="1"/>
    <col min="30" max="30" width="12.28515625" bestFit="1" customWidth="1"/>
    <col min="31" max="31" width="10.28515625" bestFit="1" customWidth="1"/>
    <col min="53" max="53" width="10.28515625" bestFit="1" customWidth="1"/>
    <col min="54" max="54" width="12.5703125" bestFit="1" customWidth="1"/>
    <col min="55" max="55" width="12.28515625" bestFit="1" customWidth="1"/>
    <col min="56" max="56" width="11.5703125" bestFit="1" customWidth="1"/>
  </cols>
  <sheetData>
    <row r="1" spans="1:55" x14ac:dyDescent="0.25">
      <c r="A1" t="s">
        <v>0</v>
      </c>
      <c r="C1" s="4">
        <v>0.13</v>
      </c>
      <c r="D1" t="s">
        <v>1</v>
      </c>
      <c r="E1" s="2">
        <f>((1+C1)^(1/12))-1</f>
        <v>1.02368443581764E-2</v>
      </c>
      <c r="F1" t="s">
        <v>2</v>
      </c>
    </row>
    <row r="2" spans="1:55" x14ac:dyDescent="0.25">
      <c r="A2" t="s">
        <v>3</v>
      </c>
      <c r="B2" s="3">
        <v>10000</v>
      </c>
      <c r="C2" t="s">
        <v>4</v>
      </c>
    </row>
    <row r="3" spans="1:55" x14ac:dyDescent="0.25">
      <c r="A3" t="s">
        <v>5</v>
      </c>
      <c r="B3" s="3">
        <v>4</v>
      </c>
    </row>
    <row r="4" spans="1:55" x14ac:dyDescent="0.25">
      <c r="A4" t="s">
        <v>6</v>
      </c>
      <c r="B4">
        <f>B2*B3</f>
        <v>40000</v>
      </c>
    </row>
    <row r="5" spans="1:55" ht="18.75" x14ac:dyDescent="0.3">
      <c r="A5" t="s">
        <v>7</v>
      </c>
      <c r="B5" s="3">
        <v>1.6</v>
      </c>
      <c r="E5" s="21" t="s">
        <v>47</v>
      </c>
      <c r="F5" s="21">
        <v>-5978.7424189256944</v>
      </c>
      <c r="G5" s="21" t="s">
        <v>13</v>
      </c>
    </row>
    <row r="6" spans="1:55" x14ac:dyDescent="0.25">
      <c r="A6" t="s">
        <v>8</v>
      </c>
      <c r="B6">
        <f>B4*B5</f>
        <v>64000</v>
      </c>
      <c r="C6" t="s">
        <v>4</v>
      </c>
    </row>
    <row r="7" spans="1:55" x14ac:dyDescent="0.25">
      <c r="A7" t="s">
        <v>9</v>
      </c>
      <c r="B7" s="3">
        <v>-5978.7424189256944</v>
      </c>
      <c r="C7" s="5" t="s">
        <v>10</v>
      </c>
    </row>
    <row r="8" spans="1:55" x14ac:dyDescent="0.25">
      <c r="A8" t="s">
        <v>11</v>
      </c>
      <c r="B8" s="6">
        <f>-'$Constr'!B10</f>
        <v>-1787.6170999999999</v>
      </c>
      <c r="C8" t="s">
        <v>13</v>
      </c>
    </row>
    <row r="9" spans="1:55" x14ac:dyDescent="0.25">
      <c r="A9" t="s">
        <v>12</v>
      </c>
      <c r="B9" s="3">
        <v>7500</v>
      </c>
      <c r="C9" t="s">
        <v>13</v>
      </c>
    </row>
    <row r="10" spans="1:55" x14ac:dyDescent="0.25">
      <c r="A10" t="s">
        <v>17</v>
      </c>
      <c r="B10">
        <f>B4*B9</f>
        <v>300000000</v>
      </c>
    </row>
    <row r="11" spans="1:55" x14ac:dyDescent="0.25">
      <c r="A11" s="7" t="s">
        <v>14</v>
      </c>
      <c r="B11" s="7" t="s">
        <v>15</v>
      </c>
      <c r="C11" s="7" t="s">
        <v>27</v>
      </c>
      <c r="D11" s="7" t="s">
        <v>28</v>
      </c>
      <c r="E11" s="7" t="s">
        <v>16</v>
      </c>
      <c r="F11" s="7">
        <v>0</v>
      </c>
      <c r="G11" s="7">
        <v>1</v>
      </c>
      <c r="H11" s="7">
        <v>2</v>
      </c>
      <c r="I11" s="7">
        <v>3</v>
      </c>
      <c r="J11" s="7">
        <v>4</v>
      </c>
      <c r="K11" s="7">
        <v>5</v>
      </c>
      <c r="L11" s="7">
        <v>6</v>
      </c>
      <c r="M11" s="7">
        <v>7</v>
      </c>
      <c r="N11" s="7">
        <v>8</v>
      </c>
      <c r="O11" s="7">
        <v>9</v>
      </c>
      <c r="P11" s="7">
        <v>10</v>
      </c>
      <c r="Q11" s="7">
        <v>11</v>
      </c>
      <c r="R11" s="7">
        <v>12</v>
      </c>
      <c r="S11" s="7">
        <v>13</v>
      </c>
      <c r="T11" s="7">
        <v>14</v>
      </c>
      <c r="U11" s="7">
        <v>15</v>
      </c>
      <c r="V11" s="7">
        <v>16</v>
      </c>
      <c r="W11" s="7">
        <v>17</v>
      </c>
      <c r="X11" s="7">
        <v>18</v>
      </c>
      <c r="Y11" s="7">
        <v>19</v>
      </c>
      <c r="Z11" s="7">
        <v>20</v>
      </c>
      <c r="AA11" s="7">
        <v>21</v>
      </c>
      <c r="AB11" s="7">
        <v>22</v>
      </c>
      <c r="AC11" s="7">
        <v>23</v>
      </c>
      <c r="AD11" s="7">
        <v>24</v>
      </c>
      <c r="AE11" s="7">
        <v>25</v>
      </c>
      <c r="AF11" s="7">
        <v>26</v>
      </c>
      <c r="AG11" s="7">
        <v>27</v>
      </c>
      <c r="AH11" s="7">
        <v>28</v>
      </c>
      <c r="AI11" s="7">
        <v>29</v>
      </c>
      <c r="AJ11" s="7">
        <v>30</v>
      </c>
      <c r="AK11" s="7">
        <v>31</v>
      </c>
      <c r="AL11" s="7">
        <v>32</v>
      </c>
      <c r="AM11" s="7">
        <v>33</v>
      </c>
      <c r="AN11" s="7">
        <v>34</v>
      </c>
      <c r="AO11" s="7">
        <v>35</v>
      </c>
      <c r="AP11" s="7">
        <v>36</v>
      </c>
      <c r="AQ11" s="7">
        <v>37</v>
      </c>
      <c r="AR11" s="7">
        <v>38</v>
      </c>
      <c r="AS11" s="7">
        <v>39</v>
      </c>
      <c r="AT11" s="7">
        <v>40</v>
      </c>
      <c r="AU11" s="7">
        <v>41</v>
      </c>
      <c r="AV11" s="7">
        <v>42</v>
      </c>
      <c r="AW11" s="7">
        <v>43</v>
      </c>
      <c r="AX11" s="7">
        <v>44</v>
      </c>
      <c r="AY11" s="7">
        <v>45</v>
      </c>
      <c r="AZ11" s="7">
        <v>46</v>
      </c>
      <c r="BA11" s="7">
        <v>47</v>
      </c>
      <c r="BB11" s="7">
        <v>48</v>
      </c>
      <c r="BC11" t="s">
        <v>16</v>
      </c>
    </row>
    <row r="12" spans="1:55" x14ac:dyDescent="0.25">
      <c r="A12" t="s">
        <v>24</v>
      </c>
      <c r="B12" s="15">
        <f>B10*Pagamentos!B2</f>
        <v>120000000</v>
      </c>
      <c r="C12" s="1">
        <v>0.4</v>
      </c>
      <c r="D12" t="s">
        <v>17</v>
      </c>
      <c r="E12" s="15">
        <f>C12*B10</f>
        <v>120000000</v>
      </c>
      <c r="U12" s="15">
        <f>E12*Pagamentos!C2/33</f>
        <v>909090.90909090906</v>
      </c>
      <c r="V12" s="15">
        <f>U12</f>
        <v>909090.90909090906</v>
      </c>
      <c r="W12" s="15">
        <f t="shared" ref="W12:BA13" si="0">V12</f>
        <v>909090.90909090906</v>
      </c>
      <c r="X12" s="15">
        <f t="shared" si="0"/>
        <v>909090.90909090906</v>
      </c>
      <c r="Y12" s="15">
        <f t="shared" si="0"/>
        <v>909090.90909090906</v>
      </c>
      <c r="Z12" s="15">
        <f t="shared" si="0"/>
        <v>909090.90909090906</v>
      </c>
      <c r="AA12" s="15">
        <f t="shared" si="0"/>
        <v>909090.90909090906</v>
      </c>
      <c r="AB12" s="15">
        <f t="shared" si="0"/>
        <v>909090.90909090906</v>
      </c>
      <c r="AC12" s="15">
        <f t="shared" si="0"/>
        <v>909090.90909090906</v>
      </c>
      <c r="AD12" s="15">
        <f t="shared" si="0"/>
        <v>909090.90909090906</v>
      </c>
      <c r="AE12" s="15">
        <f t="shared" si="0"/>
        <v>909090.90909090906</v>
      </c>
      <c r="AF12" s="15">
        <f t="shared" si="0"/>
        <v>909090.90909090906</v>
      </c>
      <c r="AG12" s="15">
        <f t="shared" si="0"/>
        <v>909090.90909090906</v>
      </c>
      <c r="AH12" s="15">
        <f t="shared" si="0"/>
        <v>909090.90909090906</v>
      </c>
      <c r="AI12" s="15">
        <f t="shared" si="0"/>
        <v>909090.90909090906</v>
      </c>
      <c r="AJ12" s="15">
        <f t="shared" si="0"/>
        <v>909090.90909090906</v>
      </c>
      <c r="AK12" s="15">
        <f t="shared" si="0"/>
        <v>909090.90909090906</v>
      </c>
      <c r="AL12" s="15">
        <f t="shared" si="0"/>
        <v>909090.90909090906</v>
      </c>
      <c r="AM12" s="15">
        <f t="shared" si="0"/>
        <v>909090.90909090906</v>
      </c>
      <c r="AN12" s="15">
        <f t="shared" si="0"/>
        <v>909090.90909090906</v>
      </c>
      <c r="AO12" s="15">
        <f t="shared" si="0"/>
        <v>909090.90909090906</v>
      </c>
      <c r="AP12" s="15">
        <f t="shared" si="0"/>
        <v>909090.90909090906</v>
      </c>
      <c r="AQ12" s="15">
        <f t="shared" si="0"/>
        <v>909090.90909090906</v>
      </c>
      <c r="AR12" s="15">
        <f t="shared" si="0"/>
        <v>909090.90909090906</v>
      </c>
      <c r="AS12" s="15">
        <f t="shared" si="0"/>
        <v>909090.90909090906</v>
      </c>
      <c r="AT12" s="15">
        <f t="shared" si="0"/>
        <v>909090.90909090906</v>
      </c>
      <c r="AU12" s="15">
        <f t="shared" si="0"/>
        <v>909090.90909090906</v>
      </c>
      <c r="AV12" s="15">
        <f t="shared" si="0"/>
        <v>909090.90909090906</v>
      </c>
      <c r="AW12" s="15">
        <f t="shared" si="0"/>
        <v>909090.90909090906</v>
      </c>
      <c r="AX12" s="15">
        <f t="shared" si="0"/>
        <v>909090.90909090906</v>
      </c>
      <c r="AY12" s="15">
        <f t="shared" si="0"/>
        <v>909090.90909090906</v>
      </c>
      <c r="AZ12" s="15">
        <f t="shared" si="0"/>
        <v>909090.90909090906</v>
      </c>
      <c r="BA12" s="15">
        <f t="shared" si="0"/>
        <v>909090.90909090906</v>
      </c>
      <c r="BB12" s="15">
        <f>E12*Pagamentos!D2</f>
        <v>90000000</v>
      </c>
      <c r="BC12" s="15">
        <f t="shared" ref="BC12:BC19" si="1">SUM(F12:BB12)</f>
        <v>120000000</v>
      </c>
    </row>
    <row r="13" spans="1:55" x14ac:dyDescent="0.25">
      <c r="A13" t="s">
        <v>25</v>
      </c>
      <c r="B13" s="15">
        <f>B10*Pagamentos!B3</f>
        <v>150000000</v>
      </c>
      <c r="C13" s="1">
        <v>0.5</v>
      </c>
      <c r="D13" t="s">
        <v>17</v>
      </c>
      <c r="E13" s="15">
        <f>C13*B10</f>
        <v>150000000</v>
      </c>
      <c r="AD13" s="15">
        <f>E13*Pagamentos!C3/24</f>
        <v>1562500</v>
      </c>
      <c r="AE13" s="15">
        <f>AD13</f>
        <v>1562500</v>
      </c>
      <c r="AF13" s="15">
        <f t="shared" si="0"/>
        <v>1562500</v>
      </c>
      <c r="AG13" s="15">
        <f t="shared" si="0"/>
        <v>1562500</v>
      </c>
      <c r="AH13" s="15">
        <f t="shared" si="0"/>
        <v>1562500</v>
      </c>
      <c r="AI13" s="15">
        <f t="shared" si="0"/>
        <v>1562500</v>
      </c>
      <c r="AJ13" s="15">
        <f t="shared" si="0"/>
        <v>1562500</v>
      </c>
      <c r="AK13" s="15">
        <f t="shared" si="0"/>
        <v>1562500</v>
      </c>
      <c r="AL13" s="15">
        <f t="shared" si="0"/>
        <v>1562500</v>
      </c>
      <c r="AM13" s="15">
        <f t="shared" si="0"/>
        <v>1562500</v>
      </c>
      <c r="AN13" s="15">
        <f t="shared" si="0"/>
        <v>1562500</v>
      </c>
      <c r="AO13" s="15">
        <f t="shared" si="0"/>
        <v>1562500</v>
      </c>
      <c r="AP13" s="15">
        <f t="shared" si="0"/>
        <v>1562500</v>
      </c>
      <c r="AQ13" s="15">
        <f t="shared" si="0"/>
        <v>1562500</v>
      </c>
      <c r="AR13" s="15">
        <f t="shared" si="0"/>
        <v>1562500</v>
      </c>
      <c r="AS13" s="15">
        <f t="shared" si="0"/>
        <v>1562500</v>
      </c>
      <c r="AT13" s="15">
        <f t="shared" si="0"/>
        <v>1562500</v>
      </c>
      <c r="AU13" s="15">
        <f t="shared" si="0"/>
        <v>1562500</v>
      </c>
      <c r="AV13" s="15">
        <f t="shared" si="0"/>
        <v>1562500</v>
      </c>
      <c r="AW13" s="15">
        <f t="shared" si="0"/>
        <v>1562500</v>
      </c>
      <c r="AX13" s="15">
        <f t="shared" si="0"/>
        <v>1562500</v>
      </c>
      <c r="AY13" s="15">
        <f t="shared" si="0"/>
        <v>1562500</v>
      </c>
      <c r="AZ13" s="15">
        <f t="shared" si="0"/>
        <v>1562500</v>
      </c>
      <c r="BA13" s="15">
        <f t="shared" si="0"/>
        <v>1562500</v>
      </c>
      <c r="BB13" s="15">
        <f>E13*Pagamentos!D3</f>
        <v>112500000</v>
      </c>
      <c r="BC13" s="15">
        <f t="shared" si="1"/>
        <v>150000000</v>
      </c>
    </row>
    <row r="14" spans="1:55" x14ac:dyDescent="0.25">
      <c r="A14" t="s">
        <v>26</v>
      </c>
      <c r="B14" s="15">
        <f>B10*Pagamentos!B4</f>
        <v>30000000</v>
      </c>
      <c r="C14" s="1">
        <v>0.1</v>
      </c>
      <c r="D14" t="s">
        <v>17</v>
      </c>
      <c r="E14" s="15">
        <f t="shared" ref="E14:E17" si="2">B14</f>
        <v>30000000</v>
      </c>
      <c r="BB14" s="15">
        <f>E14</f>
        <v>30000000</v>
      </c>
      <c r="BC14" s="15">
        <f t="shared" si="1"/>
        <v>30000000</v>
      </c>
    </row>
    <row r="15" spans="1:55" x14ac:dyDescent="0.25">
      <c r="A15" t="s">
        <v>29</v>
      </c>
      <c r="B15" s="15">
        <f>B7*B2</f>
        <v>-59787424.189256944</v>
      </c>
      <c r="E15" s="15">
        <f t="shared" si="2"/>
        <v>-59787424.189256944</v>
      </c>
      <c r="F15" s="15">
        <f>E15</f>
        <v>-59787424.189256944</v>
      </c>
      <c r="BC15" s="15">
        <f t="shared" si="1"/>
        <v>-59787424.189256944</v>
      </c>
    </row>
    <row r="16" spans="1:55" x14ac:dyDescent="0.25">
      <c r="A16" t="s">
        <v>30</v>
      </c>
      <c r="B16" s="15">
        <f>B8*B6</f>
        <v>-114407494.39999999</v>
      </c>
      <c r="E16" s="15">
        <f t="shared" si="2"/>
        <v>-114407494.39999999</v>
      </c>
      <c r="AD16" s="15">
        <f>E16/24</f>
        <v>-4766978.9333333327</v>
      </c>
      <c r="AE16" s="15">
        <f>AD16</f>
        <v>-4766978.9333333327</v>
      </c>
      <c r="AF16" s="15">
        <f t="shared" ref="AF16:BA16" si="3">AE16</f>
        <v>-4766978.9333333327</v>
      </c>
      <c r="AG16" s="15">
        <f t="shared" si="3"/>
        <v>-4766978.9333333327</v>
      </c>
      <c r="AH16" s="15">
        <f t="shared" si="3"/>
        <v>-4766978.9333333327</v>
      </c>
      <c r="AI16" s="15">
        <f t="shared" si="3"/>
        <v>-4766978.9333333327</v>
      </c>
      <c r="AJ16" s="15">
        <f t="shared" si="3"/>
        <v>-4766978.9333333327</v>
      </c>
      <c r="AK16" s="15">
        <f t="shared" si="3"/>
        <v>-4766978.9333333327</v>
      </c>
      <c r="AL16" s="15">
        <f t="shared" si="3"/>
        <v>-4766978.9333333327</v>
      </c>
      <c r="AM16" s="15">
        <f t="shared" si="3"/>
        <v>-4766978.9333333327</v>
      </c>
      <c r="AN16" s="15">
        <f t="shared" si="3"/>
        <v>-4766978.9333333327</v>
      </c>
      <c r="AO16" s="15">
        <f t="shared" si="3"/>
        <v>-4766978.9333333327</v>
      </c>
      <c r="AP16" s="15">
        <f t="shared" si="3"/>
        <v>-4766978.9333333327</v>
      </c>
      <c r="AQ16" s="15">
        <f t="shared" si="3"/>
        <v>-4766978.9333333327</v>
      </c>
      <c r="AR16" s="15">
        <f t="shared" si="3"/>
        <v>-4766978.9333333327</v>
      </c>
      <c r="AS16" s="15">
        <f t="shared" si="3"/>
        <v>-4766978.9333333327</v>
      </c>
      <c r="AT16" s="15">
        <f t="shared" si="3"/>
        <v>-4766978.9333333327</v>
      </c>
      <c r="AU16" s="15">
        <f t="shared" si="3"/>
        <v>-4766978.9333333327</v>
      </c>
      <c r="AV16" s="15">
        <f t="shared" si="3"/>
        <v>-4766978.9333333327</v>
      </c>
      <c r="AW16" s="15">
        <f t="shared" si="3"/>
        <v>-4766978.9333333327</v>
      </c>
      <c r="AX16" s="15">
        <f t="shared" si="3"/>
        <v>-4766978.9333333327</v>
      </c>
      <c r="AY16" s="15">
        <f t="shared" si="3"/>
        <v>-4766978.9333333327</v>
      </c>
      <c r="AZ16" s="15">
        <f t="shared" si="3"/>
        <v>-4766978.9333333327</v>
      </c>
      <c r="BA16" s="15">
        <f t="shared" si="3"/>
        <v>-4766978.9333333327</v>
      </c>
      <c r="BC16" s="15">
        <f t="shared" si="1"/>
        <v>-114407494.40000001</v>
      </c>
    </row>
    <row r="17" spans="1:55" x14ac:dyDescent="0.25">
      <c r="A17" t="s">
        <v>31</v>
      </c>
      <c r="B17" s="15">
        <f>B16*C17</f>
        <v>-4576299.7759999996</v>
      </c>
      <c r="C17" s="1">
        <v>0.04</v>
      </c>
      <c r="D17" t="s">
        <v>40</v>
      </c>
      <c r="E17" s="15">
        <f t="shared" si="2"/>
        <v>-4576299.7759999996</v>
      </c>
      <c r="L17" s="15">
        <f>E17</f>
        <v>-4576299.7759999996</v>
      </c>
      <c r="BC17" s="15">
        <f t="shared" si="1"/>
        <v>-4576299.7759999996</v>
      </c>
    </row>
    <row r="18" spans="1:55" x14ac:dyDescent="0.25">
      <c r="A18" t="s">
        <v>41</v>
      </c>
      <c r="B18" s="15"/>
      <c r="C18" s="1">
        <v>-0.12</v>
      </c>
      <c r="D18" t="s">
        <v>17</v>
      </c>
      <c r="E18" s="15">
        <f>--B10*C18</f>
        <v>-36000000</v>
      </c>
      <c r="F18" s="15">
        <f>SUM(F12:F14)*$C$18</f>
        <v>0</v>
      </c>
      <c r="G18" s="15">
        <f t="shared" ref="G18:BB18" si="4">SUM(G12:G14)*$C$18</f>
        <v>0</v>
      </c>
      <c r="H18" s="15">
        <f t="shared" si="4"/>
        <v>0</v>
      </c>
      <c r="I18" s="15">
        <f t="shared" si="4"/>
        <v>0</v>
      </c>
      <c r="J18" s="15">
        <f t="shared" si="4"/>
        <v>0</v>
      </c>
      <c r="K18" s="15">
        <f t="shared" si="4"/>
        <v>0</v>
      </c>
      <c r="L18" s="15">
        <f t="shared" si="4"/>
        <v>0</v>
      </c>
      <c r="M18" s="15">
        <f t="shared" si="4"/>
        <v>0</v>
      </c>
      <c r="N18" s="15">
        <f t="shared" si="4"/>
        <v>0</v>
      </c>
      <c r="O18" s="15">
        <f t="shared" si="4"/>
        <v>0</v>
      </c>
      <c r="P18" s="15">
        <f t="shared" si="4"/>
        <v>0</v>
      </c>
      <c r="Q18" s="15">
        <f t="shared" si="4"/>
        <v>0</v>
      </c>
      <c r="R18" s="15">
        <f t="shared" si="4"/>
        <v>0</v>
      </c>
      <c r="S18" s="15">
        <f t="shared" si="4"/>
        <v>0</v>
      </c>
      <c r="T18" s="15">
        <f t="shared" si="4"/>
        <v>0</v>
      </c>
      <c r="U18" s="15">
        <f>SUM(U12:U14)*$C$18</f>
        <v>-109090.90909090909</v>
      </c>
      <c r="V18" s="15">
        <f t="shared" si="4"/>
        <v>-109090.90909090909</v>
      </c>
      <c r="W18" s="15">
        <f t="shared" si="4"/>
        <v>-109090.90909090909</v>
      </c>
      <c r="X18" s="15">
        <f t="shared" si="4"/>
        <v>-109090.90909090909</v>
      </c>
      <c r="Y18" s="15">
        <f t="shared" si="4"/>
        <v>-109090.90909090909</v>
      </c>
      <c r="Z18" s="15">
        <f t="shared" si="4"/>
        <v>-109090.90909090909</v>
      </c>
      <c r="AA18" s="15">
        <f t="shared" si="4"/>
        <v>-109090.90909090909</v>
      </c>
      <c r="AB18" s="15">
        <f t="shared" si="4"/>
        <v>-109090.90909090909</v>
      </c>
      <c r="AC18" s="15">
        <f t="shared" si="4"/>
        <v>-109090.90909090909</v>
      </c>
      <c r="AD18" s="15">
        <f t="shared" si="4"/>
        <v>-296590.90909090912</v>
      </c>
      <c r="AE18" s="15">
        <f t="shared" si="4"/>
        <v>-296590.90909090912</v>
      </c>
      <c r="AF18" s="15">
        <f t="shared" si="4"/>
        <v>-296590.90909090912</v>
      </c>
      <c r="AG18" s="15">
        <f t="shared" si="4"/>
        <v>-296590.90909090912</v>
      </c>
      <c r="AH18" s="15">
        <f t="shared" si="4"/>
        <v>-296590.90909090912</v>
      </c>
      <c r="AI18" s="15">
        <f t="shared" si="4"/>
        <v>-296590.90909090912</v>
      </c>
      <c r="AJ18" s="15">
        <f t="shared" si="4"/>
        <v>-296590.90909090912</v>
      </c>
      <c r="AK18" s="15">
        <f t="shared" si="4"/>
        <v>-296590.90909090912</v>
      </c>
      <c r="AL18" s="15">
        <f t="shared" si="4"/>
        <v>-296590.90909090912</v>
      </c>
      <c r="AM18" s="15">
        <f t="shared" si="4"/>
        <v>-296590.90909090912</v>
      </c>
      <c r="AN18" s="15">
        <f t="shared" si="4"/>
        <v>-296590.90909090912</v>
      </c>
      <c r="AO18" s="15">
        <f t="shared" si="4"/>
        <v>-296590.90909090912</v>
      </c>
      <c r="AP18" s="15">
        <f t="shared" si="4"/>
        <v>-296590.90909090912</v>
      </c>
      <c r="AQ18" s="15">
        <f t="shared" si="4"/>
        <v>-296590.90909090912</v>
      </c>
      <c r="AR18" s="15">
        <f t="shared" si="4"/>
        <v>-296590.90909090912</v>
      </c>
      <c r="AS18" s="15">
        <f t="shared" si="4"/>
        <v>-296590.90909090912</v>
      </c>
      <c r="AT18" s="15">
        <f t="shared" si="4"/>
        <v>-296590.90909090912</v>
      </c>
      <c r="AU18" s="15">
        <f t="shared" si="4"/>
        <v>-296590.90909090912</v>
      </c>
      <c r="AV18" s="15">
        <f t="shared" si="4"/>
        <v>-296590.90909090912</v>
      </c>
      <c r="AW18" s="15">
        <f t="shared" si="4"/>
        <v>-296590.90909090912</v>
      </c>
      <c r="AX18" s="15">
        <f t="shared" si="4"/>
        <v>-296590.90909090912</v>
      </c>
      <c r="AY18" s="15">
        <f t="shared" si="4"/>
        <v>-296590.90909090912</v>
      </c>
      <c r="AZ18" s="15">
        <f t="shared" si="4"/>
        <v>-296590.90909090912</v>
      </c>
      <c r="BA18" s="15">
        <f t="shared" si="4"/>
        <v>-296590.90909090912</v>
      </c>
      <c r="BB18" s="15">
        <f t="shared" si="4"/>
        <v>-27900000</v>
      </c>
      <c r="BC18" s="15">
        <f t="shared" si="1"/>
        <v>-36000000</v>
      </c>
    </row>
    <row r="19" spans="1:55" x14ac:dyDescent="0.25">
      <c r="A19" s="16" t="s">
        <v>42</v>
      </c>
      <c r="B19" s="17"/>
      <c r="C19" s="18">
        <v>-0.1</v>
      </c>
      <c r="D19" s="16" t="s">
        <v>17</v>
      </c>
      <c r="E19" s="17">
        <f>B10*C19</f>
        <v>-30000000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7">
        <f>C19*E12</f>
        <v>-12000000</v>
      </c>
      <c r="V19" s="16"/>
      <c r="W19" s="16"/>
      <c r="X19" s="16"/>
      <c r="Y19" s="16"/>
      <c r="Z19" s="16"/>
      <c r="AA19" s="16"/>
      <c r="AB19" s="16"/>
      <c r="AC19" s="16"/>
      <c r="AD19" s="17">
        <f>C19*E13</f>
        <v>-15000000</v>
      </c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7">
        <f>C19*E14</f>
        <v>-3000000</v>
      </c>
      <c r="BC19" s="17">
        <f t="shared" si="1"/>
        <v>-30000000</v>
      </c>
    </row>
    <row r="20" spans="1:55" x14ac:dyDescent="0.25">
      <c r="A20" s="19" t="s">
        <v>44</v>
      </c>
      <c r="B20" s="15"/>
      <c r="E20" s="15">
        <f>SUM(E12:E19)</f>
        <v>55228781.63474308</v>
      </c>
      <c r="F20" s="15">
        <f t="shared" ref="F20:BC20" si="5">SUM(F12:F19)</f>
        <v>-59787424.189256944</v>
      </c>
      <c r="G20" s="15">
        <f t="shared" si="5"/>
        <v>0</v>
      </c>
      <c r="H20" s="15">
        <f t="shared" si="5"/>
        <v>0</v>
      </c>
      <c r="I20" s="15">
        <f t="shared" si="5"/>
        <v>0</v>
      </c>
      <c r="J20" s="15">
        <f t="shared" si="5"/>
        <v>0</v>
      </c>
      <c r="K20" s="15">
        <f t="shared" si="5"/>
        <v>0</v>
      </c>
      <c r="L20" s="15">
        <f t="shared" si="5"/>
        <v>-4576299.7759999996</v>
      </c>
      <c r="M20" s="15">
        <f t="shared" si="5"/>
        <v>0</v>
      </c>
      <c r="N20" s="15">
        <f t="shared" si="5"/>
        <v>0</v>
      </c>
      <c r="O20" s="15">
        <f t="shared" si="5"/>
        <v>0</v>
      </c>
      <c r="P20" s="15">
        <f t="shared" si="5"/>
        <v>0</v>
      </c>
      <c r="Q20" s="15">
        <f t="shared" si="5"/>
        <v>0</v>
      </c>
      <c r="R20" s="15">
        <f t="shared" si="5"/>
        <v>0</v>
      </c>
      <c r="S20" s="15">
        <f t="shared" si="5"/>
        <v>0</v>
      </c>
      <c r="T20" s="15">
        <f t="shared" si="5"/>
        <v>0</v>
      </c>
      <c r="U20" s="15">
        <f t="shared" si="5"/>
        <v>-11200000</v>
      </c>
      <c r="V20" s="15">
        <f t="shared" si="5"/>
        <v>800000</v>
      </c>
      <c r="W20" s="15">
        <f t="shared" si="5"/>
        <v>800000</v>
      </c>
      <c r="X20" s="15">
        <f t="shared" si="5"/>
        <v>800000</v>
      </c>
      <c r="Y20" s="15">
        <f t="shared" si="5"/>
        <v>800000</v>
      </c>
      <c r="Z20" s="15">
        <f t="shared" si="5"/>
        <v>800000</v>
      </c>
      <c r="AA20" s="15">
        <f t="shared" si="5"/>
        <v>800000</v>
      </c>
      <c r="AB20" s="15">
        <f t="shared" si="5"/>
        <v>800000</v>
      </c>
      <c r="AC20" s="15">
        <f t="shared" si="5"/>
        <v>800000</v>
      </c>
      <c r="AD20" s="15">
        <f t="shared" si="5"/>
        <v>-17591978.933333334</v>
      </c>
      <c r="AE20" s="15">
        <f t="shared" si="5"/>
        <v>-2591978.9333333327</v>
      </c>
      <c r="AF20" s="15">
        <f t="shared" si="5"/>
        <v>-2591978.9333333327</v>
      </c>
      <c r="AG20" s="15">
        <f t="shared" si="5"/>
        <v>-2591978.9333333327</v>
      </c>
      <c r="AH20" s="15">
        <f t="shared" si="5"/>
        <v>-2591978.9333333327</v>
      </c>
      <c r="AI20" s="15">
        <f t="shared" si="5"/>
        <v>-2591978.9333333327</v>
      </c>
      <c r="AJ20" s="15">
        <f t="shared" si="5"/>
        <v>-2591978.9333333327</v>
      </c>
      <c r="AK20" s="15">
        <f t="shared" si="5"/>
        <v>-2591978.9333333327</v>
      </c>
      <c r="AL20" s="15">
        <f t="shared" si="5"/>
        <v>-2591978.9333333327</v>
      </c>
      <c r="AM20" s="15">
        <f t="shared" si="5"/>
        <v>-2591978.9333333327</v>
      </c>
      <c r="AN20" s="15">
        <f t="shared" si="5"/>
        <v>-2591978.9333333327</v>
      </c>
      <c r="AO20" s="15">
        <f t="shared" si="5"/>
        <v>-2591978.9333333327</v>
      </c>
      <c r="AP20" s="15">
        <f t="shared" si="5"/>
        <v>-2591978.9333333327</v>
      </c>
      <c r="AQ20" s="15">
        <f t="shared" si="5"/>
        <v>-2591978.9333333327</v>
      </c>
      <c r="AR20" s="15">
        <f t="shared" si="5"/>
        <v>-2591978.9333333327</v>
      </c>
      <c r="AS20" s="15">
        <f t="shared" si="5"/>
        <v>-2591978.9333333327</v>
      </c>
      <c r="AT20" s="15">
        <f t="shared" si="5"/>
        <v>-2591978.9333333327</v>
      </c>
      <c r="AU20" s="15">
        <f t="shared" si="5"/>
        <v>-2591978.9333333327</v>
      </c>
      <c r="AV20" s="15">
        <f t="shared" si="5"/>
        <v>-2591978.9333333327</v>
      </c>
      <c r="AW20" s="15">
        <f t="shared" si="5"/>
        <v>-2591978.9333333327</v>
      </c>
      <c r="AX20" s="15">
        <f t="shared" si="5"/>
        <v>-2591978.9333333327</v>
      </c>
      <c r="AY20" s="15">
        <f t="shared" si="5"/>
        <v>-2591978.9333333327</v>
      </c>
      <c r="AZ20" s="15">
        <f t="shared" si="5"/>
        <v>-2591978.9333333327</v>
      </c>
      <c r="BA20" s="15">
        <f t="shared" si="5"/>
        <v>-2591978.9333333327</v>
      </c>
      <c r="BB20" s="15">
        <f t="shared" si="5"/>
        <v>201600000</v>
      </c>
      <c r="BC20" s="15">
        <f t="shared" si="5"/>
        <v>55228781.634743065</v>
      </c>
    </row>
    <row r="21" spans="1:55" x14ac:dyDescent="0.25">
      <c r="A21" s="19" t="s">
        <v>56</v>
      </c>
      <c r="B21" s="15"/>
      <c r="E21" s="15"/>
      <c r="F21" s="15">
        <f>F20</f>
        <v>-59787424.189256944</v>
      </c>
      <c r="G21" s="15">
        <f>F21+G20</f>
        <v>-59787424.189256944</v>
      </c>
      <c r="H21" s="15">
        <f t="shared" ref="H21:M21" si="6">G21+H20</f>
        <v>-59787424.189256944</v>
      </c>
      <c r="I21" s="15">
        <f t="shared" si="6"/>
        <v>-59787424.189256944</v>
      </c>
      <c r="J21" s="15">
        <f t="shared" si="6"/>
        <v>-59787424.189256944</v>
      </c>
      <c r="K21" s="15">
        <f t="shared" si="6"/>
        <v>-59787424.189256944</v>
      </c>
      <c r="L21" s="15">
        <f t="shared" si="6"/>
        <v>-64363723.965256944</v>
      </c>
      <c r="M21" s="15">
        <f t="shared" si="6"/>
        <v>-64363723.965256944</v>
      </c>
      <c r="N21" s="15">
        <f t="shared" ref="N21" si="7">M21+N20</f>
        <v>-64363723.965256944</v>
      </c>
      <c r="O21" s="15">
        <f t="shared" ref="O21" si="8">N21+O20</f>
        <v>-64363723.965256944</v>
      </c>
      <c r="P21" s="15">
        <f t="shared" ref="P21" si="9">O21+P20</f>
        <v>-64363723.965256944</v>
      </c>
      <c r="Q21" s="15">
        <f t="shared" ref="Q21" si="10">P21+Q20</f>
        <v>-64363723.965256944</v>
      </c>
      <c r="R21" s="15">
        <f t="shared" ref="R21:S21" si="11">Q21+R20</f>
        <v>-64363723.965256944</v>
      </c>
      <c r="S21" s="15">
        <f t="shared" si="11"/>
        <v>-64363723.965256944</v>
      </c>
      <c r="T21" s="15">
        <f t="shared" ref="T21" si="12">S21+T20</f>
        <v>-64363723.965256944</v>
      </c>
      <c r="U21" s="15">
        <f t="shared" ref="U21" si="13">T21+U20</f>
        <v>-75563723.965256944</v>
      </c>
      <c r="V21" s="15">
        <f t="shared" ref="V21" si="14">U21+V20</f>
        <v>-74763723.965256944</v>
      </c>
      <c r="W21" s="15">
        <f t="shared" ref="W21" si="15">V21+W20</f>
        <v>-73963723.965256944</v>
      </c>
      <c r="X21" s="15">
        <f t="shared" ref="X21:Y21" si="16">W21+X20</f>
        <v>-73163723.965256944</v>
      </c>
      <c r="Y21" s="15">
        <f t="shared" si="16"/>
        <v>-72363723.965256944</v>
      </c>
      <c r="Z21" s="15">
        <f t="shared" ref="Z21" si="17">Y21+Z20</f>
        <v>-71563723.965256944</v>
      </c>
      <c r="AA21" s="15">
        <f t="shared" ref="AA21" si="18">Z21+AA20</f>
        <v>-70763723.965256944</v>
      </c>
      <c r="AB21" s="15">
        <f t="shared" ref="AB21" si="19">AA21+AB20</f>
        <v>-69963723.965256944</v>
      </c>
      <c r="AC21" s="15">
        <f t="shared" ref="AC21" si="20">AB21+AC20</f>
        <v>-69163723.965256944</v>
      </c>
      <c r="AD21" s="15">
        <f t="shared" ref="AD21:AE21" si="21">AC21+AD20</f>
        <v>-86755702.898590282</v>
      </c>
      <c r="AE21" s="15">
        <f t="shared" si="21"/>
        <v>-89347681.831923619</v>
      </c>
      <c r="AF21" s="15">
        <f t="shared" ref="AF21" si="22">AE21+AF20</f>
        <v>-91939660.765256956</v>
      </c>
      <c r="AG21" s="15">
        <f t="shared" ref="AG21" si="23">AF21+AG20</f>
        <v>-94531639.698590294</v>
      </c>
      <c r="AH21" s="15">
        <f t="shared" ref="AH21" si="24">AG21+AH20</f>
        <v>-97123618.631923631</v>
      </c>
      <c r="AI21" s="15">
        <f t="shared" ref="AI21" si="25">AH21+AI20</f>
        <v>-99715597.565256968</v>
      </c>
      <c r="AJ21" s="15">
        <f t="shared" ref="AJ21:AK21" si="26">AI21+AJ20</f>
        <v>-102307576.49859031</v>
      </c>
      <c r="AK21" s="15">
        <f t="shared" si="26"/>
        <v>-104899555.43192364</v>
      </c>
      <c r="AL21" s="15">
        <f t="shared" ref="AL21" si="27">AK21+AL20</f>
        <v>-107491534.36525698</v>
      </c>
      <c r="AM21" s="15">
        <f t="shared" ref="AM21" si="28">AL21+AM20</f>
        <v>-110083513.29859032</v>
      </c>
      <c r="AN21" s="15">
        <f t="shared" ref="AN21" si="29">AM21+AN20</f>
        <v>-112675492.23192365</v>
      </c>
      <c r="AO21" s="15">
        <f t="shared" ref="AO21" si="30">AN21+AO20</f>
        <v>-115267471.16525699</v>
      </c>
      <c r="AP21" s="15">
        <f t="shared" ref="AP21:AQ21" si="31">AO21+AP20</f>
        <v>-117859450.09859033</v>
      </c>
      <c r="AQ21" s="15">
        <f t="shared" si="31"/>
        <v>-120451429.03192367</v>
      </c>
      <c r="AR21" s="15">
        <f t="shared" ref="AR21" si="32">AQ21+AR20</f>
        <v>-123043407.965257</v>
      </c>
      <c r="AS21" s="15">
        <f t="shared" ref="AS21" si="33">AR21+AS20</f>
        <v>-125635386.89859034</v>
      </c>
      <c r="AT21" s="15">
        <f t="shared" ref="AT21" si="34">AS21+AT20</f>
        <v>-128227365.83192368</v>
      </c>
      <c r="AU21" s="15">
        <f t="shared" ref="AU21" si="35">AT21+AU20</f>
        <v>-130819344.76525702</v>
      </c>
      <c r="AV21" s="15">
        <f t="shared" ref="AV21:AW21" si="36">AU21+AV20</f>
        <v>-133411323.69859035</v>
      </c>
      <c r="AW21" s="15">
        <f t="shared" si="36"/>
        <v>-136003302.63192368</v>
      </c>
      <c r="AX21" s="15">
        <f t="shared" ref="AX21" si="37">AW21+AX20</f>
        <v>-138595281.56525701</v>
      </c>
      <c r="AY21" s="15">
        <f t="shared" ref="AY21" si="38">AX21+AY20</f>
        <v>-141187260.49859035</v>
      </c>
      <c r="AZ21" s="15">
        <f t="shared" ref="AZ21" si="39">AY21+AZ20</f>
        <v>-143779239.43192369</v>
      </c>
      <c r="BA21" s="15">
        <f t="shared" ref="BA21" si="40">AZ21+BA20</f>
        <v>-146371218.36525702</v>
      </c>
      <c r="BB21" s="15">
        <f t="shared" ref="BB21" si="41">BA21+BB20</f>
        <v>55228781.634742975</v>
      </c>
      <c r="BC21" s="15"/>
    </row>
    <row r="22" spans="1:55" x14ac:dyDescent="0.25">
      <c r="A22" s="19" t="s">
        <v>48</v>
      </c>
      <c r="B22" s="15"/>
      <c r="E22" s="23">
        <f>E20/B10</f>
        <v>0.18409593878247693</v>
      </c>
    </row>
    <row r="23" spans="1:55" x14ac:dyDescent="0.25">
      <c r="A23" t="s">
        <v>45</v>
      </c>
      <c r="B23" s="15"/>
      <c r="E23" s="20">
        <f>NPV(E1,G20:BB20)+F20</f>
        <v>0</v>
      </c>
    </row>
    <row r="24" spans="1:55" x14ac:dyDescent="0.25">
      <c r="A24" t="s">
        <v>46</v>
      </c>
    </row>
    <row r="25" spans="1:55" x14ac:dyDescent="0.25">
      <c r="A25" t="s">
        <v>49</v>
      </c>
      <c r="E25" s="24">
        <f>IRR(F20:BB20)</f>
        <v>1.02368443581764E-2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21EDF-7AEF-45E7-9D79-1EEB0ED4EE3B}">
  <dimension ref="A1:BC24"/>
  <sheetViews>
    <sheetView workbookViewId="0">
      <selection activeCell="G7" sqref="G7"/>
    </sheetView>
  </sheetViews>
  <sheetFormatPr defaultRowHeight="15" x14ac:dyDescent="0.25"/>
  <cols>
    <col min="1" max="1" width="15" customWidth="1"/>
    <col min="2" max="2" width="12.28515625" bestFit="1" customWidth="1"/>
    <col min="5" max="5" width="16.140625" bestFit="1" customWidth="1"/>
    <col min="6" max="6" width="11.28515625" bestFit="1" customWidth="1"/>
    <col min="7" max="7" width="9.7109375" bestFit="1" customWidth="1"/>
    <col min="12" max="12" width="10.28515625" bestFit="1" customWidth="1"/>
    <col min="21" max="21" width="11.5703125" bestFit="1" customWidth="1"/>
    <col min="30" max="30" width="12.28515625" bestFit="1" customWidth="1"/>
    <col min="31" max="31" width="10.28515625" bestFit="1" customWidth="1"/>
    <col min="53" max="53" width="10.28515625" bestFit="1" customWidth="1"/>
    <col min="54" max="54" width="12.5703125" bestFit="1" customWidth="1"/>
    <col min="55" max="55" width="12.28515625" bestFit="1" customWidth="1"/>
    <col min="56" max="56" width="11.5703125" bestFit="1" customWidth="1"/>
  </cols>
  <sheetData>
    <row r="1" spans="1:55" x14ac:dyDescent="0.25">
      <c r="A1" t="s">
        <v>0</v>
      </c>
      <c r="C1" s="4">
        <v>0.16</v>
      </c>
      <c r="D1" t="s">
        <v>1</v>
      </c>
      <c r="E1" s="2">
        <f>((1+C1)^(1/12))-1</f>
        <v>1.2445137919713467E-2</v>
      </c>
      <c r="F1" t="s">
        <v>2</v>
      </c>
    </row>
    <row r="2" spans="1:55" x14ac:dyDescent="0.25">
      <c r="A2" t="s">
        <v>3</v>
      </c>
      <c r="B2" s="3">
        <v>10000</v>
      </c>
      <c r="C2" t="s">
        <v>4</v>
      </c>
    </row>
    <row r="3" spans="1:55" x14ac:dyDescent="0.25">
      <c r="A3" t="s">
        <v>5</v>
      </c>
      <c r="B3" s="3">
        <v>4</v>
      </c>
    </row>
    <row r="4" spans="1:55" x14ac:dyDescent="0.25">
      <c r="A4" t="s">
        <v>6</v>
      </c>
      <c r="B4">
        <f>B2*B3</f>
        <v>40000</v>
      </c>
    </row>
    <row r="5" spans="1:55" x14ac:dyDescent="0.25">
      <c r="A5" t="s">
        <v>7</v>
      </c>
      <c r="B5" s="3">
        <v>1.6</v>
      </c>
      <c r="F5" s="25">
        <v>-5978.7424189256944</v>
      </c>
      <c r="G5" s="25" t="s">
        <v>13</v>
      </c>
    </row>
    <row r="6" spans="1:55" x14ac:dyDescent="0.25">
      <c r="A6" t="s">
        <v>8</v>
      </c>
      <c r="B6">
        <f>B4*B5</f>
        <v>64000</v>
      </c>
      <c r="C6" t="s">
        <v>4</v>
      </c>
      <c r="F6" s="16">
        <v>-5142.4392688363841</v>
      </c>
    </row>
    <row r="7" spans="1:55" ht="18.75" x14ac:dyDescent="0.3">
      <c r="A7" t="s">
        <v>9</v>
      </c>
      <c r="B7" s="3">
        <v>-5142.4392688363841</v>
      </c>
      <c r="C7" s="5" t="s">
        <v>10</v>
      </c>
      <c r="E7" s="21" t="s">
        <v>47</v>
      </c>
      <c r="F7" s="21">
        <f>F5-F6</f>
        <v>-836.30315008931029</v>
      </c>
      <c r="G7" s="26">
        <f>F7/F5</f>
        <v>0.13987944144273462</v>
      </c>
      <c r="H7" s="21" t="s">
        <v>50</v>
      </c>
    </row>
    <row r="8" spans="1:55" x14ac:dyDescent="0.25">
      <c r="A8" t="s">
        <v>11</v>
      </c>
      <c r="B8" s="6">
        <f>-'$Constr'!B10</f>
        <v>-1787.6170999999999</v>
      </c>
      <c r="C8" t="s">
        <v>13</v>
      </c>
    </row>
    <row r="9" spans="1:55" x14ac:dyDescent="0.25">
      <c r="A9" t="s">
        <v>12</v>
      </c>
      <c r="B9" s="3">
        <v>7500</v>
      </c>
      <c r="C9" t="s">
        <v>13</v>
      </c>
    </row>
    <row r="10" spans="1:55" x14ac:dyDescent="0.25">
      <c r="A10" t="s">
        <v>17</v>
      </c>
      <c r="B10">
        <f>B4*B9</f>
        <v>300000000</v>
      </c>
    </row>
    <row r="11" spans="1:55" x14ac:dyDescent="0.25">
      <c r="A11" s="7" t="s">
        <v>14</v>
      </c>
      <c r="B11" s="7" t="s">
        <v>15</v>
      </c>
      <c r="C11" s="7" t="s">
        <v>27</v>
      </c>
      <c r="D11" s="7" t="s">
        <v>28</v>
      </c>
      <c r="E11" s="7" t="s">
        <v>16</v>
      </c>
      <c r="F11" s="7">
        <v>0</v>
      </c>
      <c r="G11" s="7">
        <v>1</v>
      </c>
      <c r="H11" s="7">
        <v>2</v>
      </c>
      <c r="I11" s="7">
        <v>3</v>
      </c>
      <c r="J11" s="7">
        <v>4</v>
      </c>
      <c r="K11" s="7">
        <v>5</v>
      </c>
      <c r="L11" s="7">
        <v>6</v>
      </c>
      <c r="M11" s="7">
        <v>7</v>
      </c>
      <c r="N11" s="7">
        <v>8</v>
      </c>
      <c r="O11" s="7">
        <v>9</v>
      </c>
      <c r="P11" s="7">
        <v>10</v>
      </c>
      <c r="Q11" s="7">
        <v>11</v>
      </c>
      <c r="R11" s="7">
        <v>12</v>
      </c>
      <c r="S11" s="7">
        <v>13</v>
      </c>
      <c r="T11" s="7">
        <v>14</v>
      </c>
      <c r="U11" s="7">
        <v>15</v>
      </c>
      <c r="V11" s="7">
        <v>16</v>
      </c>
      <c r="W11" s="7">
        <v>17</v>
      </c>
      <c r="X11" s="7">
        <v>18</v>
      </c>
      <c r="Y11" s="7">
        <v>19</v>
      </c>
      <c r="Z11" s="7">
        <v>20</v>
      </c>
      <c r="AA11" s="7">
        <v>21</v>
      </c>
      <c r="AB11" s="7">
        <v>22</v>
      </c>
      <c r="AC11" s="7">
        <v>23</v>
      </c>
      <c r="AD11" s="7">
        <v>24</v>
      </c>
      <c r="AE11" s="7">
        <v>25</v>
      </c>
      <c r="AF11" s="7">
        <v>26</v>
      </c>
      <c r="AG11" s="7">
        <v>27</v>
      </c>
      <c r="AH11" s="7">
        <v>28</v>
      </c>
      <c r="AI11" s="7">
        <v>29</v>
      </c>
      <c r="AJ11" s="7">
        <v>30</v>
      </c>
      <c r="AK11" s="7">
        <v>31</v>
      </c>
      <c r="AL11" s="7">
        <v>32</v>
      </c>
      <c r="AM11" s="7">
        <v>33</v>
      </c>
      <c r="AN11" s="7">
        <v>34</v>
      </c>
      <c r="AO11" s="7">
        <v>35</v>
      </c>
      <c r="AP11" s="7">
        <v>36</v>
      </c>
      <c r="AQ11" s="7">
        <v>37</v>
      </c>
      <c r="AR11" s="7">
        <v>38</v>
      </c>
      <c r="AS11" s="7">
        <v>39</v>
      </c>
      <c r="AT11" s="7">
        <v>40</v>
      </c>
      <c r="AU11" s="7">
        <v>41</v>
      </c>
      <c r="AV11" s="7">
        <v>42</v>
      </c>
      <c r="AW11" s="7">
        <v>43</v>
      </c>
      <c r="AX11" s="7">
        <v>44</v>
      </c>
      <c r="AY11" s="7">
        <v>45</v>
      </c>
      <c r="AZ11" s="7">
        <v>46</v>
      </c>
      <c r="BA11" s="7">
        <v>47</v>
      </c>
      <c r="BB11" s="7">
        <v>48</v>
      </c>
      <c r="BC11" t="s">
        <v>16</v>
      </c>
    </row>
    <row r="12" spans="1:55" x14ac:dyDescent="0.25">
      <c r="A12" t="s">
        <v>24</v>
      </c>
      <c r="B12" s="15">
        <f>B10*Pagamentos!B2</f>
        <v>120000000</v>
      </c>
      <c r="C12" s="1">
        <v>0.4</v>
      </c>
      <c r="D12" t="s">
        <v>17</v>
      </c>
      <c r="E12" s="15">
        <f>C12*B10</f>
        <v>120000000</v>
      </c>
      <c r="U12" s="15">
        <f>E12*Pagamentos!C2/33</f>
        <v>909090.90909090906</v>
      </c>
      <c r="V12" s="15">
        <f>U12</f>
        <v>909090.90909090906</v>
      </c>
      <c r="W12" s="15">
        <f t="shared" ref="W12:AL13" si="0">V12</f>
        <v>909090.90909090906</v>
      </c>
      <c r="X12" s="15">
        <f t="shared" si="0"/>
        <v>909090.90909090906</v>
      </c>
      <c r="Y12" s="15">
        <f t="shared" si="0"/>
        <v>909090.90909090906</v>
      </c>
      <c r="Z12" s="15">
        <f t="shared" si="0"/>
        <v>909090.90909090906</v>
      </c>
      <c r="AA12" s="15">
        <f t="shared" si="0"/>
        <v>909090.90909090906</v>
      </c>
      <c r="AB12" s="15">
        <f t="shared" si="0"/>
        <v>909090.90909090906</v>
      </c>
      <c r="AC12" s="15">
        <f t="shared" si="0"/>
        <v>909090.90909090906</v>
      </c>
      <c r="AD12" s="15">
        <f t="shared" si="0"/>
        <v>909090.90909090906</v>
      </c>
      <c r="AE12" s="15">
        <f t="shared" si="0"/>
        <v>909090.90909090906</v>
      </c>
      <c r="AF12" s="15">
        <f t="shared" si="0"/>
        <v>909090.90909090906</v>
      </c>
      <c r="AG12" s="15">
        <f t="shared" si="0"/>
        <v>909090.90909090906</v>
      </c>
      <c r="AH12" s="15">
        <f t="shared" si="0"/>
        <v>909090.90909090906</v>
      </c>
      <c r="AI12" s="15">
        <f t="shared" si="0"/>
        <v>909090.90909090906</v>
      </c>
      <c r="AJ12" s="15">
        <f t="shared" si="0"/>
        <v>909090.90909090906</v>
      </c>
      <c r="AK12" s="15">
        <f t="shared" si="0"/>
        <v>909090.90909090906</v>
      </c>
      <c r="AL12" s="15">
        <f t="shared" si="0"/>
        <v>909090.90909090906</v>
      </c>
      <c r="AM12" s="15">
        <f t="shared" ref="AM12:BA13" si="1">AL12</f>
        <v>909090.90909090906</v>
      </c>
      <c r="AN12" s="15">
        <f t="shared" si="1"/>
        <v>909090.90909090906</v>
      </c>
      <c r="AO12" s="15">
        <f t="shared" si="1"/>
        <v>909090.90909090906</v>
      </c>
      <c r="AP12" s="15">
        <f t="shared" si="1"/>
        <v>909090.90909090906</v>
      </c>
      <c r="AQ12" s="15">
        <f t="shared" si="1"/>
        <v>909090.90909090906</v>
      </c>
      <c r="AR12" s="15">
        <f t="shared" si="1"/>
        <v>909090.90909090906</v>
      </c>
      <c r="AS12" s="15">
        <f t="shared" si="1"/>
        <v>909090.90909090906</v>
      </c>
      <c r="AT12" s="15">
        <f t="shared" si="1"/>
        <v>909090.90909090906</v>
      </c>
      <c r="AU12" s="15">
        <f t="shared" si="1"/>
        <v>909090.90909090906</v>
      </c>
      <c r="AV12" s="15">
        <f t="shared" si="1"/>
        <v>909090.90909090906</v>
      </c>
      <c r="AW12" s="15">
        <f t="shared" si="1"/>
        <v>909090.90909090906</v>
      </c>
      <c r="AX12" s="15">
        <f t="shared" si="1"/>
        <v>909090.90909090906</v>
      </c>
      <c r="AY12" s="15">
        <f t="shared" si="1"/>
        <v>909090.90909090906</v>
      </c>
      <c r="AZ12" s="15">
        <f t="shared" si="1"/>
        <v>909090.90909090906</v>
      </c>
      <c r="BA12" s="15">
        <f t="shared" si="1"/>
        <v>909090.90909090906</v>
      </c>
      <c r="BB12" s="15">
        <f>E12*Pagamentos!D2</f>
        <v>90000000</v>
      </c>
      <c r="BC12" s="15">
        <f t="shared" ref="BC12:BC19" si="2">SUM(F12:BB12)</f>
        <v>120000000</v>
      </c>
    </row>
    <row r="13" spans="1:55" x14ac:dyDescent="0.25">
      <c r="A13" t="s">
        <v>25</v>
      </c>
      <c r="B13" s="15">
        <f>B10*Pagamentos!B3</f>
        <v>150000000</v>
      </c>
      <c r="C13" s="1">
        <v>0.5</v>
      </c>
      <c r="D13" t="s">
        <v>17</v>
      </c>
      <c r="E13" s="15">
        <f>C13*B10</f>
        <v>150000000</v>
      </c>
      <c r="AD13" s="15">
        <f>E13*Pagamentos!C3/24</f>
        <v>1562500</v>
      </c>
      <c r="AE13" s="15">
        <f>AD13</f>
        <v>1562500</v>
      </c>
      <c r="AF13" s="15">
        <f t="shared" si="0"/>
        <v>1562500</v>
      </c>
      <c r="AG13" s="15">
        <f t="shared" si="0"/>
        <v>1562500</v>
      </c>
      <c r="AH13" s="15">
        <f t="shared" si="0"/>
        <v>1562500</v>
      </c>
      <c r="AI13" s="15">
        <f t="shared" si="0"/>
        <v>1562500</v>
      </c>
      <c r="AJ13" s="15">
        <f t="shared" si="0"/>
        <v>1562500</v>
      </c>
      <c r="AK13" s="15">
        <f t="shared" si="0"/>
        <v>1562500</v>
      </c>
      <c r="AL13" s="15">
        <f t="shared" si="0"/>
        <v>1562500</v>
      </c>
      <c r="AM13" s="15">
        <f t="shared" si="1"/>
        <v>1562500</v>
      </c>
      <c r="AN13" s="15">
        <f t="shared" si="1"/>
        <v>1562500</v>
      </c>
      <c r="AO13" s="15">
        <f t="shared" si="1"/>
        <v>1562500</v>
      </c>
      <c r="AP13" s="15">
        <f t="shared" si="1"/>
        <v>1562500</v>
      </c>
      <c r="AQ13" s="15">
        <f t="shared" si="1"/>
        <v>1562500</v>
      </c>
      <c r="AR13" s="15">
        <f t="shared" si="1"/>
        <v>1562500</v>
      </c>
      <c r="AS13" s="15">
        <f t="shared" si="1"/>
        <v>1562500</v>
      </c>
      <c r="AT13" s="15">
        <f t="shared" si="1"/>
        <v>1562500</v>
      </c>
      <c r="AU13" s="15">
        <f t="shared" si="1"/>
        <v>1562500</v>
      </c>
      <c r="AV13" s="15">
        <f t="shared" si="1"/>
        <v>1562500</v>
      </c>
      <c r="AW13" s="15">
        <f t="shared" si="1"/>
        <v>1562500</v>
      </c>
      <c r="AX13" s="15">
        <f t="shared" si="1"/>
        <v>1562500</v>
      </c>
      <c r="AY13" s="15">
        <f t="shared" si="1"/>
        <v>1562500</v>
      </c>
      <c r="AZ13" s="15">
        <f t="shared" si="1"/>
        <v>1562500</v>
      </c>
      <c r="BA13" s="15">
        <f t="shared" si="1"/>
        <v>1562500</v>
      </c>
      <c r="BB13" s="15">
        <f>E13*Pagamentos!D3</f>
        <v>112500000</v>
      </c>
      <c r="BC13" s="15">
        <f t="shared" si="2"/>
        <v>150000000</v>
      </c>
    </row>
    <row r="14" spans="1:55" x14ac:dyDescent="0.25">
      <c r="A14" t="s">
        <v>26</v>
      </c>
      <c r="B14" s="15">
        <f>B10*Pagamentos!B4</f>
        <v>30000000</v>
      </c>
      <c r="C14" s="1">
        <v>0.1</v>
      </c>
      <c r="D14" t="s">
        <v>17</v>
      </c>
      <c r="E14" s="15">
        <f t="shared" ref="E14:E17" si="3">B14</f>
        <v>30000000</v>
      </c>
      <c r="BB14" s="15">
        <f>E14</f>
        <v>30000000</v>
      </c>
      <c r="BC14" s="15">
        <f t="shared" si="2"/>
        <v>30000000</v>
      </c>
    </row>
    <row r="15" spans="1:55" x14ac:dyDescent="0.25">
      <c r="A15" t="s">
        <v>29</v>
      </c>
      <c r="B15" s="15">
        <f>B7*B2</f>
        <v>-51424392.688363843</v>
      </c>
      <c r="E15" s="15">
        <f t="shared" si="3"/>
        <v>-51424392.688363843</v>
      </c>
      <c r="F15" s="15">
        <f>E15</f>
        <v>-51424392.688363843</v>
      </c>
      <c r="BC15" s="15">
        <f t="shared" si="2"/>
        <v>-51424392.688363843</v>
      </c>
    </row>
    <row r="16" spans="1:55" x14ac:dyDescent="0.25">
      <c r="A16" t="s">
        <v>30</v>
      </c>
      <c r="B16" s="15">
        <f>B8*B6</f>
        <v>-114407494.39999999</v>
      </c>
      <c r="E16" s="15">
        <f t="shared" si="3"/>
        <v>-114407494.39999999</v>
      </c>
      <c r="AD16" s="15">
        <f>E16/24</f>
        <v>-4766978.9333333327</v>
      </c>
      <c r="AE16" s="15">
        <f>AD16</f>
        <v>-4766978.9333333327</v>
      </c>
      <c r="AF16" s="15">
        <f t="shared" ref="AF16:BA16" si="4">AE16</f>
        <v>-4766978.9333333327</v>
      </c>
      <c r="AG16" s="15">
        <f t="shared" si="4"/>
        <v>-4766978.9333333327</v>
      </c>
      <c r="AH16" s="15">
        <f t="shared" si="4"/>
        <v>-4766978.9333333327</v>
      </c>
      <c r="AI16" s="15">
        <f t="shared" si="4"/>
        <v>-4766978.9333333327</v>
      </c>
      <c r="AJ16" s="15">
        <f t="shared" si="4"/>
        <v>-4766978.9333333327</v>
      </c>
      <c r="AK16" s="15">
        <f t="shared" si="4"/>
        <v>-4766978.9333333327</v>
      </c>
      <c r="AL16" s="15">
        <f t="shared" si="4"/>
        <v>-4766978.9333333327</v>
      </c>
      <c r="AM16" s="15">
        <f t="shared" si="4"/>
        <v>-4766978.9333333327</v>
      </c>
      <c r="AN16" s="15">
        <f t="shared" si="4"/>
        <v>-4766978.9333333327</v>
      </c>
      <c r="AO16" s="15">
        <f t="shared" si="4"/>
        <v>-4766978.9333333327</v>
      </c>
      <c r="AP16" s="15">
        <f t="shared" si="4"/>
        <v>-4766978.9333333327</v>
      </c>
      <c r="AQ16" s="15">
        <f t="shared" si="4"/>
        <v>-4766978.9333333327</v>
      </c>
      <c r="AR16" s="15">
        <f t="shared" si="4"/>
        <v>-4766978.9333333327</v>
      </c>
      <c r="AS16" s="15">
        <f t="shared" si="4"/>
        <v>-4766978.9333333327</v>
      </c>
      <c r="AT16" s="15">
        <f t="shared" si="4"/>
        <v>-4766978.9333333327</v>
      </c>
      <c r="AU16" s="15">
        <f t="shared" si="4"/>
        <v>-4766978.9333333327</v>
      </c>
      <c r="AV16" s="15">
        <f t="shared" si="4"/>
        <v>-4766978.9333333327</v>
      </c>
      <c r="AW16" s="15">
        <f t="shared" si="4"/>
        <v>-4766978.9333333327</v>
      </c>
      <c r="AX16" s="15">
        <f t="shared" si="4"/>
        <v>-4766978.9333333327</v>
      </c>
      <c r="AY16" s="15">
        <f t="shared" si="4"/>
        <v>-4766978.9333333327</v>
      </c>
      <c r="AZ16" s="15">
        <f t="shared" si="4"/>
        <v>-4766978.9333333327</v>
      </c>
      <c r="BA16" s="15">
        <f t="shared" si="4"/>
        <v>-4766978.9333333327</v>
      </c>
      <c r="BC16" s="15">
        <f t="shared" si="2"/>
        <v>-114407494.40000001</v>
      </c>
    </row>
    <row r="17" spans="1:55" x14ac:dyDescent="0.25">
      <c r="A17" t="s">
        <v>31</v>
      </c>
      <c r="B17" s="15">
        <f>B16*C17</f>
        <v>-4576299.7759999996</v>
      </c>
      <c r="C17" s="1">
        <v>0.04</v>
      </c>
      <c r="D17" t="s">
        <v>40</v>
      </c>
      <c r="E17" s="15">
        <f t="shared" si="3"/>
        <v>-4576299.7759999996</v>
      </c>
      <c r="L17" s="15">
        <f>E17</f>
        <v>-4576299.7759999996</v>
      </c>
      <c r="BC17" s="15">
        <f t="shared" si="2"/>
        <v>-4576299.7759999996</v>
      </c>
    </row>
    <row r="18" spans="1:55" x14ac:dyDescent="0.25">
      <c r="A18" t="s">
        <v>41</v>
      </c>
      <c r="B18" s="15"/>
      <c r="C18" s="1">
        <v>-0.12</v>
      </c>
      <c r="D18" t="s">
        <v>17</v>
      </c>
      <c r="E18" s="15">
        <f>--B10*C18</f>
        <v>-36000000</v>
      </c>
      <c r="F18" s="15">
        <f>SUM(F12:F14)*$C$18</f>
        <v>0</v>
      </c>
      <c r="G18" s="15">
        <f t="shared" ref="G18:BB18" si="5">SUM(G12:G14)*$C$18</f>
        <v>0</v>
      </c>
      <c r="H18" s="15">
        <f t="shared" si="5"/>
        <v>0</v>
      </c>
      <c r="I18" s="15">
        <f t="shared" si="5"/>
        <v>0</v>
      </c>
      <c r="J18" s="15">
        <f t="shared" si="5"/>
        <v>0</v>
      </c>
      <c r="K18" s="15">
        <f t="shared" si="5"/>
        <v>0</v>
      </c>
      <c r="L18" s="15">
        <f t="shared" si="5"/>
        <v>0</v>
      </c>
      <c r="M18" s="15">
        <f t="shared" si="5"/>
        <v>0</v>
      </c>
      <c r="N18" s="15">
        <f t="shared" si="5"/>
        <v>0</v>
      </c>
      <c r="O18" s="15">
        <f t="shared" si="5"/>
        <v>0</v>
      </c>
      <c r="P18" s="15">
        <f t="shared" si="5"/>
        <v>0</v>
      </c>
      <c r="Q18" s="15">
        <f t="shared" si="5"/>
        <v>0</v>
      </c>
      <c r="R18" s="15">
        <f t="shared" si="5"/>
        <v>0</v>
      </c>
      <c r="S18" s="15">
        <f t="shared" si="5"/>
        <v>0</v>
      </c>
      <c r="T18" s="15">
        <f t="shared" si="5"/>
        <v>0</v>
      </c>
      <c r="U18" s="15">
        <f>SUM(U12:U14)*$C$18</f>
        <v>-109090.90909090909</v>
      </c>
      <c r="V18" s="15">
        <f t="shared" si="5"/>
        <v>-109090.90909090909</v>
      </c>
      <c r="W18" s="15">
        <f t="shared" si="5"/>
        <v>-109090.90909090909</v>
      </c>
      <c r="X18" s="15">
        <f t="shared" si="5"/>
        <v>-109090.90909090909</v>
      </c>
      <c r="Y18" s="15">
        <f t="shared" si="5"/>
        <v>-109090.90909090909</v>
      </c>
      <c r="Z18" s="15">
        <f t="shared" si="5"/>
        <v>-109090.90909090909</v>
      </c>
      <c r="AA18" s="15">
        <f t="shared" si="5"/>
        <v>-109090.90909090909</v>
      </c>
      <c r="AB18" s="15">
        <f t="shared" si="5"/>
        <v>-109090.90909090909</v>
      </c>
      <c r="AC18" s="15">
        <f t="shared" si="5"/>
        <v>-109090.90909090909</v>
      </c>
      <c r="AD18" s="15">
        <f t="shared" si="5"/>
        <v>-296590.90909090912</v>
      </c>
      <c r="AE18" s="15">
        <f t="shared" si="5"/>
        <v>-296590.90909090912</v>
      </c>
      <c r="AF18" s="15">
        <f t="shared" si="5"/>
        <v>-296590.90909090912</v>
      </c>
      <c r="AG18" s="15">
        <f t="shared" si="5"/>
        <v>-296590.90909090912</v>
      </c>
      <c r="AH18" s="15">
        <f t="shared" si="5"/>
        <v>-296590.90909090912</v>
      </c>
      <c r="AI18" s="15">
        <f t="shared" si="5"/>
        <v>-296590.90909090912</v>
      </c>
      <c r="AJ18" s="15">
        <f t="shared" si="5"/>
        <v>-296590.90909090912</v>
      </c>
      <c r="AK18" s="15">
        <f t="shared" si="5"/>
        <v>-296590.90909090912</v>
      </c>
      <c r="AL18" s="15">
        <f t="shared" si="5"/>
        <v>-296590.90909090912</v>
      </c>
      <c r="AM18" s="15">
        <f t="shared" si="5"/>
        <v>-296590.90909090912</v>
      </c>
      <c r="AN18" s="15">
        <f t="shared" si="5"/>
        <v>-296590.90909090912</v>
      </c>
      <c r="AO18" s="15">
        <f t="shared" si="5"/>
        <v>-296590.90909090912</v>
      </c>
      <c r="AP18" s="15">
        <f t="shared" si="5"/>
        <v>-296590.90909090912</v>
      </c>
      <c r="AQ18" s="15">
        <f t="shared" si="5"/>
        <v>-296590.90909090912</v>
      </c>
      <c r="AR18" s="15">
        <f t="shared" si="5"/>
        <v>-296590.90909090912</v>
      </c>
      <c r="AS18" s="15">
        <f t="shared" si="5"/>
        <v>-296590.90909090912</v>
      </c>
      <c r="AT18" s="15">
        <f t="shared" si="5"/>
        <v>-296590.90909090912</v>
      </c>
      <c r="AU18" s="15">
        <f t="shared" si="5"/>
        <v>-296590.90909090912</v>
      </c>
      <c r="AV18" s="15">
        <f t="shared" si="5"/>
        <v>-296590.90909090912</v>
      </c>
      <c r="AW18" s="15">
        <f t="shared" si="5"/>
        <v>-296590.90909090912</v>
      </c>
      <c r="AX18" s="15">
        <f t="shared" si="5"/>
        <v>-296590.90909090912</v>
      </c>
      <c r="AY18" s="15">
        <f t="shared" si="5"/>
        <v>-296590.90909090912</v>
      </c>
      <c r="AZ18" s="15">
        <f t="shared" si="5"/>
        <v>-296590.90909090912</v>
      </c>
      <c r="BA18" s="15">
        <f t="shared" si="5"/>
        <v>-296590.90909090912</v>
      </c>
      <c r="BB18" s="15">
        <f t="shared" si="5"/>
        <v>-27900000</v>
      </c>
      <c r="BC18" s="15">
        <f t="shared" si="2"/>
        <v>-36000000</v>
      </c>
    </row>
    <row r="19" spans="1:55" x14ac:dyDescent="0.25">
      <c r="A19" s="16" t="s">
        <v>42</v>
      </c>
      <c r="B19" s="17"/>
      <c r="C19" s="18">
        <v>-0.1</v>
      </c>
      <c r="D19" s="16" t="s">
        <v>17</v>
      </c>
      <c r="E19" s="17">
        <f>B10*C19</f>
        <v>-30000000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7">
        <f>C19*E12</f>
        <v>-12000000</v>
      </c>
      <c r="V19" s="16"/>
      <c r="W19" s="16"/>
      <c r="X19" s="16"/>
      <c r="Y19" s="16"/>
      <c r="Z19" s="16"/>
      <c r="AA19" s="16"/>
      <c r="AB19" s="16"/>
      <c r="AC19" s="16"/>
      <c r="AD19" s="17">
        <f>C19*E13</f>
        <v>-15000000</v>
      </c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7">
        <f>C19*E14</f>
        <v>-3000000</v>
      </c>
      <c r="BC19" s="17">
        <f t="shared" si="2"/>
        <v>-30000000</v>
      </c>
    </row>
    <row r="20" spans="1:55" x14ac:dyDescent="0.25">
      <c r="A20" s="19" t="s">
        <v>44</v>
      </c>
      <c r="B20" s="15"/>
      <c r="E20" s="15">
        <f>SUM(E12:E19)</f>
        <v>63591813.135636166</v>
      </c>
      <c r="F20" s="15">
        <f t="shared" ref="F20:BC20" si="6">SUM(F12:F19)</f>
        <v>-51424392.688363843</v>
      </c>
      <c r="G20" s="15">
        <f t="shared" si="6"/>
        <v>0</v>
      </c>
      <c r="H20" s="15">
        <f t="shared" si="6"/>
        <v>0</v>
      </c>
      <c r="I20" s="15">
        <f t="shared" si="6"/>
        <v>0</v>
      </c>
      <c r="J20" s="15">
        <f t="shared" si="6"/>
        <v>0</v>
      </c>
      <c r="K20" s="15">
        <f t="shared" si="6"/>
        <v>0</v>
      </c>
      <c r="L20" s="15">
        <f t="shared" si="6"/>
        <v>-4576299.7759999996</v>
      </c>
      <c r="M20" s="15">
        <f t="shared" si="6"/>
        <v>0</v>
      </c>
      <c r="N20" s="15">
        <f t="shared" si="6"/>
        <v>0</v>
      </c>
      <c r="O20" s="15">
        <f t="shared" si="6"/>
        <v>0</v>
      </c>
      <c r="P20" s="15">
        <f t="shared" si="6"/>
        <v>0</v>
      </c>
      <c r="Q20" s="15">
        <f t="shared" si="6"/>
        <v>0</v>
      </c>
      <c r="R20" s="15">
        <f t="shared" si="6"/>
        <v>0</v>
      </c>
      <c r="S20" s="15">
        <f t="shared" si="6"/>
        <v>0</v>
      </c>
      <c r="T20" s="15">
        <f t="shared" si="6"/>
        <v>0</v>
      </c>
      <c r="U20" s="15">
        <f t="shared" si="6"/>
        <v>-11200000</v>
      </c>
      <c r="V20" s="15">
        <f t="shared" si="6"/>
        <v>800000</v>
      </c>
      <c r="W20" s="15">
        <f t="shared" si="6"/>
        <v>800000</v>
      </c>
      <c r="X20" s="15">
        <f t="shared" si="6"/>
        <v>800000</v>
      </c>
      <c r="Y20" s="15">
        <f t="shared" si="6"/>
        <v>800000</v>
      </c>
      <c r="Z20" s="15">
        <f t="shared" si="6"/>
        <v>800000</v>
      </c>
      <c r="AA20" s="15">
        <f t="shared" si="6"/>
        <v>800000</v>
      </c>
      <c r="AB20" s="15">
        <f t="shared" si="6"/>
        <v>800000</v>
      </c>
      <c r="AC20" s="15">
        <f t="shared" si="6"/>
        <v>800000</v>
      </c>
      <c r="AD20" s="15">
        <f t="shared" si="6"/>
        <v>-17591978.933333334</v>
      </c>
      <c r="AE20" s="15">
        <f t="shared" si="6"/>
        <v>-2591978.9333333327</v>
      </c>
      <c r="AF20" s="15">
        <f t="shared" si="6"/>
        <v>-2591978.9333333327</v>
      </c>
      <c r="AG20" s="15">
        <f t="shared" si="6"/>
        <v>-2591978.9333333327</v>
      </c>
      <c r="AH20" s="15">
        <f t="shared" si="6"/>
        <v>-2591978.9333333327</v>
      </c>
      <c r="AI20" s="15">
        <f t="shared" si="6"/>
        <v>-2591978.9333333327</v>
      </c>
      <c r="AJ20" s="15">
        <f t="shared" si="6"/>
        <v>-2591978.9333333327</v>
      </c>
      <c r="AK20" s="15">
        <f t="shared" si="6"/>
        <v>-2591978.9333333327</v>
      </c>
      <c r="AL20" s="15">
        <f t="shared" si="6"/>
        <v>-2591978.9333333327</v>
      </c>
      <c r="AM20" s="15">
        <f t="shared" si="6"/>
        <v>-2591978.9333333327</v>
      </c>
      <c r="AN20" s="15">
        <f t="shared" si="6"/>
        <v>-2591978.9333333327</v>
      </c>
      <c r="AO20" s="15">
        <f t="shared" si="6"/>
        <v>-2591978.9333333327</v>
      </c>
      <c r="AP20" s="15">
        <f t="shared" si="6"/>
        <v>-2591978.9333333327</v>
      </c>
      <c r="AQ20" s="15">
        <f t="shared" si="6"/>
        <v>-2591978.9333333327</v>
      </c>
      <c r="AR20" s="15">
        <f t="shared" si="6"/>
        <v>-2591978.9333333327</v>
      </c>
      <c r="AS20" s="15">
        <f t="shared" si="6"/>
        <v>-2591978.9333333327</v>
      </c>
      <c r="AT20" s="15">
        <f t="shared" si="6"/>
        <v>-2591978.9333333327</v>
      </c>
      <c r="AU20" s="15">
        <f t="shared" si="6"/>
        <v>-2591978.9333333327</v>
      </c>
      <c r="AV20" s="15">
        <f t="shared" si="6"/>
        <v>-2591978.9333333327</v>
      </c>
      <c r="AW20" s="15">
        <f t="shared" si="6"/>
        <v>-2591978.9333333327</v>
      </c>
      <c r="AX20" s="15">
        <f t="shared" si="6"/>
        <v>-2591978.9333333327</v>
      </c>
      <c r="AY20" s="15">
        <f t="shared" si="6"/>
        <v>-2591978.9333333327</v>
      </c>
      <c r="AZ20" s="15">
        <f t="shared" si="6"/>
        <v>-2591978.9333333327</v>
      </c>
      <c r="BA20" s="15">
        <f t="shared" si="6"/>
        <v>-2591978.9333333327</v>
      </c>
      <c r="BB20" s="15">
        <f t="shared" si="6"/>
        <v>201600000</v>
      </c>
      <c r="BC20" s="15">
        <f t="shared" si="6"/>
        <v>63591813.135636151</v>
      </c>
    </row>
    <row r="21" spans="1:55" x14ac:dyDescent="0.25">
      <c r="A21" s="19" t="s">
        <v>48</v>
      </c>
      <c r="B21" s="15"/>
      <c r="E21" s="23">
        <f>E20/B10</f>
        <v>0.21197271045212054</v>
      </c>
    </row>
    <row r="22" spans="1:55" x14ac:dyDescent="0.25">
      <c r="A22" t="s">
        <v>45</v>
      </c>
      <c r="B22" s="15"/>
      <c r="E22" s="20">
        <f>NPV(E1,G20:BB20)+F20</f>
        <v>0</v>
      </c>
    </row>
    <row r="23" spans="1:55" x14ac:dyDescent="0.25">
      <c r="A23" t="s">
        <v>46</v>
      </c>
    </row>
    <row r="24" spans="1:55" x14ac:dyDescent="0.25">
      <c r="A24" t="s">
        <v>49</v>
      </c>
      <c r="E24" s="24" t="e">
        <f>IRR(F20:BB20)</f>
        <v>#DIV/0!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FF665-37F6-497D-8ACE-662F5BD84825}">
  <dimension ref="A1:BC24"/>
  <sheetViews>
    <sheetView topLeftCell="A4" workbookViewId="0">
      <selection activeCell="H7" sqref="H7"/>
    </sheetView>
  </sheetViews>
  <sheetFormatPr defaultRowHeight="15" x14ac:dyDescent="0.25"/>
  <cols>
    <col min="1" max="1" width="15" customWidth="1"/>
    <col min="2" max="2" width="12.28515625" bestFit="1" customWidth="1"/>
    <col min="5" max="5" width="16.140625" bestFit="1" customWidth="1"/>
    <col min="6" max="6" width="11.28515625" bestFit="1" customWidth="1"/>
    <col min="12" max="12" width="10.28515625" bestFit="1" customWidth="1"/>
    <col min="21" max="21" width="11.5703125" bestFit="1" customWidth="1"/>
    <col min="30" max="30" width="12.28515625" bestFit="1" customWidth="1"/>
    <col min="31" max="31" width="10.28515625" bestFit="1" customWidth="1"/>
    <col min="53" max="53" width="10.28515625" bestFit="1" customWidth="1"/>
    <col min="54" max="54" width="12.5703125" bestFit="1" customWidth="1"/>
    <col min="55" max="55" width="12.28515625" bestFit="1" customWidth="1"/>
    <col min="56" max="56" width="11.5703125" bestFit="1" customWidth="1"/>
  </cols>
  <sheetData>
    <row r="1" spans="1:55" x14ac:dyDescent="0.25">
      <c r="A1" t="s">
        <v>0</v>
      </c>
      <c r="C1" s="4">
        <v>0.1</v>
      </c>
      <c r="D1" t="s">
        <v>1</v>
      </c>
      <c r="E1" s="2">
        <f>((1+C1)^(1/12))-1</f>
        <v>7.9741404289037643E-3</v>
      </c>
      <c r="F1" t="s">
        <v>2</v>
      </c>
    </row>
    <row r="2" spans="1:55" x14ac:dyDescent="0.25">
      <c r="A2" t="s">
        <v>3</v>
      </c>
      <c r="B2" s="3">
        <v>10000</v>
      </c>
      <c r="C2" t="s">
        <v>4</v>
      </c>
    </row>
    <row r="3" spans="1:55" x14ac:dyDescent="0.25">
      <c r="A3" t="s">
        <v>5</v>
      </c>
      <c r="B3" s="3">
        <v>4</v>
      </c>
    </row>
    <row r="4" spans="1:55" x14ac:dyDescent="0.25">
      <c r="A4" t="s">
        <v>6</v>
      </c>
      <c r="B4">
        <f>B2*B3</f>
        <v>40000</v>
      </c>
    </row>
    <row r="5" spans="1:55" x14ac:dyDescent="0.25">
      <c r="A5" t="s">
        <v>7</v>
      </c>
      <c r="B5" s="3">
        <v>1.6</v>
      </c>
      <c r="F5">
        <v>-5978.7424189256944</v>
      </c>
      <c r="G5" t="s">
        <v>13</v>
      </c>
    </row>
    <row r="6" spans="1:55" x14ac:dyDescent="0.25">
      <c r="A6" t="s">
        <v>8</v>
      </c>
      <c r="B6">
        <f>B4*B5</f>
        <v>64000</v>
      </c>
      <c r="C6" t="s">
        <v>4</v>
      </c>
      <c r="F6" s="16">
        <v>-6948.1700094208154</v>
      </c>
    </row>
    <row r="7" spans="1:55" ht="18.75" x14ac:dyDescent="0.3">
      <c r="A7" t="s">
        <v>9</v>
      </c>
      <c r="B7" s="3">
        <v>-6948.1700094208154</v>
      </c>
      <c r="C7" s="5" t="s">
        <v>10</v>
      </c>
      <c r="E7" s="21" t="s">
        <v>47</v>
      </c>
      <c r="F7" s="21">
        <f>F5-F6</f>
        <v>969.42759049512097</v>
      </c>
      <c r="G7" s="26">
        <f>F7/F5</f>
        <v>-0.16214573610436875</v>
      </c>
    </row>
    <row r="8" spans="1:55" x14ac:dyDescent="0.25">
      <c r="A8" t="s">
        <v>11</v>
      </c>
      <c r="B8" s="6">
        <f>-'$Constr'!B10</f>
        <v>-1787.6170999999999</v>
      </c>
      <c r="C8" t="s">
        <v>13</v>
      </c>
    </row>
    <row r="9" spans="1:55" x14ac:dyDescent="0.25">
      <c r="A9" t="s">
        <v>12</v>
      </c>
      <c r="B9" s="3">
        <v>7500</v>
      </c>
      <c r="C9" t="s">
        <v>13</v>
      </c>
    </row>
    <row r="10" spans="1:55" x14ac:dyDescent="0.25">
      <c r="A10" t="s">
        <v>17</v>
      </c>
      <c r="B10">
        <f>B4*B9</f>
        <v>300000000</v>
      </c>
    </row>
    <row r="11" spans="1:55" x14ac:dyDescent="0.25">
      <c r="A11" s="7" t="s">
        <v>14</v>
      </c>
      <c r="B11" s="7" t="s">
        <v>15</v>
      </c>
      <c r="C11" s="7" t="s">
        <v>27</v>
      </c>
      <c r="D11" s="7" t="s">
        <v>28</v>
      </c>
      <c r="E11" s="7" t="s">
        <v>16</v>
      </c>
      <c r="F11" s="7">
        <v>0</v>
      </c>
      <c r="G11" s="7">
        <v>1</v>
      </c>
      <c r="H11" s="7">
        <v>2</v>
      </c>
      <c r="I11" s="7">
        <v>3</v>
      </c>
      <c r="J11" s="7">
        <v>4</v>
      </c>
      <c r="K11" s="7">
        <v>5</v>
      </c>
      <c r="L11" s="7">
        <v>6</v>
      </c>
      <c r="M11" s="7">
        <v>7</v>
      </c>
      <c r="N11" s="7">
        <v>8</v>
      </c>
      <c r="O11" s="7">
        <v>9</v>
      </c>
      <c r="P11" s="7">
        <v>10</v>
      </c>
      <c r="Q11" s="7">
        <v>11</v>
      </c>
      <c r="R11" s="7">
        <v>12</v>
      </c>
      <c r="S11" s="7">
        <v>13</v>
      </c>
      <c r="T11" s="7">
        <v>14</v>
      </c>
      <c r="U11" s="7">
        <v>15</v>
      </c>
      <c r="V11" s="7">
        <v>16</v>
      </c>
      <c r="W11" s="7">
        <v>17</v>
      </c>
      <c r="X11" s="7">
        <v>18</v>
      </c>
      <c r="Y11" s="7">
        <v>19</v>
      </c>
      <c r="Z11" s="7">
        <v>20</v>
      </c>
      <c r="AA11" s="7">
        <v>21</v>
      </c>
      <c r="AB11" s="7">
        <v>22</v>
      </c>
      <c r="AC11" s="7">
        <v>23</v>
      </c>
      <c r="AD11" s="7">
        <v>24</v>
      </c>
      <c r="AE11" s="7">
        <v>25</v>
      </c>
      <c r="AF11" s="7">
        <v>26</v>
      </c>
      <c r="AG11" s="7">
        <v>27</v>
      </c>
      <c r="AH11" s="7">
        <v>28</v>
      </c>
      <c r="AI11" s="7">
        <v>29</v>
      </c>
      <c r="AJ11" s="7">
        <v>30</v>
      </c>
      <c r="AK11" s="7">
        <v>31</v>
      </c>
      <c r="AL11" s="7">
        <v>32</v>
      </c>
      <c r="AM11" s="7">
        <v>33</v>
      </c>
      <c r="AN11" s="7">
        <v>34</v>
      </c>
      <c r="AO11" s="7">
        <v>35</v>
      </c>
      <c r="AP11" s="7">
        <v>36</v>
      </c>
      <c r="AQ11" s="7">
        <v>37</v>
      </c>
      <c r="AR11" s="7">
        <v>38</v>
      </c>
      <c r="AS11" s="7">
        <v>39</v>
      </c>
      <c r="AT11" s="7">
        <v>40</v>
      </c>
      <c r="AU11" s="7">
        <v>41</v>
      </c>
      <c r="AV11" s="7">
        <v>42</v>
      </c>
      <c r="AW11" s="7">
        <v>43</v>
      </c>
      <c r="AX11" s="7">
        <v>44</v>
      </c>
      <c r="AY11" s="7">
        <v>45</v>
      </c>
      <c r="AZ11" s="7">
        <v>46</v>
      </c>
      <c r="BA11" s="7">
        <v>47</v>
      </c>
      <c r="BB11" s="7">
        <v>48</v>
      </c>
      <c r="BC11" t="s">
        <v>16</v>
      </c>
    </row>
    <row r="12" spans="1:55" x14ac:dyDescent="0.25">
      <c r="A12" t="s">
        <v>24</v>
      </c>
      <c r="B12" s="15">
        <f>B10*Pagamentos!B2</f>
        <v>120000000</v>
      </c>
      <c r="C12" s="1">
        <v>0.4</v>
      </c>
      <c r="D12" t="s">
        <v>17</v>
      </c>
      <c r="E12" s="15">
        <f>C12*B10</f>
        <v>120000000</v>
      </c>
      <c r="U12" s="15">
        <f>E12*Pagamentos!C2/33</f>
        <v>909090.90909090906</v>
      </c>
      <c r="V12" s="15">
        <f>U12</f>
        <v>909090.90909090906</v>
      </c>
      <c r="W12" s="15">
        <f t="shared" ref="W12:AL13" si="0">V12</f>
        <v>909090.90909090906</v>
      </c>
      <c r="X12" s="15">
        <f t="shared" si="0"/>
        <v>909090.90909090906</v>
      </c>
      <c r="Y12" s="15">
        <f t="shared" si="0"/>
        <v>909090.90909090906</v>
      </c>
      <c r="Z12" s="15">
        <f t="shared" si="0"/>
        <v>909090.90909090906</v>
      </c>
      <c r="AA12" s="15">
        <f t="shared" si="0"/>
        <v>909090.90909090906</v>
      </c>
      <c r="AB12" s="15">
        <f t="shared" si="0"/>
        <v>909090.90909090906</v>
      </c>
      <c r="AC12" s="15">
        <f t="shared" si="0"/>
        <v>909090.90909090906</v>
      </c>
      <c r="AD12" s="15">
        <f t="shared" si="0"/>
        <v>909090.90909090906</v>
      </c>
      <c r="AE12" s="15">
        <f t="shared" si="0"/>
        <v>909090.90909090906</v>
      </c>
      <c r="AF12" s="15">
        <f t="shared" si="0"/>
        <v>909090.90909090906</v>
      </c>
      <c r="AG12" s="15">
        <f t="shared" si="0"/>
        <v>909090.90909090906</v>
      </c>
      <c r="AH12" s="15">
        <f t="shared" si="0"/>
        <v>909090.90909090906</v>
      </c>
      <c r="AI12" s="15">
        <f t="shared" si="0"/>
        <v>909090.90909090906</v>
      </c>
      <c r="AJ12" s="15">
        <f t="shared" si="0"/>
        <v>909090.90909090906</v>
      </c>
      <c r="AK12" s="15">
        <f t="shared" si="0"/>
        <v>909090.90909090906</v>
      </c>
      <c r="AL12" s="15">
        <f t="shared" si="0"/>
        <v>909090.90909090906</v>
      </c>
      <c r="AM12" s="15">
        <f t="shared" ref="AM12:BA13" si="1">AL12</f>
        <v>909090.90909090906</v>
      </c>
      <c r="AN12" s="15">
        <f t="shared" si="1"/>
        <v>909090.90909090906</v>
      </c>
      <c r="AO12" s="15">
        <f t="shared" si="1"/>
        <v>909090.90909090906</v>
      </c>
      <c r="AP12" s="15">
        <f t="shared" si="1"/>
        <v>909090.90909090906</v>
      </c>
      <c r="AQ12" s="15">
        <f t="shared" si="1"/>
        <v>909090.90909090906</v>
      </c>
      <c r="AR12" s="15">
        <f t="shared" si="1"/>
        <v>909090.90909090906</v>
      </c>
      <c r="AS12" s="15">
        <f t="shared" si="1"/>
        <v>909090.90909090906</v>
      </c>
      <c r="AT12" s="15">
        <f t="shared" si="1"/>
        <v>909090.90909090906</v>
      </c>
      <c r="AU12" s="15">
        <f t="shared" si="1"/>
        <v>909090.90909090906</v>
      </c>
      <c r="AV12" s="15">
        <f t="shared" si="1"/>
        <v>909090.90909090906</v>
      </c>
      <c r="AW12" s="15">
        <f t="shared" si="1"/>
        <v>909090.90909090906</v>
      </c>
      <c r="AX12" s="15">
        <f t="shared" si="1"/>
        <v>909090.90909090906</v>
      </c>
      <c r="AY12" s="15">
        <f t="shared" si="1"/>
        <v>909090.90909090906</v>
      </c>
      <c r="AZ12" s="15">
        <f t="shared" si="1"/>
        <v>909090.90909090906</v>
      </c>
      <c r="BA12" s="15">
        <f t="shared" si="1"/>
        <v>909090.90909090906</v>
      </c>
      <c r="BB12" s="15">
        <f>E12*Pagamentos!D2</f>
        <v>90000000</v>
      </c>
      <c r="BC12" s="15">
        <f t="shared" ref="BC12:BC19" si="2">SUM(F12:BB12)</f>
        <v>120000000</v>
      </c>
    </row>
    <row r="13" spans="1:55" x14ac:dyDescent="0.25">
      <c r="A13" t="s">
        <v>25</v>
      </c>
      <c r="B13" s="15">
        <f>B10*Pagamentos!B3</f>
        <v>150000000</v>
      </c>
      <c r="C13" s="1">
        <v>0.5</v>
      </c>
      <c r="D13" t="s">
        <v>17</v>
      </c>
      <c r="E13" s="15">
        <f>C13*B10</f>
        <v>150000000</v>
      </c>
      <c r="AD13" s="15">
        <f>E13*Pagamentos!C3/24</f>
        <v>1562500</v>
      </c>
      <c r="AE13" s="15">
        <f>AD13</f>
        <v>1562500</v>
      </c>
      <c r="AF13" s="15">
        <f t="shared" si="0"/>
        <v>1562500</v>
      </c>
      <c r="AG13" s="15">
        <f t="shared" si="0"/>
        <v>1562500</v>
      </c>
      <c r="AH13" s="15">
        <f t="shared" si="0"/>
        <v>1562500</v>
      </c>
      <c r="AI13" s="15">
        <f t="shared" si="0"/>
        <v>1562500</v>
      </c>
      <c r="AJ13" s="15">
        <f t="shared" si="0"/>
        <v>1562500</v>
      </c>
      <c r="AK13" s="15">
        <f t="shared" si="0"/>
        <v>1562500</v>
      </c>
      <c r="AL13" s="15">
        <f t="shared" si="0"/>
        <v>1562500</v>
      </c>
      <c r="AM13" s="15">
        <f t="shared" si="1"/>
        <v>1562500</v>
      </c>
      <c r="AN13" s="15">
        <f t="shared" si="1"/>
        <v>1562500</v>
      </c>
      <c r="AO13" s="15">
        <f t="shared" si="1"/>
        <v>1562500</v>
      </c>
      <c r="AP13" s="15">
        <f t="shared" si="1"/>
        <v>1562500</v>
      </c>
      <c r="AQ13" s="15">
        <f t="shared" si="1"/>
        <v>1562500</v>
      </c>
      <c r="AR13" s="15">
        <f t="shared" si="1"/>
        <v>1562500</v>
      </c>
      <c r="AS13" s="15">
        <f t="shared" si="1"/>
        <v>1562500</v>
      </c>
      <c r="AT13" s="15">
        <f t="shared" si="1"/>
        <v>1562500</v>
      </c>
      <c r="AU13" s="15">
        <f t="shared" si="1"/>
        <v>1562500</v>
      </c>
      <c r="AV13" s="15">
        <f t="shared" si="1"/>
        <v>1562500</v>
      </c>
      <c r="AW13" s="15">
        <f t="shared" si="1"/>
        <v>1562500</v>
      </c>
      <c r="AX13" s="15">
        <f t="shared" si="1"/>
        <v>1562500</v>
      </c>
      <c r="AY13" s="15">
        <f t="shared" si="1"/>
        <v>1562500</v>
      </c>
      <c r="AZ13" s="15">
        <f t="shared" si="1"/>
        <v>1562500</v>
      </c>
      <c r="BA13" s="15">
        <f t="shared" si="1"/>
        <v>1562500</v>
      </c>
      <c r="BB13" s="15">
        <f>E13*Pagamentos!D3</f>
        <v>112500000</v>
      </c>
      <c r="BC13" s="15">
        <f t="shared" si="2"/>
        <v>150000000</v>
      </c>
    </row>
    <row r="14" spans="1:55" x14ac:dyDescent="0.25">
      <c r="A14" t="s">
        <v>26</v>
      </c>
      <c r="B14" s="15">
        <f>B10*Pagamentos!B4</f>
        <v>30000000</v>
      </c>
      <c r="C14" s="1">
        <v>0.1</v>
      </c>
      <c r="D14" t="s">
        <v>17</v>
      </c>
      <c r="E14" s="15">
        <f t="shared" ref="E14:E17" si="3">B14</f>
        <v>30000000</v>
      </c>
      <c r="BB14" s="15">
        <f>E14</f>
        <v>30000000</v>
      </c>
      <c r="BC14" s="15">
        <f t="shared" si="2"/>
        <v>30000000</v>
      </c>
    </row>
    <row r="15" spans="1:55" x14ac:dyDescent="0.25">
      <c r="A15" t="s">
        <v>29</v>
      </c>
      <c r="B15" s="15">
        <f>B7*B2</f>
        <v>-69481700.094208151</v>
      </c>
      <c r="E15" s="15">
        <f t="shared" si="3"/>
        <v>-69481700.094208151</v>
      </c>
      <c r="F15" s="15">
        <f>E15</f>
        <v>-69481700.094208151</v>
      </c>
      <c r="BC15" s="15">
        <f t="shared" si="2"/>
        <v>-69481700.094208151</v>
      </c>
    </row>
    <row r="16" spans="1:55" x14ac:dyDescent="0.25">
      <c r="A16" t="s">
        <v>30</v>
      </c>
      <c r="B16" s="15">
        <f>B8*B6</f>
        <v>-114407494.39999999</v>
      </c>
      <c r="E16" s="15">
        <f t="shared" si="3"/>
        <v>-114407494.39999999</v>
      </c>
      <c r="AD16" s="15">
        <f>E16/24</f>
        <v>-4766978.9333333327</v>
      </c>
      <c r="AE16" s="15">
        <f>AD16</f>
        <v>-4766978.9333333327</v>
      </c>
      <c r="AF16" s="15">
        <f t="shared" ref="AF16:BA16" si="4">AE16</f>
        <v>-4766978.9333333327</v>
      </c>
      <c r="AG16" s="15">
        <f t="shared" si="4"/>
        <v>-4766978.9333333327</v>
      </c>
      <c r="AH16" s="15">
        <f t="shared" si="4"/>
        <v>-4766978.9333333327</v>
      </c>
      <c r="AI16" s="15">
        <f t="shared" si="4"/>
        <v>-4766978.9333333327</v>
      </c>
      <c r="AJ16" s="15">
        <f t="shared" si="4"/>
        <v>-4766978.9333333327</v>
      </c>
      <c r="AK16" s="15">
        <f t="shared" si="4"/>
        <v>-4766978.9333333327</v>
      </c>
      <c r="AL16" s="15">
        <f t="shared" si="4"/>
        <v>-4766978.9333333327</v>
      </c>
      <c r="AM16" s="15">
        <f t="shared" si="4"/>
        <v>-4766978.9333333327</v>
      </c>
      <c r="AN16" s="15">
        <f t="shared" si="4"/>
        <v>-4766978.9333333327</v>
      </c>
      <c r="AO16" s="15">
        <f t="shared" si="4"/>
        <v>-4766978.9333333327</v>
      </c>
      <c r="AP16" s="15">
        <f t="shared" si="4"/>
        <v>-4766978.9333333327</v>
      </c>
      <c r="AQ16" s="15">
        <f t="shared" si="4"/>
        <v>-4766978.9333333327</v>
      </c>
      <c r="AR16" s="15">
        <f t="shared" si="4"/>
        <v>-4766978.9333333327</v>
      </c>
      <c r="AS16" s="15">
        <f t="shared" si="4"/>
        <v>-4766978.9333333327</v>
      </c>
      <c r="AT16" s="15">
        <f t="shared" si="4"/>
        <v>-4766978.9333333327</v>
      </c>
      <c r="AU16" s="15">
        <f t="shared" si="4"/>
        <v>-4766978.9333333327</v>
      </c>
      <c r="AV16" s="15">
        <f t="shared" si="4"/>
        <v>-4766978.9333333327</v>
      </c>
      <c r="AW16" s="15">
        <f t="shared" si="4"/>
        <v>-4766978.9333333327</v>
      </c>
      <c r="AX16" s="15">
        <f t="shared" si="4"/>
        <v>-4766978.9333333327</v>
      </c>
      <c r="AY16" s="15">
        <f t="shared" si="4"/>
        <v>-4766978.9333333327</v>
      </c>
      <c r="AZ16" s="15">
        <f t="shared" si="4"/>
        <v>-4766978.9333333327</v>
      </c>
      <c r="BA16" s="15">
        <f t="shared" si="4"/>
        <v>-4766978.9333333327</v>
      </c>
      <c r="BC16" s="15">
        <f t="shared" si="2"/>
        <v>-114407494.40000001</v>
      </c>
    </row>
    <row r="17" spans="1:55" x14ac:dyDescent="0.25">
      <c r="A17" t="s">
        <v>31</v>
      </c>
      <c r="B17" s="15">
        <f>B16*C17</f>
        <v>-4576299.7759999996</v>
      </c>
      <c r="C17" s="1">
        <v>0.04</v>
      </c>
      <c r="D17" t="s">
        <v>40</v>
      </c>
      <c r="E17" s="15">
        <f t="shared" si="3"/>
        <v>-4576299.7759999996</v>
      </c>
      <c r="L17" s="15">
        <f>E17</f>
        <v>-4576299.7759999996</v>
      </c>
      <c r="BC17" s="15">
        <f t="shared" si="2"/>
        <v>-4576299.7759999996</v>
      </c>
    </row>
    <row r="18" spans="1:55" x14ac:dyDescent="0.25">
      <c r="A18" t="s">
        <v>41</v>
      </c>
      <c r="B18" s="15"/>
      <c r="C18" s="1">
        <v>-0.12</v>
      </c>
      <c r="D18" t="s">
        <v>17</v>
      </c>
      <c r="E18" s="15">
        <f>--B10*C18</f>
        <v>-36000000</v>
      </c>
      <c r="F18" s="15">
        <f>SUM(F12:F14)*$C$18</f>
        <v>0</v>
      </c>
      <c r="G18" s="15">
        <f t="shared" ref="G18:BB18" si="5">SUM(G12:G14)*$C$18</f>
        <v>0</v>
      </c>
      <c r="H18" s="15">
        <f t="shared" si="5"/>
        <v>0</v>
      </c>
      <c r="I18" s="15">
        <f t="shared" si="5"/>
        <v>0</v>
      </c>
      <c r="J18" s="15">
        <f t="shared" si="5"/>
        <v>0</v>
      </c>
      <c r="K18" s="15">
        <f t="shared" si="5"/>
        <v>0</v>
      </c>
      <c r="L18" s="15">
        <f t="shared" si="5"/>
        <v>0</v>
      </c>
      <c r="M18" s="15">
        <f t="shared" si="5"/>
        <v>0</v>
      </c>
      <c r="N18" s="15">
        <f t="shared" si="5"/>
        <v>0</v>
      </c>
      <c r="O18" s="15">
        <f t="shared" si="5"/>
        <v>0</v>
      </c>
      <c r="P18" s="15">
        <f t="shared" si="5"/>
        <v>0</v>
      </c>
      <c r="Q18" s="15">
        <f t="shared" si="5"/>
        <v>0</v>
      </c>
      <c r="R18" s="15">
        <f t="shared" si="5"/>
        <v>0</v>
      </c>
      <c r="S18" s="15">
        <f t="shared" si="5"/>
        <v>0</v>
      </c>
      <c r="T18" s="15">
        <f t="shared" si="5"/>
        <v>0</v>
      </c>
      <c r="U18" s="15">
        <f>SUM(U12:U14)*$C$18</f>
        <v>-109090.90909090909</v>
      </c>
      <c r="V18" s="15">
        <f t="shared" si="5"/>
        <v>-109090.90909090909</v>
      </c>
      <c r="W18" s="15">
        <f t="shared" si="5"/>
        <v>-109090.90909090909</v>
      </c>
      <c r="X18" s="15">
        <f t="shared" si="5"/>
        <v>-109090.90909090909</v>
      </c>
      <c r="Y18" s="15">
        <f t="shared" si="5"/>
        <v>-109090.90909090909</v>
      </c>
      <c r="Z18" s="15">
        <f t="shared" si="5"/>
        <v>-109090.90909090909</v>
      </c>
      <c r="AA18" s="15">
        <f t="shared" si="5"/>
        <v>-109090.90909090909</v>
      </c>
      <c r="AB18" s="15">
        <f t="shared" si="5"/>
        <v>-109090.90909090909</v>
      </c>
      <c r="AC18" s="15">
        <f t="shared" si="5"/>
        <v>-109090.90909090909</v>
      </c>
      <c r="AD18" s="15">
        <f t="shared" si="5"/>
        <v>-296590.90909090912</v>
      </c>
      <c r="AE18" s="15">
        <f t="shared" si="5"/>
        <v>-296590.90909090912</v>
      </c>
      <c r="AF18" s="15">
        <f t="shared" si="5"/>
        <v>-296590.90909090912</v>
      </c>
      <c r="AG18" s="15">
        <f t="shared" si="5"/>
        <v>-296590.90909090912</v>
      </c>
      <c r="AH18" s="15">
        <f t="shared" si="5"/>
        <v>-296590.90909090912</v>
      </c>
      <c r="AI18" s="15">
        <f t="shared" si="5"/>
        <v>-296590.90909090912</v>
      </c>
      <c r="AJ18" s="15">
        <f t="shared" si="5"/>
        <v>-296590.90909090912</v>
      </c>
      <c r="AK18" s="15">
        <f t="shared" si="5"/>
        <v>-296590.90909090912</v>
      </c>
      <c r="AL18" s="15">
        <f t="shared" si="5"/>
        <v>-296590.90909090912</v>
      </c>
      <c r="AM18" s="15">
        <f t="shared" si="5"/>
        <v>-296590.90909090912</v>
      </c>
      <c r="AN18" s="15">
        <f t="shared" si="5"/>
        <v>-296590.90909090912</v>
      </c>
      <c r="AO18" s="15">
        <f t="shared" si="5"/>
        <v>-296590.90909090912</v>
      </c>
      <c r="AP18" s="15">
        <f t="shared" si="5"/>
        <v>-296590.90909090912</v>
      </c>
      <c r="AQ18" s="15">
        <f t="shared" si="5"/>
        <v>-296590.90909090912</v>
      </c>
      <c r="AR18" s="15">
        <f t="shared" si="5"/>
        <v>-296590.90909090912</v>
      </c>
      <c r="AS18" s="15">
        <f t="shared" si="5"/>
        <v>-296590.90909090912</v>
      </c>
      <c r="AT18" s="15">
        <f t="shared" si="5"/>
        <v>-296590.90909090912</v>
      </c>
      <c r="AU18" s="15">
        <f t="shared" si="5"/>
        <v>-296590.90909090912</v>
      </c>
      <c r="AV18" s="15">
        <f t="shared" si="5"/>
        <v>-296590.90909090912</v>
      </c>
      <c r="AW18" s="15">
        <f t="shared" si="5"/>
        <v>-296590.90909090912</v>
      </c>
      <c r="AX18" s="15">
        <f t="shared" si="5"/>
        <v>-296590.90909090912</v>
      </c>
      <c r="AY18" s="15">
        <f t="shared" si="5"/>
        <v>-296590.90909090912</v>
      </c>
      <c r="AZ18" s="15">
        <f t="shared" si="5"/>
        <v>-296590.90909090912</v>
      </c>
      <c r="BA18" s="15">
        <f t="shared" si="5"/>
        <v>-296590.90909090912</v>
      </c>
      <c r="BB18" s="15">
        <f t="shared" si="5"/>
        <v>-27900000</v>
      </c>
      <c r="BC18" s="15">
        <f t="shared" si="2"/>
        <v>-36000000</v>
      </c>
    </row>
    <row r="19" spans="1:55" x14ac:dyDescent="0.25">
      <c r="A19" s="16" t="s">
        <v>42</v>
      </c>
      <c r="B19" s="17"/>
      <c r="C19" s="18">
        <v>-0.1</v>
      </c>
      <c r="D19" s="16" t="s">
        <v>17</v>
      </c>
      <c r="E19" s="17">
        <f>B10*C19</f>
        <v>-30000000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7">
        <f>C19*E12</f>
        <v>-12000000</v>
      </c>
      <c r="V19" s="16"/>
      <c r="W19" s="16"/>
      <c r="X19" s="16"/>
      <c r="Y19" s="16"/>
      <c r="Z19" s="16"/>
      <c r="AA19" s="16"/>
      <c r="AB19" s="16"/>
      <c r="AC19" s="16"/>
      <c r="AD19" s="17">
        <f>C19*E13</f>
        <v>-15000000</v>
      </c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7">
        <f>C19*E14</f>
        <v>-3000000</v>
      </c>
      <c r="BC19" s="17">
        <f t="shared" si="2"/>
        <v>-30000000</v>
      </c>
    </row>
    <row r="20" spans="1:55" x14ac:dyDescent="0.25">
      <c r="A20" s="19" t="s">
        <v>44</v>
      </c>
      <c r="B20" s="15"/>
      <c r="E20" s="15">
        <f>SUM(E12:E19)</f>
        <v>45534505.729791865</v>
      </c>
      <c r="F20" s="15">
        <f t="shared" ref="F20:BC20" si="6">SUM(F12:F19)</f>
        <v>-69481700.094208151</v>
      </c>
      <c r="G20" s="15">
        <f t="shared" si="6"/>
        <v>0</v>
      </c>
      <c r="H20" s="15">
        <f t="shared" si="6"/>
        <v>0</v>
      </c>
      <c r="I20" s="15">
        <f t="shared" si="6"/>
        <v>0</v>
      </c>
      <c r="J20" s="15">
        <f t="shared" si="6"/>
        <v>0</v>
      </c>
      <c r="K20" s="15">
        <f t="shared" si="6"/>
        <v>0</v>
      </c>
      <c r="L20" s="15">
        <f t="shared" si="6"/>
        <v>-4576299.7759999996</v>
      </c>
      <c r="M20" s="15">
        <f t="shared" si="6"/>
        <v>0</v>
      </c>
      <c r="N20" s="15">
        <f t="shared" si="6"/>
        <v>0</v>
      </c>
      <c r="O20" s="15">
        <f t="shared" si="6"/>
        <v>0</v>
      </c>
      <c r="P20" s="15">
        <f t="shared" si="6"/>
        <v>0</v>
      </c>
      <c r="Q20" s="15">
        <f t="shared" si="6"/>
        <v>0</v>
      </c>
      <c r="R20" s="15">
        <f t="shared" si="6"/>
        <v>0</v>
      </c>
      <c r="S20" s="15">
        <f t="shared" si="6"/>
        <v>0</v>
      </c>
      <c r="T20" s="15">
        <f t="shared" si="6"/>
        <v>0</v>
      </c>
      <c r="U20" s="15">
        <f t="shared" si="6"/>
        <v>-11200000</v>
      </c>
      <c r="V20" s="15">
        <f t="shared" si="6"/>
        <v>800000</v>
      </c>
      <c r="W20" s="15">
        <f t="shared" si="6"/>
        <v>800000</v>
      </c>
      <c r="X20" s="15">
        <f t="shared" si="6"/>
        <v>800000</v>
      </c>
      <c r="Y20" s="15">
        <f t="shared" si="6"/>
        <v>800000</v>
      </c>
      <c r="Z20" s="15">
        <f t="shared" si="6"/>
        <v>800000</v>
      </c>
      <c r="AA20" s="15">
        <f t="shared" si="6"/>
        <v>800000</v>
      </c>
      <c r="AB20" s="15">
        <f t="shared" si="6"/>
        <v>800000</v>
      </c>
      <c r="AC20" s="15">
        <f t="shared" si="6"/>
        <v>800000</v>
      </c>
      <c r="AD20" s="15">
        <f t="shared" si="6"/>
        <v>-17591978.933333334</v>
      </c>
      <c r="AE20" s="15">
        <f t="shared" si="6"/>
        <v>-2591978.9333333327</v>
      </c>
      <c r="AF20" s="15">
        <f t="shared" si="6"/>
        <v>-2591978.9333333327</v>
      </c>
      <c r="AG20" s="15">
        <f t="shared" si="6"/>
        <v>-2591978.9333333327</v>
      </c>
      <c r="AH20" s="15">
        <f t="shared" si="6"/>
        <v>-2591978.9333333327</v>
      </c>
      <c r="AI20" s="15">
        <f t="shared" si="6"/>
        <v>-2591978.9333333327</v>
      </c>
      <c r="AJ20" s="15">
        <f t="shared" si="6"/>
        <v>-2591978.9333333327</v>
      </c>
      <c r="AK20" s="15">
        <f t="shared" si="6"/>
        <v>-2591978.9333333327</v>
      </c>
      <c r="AL20" s="15">
        <f t="shared" si="6"/>
        <v>-2591978.9333333327</v>
      </c>
      <c r="AM20" s="15">
        <f t="shared" si="6"/>
        <v>-2591978.9333333327</v>
      </c>
      <c r="AN20" s="15">
        <f t="shared" si="6"/>
        <v>-2591978.9333333327</v>
      </c>
      <c r="AO20" s="15">
        <f t="shared" si="6"/>
        <v>-2591978.9333333327</v>
      </c>
      <c r="AP20" s="15">
        <f t="shared" si="6"/>
        <v>-2591978.9333333327</v>
      </c>
      <c r="AQ20" s="15">
        <f t="shared" si="6"/>
        <v>-2591978.9333333327</v>
      </c>
      <c r="AR20" s="15">
        <f t="shared" si="6"/>
        <v>-2591978.9333333327</v>
      </c>
      <c r="AS20" s="15">
        <f t="shared" si="6"/>
        <v>-2591978.9333333327</v>
      </c>
      <c r="AT20" s="15">
        <f t="shared" si="6"/>
        <v>-2591978.9333333327</v>
      </c>
      <c r="AU20" s="15">
        <f t="shared" si="6"/>
        <v>-2591978.9333333327</v>
      </c>
      <c r="AV20" s="15">
        <f t="shared" si="6"/>
        <v>-2591978.9333333327</v>
      </c>
      <c r="AW20" s="15">
        <f t="shared" si="6"/>
        <v>-2591978.9333333327</v>
      </c>
      <c r="AX20" s="15">
        <f t="shared" si="6"/>
        <v>-2591978.9333333327</v>
      </c>
      <c r="AY20" s="15">
        <f t="shared" si="6"/>
        <v>-2591978.9333333327</v>
      </c>
      <c r="AZ20" s="15">
        <f t="shared" si="6"/>
        <v>-2591978.9333333327</v>
      </c>
      <c r="BA20" s="15">
        <f t="shared" si="6"/>
        <v>-2591978.9333333327</v>
      </c>
      <c r="BB20" s="15">
        <f t="shared" si="6"/>
        <v>201600000</v>
      </c>
      <c r="BC20" s="15">
        <f t="shared" si="6"/>
        <v>45534505.72979185</v>
      </c>
    </row>
    <row r="21" spans="1:55" x14ac:dyDescent="0.25">
      <c r="A21" s="19" t="s">
        <v>48</v>
      </c>
      <c r="B21" s="15"/>
      <c r="E21" s="23">
        <f>E20/B10</f>
        <v>0.1517816857659729</v>
      </c>
    </row>
    <row r="22" spans="1:55" x14ac:dyDescent="0.25">
      <c r="A22" t="s">
        <v>45</v>
      </c>
      <c r="B22" s="15"/>
      <c r="E22" s="20">
        <f>NPV(E1,G20:BB20)+F20</f>
        <v>0</v>
      </c>
    </row>
    <row r="23" spans="1:55" x14ac:dyDescent="0.25">
      <c r="A23" t="s">
        <v>46</v>
      </c>
    </row>
    <row r="24" spans="1:55" x14ac:dyDescent="0.25">
      <c r="A24" t="s">
        <v>49</v>
      </c>
      <c r="E24" s="24">
        <f>IRR(F20:BB20)</f>
        <v>7.9741404289037643E-3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2FA8C-E19A-45F8-BFBD-8C82EA865862}">
  <dimension ref="A1:BC24"/>
  <sheetViews>
    <sheetView workbookViewId="0">
      <selection activeCell="G7" sqref="G7"/>
    </sheetView>
  </sheetViews>
  <sheetFormatPr defaultRowHeight="15" x14ac:dyDescent="0.25"/>
  <cols>
    <col min="1" max="1" width="15" customWidth="1"/>
    <col min="2" max="2" width="12.28515625" bestFit="1" customWidth="1"/>
    <col min="5" max="5" width="16.140625" bestFit="1" customWidth="1"/>
    <col min="6" max="6" width="11.28515625" bestFit="1" customWidth="1"/>
    <col min="12" max="12" width="10.28515625" bestFit="1" customWidth="1"/>
    <col min="21" max="21" width="11.5703125" bestFit="1" customWidth="1"/>
    <col min="30" max="30" width="12.28515625" bestFit="1" customWidth="1"/>
    <col min="31" max="31" width="10.28515625" bestFit="1" customWidth="1"/>
    <col min="53" max="53" width="10.28515625" bestFit="1" customWidth="1"/>
    <col min="54" max="54" width="12.5703125" bestFit="1" customWidth="1"/>
    <col min="55" max="55" width="12.28515625" bestFit="1" customWidth="1"/>
    <col min="56" max="56" width="11.5703125" bestFit="1" customWidth="1"/>
  </cols>
  <sheetData>
    <row r="1" spans="1:55" x14ac:dyDescent="0.25">
      <c r="A1" t="s">
        <v>0</v>
      </c>
      <c r="C1" s="4">
        <v>0.13</v>
      </c>
      <c r="D1" t="s">
        <v>1</v>
      </c>
      <c r="E1" s="2">
        <f>((1+C1)^(1/12))-1</f>
        <v>1.02368443581764E-2</v>
      </c>
      <c r="F1" t="s">
        <v>2</v>
      </c>
    </row>
    <row r="2" spans="1:55" x14ac:dyDescent="0.25">
      <c r="A2" t="s">
        <v>3</v>
      </c>
      <c r="B2" s="3">
        <v>10000</v>
      </c>
      <c r="C2" t="s">
        <v>4</v>
      </c>
    </row>
    <row r="3" spans="1:55" x14ac:dyDescent="0.25">
      <c r="A3" t="s">
        <v>5</v>
      </c>
      <c r="B3" s="3">
        <v>4</v>
      </c>
    </row>
    <row r="4" spans="1:55" x14ac:dyDescent="0.25">
      <c r="A4" t="s">
        <v>6</v>
      </c>
      <c r="B4">
        <f>B2*B3</f>
        <v>40000</v>
      </c>
    </row>
    <row r="5" spans="1:55" x14ac:dyDescent="0.25">
      <c r="A5" t="s">
        <v>7</v>
      </c>
      <c r="B5" s="3">
        <v>1.6</v>
      </c>
      <c r="F5">
        <v>-5978.7424189256944</v>
      </c>
      <c r="G5" t="s">
        <v>13</v>
      </c>
    </row>
    <row r="6" spans="1:55" x14ac:dyDescent="0.25">
      <c r="A6" t="s">
        <v>8</v>
      </c>
      <c r="B6">
        <f>B4*B5</f>
        <v>64000</v>
      </c>
      <c r="C6" t="s">
        <v>4</v>
      </c>
      <c r="F6" s="16">
        <v>-20377.301412805318</v>
      </c>
    </row>
    <row r="7" spans="1:55" ht="18.75" x14ac:dyDescent="0.3">
      <c r="A7" t="s">
        <v>9</v>
      </c>
      <c r="B7" s="3">
        <v>-20377.301412805318</v>
      </c>
      <c r="C7" s="5" t="s">
        <v>10</v>
      </c>
      <c r="E7" s="21" t="s">
        <v>47</v>
      </c>
      <c r="F7" s="27">
        <f>F6/F5</f>
        <v>3.4082922435830354</v>
      </c>
      <c r="G7" s="21"/>
    </row>
    <row r="8" spans="1:55" x14ac:dyDescent="0.25">
      <c r="A8" t="s">
        <v>11</v>
      </c>
      <c r="B8" s="6">
        <f>-'$Constr'!B10</f>
        <v>-1787.6170999999999</v>
      </c>
      <c r="C8" t="s">
        <v>13</v>
      </c>
    </row>
    <row r="9" spans="1:55" x14ac:dyDescent="0.25">
      <c r="A9" t="s">
        <v>12</v>
      </c>
      <c r="B9" s="3">
        <v>15000</v>
      </c>
      <c r="C9" t="s">
        <v>13</v>
      </c>
    </row>
    <row r="10" spans="1:55" x14ac:dyDescent="0.25">
      <c r="A10" t="s">
        <v>17</v>
      </c>
      <c r="B10">
        <f>B4*B9</f>
        <v>600000000</v>
      </c>
    </row>
    <row r="11" spans="1:55" x14ac:dyDescent="0.25">
      <c r="A11" s="7" t="s">
        <v>14</v>
      </c>
      <c r="B11" s="7" t="s">
        <v>15</v>
      </c>
      <c r="C11" s="7" t="s">
        <v>27</v>
      </c>
      <c r="D11" s="7" t="s">
        <v>28</v>
      </c>
      <c r="E11" s="7" t="s">
        <v>16</v>
      </c>
      <c r="F11" s="7">
        <v>0</v>
      </c>
      <c r="G11" s="7">
        <v>1</v>
      </c>
      <c r="H11" s="7">
        <v>2</v>
      </c>
      <c r="I11" s="7">
        <v>3</v>
      </c>
      <c r="J11" s="7">
        <v>4</v>
      </c>
      <c r="K11" s="7">
        <v>5</v>
      </c>
      <c r="L11" s="7">
        <v>6</v>
      </c>
      <c r="M11" s="7">
        <v>7</v>
      </c>
      <c r="N11" s="7">
        <v>8</v>
      </c>
      <c r="O11" s="7">
        <v>9</v>
      </c>
      <c r="P11" s="7">
        <v>10</v>
      </c>
      <c r="Q11" s="7">
        <v>11</v>
      </c>
      <c r="R11" s="7">
        <v>12</v>
      </c>
      <c r="S11" s="7">
        <v>13</v>
      </c>
      <c r="T11" s="7">
        <v>14</v>
      </c>
      <c r="U11" s="7">
        <v>15</v>
      </c>
      <c r="V11" s="7">
        <v>16</v>
      </c>
      <c r="W11" s="7">
        <v>17</v>
      </c>
      <c r="X11" s="7">
        <v>18</v>
      </c>
      <c r="Y11" s="7">
        <v>19</v>
      </c>
      <c r="Z11" s="7">
        <v>20</v>
      </c>
      <c r="AA11" s="7">
        <v>21</v>
      </c>
      <c r="AB11" s="7">
        <v>22</v>
      </c>
      <c r="AC11" s="7">
        <v>23</v>
      </c>
      <c r="AD11" s="7">
        <v>24</v>
      </c>
      <c r="AE11" s="7">
        <v>25</v>
      </c>
      <c r="AF11" s="7">
        <v>26</v>
      </c>
      <c r="AG11" s="7">
        <v>27</v>
      </c>
      <c r="AH11" s="7">
        <v>28</v>
      </c>
      <c r="AI11" s="7">
        <v>29</v>
      </c>
      <c r="AJ11" s="7">
        <v>30</v>
      </c>
      <c r="AK11" s="7">
        <v>31</v>
      </c>
      <c r="AL11" s="7">
        <v>32</v>
      </c>
      <c r="AM11" s="7">
        <v>33</v>
      </c>
      <c r="AN11" s="7">
        <v>34</v>
      </c>
      <c r="AO11" s="7">
        <v>35</v>
      </c>
      <c r="AP11" s="7">
        <v>36</v>
      </c>
      <c r="AQ11" s="7">
        <v>37</v>
      </c>
      <c r="AR11" s="7">
        <v>38</v>
      </c>
      <c r="AS11" s="7">
        <v>39</v>
      </c>
      <c r="AT11" s="7">
        <v>40</v>
      </c>
      <c r="AU11" s="7">
        <v>41</v>
      </c>
      <c r="AV11" s="7">
        <v>42</v>
      </c>
      <c r="AW11" s="7">
        <v>43</v>
      </c>
      <c r="AX11" s="7">
        <v>44</v>
      </c>
      <c r="AY11" s="7">
        <v>45</v>
      </c>
      <c r="AZ11" s="7">
        <v>46</v>
      </c>
      <c r="BA11" s="7">
        <v>47</v>
      </c>
      <c r="BB11" s="7">
        <v>48</v>
      </c>
      <c r="BC11" t="s">
        <v>16</v>
      </c>
    </row>
    <row r="12" spans="1:55" x14ac:dyDescent="0.25">
      <c r="A12" t="s">
        <v>24</v>
      </c>
      <c r="B12" s="15">
        <f>B10*Pagamentos!B2</f>
        <v>240000000</v>
      </c>
      <c r="C12" s="1">
        <v>0.4</v>
      </c>
      <c r="D12" t="s">
        <v>17</v>
      </c>
      <c r="E12" s="15">
        <f>C12*B10</f>
        <v>240000000</v>
      </c>
      <c r="U12" s="15">
        <f>E12*Pagamentos!C2/33</f>
        <v>1818181.8181818181</v>
      </c>
      <c r="V12" s="15">
        <f>U12</f>
        <v>1818181.8181818181</v>
      </c>
      <c r="W12" s="15">
        <f t="shared" ref="W12:AL13" si="0">V12</f>
        <v>1818181.8181818181</v>
      </c>
      <c r="X12" s="15">
        <f t="shared" si="0"/>
        <v>1818181.8181818181</v>
      </c>
      <c r="Y12" s="15">
        <f t="shared" si="0"/>
        <v>1818181.8181818181</v>
      </c>
      <c r="Z12" s="15">
        <f t="shared" si="0"/>
        <v>1818181.8181818181</v>
      </c>
      <c r="AA12" s="15">
        <f t="shared" si="0"/>
        <v>1818181.8181818181</v>
      </c>
      <c r="AB12" s="15">
        <f t="shared" si="0"/>
        <v>1818181.8181818181</v>
      </c>
      <c r="AC12" s="15">
        <f t="shared" si="0"/>
        <v>1818181.8181818181</v>
      </c>
      <c r="AD12" s="15">
        <f t="shared" si="0"/>
        <v>1818181.8181818181</v>
      </c>
      <c r="AE12" s="15">
        <f t="shared" si="0"/>
        <v>1818181.8181818181</v>
      </c>
      <c r="AF12" s="15">
        <f t="shared" si="0"/>
        <v>1818181.8181818181</v>
      </c>
      <c r="AG12" s="15">
        <f t="shared" si="0"/>
        <v>1818181.8181818181</v>
      </c>
      <c r="AH12" s="15">
        <f t="shared" si="0"/>
        <v>1818181.8181818181</v>
      </c>
      <c r="AI12" s="15">
        <f t="shared" si="0"/>
        <v>1818181.8181818181</v>
      </c>
      <c r="AJ12" s="15">
        <f t="shared" si="0"/>
        <v>1818181.8181818181</v>
      </c>
      <c r="AK12" s="15">
        <f t="shared" si="0"/>
        <v>1818181.8181818181</v>
      </c>
      <c r="AL12" s="15">
        <f t="shared" si="0"/>
        <v>1818181.8181818181</v>
      </c>
      <c r="AM12" s="15">
        <f t="shared" ref="AM12:BA13" si="1">AL12</f>
        <v>1818181.8181818181</v>
      </c>
      <c r="AN12" s="15">
        <f t="shared" si="1"/>
        <v>1818181.8181818181</v>
      </c>
      <c r="AO12" s="15">
        <f t="shared" si="1"/>
        <v>1818181.8181818181</v>
      </c>
      <c r="AP12" s="15">
        <f t="shared" si="1"/>
        <v>1818181.8181818181</v>
      </c>
      <c r="AQ12" s="15">
        <f t="shared" si="1"/>
        <v>1818181.8181818181</v>
      </c>
      <c r="AR12" s="15">
        <f t="shared" si="1"/>
        <v>1818181.8181818181</v>
      </c>
      <c r="AS12" s="15">
        <f t="shared" si="1"/>
        <v>1818181.8181818181</v>
      </c>
      <c r="AT12" s="15">
        <f t="shared" si="1"/>
        <v>1818181.8181818181</v>
      </c>
      <c r="AU12" s="15">
        <f t="shared" si="1"/>
        <v>1818181.8181818181</v>
      </c>
      <c r="AV12" s="15">
        <f t="shared" si="1"/>
        <v>1818181.8181818181</v>
      </c>
      <c r="AW12" s="15">
        <f t="shared" si="1"/>
        <v>1818181.8181818181</v>
      </c>
      <c r="AX12" s="15">
        <f t="shared" si="1"/>
        <v>1818181.8181818181</v>
      </c>
      <c r="AY12" s="15">
        <f t="shared" si="1"/>
        <v>1818181.8181818181</v>
      </c>
      <c r="AZ12" s="15">
        <f t="shared" si="1"/>
        <v>1818181.8181818181</v>
      </c>
      <c r="BA12" s="15">
        <f t="shared" si="1"/>
        <v>1818181.8181818181</v>
      </c>
      <c r="BB12" s="15">
        <f>E12*Pagamentos!D2</f>
        <v>180000000</v>
      </c>
      <c r="BC12" s="15">
        <f t="shared" ref="BC12:BC19" si="2">SUM(F12:BB12)</f>
        <v>240000000</v>
      </c>
    </row>
    <row r="13" spans="1:55" x14ac:dyDescent="0.25">
      <c r="A13" t="s">
        <v>25</v>
      </c>
      <c r="B13" s="15">
        <f>B10*Pagamentos!B3</f>
        <v>300000000</v>
      </c>
      <c r="C13" s="1">
        <v>0.5</v>
      </c>
      <c r="D13" t="s">
        <v>17</v>
      </c>
      <c r="E13" s="15">
        <f>C13*B10</f>
        <v>300000000</v>
      </c>
      <c r="AD13" s="15">
        <f>E13*Pagamentos!C3/24</f>
        <v>3125000</v>
      </c>
      <c r="AE13" s="15">
        <f>AD13</f>
        <v>3125000</v>
      </c>
      <c r="AF13" s="15">
        <f t="shared" si="0"/>
        <v>3125000</v>
      </c>
      <c r="AG13" s="15">
        <f t="shared" si="0"/>
        <v>3125000</v>
      </c>
      <c r="AH13" s="15">
        <f t="shared" si="0"/>
        <v>3125000</v>
      </c>
      <c r="AI13" s="15">
        <f t="shared" si="0"/>
        <v>3125000</v>
      </c>
      <c r="AJ13" s="15">
        <f t="shared" si="0"/>
        <v>3125000</v>
      </c>
      <c r="AK13" s="15">
        <f t="shared" si="0"/>
        <v>3125000</v>
      </c>
      <c r="AL13" s="15">
        <f t="shared" si="0"/>
        <v>3125000</v>
      </c>
      <c r="AM13" s="15">
        <f t="shared" si="1"/>
        <v>3125000</v>
      </c>
      <c r="AN13" s="15">
        <f t="shared" si="1"/>
        <v>3125000</v>
      </c>
      <c r="AO13" s="15">
        <f t="shared" si="1"/>
        <v>3125000</v>
      </c>
      <c r="AP13" s="15">
        <f t="shared" si="1"/>
        <v>3125000</v>
      </c>
      <c r="AQ13" s="15">
        <f t="shared" si="1"/>
        <v>3125000</v>
      </c>
      <c r="AR13" s="15">
        <f t="shared" si="1"/>
        <v>3125000</v>
      </c>
      <c r="AS13" s="15">
        <f t="shared" si="1"/>
        <v>3125000</v>
      </c>
      <c r="AT13" s="15">
        <f t="shared" si="1"/>
        <v>3125000</v>
      </c>
      <c r="AU13" s="15">
        <f t="shared" si="1"/>
        <v>3125000</v>
      </c>
      <c r="AV13" s="15">
        <f t="shared" si="1"/>
        <v>3125000</v>
      </c>
      <c r="AW13" s="15">
        <f t="shared" si="1"/>
        <v>3125000</v>
      </c>
      <c r="AX13" s="15">
        <f t="shared" si="1"/>
        <v>3125000</v>
      </c>
      <c r="AY13" s="15">
        <f t="shared" si="1"/>
        <v>3125000</v>
      </c>
      <c r="AZ13" s="15">
        <f t="shared" si="1"/>
        <v>3125000</v>
      </c>
      <c r="BA13" s="15">
        <f t="shared" si="1"/>
        <v>3125000</v>
      </c>
      <c r="BB13" s="15">
        <f>E13*Pagamentos!D3</f>
        <v>225000000</v>
      </c>
      <c r="BC13" s="15">
        <f t="shared" si="2"/>
        <v>300000000</v>
      </c>
    </row>
    <row r="14" spans="1:55" x14ac:dyDescent="0.25">
      <c r="A14" t="s">
        <v>26</v>
      </c>
      <c r="B14" s="15">
        <f>B10*Pagamentos!B4</f>
        <v>60000000</v>
      </c>
      <c r="C14" s="1">
        <v>0.1</v>
      </c>
      <c r="D14" t="s">
        <v>17</v>
      </c>
      <c r="E14" s="15">
        <f t="shared" ref="E14:E17" si="3">B14</f>
        <v>60000000</v>
      </c>
      <c r="BB14" s="15">
        <f>E14</f>
        <v>60000000</v>
      </c>
      <c r="BC14" s="15">
        <f t="shared" si="2"/>
        <v>60000000</v>
      </c>
    </row>
    <row r="15" spans="1:55" x14ac:dyDescent="0.25">
      <c r="A15" t="s">
        <v>29</v>
      </c>
      <c r="B15" s="15">
        <f>B7*B2</f>
        <v>-203773014.12805319</v>
      </c>
      <c r="E15" s="15">
        <f t="shared" si="3"/>
        <v>-203773014.12805319</v>
      </c>
      <c r="F15" s="15">
        <f>E15</f>
        <v>-203773014.12805319</v>
      </c>
      <c r="BC15" s="15">
        <f t="shared" si="2"/>
        <v>-203773014.12805319</v>
      </c>
    </row>
    <row r="16" spans="1:55" x14ac:dyDescent="0.25">
      <c r="A16" t="s">
        <v>30</v>
      </c>
      <c r="B16" s="15">
        <f>B8*B6</f>
        <v>-114407494.39999999</v>
      </c>
      <c r="E16" s="15">
        <f t="shared" si="3"/>
        <v>-114407494.39999999</v>
      </c>
      <c r="AD16" s="15">
        <f>E16/24</f>
        <v>-4766978.9333333327</v>
      </c>
      <c r="AE16" s="15">
        <f>AD16</f>
        <v>-4766978.9333333327</v>
      </c>
      <c r="AF16" s="15">
        <f t="shared" ref="AF16:BA16" si="4">AE16</f>
        <v>-4766978.9333333327</v>
      </c>
      <c r="AG16" s="15">
        <f t="shared" si="4"/>
        <v>-4766978.9333333327</v>
      </c>
      <c r="AH16" s="15">
        <f t="shared" si="4"/>
        <v>-4766978.9333333327</v>
      </c>
      <c r="AI16" s="15">
        <f t="shared" si="4"/>
        <v>-4766978.9333333327</v>
      </c>
      <c r="AJ16" s="15">
        <f t="shared" si="4"/>
        <v>-4766978.9333333327</v>
      </c>
      <c r="AK16" s="15">
        <f t="shared" si="4"/>
        <v>-4766978.9333333327</v>
      </c>
      <c r="AL16" s="15">
        <f t="shared" si="4"/>
        <v>-4766978.9333333327</v>
      </c>
      <c r="AM16" s="15">
        <f t="shared" si="4"/>
        <v>-4766978.9333333327</v>
      </c>
      <c r="AN16" s="15">
        <f t="shared" si="4"/>
        <v>-4766978.9333333327</v>
      </c>
      <c r="AO16" s="15">
        <f t="shared" si="4"/>
        <v>-4766978.9333333327</v>
      </c>
      <c r="AP16" s="15">
        <f t="shared" si="4"/>
        <v>-4766978.9333333327</v>
      </c>
      <c r="AQ16" s="15">
        <f t="shared" si="4"/>
        <v>-4766978.9333333327</v>
      </c>
      <c r="AR16" s="15">
        <f t="shared" si="4"/>
        <v>-4766978.9333333327</v>
      </c>
      <c r="AS16" s="15">
        <f t="shared" si="4"/>
        <v>-4766978.9333333327</v>
      </c>
      <c r="AT16" s="15">
        <f t="shared" si="4"/>
        <v>-4766978.9333333327</v>
      </c>
      <c r="AU16" s="15">
        <f t="shared" si="4"/>
        <v>-4766978.9333333327</v>
      </c>
      <c r="AV16" s="15">
        <f t="shared" si="4"/>
        <v>-4766978.9333333327</v>
      </c>
      <c r="AW16" s="15">
        <f t="shared" si="4"/>
        <v>-4766978.9333333327</v>
      </c>
      <c r="AX16" s="15">
        <f t="shared" si="4"/>
        <v>-4766978.9333333327</v>
      </c>
      <c r="AY16" s="15">
        <f t="shared" si="4"/>
        <v>-4766978.9333333327</v>
      </c>
      <c r="AZ16" s="15">
        <f t="shared" si="4"/>
        <v>-4766978.9333333327</v>
      </c>
      <c r="BA16" s="15">
        <f t="shared" si="4"/>
        <v>-4766978.9333333327</v>
      </c>
      <c r="BC16" s="15">
        <f t="shared" si="2"/>
        <v>-114407494.40000001</v>
      </c>
    </row>
    <row r="17" spans="1:55" x14ac:dyDescent="0.25">
      <c r="A17" t="s">
        <v>31</v>
      </c>
      <c r="B17" s="15">
        <f>B16*C17</f>
        <v>-4576299.7759999996</v>
      </c>
      <c r="C17" s="1">
        <v>0.04</v>
      </c>
      <c r="D17" t="s">
        <v>40</v>
      </c>
      <c r="E17" s="15">
        <f t="shared" si="3"/>
        <v>-4576299.7759999996</v>
      </c>
      <c r="L17" s="15">
        <f>E17</f>
        <v>-4576299.7759999996</v>
      </c>
      <c r="BC17" s="15">
        <f t="shared" si="2"/>
        <v>-4576299.7759999996</v>
      </c>
    </row>
    <row r="18" spans="1:55" x14ac:dyDescent="0.25">
      <c r="A18" t="s">
        <v>41</v>
      </c>
      <c r="B18" s="15"/>
      <c r="C18" s="1">
        <v>-0.12</v>
      </c>
      <c r="D18" t="s">
        <v>17</v>
      </c>
      <c r="E18" s="15">
        <f>--B10*C18</f>
        <v>-72000000</v>
      </c>
      <c r="F18" s="15">
        <f>SUM(F12:F14)*$C$18</f>
        <v>0</v>
      </c>
      <c r="G18" s="15">
        <f t="shared" ref="G18:BB18" si="5">SUM(G12:G14)*$C$18</f>
        <v>0</v>
      </c>
      <c r="H18" s="15">
        <f t="shared" si="5"/>
        <v>0</v>
      </c>
      <c r="I18" s="15">
        <f t="shared" si="5"/>
        <v>0</v>
      </c>
      <c r="J18" s="15">
        <f t="shared" si="5"/>
        <v>0</v>
      </c>
      <c r="K18" s="15">
        <f t="shared" si="5"/>
        <v>0</v>
      </c>
      <c r="L18" s="15">
        <f t="shared" si="5"/>
        <v>0</v>
      </c>
      <c r="M18" s="15">
        <f t="shared" si="5"/>
        <v>0</v>
      </c>
      <c r="N18" s="15">
        <f t="shared" si="5"/>
        <v>0</v>
      </c>
      <c r="O18" s="15">
        <f t="shared" si="5"/>
        <v>0</v>
      </c>
      <c r="P18" s="15">
        <f t="shared" si="5"/>
        <v>0</v>
      </c>
      <c r="Q18" s="15">
        <f t="shared" si="5"/>
        <v>0</v>
      </c>
      <c r="R18" s="15">
        <f t="shared" si="5"/>
        <v>0</v>
      </c>
      <c r="S18" s="15">
        <f t="shared" si="5"/>
        <v>0</v>
      </c>
      <c r="T18" s="15">
        <f t="shared" si="5"/>
        <v>0</v>
      </c>
      <c r="U18" s="15">
        <f>SUM(U12:U14)*$C$18</f>
        <v>-218181.81818181818</v>
      </c>
      <c r="V18" s="15">
        <f t="shared" si="5"/>
        <v>-218181.81818181818</v>
      </c>
      <c r="W18" s="15">
        <f t="shared" si="5"/>
        <v>-218181.81818181818</v>
      </c>
      <c r="X18" s="15">
        <f t="shared" si="5"/>
        <v>-218181.81818181818</v>
      </c>
      <c r="Y18" s="15">
        <f t="shared" si="5"/>
        <v>-218181.81818181818</v>
      </c>
      <c r="Z18" s="15">
        <f t="shared" si="5"/>
        <v>-218181.81818181818</v>
      </c>
      <c r="AA18" s="15">
        <f t="shared" si="5"/>
        <v>-218181.81818181818</v>
      </c>
      <c r="AB18" s="15">
        <f t="shared" si="5"/>
        <v>-218181.81818181818</v>
      </c>
      <c r="AC18" s="15">
        <f t="shared" si="5"/>
        <v>-218181.81818181818</v>
      </c>
      <c r="AD18" s="15">
        <f t="shared" si="5"/>
        <v>-593181.81818181823</v>
      </c>
      <c r="AE18" s="15">
        <f t="shared" si="5"/>
        <v>-593181.81818181823</v>
      </c>
      <c r="AF18" s="15">
        <f t="shared" si="5"/>
        <v>-593181.81818181823</v>
      </c>
      <c r="AG18" s="15">
        <f t="shared" si="5"/>
        <v>-593181.81818181823</v>
      </c>
      <c r="AH18" s="15">
        <f t="shared" si="5"/>
        <v>-593181.81818181823</v>
      </c>
      <c r="AI18" s="15">
        <f t="shared" si="5"/>
        <v>-593181.81818181823</v>
      </c>
      <c r="AJ18" s="15">
        <f t="shared" si="5"/>
        <v>-593181.81818181823</v>
      </c>
      <c r="AK18" s="15">
        <f t="shared" si="5"/>
        <v>-593181.81818181823</v>
      </c>
      <c r="AL18" s="15">
        <f t="shared" si="5"/>
        <v>-593181.81818181823</v>
      </c>
      <c r="AM18" s="15">
        <f t="shared" si="5"/>
        <v>-593181.81818181823</v>
      </c>
      <c r="AN18" s="15">
        <f t="shared" si="5"/>
        <v>-593181.81818181823</v>
      </c>
      <c r="AO18" s="15">
        <f t="shared" si="5"/>
        <v>-593181.81818181823</v>
      </c>
      <c r="AP18" s="15">
        <f t="shared" si="5"/>
        <v>-593181.81818181823</v>
      </c>
      <c r="AQ18" s="15">
        <f t="shared" si="5"/>
        <v>-593181.81818181823</v>
      </c>
      <c r="AR18" s="15">
        <f t="shared" si="5"/>
        <v>-593181.81818181823</v>
      </c>
      <c r="AS18" s="15">
        <f t="shared" si="5"/>
        <v>-593181.81818181823</v>
      </c>
      <c r="AT18" s="15">
        <f t="shared" si="5"/>
        <v>-593181.81818181823</v>
      </c>
      <c r="AU18" s="15">
        <f t="shared" si="5"/>
        <v>-593181.81818181823</v>
      </c>
      <c r="AV18" s="15">
        <f t="shared" si="5"/>
        <v>-593181.81818181823</v>
      </c>
      <c r="AW18" s="15">
        <f t="shared" si="5"/>
        <v>-593181.81818181823</v>
      </c>
      <c r="AX18" s="15">
        <f t="shared" si="5"/>
        <v>-593181.81818181823</v>
      </c>
      <c r="AY18" s="15">
        <f t="shared" si="5"/>
        <v>-593181.81818181823</v>
      </c>
      <c r="AZ18" s="15">
        <f t="shared" si="5"/>
        <v>-593181.81818181823</v>
      </c>
      <c r="BA18" s="15">
        <f t="shared" si="5"/>
        <v>-593181.81818181823</v>
      </c>
      <c r="BB18" s="15">
        <f t="shared" si="5"/>
        <v>-55800000</v>
      </c>
      <c r="BC18" s="15">
        <f t="shared" si="2"/>
        <v>-72000000</v>
      </c>
    </row>
    <row r="19" spans="1:55" x14ac:dyDescent="0.25">
      <c r="A19" s="16" t="s">
        <v>42</v>
      </c>
      <c r="B19" s="17"/>
      <c r="C19" s="18">
        <v>-0.1</v>
      </c>
      <c r="D19" s="16" t="s">
        <v>17</v>
      </c>
      <c r="E19" s="17">
        <f>B10*C19</f>
        <v>-60000000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7">
        <f>C19*E12</f>
        <v>-24000000</v>
      </c>
      <c r="V19" s="16"/>
      <c r="W19" s="16"/>
      <c r="X19" s="16"/>
      <c r="Y19" s="16"/>
      <c r="Z19" s="16"/>
      <c r="AA19" s="16"/>
      <c r="AB19" s="16"/>
      <c r="AC19" s="16"/>
      <c r="AD19" s="17">
        <f>C19*E13</f>
        <v>-30000000</v>
      </c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7">
        <f>C19*E14</f>
        <v>-6000000</v>
      </c>
      <c r="BC19" s="17">
        <f t="shared" si="2"/>
        <v>-60000000</v>
      </c>
    </row>
    <row r="20" spans="1:55" x14ac:dyDescent="0.25">
      <c r="A20" s="19" t="s">
        <v>44</v>
      </c>
      <c r="B20" s="15"/>
      <c r="E20" s="15">
        <f>SUM(E12:E19)</f>
        <v>145243191.69594681</v>
      </c>
      <c r="F20" s="15">
        <f t="shared" ref="F20:BC20" si="6">SUM(F12:F19)</f>
        <v>-203773014.12805319</v>
      </c>
      <c r="G20" s="15">
        <f t="shared" si="6"/>
        <v>0</v>
      </c>
      <c r="H20" s="15">
        <f t="shared" si="6"/>
        <v>0</v>
      </c>
      <c r="I20" s="15">
        <f t="shared" si="6"/>
        <v>0</v>
      </c>
      <c r="J20" s="15">
        <f t="shared" si="6"/>
        <v>0</v>
      </c>
      <c r="K20" s="15">
        <f t="shared" si="6"/>
        <v>0</v>
      </c>
      <c r="L20" s="15">
        <f t="shared" si="6"/>
        <v>-4576299.7759999996</v>
      </c>
      <c r="M20" s="15">
        <f t="shared" si="6"/>
        <v>0</v>
      </c>
      <c r="N20" s="15">
        <f t="shared" si="6"/>
        <v>0</v>
      </c>
      <c r="O20" s="15">
        <f t="shared" si="6"/>
        <v>0</v>
      </c>
      <c r="P20" s="15">
        <f t="shared" si="6"/>
        <v>0</v>
      </c>
      <c r="Q20" s="15">
        <f t="shared" si="6"/>
        <v>0</v>
      </c>
      <c r="R20" s="15">
        <f t="shared" si="6"/>
        <v>0</v>
      </c>
      <c r="S20" s="15">
        <f t="shared" si="6"/>
        <v>0</v>
      </c>
      <c r="T20" s="15">
        <f t="shared" si="6"/>
        <v>0</v>
      </c>
      <c r="U20" s="15">
        <f t="shared" si="6"/>
        <v>-22400000</v>
      </c>
      <c r="V20" s="15">
        <f t="shared" si="6"/>
        <v>1600000</v>
      </c>
      <c r="W20" s="15">
        <f t="shared" si="6"/>
        <v>1600000</v>
      </c>
      <c r="X20" s="15">
        <f t="shared" si="6"/>
        <v>1600000</v>
      </c>
      <c r="Y20" s="15">
        <f t="shared" si="6"/>
        <v>1600000</v>
      </c>
      <c r="Z20" s="15">
        <f t="shared" si="6"/>
        <v>1600000</v>
      </c>
      <c r="AA20" s="15">
        <f t="shared" si="6"/>
        <v>1600000</v>
      </c>
      <c r="AB20" s="15">
        <f t="shared" si="6"/>
        <v>1600000</v>
      </c>
      <c r="AC20" s="15">
        <f t="shared" si="6"/>
        <v>1600000</v>
      </c>
      <c r="AD20" s="15">
        <f t="shared" si="6"/>
        <v>-30416978.933333334</v>
      </c>
      <c r="AE20" s="15">
        <f t="shared" si="6"/>
        <v>-416978.93333333253</v>
      </c>
      <c r="AF20" s="15">
        <f t="shared" si="6"/>
        <v>-416978.93333333253</v>
      </c>
      <c r="AG20" s="15">
        <f t="shared" si="6"/>
        <v>-416978.93333333253</v>
      </c>
      <c r="AH20" s="15">
        <f t="shared" si="6"/>
        <v>-416978.93333333253</v>
      </c>
      <c r="AI20" s="15">
        <f t="shared" si="6"/>
        <v>-416978.93333333253</v>
      </c>
      <c r="AJ20" s="15">
        <f t="shared" si="6"/>
        <v>-416978.93333333253</v>
      </c>
      <c r="AK20" s="15">
        <f t="shared" si="6"/>
        <v>-416978.93333333253</v>
      </c>
      <c r="AL20" s="15">
        <f t="shared" si="6"/>
        <v>-416978.93333333253</v>
      </c>
      <c r="AM20" s="15">
        <f t="shared" si="6"/>
        <v>-416978.93333333253</v>
      </c>
      <c r="AN20" s="15">
        <f t="shared" si="6"/>
        <v>-416978.93333333253</v>
      </c>
      <c r="AO20" s="15">
        <f t="shared" si="6"/>
        <v>-416978.93333333253</v>
      </c>
      <c r="AP20" s="15">
        <f t="shared" si="6"/>
        <v>-416978.93333333253</v>
      </c>
      <c r="AQ20" s="15">
        <f t="shared" si="6"/>
        <v>-416978.93333333253</v>
      </c>
      <c r="AR20" s="15">
        <f t="shared" si="6"/>
        <v>-416978.93333333253</v>
      </c>
      <c r="AS20" s="15">
        <f t="shared" si="6"/>
        <v>-416978.93333333253</v>
      </c>
      <c r="AT20" s="15">
        <f t="shared" si="6"/>
        <v>-416978.93333333253</v>
      </c>
      <c r="AU20" s="15">
        <f t="shared" si="6"/>
        <v>-416978.93333333253</v>
      </c>
      <c r="AV20" s="15">
        <f t="shared" si="6"/>
        <v>-416978.93333333253</v>
      </c>
      <c r="AW20" s="15">
        <f t="shared" si="6"/>
        <v>-416978.93333333253</v>
      </c>
      <c r="AX20" s="15">
        <f t="shared" si="6"/>
        <v>-416978.93333333253</v>
      </c>
      <c r="AY20" s="15">
        <f t="shared" si="6"/>
        <v>-416978.93333333253</v>
      </c>
      <c r="AZ20" s="15">
        <f t="shared" si="6"/>
        <v>-416978.93333333253</v>
      </c>
      <c r="BA20" s="15">
        <f t="shared" si="6"/>
        <v>-416978.93333333253</v>
      </c>
      <c r="BB20" s="15">
        <f t="shared" si="6"/>
        <v>403200000</v>
      </c>
      <c r="BC20" s="15">
        <f t="shared" si="6"/>
        <v>145243191.69594681</v>
      </c>
    </row>
    <row r="21" spans="1:55" x14ac:dyDescent="0.25">
      <c r="A21" s="19" t="s">
        <v>48</v>
      </c>
      <c r="B21" s="15"/>
      <c r="E21" s="23">
        <f>E20/B10</f>
        <v>0.24207198615991135</v>
      </c>
    </row>
    <row r="22" spans="1:55" x14ac:dyDescent="0.25">
      <c r="A22" t="s">
        <v>45</v>
      </c>
      <c r="B22" s="15"/>
      <c r="E22" s="20">
        <f>NPV(E1,G20:BB20)+F20</f>
        <v>0</v>
      </c>
    </row>
    <row r="23" spans="1:55" x14ac:dyDescent="0.25">
      <c r="A23" t="s">
        <v>46</v>
      </c>
    </row>
    <row r="24" spans="1:55" x14ac:dyDescent="0.25">
      <c r="A24" t="s">
        <v>49</v>
      </c>
      <c r="E24" s="24">
        <f>IRR(F20:BB20)</f>
        <v>1.02368443581764E-2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06315-7578-4808-AF2F-BC32CC002675}">
  <dimension ref="A1:BC24"/>
  <sheetViews>
    <sheetView workbookViewId="0">
      <selection activeCell="B7" sqref="B7"/>
    </sheetView>
  </sheetViews>
  <sheetFormatPr defaultRowHeight="15" x14ac:dyDescent="0.25"/>
  <cols>
    <col min="1" max="1" width="15" customWidth="1"/>
    <col min="2" max="2" width="12.28515625" bestFit="1" customWidth="1"/>
    <col min="5" max="5" width="16.140625" bestFit="1" customWidth="1"/>
    <col min="6" max="6" width="11.28515625" bestFit="1" customWidth="1"/>
    <col min="12" max="12" width="10.28515625" bestFit="1" customWidth="1"/>
    <col min="21" max="21" width="11.5703125" bestFit="1" customWidth="1"/>
    <col min="30" max="30" width="12.28515625" bestFit="1" customWidth="1"/>
    <col min="31" max="31" width="10.28515625" bestFit="1" customWidth="1"/>
    <col min="53" max="53" width="10.28515625" bestFit="1" customWidth="1"/>
    <col min="54" max="54" width="12.5703125" bestFit="1" customWidth="1"/>
    <col min="55" max="55" width="12.28515625" bestFit="1" customWidth="1"/>
    <col min="56" max="56" width="11.5703125" bestFit="1" customWidth="1"/>
  </cols>
  <sheetData>
    <row r="1" spans="1:55" x14ac:dyDescent="0.25">
      <c r="A1" t="s">
        <v>0</v>
      </c>
      <c r="C1" s="4">
        <v>0.13</v>
      </c>
      <c r="D1" t="s">
        <v>1</v>
      </c>
      <c r="E1" s="2">
        <f>((1+C1)^(1/12))-1</f>
        <v>1.02368443581764E-2</v>
      </c>
      <c r="F1" t="s">
        <v>2</v>
      </c>
    </row>
    <row r="2" spans="1:55" x14ac:dyDescent="0.25">
      <c r="A2" t="s">
        <v>3</v>
      </c>
      <c r="B2" s="3">
        <v>10000</v>
      </c>
      <c r="C2" t="s">
        <v>4</v>
      </c>
    </row>
    <row r="3" spans="1:55" x14ac:dyDescent="0.25">
      <c r="A3" t="s">
        <v>5</v>
      </c>
      <c r="B3" s="3">
        <v>4</v>
      </c>
    </row>
    <row r="4" spans="1:55" x14ac:dyDescent="0.25">
      <c r="A4" t="s">
        <v>6</v>
      </c>
      <c r="B4">
        <f>B2*B3</f>
        <v>40000</v>
      </c>
    </row>
    <row r="5" spans="1:55" ht="18.75" x14ac:dyDescent="0.3">
      <c r="A5" t="s">
        <v>7</v>
      </c>
      <c r="B5" s="3">
        <v>1.6</v>
      </c>
      <c r="E5" s="21" t="s">
        <v>47</v>
      </c>
      <c r="F5" s="21">
        <v>-5978.7424189256944</v>
      </c>
      <c r="G5" s="21" t="s">
        <v>13</v>
      </c>
    </row>
    <row r="6" spans="1:55" x14ac:dyDescent="0.25">
      <c r="A6" t="s">
        <v>8</v>
      </c>
      <c r="B6">
        <f>B4*B5</f>
        <v>64000</v>
      </c>
      <c r="C6" t="s">
        <v>4</v>
      </c>
    </row>
    <row r="7" spans="1:55" x14ac:dyDescent="0.25">
      <c r="A7" t="s">
        <v>9</v>
      </c>
      <c r="B7" s="3">
        <v>1220.5370780141166</v>
      </c>
      <c r="C7" s="5" t="s">
        <v>10</v>
      </c>
    </row>
    <row r="8" spans="1:55" x14ac:dyDescent="0.25">
      <c r="A8" t="s">
        <v>11</v>
      </c>
      <c r="B8" s="6">
        <f>-'$Constr'!B10</f>
        <v>-1787.6170999999999</v>
      </c>
      <c r="C8" t="s">
        <v>13</v>
      </c>
    </row>
    <row r="9" spans="1:55" x14ac:dyDescent="0.25">
      <c r="A9" t="s">
        <v>12</v>
      </c>
      <c r="B9" s="3">
        <v>3750</v>
      </c>
      <c r="C9" t="s">
        <v>13</v>
      </c>
    </row>
    <row r="10" spans="1:55" x14ac:dyDescent="0.25">
      <c r="A10" t="s">
        <v>17</v>
      </c>
      <c r="B10">
        <f>B4*B9</f>
        <v>150000000</v>
      </c>
    </row>
    <row r="11" spans="1:55" x14ac:dyDescent="0.25">
      <c r="A11" s="7" t="s">
        <v>14</v>
      </c>
      <c r="B11" s="7" t="s">
        <v>15</v>
      </c>
      <c r="C11" s="7" t="s">
        <v>27</v>
      </c>
      <c r="D11" s="7" t="s">
        <v>28</v>
      </c>
      <c r="E11" s="7" t="s">
        <v>16</v>
      </c>
      <c r="F11" s="7">
        <v>0</v>
      </c>
      <c r="G11" s="7">
        <v>1</v>
      </c>
      <c r="H11" s="7">
        <v>2</v>
      </c>
      <c r="I11" s="7">
        <v>3</v>
      </c>
      <c r="J11" s="7">
        <v>4</v>
      </c>
      <c r="K11" s="7">
        <v>5</v>
      </c>
      <c r="L11" s="7">
        <v>6</v>
      </c>
      <c r="M11" s="7">
        <v>7</v>
      </c>
      <c r="N11" s="7">
        <v>8</v>
      </c>
      <c r="O11" s="7">
        <v>9</v>
      </c>
      <c r="P11" s="7">
        <v>10</v>
      </c>
      <c r="Q11" s="7">
        <v>11</v>
      </c>
      <c r="R11" s="7">
        <v>12</v>
      </c>
      <c r="S11" s="7">
        <v>13</v>
      </c>
      <c r="T11" s="7">
        <v>14</v>
      </c>
      <c r="U11" s="7">
        <v>15</v>
      </c>
      <c r="V11" s="7">
        <v>16</v>
      </c>
      <c r="W11" s="7">
        <v>17</v>
      </c>
      <c r="X11" s="7">
        <v>18</v>
      </c>
      <c r="Y11" s="7">
        <v>19</v>
      </c>
      <c r="Z11" s="7">
        <v>20</v>
      </c>
      <c r="AA11" s="7">
        <v>21</v>
      </c>
      <c r="AB11" s="7">
        <v>22</v>
      </c>
      <c r="AC11" s="7">
        <v>23</v>
      </c>
      <c r="AD11" s="7">
        <v>24</v>
      </c>
      <c r="AE11" s="7">
        <v>25</v>
      </c>
      <c r="AF11" s="7">
        <v>26</v>
      </c>
      <c r="AG11" s="7">
        <v>27</v>
      </c>
      <c r="AH11" s="7">
        <v>28</v>
      </c>
      <c r="AI11" s="7">
        <v>29</v>
      </c>
      <c r="AJ11" s="7">
        <v>30</v>
      </c>
      <c r="AK11" s="7">
        <v>31</v>
      </c>
      <c r="AL11" s="7">
        <v>32</v>
      </c>
      <c r="AM11" s="7">
        <v>33</v>
      </c>
      <c r="AN11" s="7">
        <v>34</v>
      </c>
      <c r="AO11" s="7">
        <v>35</v>
      </c>
      <c r="AP11" s="7">
        <v>36</v>
      </c>
      <c r="AQ11" s="7">
        <v>37</v>
      </c>
      <c r="AR11" s="7">
        <v>38</v>
      </c>
      <c r="AS11" s="7">
        <v>39</v>
      </c>
      <c r="AT11" s="7">
        <v>40</v>
      </c>
      <c r="AU11" s="7">
        <v>41</v>
      </c>
      <c r="AV11" s="7">
        <v>42</v>
      </c>
      <c r="AW11" s="7">
        <v>43</v>
      </c>
      <c r="AX11" s="7">
        <v>44</v>
      </c>
      <c r="AY11" s="7">
        <v>45</v>
      </c>
      <c r="AZ11" s="7">
        <v>46</v>
      </c>
      <c r="BA11" s="7">
        <v>47</v>
      </c>
      <c r="BB11" s="7">
        <v>48</v>
      </c>
      <c r="BC11" t="s">
        <v>16</v>
      </c>
    </row>
    <row r="12" spans="1:55" x14ac:dyDescent="0.25">
      <c r="A12" t="s">
        <v>24</v>
      </c>
      <c r="B12" s="15">
        <f>B10*Pagamentos!B2</f>
        <v>60000000</v>
      </c>
      <c r="C12" s="1">
        <v>0.4</v>
      </c>
      <c r="D12" t="s">
        <v>17</v>
      </c>
      <c r="E12" s="15">
        <f>C12*B10</f>
        <v>60000000</v>
      </c>
      <c r="U12" s="15">
        <f>E12*Pagamentos!C2/33</f>
        <v>454545.45454545453</v>
      </c>
      <c r="V12" s="15">
        <f>U12</f>
        <v>454545.45454545453</v>
      </c>
      <c r="W12" s="15">
        <f t="shared" ref="W12:AL13" si="0">V12</f>
        <v>454545.45454545453</v>
      </c>
      <c r="X12" s="15">
        <f t="shared" si="0"/>
        <v>454545.45454545453</v>
      </c>
      <c r="Y12" s="15">
        <f t="shared" si="0"/>
        <v>454545.45454545453</v>
      </c>
      <c r="Z12" s="15">
        <f t="shared" si="0"/>
        <v>454545.45454545453</v>
      </c>
      <c r="AA12" s="15">
        <f t="shared" si="0"/>
        <v>454545.45454545453</v>
      </c>
      <c r="AB12" s="15">
        <f t="shared" si="0"/>
        <v>454545.45454545453</v>
      </c>
      <c r="AC12" s="15">
        <f t="shared" si="0"/>
        <v>454545.45454545453</v>
      </c>
      <c r="AD12" s="15">
        <f t="shared" si="0"/>
        <v>454545.45454545453</v>
      </c>
      <c r="AE12" s="15">
        <f t="shared" si="0"/>
        <v>454545.45454545453</v>
      </c>
      <c r="AF12" s="15">
        <f t="shared" si="0"/>
        <v>454545.45454545453</v>
      </c>
      <c r="AG12" s="15">
        <f t="shared" si="0"/>
        <v>454545.45454545453</v>
      </c>
      <c r="AH12" s="15">
        <f t="shared" si="0"/>
        <v>454545.45454545453</v>
      </c>
      <c r="AI12" s="15">
        <f t="shared" si="0"/>
        <v>454545.45454545453</v>
      </c>
      <c r="AJ12" s="15">
        <f t="shared" si="0"/>
        <v>454545.45454545453</v>
      </c>
      <c r="AK12" s="15">
        <f t="shared" si="0"/>
        <v>454545.45454545453</v>
      </c>
      <c r="AL12" s="15">
        <f t="shared" si="0"/>
        <v>454545.45454545453</v>
      </c>
      <c r="AM12" s="15">
        <f t="shared" ref="AM12:BA13" si="1">AL12</f>
        <v>454545.45454545453</v>
      </c>
      <c r="AN12" s="15">
        <f t="shared" si="1"/>
        <v>454545.45454545453</v>
      </c>
      <c r="AO12" s="15">
        <f t="shared" si="1"/>
        <v>454545.45454545453</v>
      </c>
      <c r="AP12" s="15">
        <f t="shared" si="1"/>
        <v>454545.45454545453</v>
      </c>
      <c r="AQ12" s="15">
        <f t="shared" si="1"/>
        <v>454545.45454545453</v>
      </c>
      <c r="AR12" s="15">
        <f t="shared" si="1"/>
        <v>454545.45454545453</v>
      </c>
      <c r="AS12" s="15">
        <f t="shared" si="1"/>
        <v>454545.45454545453</v>
      </c>
      <c r="AT12" s="15">
        <f t="shared" si="1"/>
        <v>454545.45454545453</v>
      </c>
      <c r="AU12" s="15">
        <f t="shared" si="1"/>
        <v>454545.45454545453</v>
      </c>
      <c r="AV12" s="15">
        <f t="shared" si="1"/>
        <v>454545.45454545453</v>
      </c>
      <c r="AW12" s="15">
        <f t="shared" si="1"/>
        <v>454545.45454545453</v>
      </c>
      <c r="AX12" s="15">
        <f t="shared" si="1"/>
        <v>454545.45454545453</v>
      </c>
      <c r="AY12" s="15">
        <f t="shared" si="1"/>
        <v>454545.45454545453</v>
      </c>
      <c r="AZ12" s="15">
        <f t="shared" si="1"/>
        <v>454545.45454545453</v>
      </c>
      <c r="BA12" s="15">
        <f t="shared" si="1"/>
        <v>454545.45454545453</v>
      </c>
      <c r="BB12" s="15">
        <f>E12*Pagamentos!D2</f>
        <v>45000000</v>
      </c>
      <c r="BC12" s="15">
        <f t="shared" ref="BC12:BC19" si="2">SUM(F12:BB12)</f>
        <v>60000000</v>
      </c>
    </row>
    <row r="13" spans="1:55" x14ac:dyDescent="0.25">
      <c r="A13" t="s">
        <v>25</v>
      </c>
      <c r="B13" s="15">
        <f>B10*Pagamentos!B3</f>
        <v>75000000</v>
      </c>
      <c r="C13" s="1">
        <v>0.5</v>
      </c>
      <c r="D13" t="s">
        <v>17</v>
      </c>
      <c r="E13" s="15">
        <f>C13*B10</f>
        <v>75000000</v>
      </c>
      <c r="AD13" s="15">
        <f>E13*Pagamentos!C3/24</f>
        <v>781250</v>
      </c>
      <c r="AE13" s="15">
        <f>AD13</f>
        <v>781250</v>
      </c>
      <c r="AF13" s="15">
        <f t="shared" si="0"/>
        <v>781250</v>
      </c>
      <c r="AG13" s="15">
        <f t="shared" si="0"/>
        <v>781250</v>
      </c>
      <c r="AH13" s="15">
        <f t="shared" si="0"/>
        <v>781250</v>
      </c>
      <c r="AI13" s="15">
        <f t="shared" si="0"/>
        <v>781250</v>
      </c>
      <c r="AJ13" s="15">
        <f t="shared" si="0"/>
        <v>781250</v>
      </c>
      <c r="AK13" s="15">
        <f t="shared" si="0"/>
        <v>781250</v>
      </c>
      <c r="AL13" s="15">
        <f t="shared" si="0"/>
        <v>781250</v>
      </c>
      <c r="AM13" s="15">
        <f t="shared" si="1"/>
        <v>781250</v>
      </c>
      <c r="AN13" s="15">
        <f t="shared" si="1"/>
        <v>781250</v>
      </c>
      <c r="AO13" s="15">
        <f t="shared" si="1"/>
        <v>781250</v>
      </c>
      <c r="AP13" s="15">
        <f t="shared" si="1"/>
        <v>781250</v>
      </c>
      <c r="AQ13" s="15">
        <f t="shared" si="1"/>
        <v>781250</v>
      </c>
      <c r="AR13" s="15">
        <f t="shared" si="1"/>
        <v>781250</v>
      </c>
      <c r="AS13" s="15">
        <f t="shared" si="1"/>
        <v>781250</v>
      </c>
      <c r="AT13" s="15">
        <f t="shared" si="1"/>
        <v>781250</v>
      </c>
      <c r="AU13" s="15">
        <f t="shared" si="1"/>
        <v>781250</v>
      </c>
      <c r="AV13" s="15">
        <f t="shared" si="1"/>
        <v>781250</v>
      </c>
      <c r="AW13" s="15">
        <f t="shared" si="1"/>
        <v>781250</v>
      </c>
      <c r="AX13" s="15">
        <f t="shared" si="1"/>
        <v>781250</v>
      </c>
      <c r="AY13" s="15">
        <f t="shared" si="1"/>
        <v>781250</v>
      </c>
      <c r="AZ13" s="15">
        <f t="shared" si="1"/>
        <v>781250</v>
      </c>
      <c r="BA13" s="15">
        <f t="shared" si="1"/>
        <v>781250</v>
      </c>
      <c r="BB13" s="15">
        <f>E13*Pagamentos!D3</f>
        <v>56250000</v>
      </c>
      <c r="BC13" s="15">
        <f t="shared" si="2"/>
        <v>75000000</v>
      </c>
    </row>
    <row r="14" spans="1:55" x14ac:dyDescent="0.25">
      <c r="A14" t="s">
        <v>26</v>
      </c>
      <c r="B14" s="15">
        <f>B10*Pagamentos!B4</f>
        <v>15000000</v>
      </c>
      <c r="C14" s="1">
        <v>0.1</v>
      </c>
      <c r="D14" t="s">
        <v>17</v>
      </c>
      <c r="E14" s="15">
        <f t="shared" ref="E14:E17" si="3">B14</f>
        <v>15000000</v>
      </c>
      <c r="BB14" s="15">
        <f>E14</f>
        <v>15000000</v>
      </c>
      <c r="BC14" s="15">
        <f t="shared" si="2"/>
        <v>15000000</v>
      </c>
    </row>
    <row r="15" spans="1:55" x14ac:dyDescent="0.25">
      <c r="A15" t="s">
        <v>29</v>
      </c>
      <c r="B15" s="15">
        <f>B7*B2</f>
        <v>12205370.780141165</v>
      </c>
      <c r="E15" s="15">
        <f t="shared" si="3"/>
        <v>12205370.780141165</v>
      </c>
      <c r="F15" s="15">
        <f>E15</f>
        <v>12205370.780141165</v>
      </c>
      <c r="BC15" s="15">
        <f t="shared" si="2"/>
        <v>12205370.780141165</v>
      </c>
    </row>
    <row r="16" spans="1:55" x14ac:dyDescent="0.25">
      <c r="A16" t="s">
        <v>30</v>
      </c>
      <c r="B16" s="15">
        <f>B8*B6</f>
        <v>-114407494.39999999</v>
      </c>
      <c r="E16" s="15">
        <f t="shared" si="3"/>
        <v>-114407494.39999999</v>
      </c>
      <c r="AD16" s="15">
        <f>E16/24</f>
        <v>-4766978.9333333327</v>
      </c>
      <c r="AE16" s="15">
        <f>AD16</f>
        <v>-4766978.9333333327</v>
      </c>
      <c r="AF16" s="15">
        <f t="shared" ref="AF16:BA16" si="4">AE16</f>
        <v>-4766978.9333333327</v>
      </c>
      <c r="AG16" s="15">
        <f t="shared" si="4"/>
        <v>-4766978.9333333327</v>
      </c>
      <c r="AH16" s="15">
        <f t="shared" si="4"/>
        <v>-4766978.9333333327</v>
      </c>
      <c r="AI16" s="15">
        <f t="shared" si="4"/>
        <v>-4766978.9333333327</v>
      </c>
      <c r="AJ16" s="15">
        <f t="shared" si="4"/>
        <v>-4766978.9333333327</v>
      </c>
      <c r="AK16" s="15">
        <f t="shared" si="4"/>
        <v>-4766978.9333333327</v>
      </c>
      <c r="AL16" s="15">
        <f t="shared" si="4"/>
        <v>-4766978.9333333327</v>
      </c>
      <c r="AM16" s="15">
        <f t="shared" si="4"/>
        <v>-4766978.9333333327</v>
      </c>
      <c r="AN16" s="15">
        <f t="shared" si="4"/>
        <v>-4766978.9333333327</v>
      </c>
      <c r="AO16" s="15">
        <f t="shared" si="4"/>
        <v>-4766978.9333333327</v>
      </c>
      <c r="AP16" s="15">
        <f t="shared" si="4"/>
        <v>-4766978.9333333327</v>
      </c>
      <c r="AQ16" s="15">
        <f t="shared" si="4"/>
        <v>-4766978.9333333327</v>
      </c>
      <c r="AR16" s="15">
        <f t="shared" si="4"/>
        <v>-4766978.9333333327</v>
      </c>
      <c r="AS16" s="15">
        <f t="shared" si="4"/>
        <v>-4766978.9333333327</v>
      </c>
      <c r="AT16" s="15">
        <f t="shared" si="4"/>
        <v>-4766978.9333333327</v>
      </c>
      <c r="AU16" s="15">
        <f t="shared" si="4"/>
        <v>-4766978.9333333327</v>
      </c>
      <c r="AV16" s="15">
        <f t="shared" si="4"/>
        <v>-4766978.9333333327</v>
      </c>
      <c r="AW16" s="15">
        <f t="shared" si="4"/>
        <v>-4766978.9333333327</v>
      </c>
      <c r="AX16" s="15">
        <f t="shared" si="4"/>
        <v>-4766978.9333333327</v>
      </c>
      <c r="AY16" s="15">
        <f t="shared" si="4"/>
        <v>-4766978.9333333327</v>
      </c>
      <c r="AZ16" s="15">
        <f t="shared" si="4"/>
        <v>-4766978.9333333327</v>
      </c>
      <c r="BA16" s="15">
        <f t="shared" si="4"/>
        <v>-4766978.9333333327</v>
      </c>
      <c r="BC16" s="15">
        <f t="shared" si="2"/>
        <v>-114407494.40000001</v>
      </c>
    </row>
    <row r="17" spans="1:55" x14ac:dyDescent="0.25">
      <c r="A17" t="s">
        <v>31</v>
      </c>
      <c r="B17" s="15">
        <f>B16*C17</f>
        <v>-4576299.7759999996</v>
      </c>
      <c r="C17" s="1">
        <v>0.04</v>
      </c>
      <c r="D17" t="s">
        <v>40</v>
      </c>
      <c r="E17" s="15">
        <f t="shared" si="3"/>
        <v>-4576299.7759999996</v>
      </c>
      <c r="L17" s="15">
        <f>E17</f>
        <v>-4576299.7759999996</v>
      </c>
      <c r="BC17" s="15">
        <f t="shared" si="2"/>
        <v>-4576299.7759999996</v>
      </c>
    </row>
    <row r="18" spans="1:55" x14ac:dyDescent="0.25">
      <c r="A18" t="s">
        <v>41</v>
      </c>
      <c r="B18" s="15"/>
      <c r="C18" s="1">
        <v>-0.12</v>
      </c>
      <c r="D18" t="s">
        <v>17</v>
      </c>
      <c r="E18" s="15">
        <f>--B10*C18</f>
        <v>-18000000</v>
      </c>
      <c r="F18" s="15">
        <f>SUM(F12:F14)*$C$18</f>
        <v>0</v>
      </c>
      <c r="G18" s="15">
        <f t="shared" ref="G18:BB18" si="5">SUM(G12:G14)*$C$18</f>
        <v>0</v>
      </c>
      <c r="H18" s="15">
        <f t="shared" si="5"/>
        <v>0</v>
      </c>
      <c r="I18" s="15">
        <f t="shared" si="5"/>
        <v>0</v>
      </c>
      <c r="J18" s="15">
        <f t="shared" si="5"/>
        <v>0</v>
      </c>
      <c r="K18" s="15">
        <f t="shared" si="5"/>
        <v>0</v>
      </c>
      <c r="L18" s="15">
        <f t="shared" si="5"/>
        <v>0</v>
      </c>
      <c r="M18" s="15">
        <f t="shared" si="5"/>
        <v>0</v>
      </c>
      <c r="N18" s="15">
        <f t="shared" si="5"/>
        <v>0</v>
      </c>
      <c r="O18" s="15">
        <f t="shared" si="5"/>
        <v>0</v>
      </c>
      <c r="P18" s="15">
        <f t="shared" si="5"/>
        <v>0</v>
      </c>
      <c r="Q18" s="15">
        <f t="shared" si="5"/>
        <v>0</v>
      </c>
      <c r="R18" s="15">
        <f t="shared" si="5"/>
        <v>0</v>
      </c>
      <c r="S18" s="15">
        <f t="shared" si="5"/>
        <v>0</v>
      </c>
      <c r="T18" s="15">
        <f t="shared" si="5"/>
        <v>0</v>
      </c>
      <c r="U18" s="15">
        <f>SUM(U12:U14)*$C$18</f>
        <v>-54545.454545454544</v>
      </c>
      <c r="V18" s="15">
        <f t="shared" si="5"/>
        <v>-54545.454545454544</v>
      </c>
      <c r="W18" s="15">
        <f t="shared" si="5"/>
        <v>-54545.454545454544</v>
      </c>
      <c r="X18" s="15">
        <f t="shared" si="5"/>
        <v>-54545.454545454544</v>
      </c>
      <c r="Y18" s="15">
        <f t="shared" si="5"/>
        <v>-54545.454545454544</v>
      </c>
      <c r="Z18" s="15">
        <f t="shared" si="5"/>
        <v>-54545.454545454544</v>
      </c>
      <c r="AA18" s="15">
        <f t="shared" si="5"/>
        <v>-54545.454545454544</v>
      </c>
      <c r="AB18" s="15">
        <f t="shared" si="5"/>
        <v>-54545.454545454544</v>
      </c>
      <c r="AC18" s="15">
        <f t="shared" si="5"/>
        <v>-54545.454545454544</v>
      </c>
      <c r="AD18" s="15">
        <f t="shared" si="5"/>
        <v>-148295.45454545456</v>
      </c>
      <c r="AE18" s="15">
        <f t="shared" si="5"/>
        <v>-148295.45454545456</v>
      </c>
      <c r="AF18" s="15">
        <f t="shared" si="5"/>
        <v>-148295.45454545456</v>
      </c>
      <c r="AG18" s="15">
        <f t="shared" si="5"/>
        <v>-148295.45454545456</v>
      </c>
      <c r="AH18" s="15">
        <f t="shared" si="5"/>
        <v>-148295.45454545456</v>
      </c>
      <c r="AI18" s="15">
        <f t="shared" si="5"/>
        <v>-148295.45454545456</v>
      </c>
      <c r="AJ18" s="15">
        <f t="shared" si="5"/>
        <v>-148295.45454545456</v>
      </c>
      <c r="AK18" s="15">
        <f t="shared" si="5"/>
        <v>-148295.45454545456</v>
      </c>
      <c r="AL18" s="15">
        <f t="shared" si="5"/>
        <v>-148295.45454545456</v>
      </c>
      <c r="AM18" s="15">
        <f t="shared" si="5"/>
        <v>-148295.45454545456</v>
      </c>
      <c r="AN18" s="15">
        <f t="shared" si="5"/>
        <v>-148295.45454545456</v>
      </c>
      <c r="AO18" s="15">
        <f t="shared" si="5"/>
        <v>-148295.45454545456</v>
      </c>
      <c r="AP18" s="15">
        <f t="shared" si="5"/>
        <v>-148295.45454545456</v>
      </c>
      <c r="AQ18" s="15">
        <f t="shared" si="5"/>
        <v>-148295.45454545456</v>
      </c>
      <c r="AR18" s="15">
        <f t="shared" si="5"/>
        <v>-148295.45454545456</v>
      </c>
      <c r="AS18" s="15">
        <f t="shared" si="5"/>
        <v>-148295.45454545456</v>
      </c>
      <c r="AT18" s="15">
        <f t="shared" si="5"/>
        <v>-148295.45454545456</v>
      </c>
      <c r="AU18" s="15">
        <f t="shared" si="5"/>
        <v>-148295.45454545456</v>
      </c>
      <c r="AV18" s="15">
        <f t="shared" si="5"/>
        <v>-148295.45454545456</v>
      </c>
      <c r="AW18" s="15">
        <f t="shared" si="5"/>
        <v>-148295.45454545456</v>
      </c>
      <c r="AX18" s="15">
        <f t="shared" si="5"/>
        <v>-148295.45454545456</v>
      </c>
      <c r="AY18" s="15">
        <f t="shared" si="5"/>
        <v>-148295.45454545456</v>
      </c>
      <c r="AZ18" s="15">
        <f t="shared" si="5"/>
        <v>-148295.45454545456</v>
      </c>
      <c r="BA18" s="15">
        <f t="shared" si="5"/>
        <v>-148295.45454545456</v>
      </c>
      <c r="BB18" s="15">
        <f t="shared" si="5"/>
        <v>-13950000</v>
      </c>
      <c r="BC18" s="15">
        <f t="shared" si="2"/>
        <v>-18000000</v>
      </c>
    </row>
    <row r="19" spans="1:55" x14ac:dyDescent="0.25">
      <c r="A19" s="16" t="s">
        <v>42</v>
      </c>
      <c r="B19" s="17"/>
      <c r="C19" s="18">
        <v>-0.1</v>
      </c>
      <c r="D19" s="16" t="s">
        <v>17</v>
      </c>
      <c r="E19" s="17">
        <f>B10*C19</f>
        <v>-15000000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7">
        <f>C19*E12</f>
        <v>-6000000</v>
      </c>
      <c r="V19" s="16"/>
      <c r="W19" s="16"/>
      <c r="X19" s="16"/>
      <c r="Y19" s="16"/>
      <c r="Z19" s="16"/>
      <c r="AA19" s="16"/>
      <c r="AB19" s="16"/>
      <c r="AC19" s="16"/>
      <c r="AD19" s="17">
        <f>C19*E13</f>
        <v>-7500000</v>
      </c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7">
        <f>C19*E14</f>
        <v>-1500000</v>
      </c>
      <c r="BC19" s="17">
        <f t="shared" si="2"/>
        <v>-15000000</v>
      </c>
    </row>
    <row r="20" spans="1:55" x14ac:dyDescent="0.25">
      <c r="A20" s="19" t="s">
        <v>44</v>
      </c>
      <c r="B20" s="15"/>
      <c r="E20" s="15">
        <f>SUM(E12:E19)</f>
        <v>10221576.604141183</v>
      </c>
      <c r="F20" s="15">
        <f t="shared" ref="F20:BC20" si="6">SUM(F12:F19)</f>
        <v>12205370.780141165</v>
      </c>
      <c r="G20" s="15">
        <f t="shared" si="6"/>
        <v>0</v>
      </c>
      <c r="H20" s="15">
        <f t="shared" si="6"/>
        <v>0</v>
      </c>
      <c r="I20" s="15">
        <f t="shared" si="6"/>
        <v>0</v>
      </c>
      <c r="J20" s="15">
        <f t="shared" si="6"/>
        <v>0</v>
      </c>
      <c r="K20" s="15">
        <f t="shared" si="6"/>
        <v>0</v>
      </c>
      <c r="L20" s="15">
        <f t="shared" si="6"/>
        <v>-4576299.7759999996</v>
      </c>
      <c r="M20" s="15">
        <f t="shared" si="6"/>
        <v>0</v>
      </c>
      <c r="N20" s="15">
        <f t="shared" si="6"/>
        <v>0</v>
      </c>
      <c r="O20" s="15">
        <f t="shared" si="6"/>
        <v>0</v>
      </c>
      <c r="P20" s="15">
        <f t="shared" si="6"/>
        <v>0</v>
      </c>
      <c r="Q20" s="15">
        <f t="shared" si="6"/>
        <v>0</v>
      </c>
      <c r="R20" s="15">
        <f t="shared" si="6"/>
        <v>0</v>
      </c>
      <c r="S20" s="15">
        <f t="shared" si="6"/>
        <v>0</v>
      </c>
      <c r="T20" s="15">
        <f t="shared" si="6"/>
        <v>0</v>
      </c>
      <c r="U20" s="15">
        <f t="shared" si="6"/>
        <v>-5600000</v>
      </c>
      <c r="V20" s="15">
        <f t="shared" si="6"/>
        <v>400000</v>
      </c>
      <c r="W20" s="15">
        <f t="shared" si="6"/>
        <v>400000</v>
      </c>
      <c r="X20" s="15">
        <f t="shared" si="6"/>
        <v>400000</v>
      </c>
      <c r="Y20" s="15">
        <f t="shared" si="6"/>
        <v>400000</v>
      </c>
      <c r="Z20" s="15">
        <f t="shared" si="6"/>
        <v>400000</v>
      </c>
      <c r="AA20" s="15">
        <f t="shared" si="6"/>
        <v>400000</v>
      </c>
      <c r="AB20" s="15">
        <f t="shared" si="6"/>
        <v>400000</v>
      </c>
      <c r="AC20" s="15">
        <f t="shared" si="6"/>
        <v>400000</v>
      </c>
      <c r="AD20" s="15">
        <f t="shared" si="6"/>
        <v>-11179478.933333334</v>
      </c>
      <c r="AE20" s="15">
        <f t="shared" si="6"/>
        <v>-3679478.9333333327</v>
      </c>
      <c r="AF20" s="15">
        <f t="shared" si="6"/>
        <v>-3679478.9333333327</v>
      </c>
      <c r="AG20" s="15">
        <f t="shared" si="6"/>
        <v>-3679478.9333333327</v>
      </c>
      <c r="AH20" s="15">
        <f t="shared" si="6"/>
        <v>-3679478.9333333327</v>
      </c>
      <c r="AI20" s="15">
        <f t="shared" si="6"/>
        <v>-3679478.9333333327</v>
      </c>
      <c r="AJ20" s="15">
        <f t="shared" si="6"/>
        <v>-3679478.9333333327</v>
      </c>
      <c r="AK20" s="15">
        <f t="shared" si="6"/>
        <v>-3679478.9333333327</v>
      </c>
      <c r="AL20" s="15">
        <f t="shared" si="6"/>
        <v>-3679478.9333333327</v>
      </c>
      <c r="AM20" s="15">
        <f t="shared" si="6"/>
        <v>-3679478.9333333327</v>
      </c>
      <c r="AN20" s="15">
        <f t="shared" si="6"/>
        <v>-3679478.9333333327</v>
      </c>
      <c r="AO20" s="15">
        <f t="shared" si="6"/>
        <v>-3679478.9333333327</v>
      </c>
      <c r="AP20" s="15">
        <f t="shared" si="6"/>
        <v>-3679478.9333333327</v>
      </c>
      <c r="AQ20" s="15">
        <f t="shared" si="6"/>
        <v>-3679478.9333333327</v>
      </c>
      <c r="AR20" s="15">
        <f t="shared" si="6"/>
        <v>-3679478.9333333327</v>
      </c>
      <c r="AS20" s="15">
        <f t="shared" si="6"/>
        <v>-3679478.9333333327</v>
      </c>
      <c r="AT20" s="15">
        <f t="shared" si="6"/>
        <v>-3679478.9333333327</v>
      </c>
      <c r="AU20" s="15">
        <f t="shared" si="6"/>
        <v>-3679478.9333333327</v>
      </c>
      <c r="AV20" s="15">
        <f t="shared" si="6"/>
        <v>-3679478.9333333327</v>
      </c>
      <c r="AW20" s="15">
        <f t="shared" si="6"/>
        <v>-3679478.9333333327</v>
      </c>
      <c r="AX20" s="15">
        <f t="shared" si="6"/>
        <v>-3679478.9333333327</v>
      </c>
      <c r="AY20" s="15">
        <f t="shared" si="6"/>
        <v>-3679478.9333333327</v>
      </c>
      <c r="AZ20" s="15">
        <f t="shared" si="6"/>
        <v>-3679478.9333333327</v>
      </c>
      <c r="BA20" s="15">
        <f t="shared" si="6"/>
        <v>-3679478.9333333327</v>
      </c>
      <c r="BB20" s="15">
        <f t="shared" si="6"/>
        <v>100800000</v>
      </c>
      <c r="BC20" s="15">
        <f t="shared" si="6"/>
        <v>10221576.604141168</v>
      </c>
    </row>
    <row r="21" spans="1:55" x14ac:dyDescent="0.25">
      <c r="A21" s="19" t="s">
        <v>48</v>
      </c>
      <c r="B21" s="15"/>
      <c r="E21" s="23">
        <f>E20/B10</f>
        <v>6.8143844027607883E-2</v>
      </c>
    </row>
    <row r="22" spans="1:55" x14ac:dyDescent="0.25">
      <c r="A22" t="s">
        <v>45</v>
      </c>
      <c r="B22" s="15"/>
      <c r="E22" s="20">
        <f>NPV(E1,G20:BB20)+F20</f>
        <v>0</v>
      </c>
    </row>
    <row r="23" spans="1:55" x14ac:dyDescent="0.25">
      <c r="A23" t="s">
        <v>46</v>
      </c>
    </row>
    <row r="24" spans="1:55" x14ac:dyDescent="0.25">
      <c r="A24" t="s">
        <v>49</v>
      </c>
      <c r="E24" s="24">
        <f>IRR(F20:BB20)</f>
        <v>6.0672126809252269E-2</v>
      </c>
    </row>
  </sheetData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02645-0713-42AC-9392-B4B72B6EA093}">
  <dimension ref="A1:BC32"/>
  <sheetViews>
    <sheetView topLeftCell="A28" workbookViewId="0">
      <pane xSplit="5" topLeftCell="F1" activePane="topRight" state="frozen"/>
      <selection activeCell="A7" sqref="A7"/>
      <selection pane="topRight" activeCell="BB28" sqref="F28:BB28"/>
    </sheetView>
  </sheetViews>
  <sheetFormatPr defaultRowHeight="15" x14ac:dyDescent="0.25"/>
  <cols>
    <col min="1" max="1" width="15" customWidth="1"/>
    <col min="2" max="2" width="12.28515625" bestFit="1" customWidth="1"/>
    <col min="3" max="3" width="10.140625" bestFit="1" customWidth="1"/>
    <col min="5" max="5" width="17.28515625" bestFit="1" customWidth="1"/>
    <col min="6" max="6" width="11.28515625" bestFit="1" customWidth="1"/>
    <col min="12" max="12" width="10.28515625" bestFit="1" customWidth="1"/>
    <col min="21" max="21" width="11.5703125" bestFit="1" customWidth="1"/>
    <col min="30" max="30" width="12.28515625" bestFit="1" customWidth="1"/>
    <col min="31" max="31" width="10.28515625" bestFit="1" customWidth="1"/>
    <col min="44" max="44" width="12" bestFit="1" customWidth="1"/>
    <col min="53" max="53" width="10.28515625" bestFit="1" customWidth="1"/>
    <col min="54" max="54" width="12.5703125" bestFit="1" customWidth="1"/>
    <col min="55" max="55" width="12.28515625" bestFit="1" customWidth="1"/>
    <col min="56" max="56" width="11.5703125" bestFit="1" customWidth="1"/>
  </cols>
  <sheetData>
    <row r="1" spans="1:55" x14ac:dyDescent="0.25">
      <c r="A1" t="s">
        <v>0</v>
      </c>
      <c r="C1" s="4">
        <v>0.13</v>
      </c>
      <c r="D1" t="s">
        <v>1</v>
      </c>
      <c r="E1" s="2">
        <f>((1+C1)^(1/12))-1</f>
        <v>1.02368443581764E-2</v>
      </c>
      <c r="F1" t="s">
        <v>2</v>
      </c>
    </row>
    <row r="2" spans="1:55" x14ac:dyDescent="0.25">
      <c r="A2" t="s">
        <v>3</v>
      </c>
      <c r="B2" s="3">
        <v>10000</v>
      </c>
      <c r="C2" t="s">
        <v>4</v>
      </c>
    </row>
    <row r="3" spans="1:55" x14ac:dyDescent="0.25">
      <c r="A3" t="s">
        <v>5</v>
      </c>
      <c r="B3" s="3">
        <v>4</v>
      </c>
    </row>
    <row r="4" spans="1:55" x14ac:dyDescent="0.25">
      <c r="A4" t="s">
        <v>51</v>
      </c>
      <c r="B4" s="33">
        <v>25669.130840020956</v>
      </c>
    </row>
    <row r="5" spans="1:55" x14ac:dyDescent="0.25">
      <c r="A5" t="s">
        <v>6</v>
      </c>
      <c r="B5">
        <f>B2*B3</f>
        <v>40000</v>
      </c>
    </row>
    <row r="6" spans="1:55" ht="18.75" x14ac:dyDescent="0.3">
      <c r="A6" t="s">
        <v>7</v>
      </c>
      <c r="B6" s="3">
        <v>1.6</v>
      </c>
      <c r="E6" s="21" t="s">
        <v>47</v>
      </c>
      <c r="F6" s="34">
        <f>B5-B4</f>
        <v>14330.869159979044</v>
      </c>
      <c r="G6" s="21" t="s">
        <v>4</v>
      </c>
    </row>
    <row r="7" spans="1:55" x14ac:dyDescent="0.25">
      <c r="A7" t="s">
        <v>8</v>
      </c>
      <c r="B7">
        <f>B5*B6</f>
        <v>64000</v>
      </c>
      <c r="C7" t="s">
        <v>4</v>
      </c>
      <c r="F7" s="22">
        <f>F6/B5</f>
        <v>0.35827172899947607</v>
      </c>
    </row>
    <row r="8" spans="1:55" x14ac:dyDescent="0.25">
      <c r="A8" t="s">
        <v>9</v>
      </c>
      <c r="B8" s="3">
        <v>0</v>
      </c>
      <c r="C8" s="5" t="s">
        <v>10</v>
      </c>
    </row>
    <row r="9" spans="1:55" x14ac:dyDescent="0.25">
      <c r="A9" t="s">
        <v>11</v>
      </c>
      <c r="B9" s="6">
        <f>-'$Constr'!B10</f>
        <v>-1787.6170999999999</v>
      </c>
      <c r="C9" t="s">
        <v>13</v>
      </c>
    </row>
    <row r="10" spans="1:55" x14ac:dyDescent="0.25">
      <c r="A10" t="s">
        <v>12</v>
      </c>
      <c r="B10" s="3">
        <v>7500</v>
      </c>
      <c r="C10" t="s">
        <v>13</v>
      </c>
      <c r="G10" s="22">
        <f>H10/B5</f>
        <v>-0.19929141396418981</v>
      </c>
      <c r="H10">
        <f>'1)$Terreno'!B15/'4)Permuta'!B10</f>
        <v>-7971.6565585675926</v>
      </c>
      <c r="I10" t="s">
        <v>4</v>
      </c>
    </row>
    <row r="11" spans="1:55" x14ac:dyDescent="0.25">
      <c r="A11" t="s">
        <v>53</v>
      </c>
      <c r="B11">
        <f>B5*B10</f>
        <v>300000000</v>
      </c>
    </row>
    <row r="14" spans="1:55" s="28" customFormat="1" x14ac:dyDescent="0.25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</row>
    <row r="15" spans="1:55" x14ac:dyDescent="0.25">
      <c r="A15" t="s">
        <v>24</v>
      </c>
      <c r="B15" s="15">
        <f>B11*Pagamentos!B2</f>
        <v>120000000</v>
      </c>
      <c r="C15" s="1">
        <v>0.4</v>
      </c>
      <c r="D15" t="s">
        <v>17</v>
      </c>
      <c r="E15" s="15">
        <f>C15*B11</f>
        <v>120000000</v>
      </c>
      <c r="U15" s="15">
        <f>E15*Pagamentos!C2/33</f>
        <v>909090.90909090906</v>
      </c>
      <c r="V15" s="15">
        <f>U15</f>
        <v>909090.90909090906</v>
      </c>
      <c r="W15" s="15">
        <f t="shared" ref="W15:AL16" si="0">V15</f>
        <v>909090.90909090906</v>
      </c>
      <c r="X15" s="15">
        <f t="shared" si="0"/>
        <v>909090.90909090906</v>
      </c>
      <c r="Y15" s="15">
        <f t="shared" si="0"/>
        <v>909090.90909090906</v>
      </c>
      <c r="Z15" s="15">
        <f t="shared" si="0"/>
        <v>909090.90909090906</v>
      </c>
      <c r="AA15" s="15">
        <f t="shared" si="0"/>
        <v>909090.90909090906</v>
      </c>
      <c r="AB15" s="15">
        <f t="shared" si="0"/>
        <v>909090.90909090906</v>
      </c>
      <c r="AC15" s="15">
        <f t="shared" si="0"/>
        <v>909090.90909090906</v>
      </c>
      <c r="AD15" s="15">
        <f t="shared" si="0"/>
        <v>909090.90909090906</v>
      </c>
      <c r="AE15" s="15">
        <f t="shared" si="0"/>
        <v>909090.90909090906</v>
      </c>
      <c r="AF15" s="15">
        <f t="shared" si="0"/>
        <v>909090.90909090906</v>
      </c>
      <c r="AG15" s="15">
        <f t="shared" si="0"/>
        <v>909090.90909090906</v>
      </c>
      <c r="AH15" s="15">
        <f t="shared" si="0"/>
        <v>909090.90909090906</v>
      </c>
      <c r="AI15" s="15">
        <f t="shared" si="0"/>
        <v>909090.90909090906</v>
      </c>
      <c r="AJ15" s="15">
        <f t="shared" si="0"/>
        <v>909090.90909090906</v>
      </c>
      <c r="AK15" s="15">
        <f t="shared" si="0"/>
        <v>909090.90909090906</v>
      </c>
      <c r="AL15" s="15">
        <f t="shared" si="0"/>
        <v>909090.90909090906</v>
      </c>
      <c r="AM15" s="15">
        <f t="shared" ref="AM15:BA16" si="1">AL15</f>
        <v>909090.90909090906</v>
      </c>
      <c r="AN15" s="15">
        <f t="shared" si="1"/>
        <v>909090.90909090906</v>
      </c>
      <c r="AO15" s="15">
        <f t="shared" si="1"/>
        <v>909090.90909090906</v>
      </c>
      <c r="AP15" s="15">
        <f t="shared" si="1"/>
        <v>909090.90909090906</v>
      </c>
      <c r="AQ15" s="15">
        <f t="shared" si="1"/>
        <v>909090.90909090906</v>
      </c>
      <c r="AR15" s="15">
        <f t="shared" si="1"/>
        <v>909090.90909090906</v>
      </c>
      <c r="AS15" s="15">
        <f t="shared" si="1"/>
        <v>909090.90909090906</v>
      </c>
      <c r="AT15" s="15">
        <f t="shared" si="1"/>
        <v>909090.90909090906</v>
      </c>
      <c r="AU15" s="15">
        <f t="shared" si="1"/>
        <v>909090.90909090906</v>
      </c>
      <c r="AV15" s="15">
        <f t="shared" si="1"/>
        <v>909090.90909090906</v>
      </c>
      <c r="AW15" s="15">
        <f t="shared" si="1"/>
        <v>909090.90909090906</v>
      </c>
      <c r="AX15" s="15">
        <f t="shared" si="1"/>
        <v>909090.90909090906</v>
      </c>
      <c r="AY15" s="15">
        <f t="shared" si="1"/>
        <v>909090.90909090906</v>
      </c>
      <c r="AZ15" s="15">
        <f t="shared" si="1"/>
        <v>909090.90909090906</v>
      </c>
      <c r="BA15" s="15">
        <f t="shared" si="1"/>
        <v>909090.90909090906</v>
      </c>
      <c r="BB15" s="15">
        <f>E15*Pagamentos!D2</f>
        <v>90000000</v>
      </c>
      <c r="BC15" s="15">
        <f t="shared" ref="BC15:BC26" si="2">SUM(F15:BB15)</f>
        <v>120000000</v>
      </c>
    </row>
    <row r="16" spans="1:55" x14ac:dyDescent="0.25">
      <c r="A16" t="s">
        <v>25</v>
      </c>
      <c r="B16" s="15">
        <f>B11*Pagamentos!B3</f>
        <v>150000000</v>
      </c>
      <c r="C16" s="1">
        <v>0.5</v>
      </c>
      <c r="D16" t="s">
        <v>17</v>
      </c>
      <c r="E16" s="15">
        <f>C16*B11</f>
        <v>150000000</v>
      </c>
      <c r="AD16" s="15">
        <f>E16*Pagamentos!C3/24</f>
        <v>1562500</v>
      </c>
      <c r="AE16" s="15">
        <f>AD16</f>
        <v>1562500</v>
      </c>
      <c r="AF16" s="15">
        <f t="shared" si="0"/>
        <v>1562500</v>
      </c>
      <c r="AG16" s="15">
        <f t="shared" si="0"/>
        <v>1562500</v>
      </c>
      <c r="AH16" s="15">
        <f t="shared" si="0"/>
        <v>1562500</v>
      </c>
      <c r="AI16" s="15">
        <f t="shared" si="0"/>
        <v>1562500</v>
      </c>
      <c r="AJ16" s="15">
        <f t="shared" si="0"/>
        <v>1562500</v>
      </c>
      <c r="AK16" s="15">
        <f t="shared" si="0"/>
        <v>1562500</v>
      </c>
      <c r="AL16" s="15">
        <f t="shared" si="0"/>
        <v>1562500</v>
      </c>
      <c r="AM16" s="15">
        <f t="shared" si="1"/>
        <v>1562500</v>
      </c>
      <c r="AN16" s="15">
        <f t="shared" si="1"/>
        <v>1562500</v>
      </c>
      <c r="AO16" s="15">
        <f t="shared" si="1"/>
        <v>1562500</v>
      </c>
      <c r="AP16" s="15">
        <f t="shared" si="1"/>
        <v>1562500</v>
      </c>
      <c r="AQ16" s="15">
        <f t="shared" si="1"/>
        <v>1562500</v>
      </c>
      <c r="AR16" s="15">
        <f t="shared" si="1"/>
        <v>1562500</v>
      </c>
      <c r="AS16" s="15">
        <f t="shared" si="1"/>
        <v>1562500</v>
      </c>
      <c r="AT16" s="15">
        <f t="shared" si="1"/>
        <v>1562500</v>
      </c>
      <c r="AU16" s="15">
        <f t="shared" si="1"/>
        <v>1562500</v>
      </c>
      <c r="AV16" s="15">
        <f t="shared" si="1"/>
        <v>1562500</v>
      </c>
      <c r="AW16" s="15">
        <f t="shared" si="1"/>
        <v>1562500</v>
      </c>
      <c r="AX16" s="15">
        <f t="shared" si="1"/>
        <v>1562500</v>
      </c>
      <c r="AY16" s="15">
        <f t="shared" si="1"/>
        <v>1562500</v>
      </c>
      <c r="AZ16" s="15">
        <f t="shared" si="1"/>
        <v>1562500</v>
      </c>
      <c r="BA16" s="15">
        <f t="shared" si="1"/>
        <v>1562500</v>
      </c>
      <c r="BB16" s="15">
        <f>E16*Pagamentos!D3</f>
        <v>112500000</v>
      </c>
      <c r="BC16" s="15">
        <f t="shared" si="2"/>
        <v>150000000</v>
      </c>
    </row>
    <row r="17" spans="1:55" x14ac:dyDescent="0.25">
      <c r="A17" t="s">
        <v>26</v>
      </c>
      <c r="B17" s="17">
        <f>B11*Pagamentos!B4</f>
        <v>30000000</v>
      </c>
      <c r="C17" s="18">
        <v>0.1</v>
      </c>
      <c r="D17" s="16" t="s">
        <v>17</v>
      </c>
      <c r="E17" s="17">
        <f t="shared" ref="E17:E24" si="3">B17</f>
        <v>30000000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7">
        <f>E17</f>
        <v>30000000</v>
      </c>
      <c r="BC17" s="17">
        <f t="shared" si="2"/>
        <v>30000000</v>
      </c>
    </row>
    <row r="18" spans="1:55" x14ac:dyDescent="0.25">
      <c r="A18" t="s">
        <v>54</v>
      </c>
      <c r="B18" s="30"/>
      <c r="C18" s="31"/>
      <c r="D18" s="32"/>
      <c r="E18" s="30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0">
        <f>SUM(U15:U17)</f>
        <v>909090.90909090906</v>
      </c>
      <c r="V18" s="30">
        <f t="shared" ref="V18:BA18" si="4">SUM(V15:V17)</f>
        <v>909090.90909090906</v>
      </c>
      <c r="W18" s="30">
        <f t="shared" si="4"/>
        <v>909090.90909090906</v>
      </c>
      <c r="X18" s="30">
        <f t="shared" si="4"/>
        <v>909090.90909090906</v>
      </c>
      <c r="Y18" s="30">
        <f t="shared" si="4"/>
        <v>909090.90909090906</v>
      </c>
      <c r="Z18" s="30">
        <f t="shared" si="4"/>
        <v>909090.90909090906</v>
      </c>
      <c r="AA18" s="30">
        <f t="shared" si="4"/>
        <v>909090.90909090906</v>
      </c>
      <c r="AB18" s="30">
        <f t="shared" si="4"/>
        <v>909090.90909090906</v>
      </c>
      <c r="AC18" s="30">
        <f t="shared" si="4"/>
        <v>909090.90909090906</v>
      </c>
      <c r="AD18" s="30">
        <f t="shared" si="4"/>
        <v>2471590.9090909092</v>
      </c>
      <c r="AE18" s="30">
        <f t="shared" si="4"/>
        <v>2471590.9090909092</v>
      </c>
      <c r="AF18" s="30">
        <f t="shared" si="4"/>
        <v>2471590.9090909092</v>
      </c>
      <c r="AG18" s="30">
        <f t="shared" si="4"/>
        <v>2471590.9090909092</v>
      </c>
      <c r="AH18" s="30">
        <f t="shared" si="4"/>
        <v>2471590.9090909092</v>
      </c>
      <c r="AI18" s="30">
        <f t="shared" si="4"/>
        <v>2471590.9090909092</v>
      </c>
      <c r="AJ18" s="30">
        <f t="shared" si="4"/>
        <v>2471590.9090909092</v>
      </c>
      <c r="AK18" s="30">
        <f t="shared" si="4"/>
        <v>2471590.9090909092</v>
      </c>
      <c r="AL18" s="30">
        <f t="shared" si="4"/>
        <v>2471590.9090909092</v>
      </c>
      <c r="AM18" s="30">
        <f t="shared" si="4"/>
        <v>2471590.9090909092</v>
      </c>
      <c r="AN18" s="30">
        <f t="shared" si="4"/>
        <v>2471590.9090909092</v>
      </c>
      <c r="AO18" s="30">
        <f t="shared" si="4"/>
        <v>2471590.9090909092</v>
      </c>
      <c r="AP18" s="30">
        <f t="shared" si="4"/>
        <v>2471590.9090909092</v>
      </c>
      <c r="AQ18" s="30">
        <f t="shared" si="4"/>
        <v>2471590.9090909092</v>
      </c>
      <c r="AR18" s="30">
        <f t="shared" si="4"/>
        <v>2471590.9090909092</v>
      </c>
      <c r="AS18" s="30">
        <f t="shared" si="4"/>
        <v>2471590.9090909092</v>
      </c>
      <c r="AT18" s="30">
        <f t="shared" si="4"/>
        <v>2471590.9090909092</v>
      </c>
      <c r="AU18" s="30">
        <f t="shared" si="4"/>
        <v>2471590.9090909092</v>
      </c>
      <c r="AV18" s="30">
        <f t="shared" si="4"/>
        <v>2471590.9090909092</v>
      </c>
      <c r="AW18" s="30">
        <f t="shared" si="4"/>
        <v>2471590.9090909092</v>
      </c>
      <c r="AX18" s="30">
        <f t="shared" si="4"/>
        <v>2471590.9090909092</v>
      </c>
      <c r="AY18" s="30">
        <f t="shared" si="4"/>
        <v>2471590.9090909092</v>
      </c>
      <c r="AZ18" s="30">
        <f t="shared" si="4"/>
        <v>2471590.9090909092</v>
      </c>
      <c r="BA18" s="30">
        <f t="shared" si="4"/>
        <v>2471590.9090909092</v>
      </c>
      <c r="BB18" s="30">
        <f>SUM(BB15:BB17)</f>
        <v>232500000</v>
      </c>
      <c r="BC18" s="15"/>
    </row>
    <row r="19" spans="1:55" x14ac:dyDescent="0.25">
      <c r="B19" s="15"/>
      <c r="C19" s="1"/>
      <c r="E19" s="15"/>
      <c r="BB19" s="15"/>
      <c r="BC19" s="15"/>
    </row>
    <row r="20" spans="1:55" x14ac:dyDescent="0.25">
      <c r="A20" s="7" t="s">
        <v>14</v>
      </c>
      <c r="B20" s="7" t="s">
        <v>15</v>
      </c>
      <c r="C20" s="7" t="s">
        <v>27</v>
      </c>
      <c r="D20" s="7" t="s">
        <v>28</v>
      </c>
      <c r="E20" s="7" t="s">
        <v>16</v>
      </c>
      <c r="F20" s="7">
        <v>0</v>
      </c>
      <c r="G20" s="7">
        <v>1</v>
      </c>
      <c r="H20" s="7">
        <v>2</v>
      </c>
      <c r="I20" s="7">
        <v>3</v>
      </c>
      <c r="J20" s="7">
        <v>4</v>
      </c>
      <c r="K20" s="7">
        <v>5</v>
      </c>
      <c r="L20" s="7">
        <v>6</v>
      </c>
      <c r="M20" s="7">
        <v>7</v>
      </c>
      <c r="N20" s="7">
        <v>8</v>
      </c>
      <c r="O20" s="7">
        <v>9</v>
      </c>
      <c r="P20" s="7">
        <v>10</v>
      </c>
      <c r="Q20" s="7">
        <v>11</v>
      </c>
      <c r="R20" s="7">
        <v>12</v>
      </c>
      <c r="S20" s="7">
        <v>13</v>
      </c>
      <c r="T20" s="7">
        <v>14</v>
      </c>
      <c r="U20" s="7">
        <v>15</v>
      </c>
      <c r="V20" s="7">
        <v>16</v>
      </c>
      <c r="W20" s="7">
        <v>17</v>
      </c>
      <c r="X20" s="7">
        <v>18</v>
      </c>
      <c r="Y20" s="7">
        <v>19</v>
      </c>
      <c r="Z20" s="7">
        <v>20</v>
      </c>
      <c r="AA20" s="7">
        <v>21</v>
      </c>
      <c r="AB20" s="7">
        <v>22</v>
      </c>
      <c r="AC20" s="7">
        <v>23</v>
      </c>
      <c r="AD20" s="7">
        <v>24</v>
      </c>
      <c r="AE20" s="7">
        <v>25</v>
      </c>
      <c r="AF20" s="7">
        <v>26</v>
      </c>
      <c r="AG20" s="7">
        <v>27</v>
      </c>
      <c r="AH20" s="7">
        <v>28</v>
      </c>
      <c r="AI20" s="7">
        <v>29</v>
      </c>
      <c r="AJ20" s="7">
        <v>30</v>
      </c>
      <c r="AK20" s="7">
        <v>31</v>
      </c>
      <c r="AL20" s="7">
        <v>32</v>
      </c>
      <c r="AM20" s="7">
        <v>33</v>
      </c>
      <c r="AN20" s="7">
        <v>34</v>
      </c>
      <c r="AO20" s="7">
        <v>35</v>
      </c>
      <c r="AP20" s="7">
        <v>36</v>
      </c>
      <c r="AQ20" s="7">
        <v>37</v>
      </c>
      <c r="AR20" s="7">
        <v>38</v>
      </c>
      <c r="AS20" s="7">
        <v>39</v>
      </c>
      <c r="AT20" s="7">
        <v>40</v>
      </c>
      <c r="AU20" s="7">
        <v>41</v>
      </c>
      <c r="AV20" s="7">
        <v>42</v>
      </c>
      <c r="AW20" s="7">
        <v>43</v>
      </c>
      <c r="AX20" s="7">
        <v>44</v>
      </c>
      <c r="AY20" s="7">
        <v>45</v>
      </c>
      <c r="AZ20" s="7">
        <v>46</v>
      </c>
      <c r="BA20" s="7">
        <v>47</v>
      </c>
      <c r="BB20" s="7">
        <v>48</v>
      </c>
      <c r="BC20" t="s">
        <v>16</v>
      </c>
    </row>
    <row r="21" spans="1:55" x14ac:dyDescent="0.25">
      <c r="A21" t="s">
        <v>52</v>
      </c>
      <c r="B21" s="15"/>
      <c r="C21" s="24">
        <f>E21/B11</f>
        <v>0.64172827100052388</v>
      </c>
      <c r="D21" t="s">
        <v>55</v>
      </c>
      <c r="E21" s="15">
        <f>B4*B10</f>
        <v>192518481.30015716</v>
      </c>
      <c r="F21">
        <f>F18*$C$21</f>
        <v>0</v>
      </c>
      <c r="G21">
        <f t="shared" ref="G21:BA21" si="5">G18*$C$21</f>
        <v>0</v>
      </c>
      <c r="H21">
        <f t="shared" si="5"/>
        <v>0</v>
      </c>
      <c r="I21">
        <f t="shared" si="5"/>
        <v>0</v>
      </c>
      <c r="J21">
        <f t="shared" si="5"/>
        <v>0</v>
      </c>
      <c r="K21">
        <f t="shared" si="5"/>
        <v>0</v>
      </c>
      <c r="L21">
        <f t="shared" si="5"/>
        <v>0</v>
      </c>
      <c r="M21">
        <f t="shared" si="5"/>
        <v>0</v>
      </c>
      <c r="N21">
        <f t="shared" si="5"/>
        <v>0</v>
      </c>
      <c r="O21">
        <f t="shared" si="5"/>
        <v>0</v>
      </c>
      <c r="P21">
        <f t="shared" si="5"/>
        <v>0</v>
      </c>
      <c r="Q21">
        <f t="shared" si="5"/>
        <v>0</v>
      </c>
      <c r="R21">
        <f t="shared" si="5"/>
        <v>0</v>
      </c>
      <c r="S21">
        <f t="shared" si="5"/>
        <v>0</v>
      </c>
      <c r="T21">
        <f t="shared" si="5"/>
        <v>0</v>
      </c>
      <c r="U21">
        <f t="shared" si="5"/>
        <v>583389.33727320354</v>
      </c>
      <c r="V21">
        <f t="shared" si="5"/>
        <v>583389.33727320354</v>
      </c>
      <c r="W21">
        <f t="shared" si="5"/>
        <v>583389.33727320354</v>
      </c>
      <c r="X21">
        <f t="shared" si="5"/>
        <v>583389.33727320354</v>
      </c>
      <c r="Y21">
        <f t="shared" si="5"/>
        <v>583389.33727320354</v>
      </c>
      <c r="Z21">
        <f t="shared" si="5"/>
        <v>583389.33727320354</v>
      </c>
      <c r="AA21">
        <f t="shared" si="5"/>
        <v>583389.33727320354</v>
      </c>
      <c r="AB21">
        <f t="shared" si="5"/>
        <v>583389.33727320354</v>
      </c>
      <c r="AC21">
        <f t="shared" si="5"/>
        <v>583389.33727320354</v>
      </c>
      <c r="AD21">
        <f t="shared" si="5"/>
        <v>1586089.7607115221</v>
      </c>
      <c r="AE21">
        <f t="shared" si="5"/>
        <v>1586089.7607115221</v>
      </c>
      <c r="AF21">
        <f t="shared" si="5"/>
        <v>1586089.7607115221</v>
      </c>
      <c r="AG21">
        <f t="shared" si="5"/>
        <v>1586089.7607115221</v>
      </c>
      <c r="AH21">
        <f t="shared" si="5"/>
        <v>1586089.7607115221</v>
      </c>
      <c r="AI21">
        <f t="shared" si="5"/>
        <v>1586089.7607115221</v>
      </c>
      <c r="AJ21">
        <f t="shared" si="5"/>
        <v>1586089.7607115221</v>
      </c>
      <c r="AK21">
        <f t="shared" si="5"/>
        <v>1586089.7607115221</v>
      </c>
      <c r="AL21">
        <f t="shared" si="5"/>
        <v>1586089.7607115221</v>
      </c>
      <c r="AM21">
        <f t="shared" si="5"/>
        <v>1586089.7607115221</v>
      </c>
      <c r="AN21">
        <f t="shared" si="5"/>
        <v>1586089.7607115221</v>
      </c>
      <c r="AO21">
        <f t="shared" si="5"/>
        <v>1586089.7607115221</v>
      </c>
      <c r="AP21">
        <f t="shared" si="5"/>
        <v>1586089.7607115221</v>
      </c>
      <c r="AQ21">
        <f t="shared" si="5"/>
        <v>1586089.7607115221</v>
      </c>
      <c r="AR21">
        <f t="shared" si="5"/>
        <v>1586089.7607115221</v>
      </c>
      <c r="AS21">
        <f t="shared" si="5"/>
        <v>1586089.7607115221</v>
      </c>
      <c r="AT21">
        <f t="shared" si="5"/>
        <v>1586089.7607115221</v>
      </c>
      <c r="AU21">
        <f t="shared" si="5"/>
        <v>1586089.7607115221</v>
      </c>
      <c r="AV21">
        <f t="shared" si="5"/>
        <v>1586089.7607115221</v>
      </c>
      <c r="AW21">
        <f t="shared" si="5"/>
        <v>1586089.7607115221</v>
      </c>
      <c r="AX21">
        <f t="shared" si="5"/>
        <v>1586089.7607115221</v>
      </c>
      <c r="AY21">
        <f t="shared" si="5"/>
        <v>1586089.7607115221</v>
      </c>
      <c r="AZ21">
        <f t="shared" si="5"/>
        <v>1586089.7607115221</v>
      </c>
      <c r="BA21">
        <f t="shared" si="5"/>
        <v>1586089.7607115221</v>
      </c>
      <c r="BB21">
        <f>BB18*$C$21</f>
        <v>149201823.00762179</v>
      </c>
      <c r="BC21" s="15">
        <f t="shared" si="2"/>
        <v>192518481.30015713</v>
      </c>
    </row>
    <row r="22" spans="1:55" x14ac:dyDescent="0.25">
      <c r="A22" t="s">
        <v>29</v>
      </c>
      <c r="B22" s="15">
        <f>B8*B2</f>
        <v>0</v>
      </c>
      <c r="E22" s="15">
        <f t="shared" si="3"/>
        <v>0</v>
      </c>
      <c r="F22" s="15">
        <f>E22</f>
        <v>0</v>
      </c>
      <c r="BC22" s="15">
        <f t="shared" si="2"/>
        <v>0</v>
      </c>
    </row>
    <row r="23" spans="1:55" x14ac:dyDescent="0.25">
      <c r="A23" t="s">
        <v>30</v>
      </c>
      <c r="B23" s="15">
        <f>B9*B7</f>
        <v>-114407494.39999999</v>
      </c>
      <c r="E23" s="15">
        <f t="shared" si="3"/>
        <v>-114407494.39999999</v>
      </c>
      <c r="AD23" s="15">
        <f>E23/24</f>
        <v>-4766978.9333333327</v>
      </c>
      <c r="AE23" s="15">
        <f>AD23</f>
        <v>-4766978.9333333327</v>
      </c>
      <c r="AF23" s="15">
        <f t="shared" ref="AF23:BA23" si="6">AE23</f>
        <v>-4766978.9333333327</v>
      </c>
      <c r="AG23" s="15">
        <f t="shared" si="6"/>
        <v>-4766978.9333333327</v>
      </c>
      <c r="AH23" s="15">
        <f t="shared" si="6"/>
        <v>-4766978.9333333327</v>
      </c>
      <c r="AI23" s="15">
        <f t="shared" si="6"/>
        <v>-4766978.9333333327</v>
      </c>
      <c r="AJ23" s="15">
        <f t="shared" si="6"/>
        <v>-4766978.9333333327</v>
      </c>
      <c r="AK23" s="15">
        <f t="shared" si="6"/>
        <v>-4766978.9333333327</v>
      </c>
      <c r="AL23" s="15">
        <f t="shared" si="6"/>
        <v>-4766978.9333333327</v>
      </c>
      <c r="AM23" s="15">
        <f t="shared" si="6"/>
        <v>-4766978.9333333327</v>
      </c>
      <c r="AN23" s="15">
        <f t="shared" si="6"/>
        <v>-4766978.9333333327</v>
      </c>
      <c r="AO23" s="15">
        <f t="shared" si="6"/>
        <v>-4766978.9333333327</v>
      </c>
      <c r="AP23" s="15">
        <f t="shared" si="6"/>
        <v>-4766978.9333333327</v>
      </c>
      <c r="AQ23" s="15">
        <f t="shared" si="6"/>
        <v>-4766978.9333333327</v>
      </c>
      <c r="AR23" s="15">
        <f t="shared" si="6"/>
        <v>-4766978.9333333327</v>
      </c>
      <c r="AS23" s="15">
        <f t="shared" si="6"/>
        <v>-4766978.9333333327</v>
      </c>
      <c r="AT23" s="15">
        <f t="shared" si="6"/>
        <v>-4766978.9333333327</v>
      </c>
      <c r="AU23" s="15">
        <f t="shared" si="6"/>
        <v>-4766978.9333333327</v>
      </c>
      <c r="AV23" s="15">
        <f t="shared" si="6"/>
        <v>-4766978.9333333327</v>
      </c>
      <c r="AW23" s="15">
        <f t="shared" si="6"/>
        <v>-4766978.9333333327</v>
      </c>
      <c r="AX23" s="15">
        <f t="shared" si="6"/>
        <v>-4766978.9333333327</v>
      </c>
      <c r="AY23" s="15">
        <f t="shared" si="6"/>
        <v>-4766978.9333333327</v>
      </c>
      <c r="AZ23" s="15">
        <f t="shared" si="6"/>
        <v>-4766978.9333333327</v>
      </c>
      <c r="BA23" s="15">
        <f t="shared" si="6"/>
        <v>-4766978.9333333327</v>
      </c>
      <c r="BC23" s="15">
        <f t="shared" si="2"/>
        <v>-114407494.40000001</v>
      </c>
    </row>
    <row r="24" spans="1:55" x14ac:dyDescent="0.25">
      <c r="A24" t="s">
        <v>31</v>
      </c>
      <c r="B24" s="15">
        <f>B23*C24</f>
        <v>-4576299.7759999996</v>
      </c>
      <c r="C24" s="1">
        <v>0.04</v>
      </c>
      <c r="D24" t="s">
        <v>40</v>
      </c>
      <c r="E24" s="15">
        <f t="shared" si="3"/>
        <v>-4576299.7759999996</v>
      </c>
      <c r="L24" s="15">
        <f>E24</f>
        <v>-4576299.7759999996</v>
      </c>
      <c r="BC24" s="15">
        <f t="shared" si="2"/>
        <v>-4576299.7759999996</v>
      </c>
    </row>
    <row r="25" spans="1:55" x14ac:dyDescent="0.25">
      <c r="A25" t="s">
        <v>41</v>
      </c>
      <c r="B25" s="15"/>
      <c r="C25" s="1">
        <v>-0.12</v>
      </c>
      <c r="D25" t="s">
        <v>17</v>
      </c>
      <c r="E25" s="15">
        <f>--B11*C25</f>
        <v>-36000000</v>
      </c>
      <c r="F25" s="15">
        <f>SUM(F15:F17)*$C$25</f>
        <v>0</v>
      </c>
      <c r="G25" s="15">
        <f t="shared" ref="G25:BB25" si="7">SUM(G15:G17)*$C$25</f>
        <v>0</v>
      </c>
      <c r="H25" s="15">
        <f t="shared" si="7"/>
        <v>0</v>
      </c>
      <c r="I25" s="15">
        <f t="shared" si="7"/>
        <v>0</v>
      </c>
      <c r="J25" s="15">
        <f t="shared" si="7"/>
        <v>0</v>
      </c>
      <c r="K25" s="15">
        <f t="shared" si="7"/>
        <v>0</v>
      </c>
      <c r="L25" s="15">
        <f t="shared" si="7"/>
        <v>0</v>
      </c>
      <c r="M25" s="15">
        <f t="shared" si="7"/>
        <v>0</v>
      </c>
      <c r="N25" s="15">
        <f t="shared" si="7"/>
        <v>0</v>
      </c>
      <c r="O25" s="15">
        <f t="shared" si="7"/>
        <v>0</v>
      </c>
      <c r="P25" s="15">
        <f t="shared" si="7"/>
        <v>0</v>
      </c>
      <c r="Q25" s="15">
        <f t="shared" si="7"/>
        <v>0</v>
      </c>
      <c r="R25" s="15">
        <f t="shared" si="7"/>
        <v>0</v>
      </c>
      <c r="S25" s="15">
        <f t="shared" si="7"/>
        <v>0</v>
      </c>
      <c r="T25" s="15">
        <f t="shared" si="7"/>
        <v>0</v>
      </c>
      <c r="U25" s="15">
        <f>SUM(U15:U17)*$C$25</f>
        <v>-109090.90909090909</v>
      </c>
      <c r="V25" s="15">
        <f t="shared" si="7"/>
        <v>-109090.90909090909</v>
      </c>
      <c r="W25" s="15">
        <f t="shared" si="7"/>
        <v>-109090.90909090909</v>
      </c>
      <c r="X25" s="15">
        <f t="shared" si="7"/>
        <v>-109090.90909090909</v>
      </c>
      <c r="Y25" s="15">
        <f t="shared" si="7"/>
        <v>-109090.90909090909</v>
      </c>
      <c r="Z25" s="15">
        <f t="shared" si="7"/>
        <v>-109090.90909090909</v>
      </c>
      <c r="AA25" s="15">
        <f t="shared" si="7"/>
        <v>-109090.90909090909</v>
      </c>
      <c r="AB25" s="15">
        <f t="shared" si="7"/>
        <v>-109090.90909090909</v>
      </c>
      <c r="AC25" s="15">
        <f t="shared" si="7"/>
        <v>-109090.90909090909</v>
      </c>
      <c r="AD25" s="15">
        <f t="shared" si="7"/>
        <v>-296590.90909090912</v>
      </c>
      <c r="AE25" s="15">
        <f t="shared" si="7"/>
        <v>-296590.90909090912</v>
      </c>
      <c r="AF25" s="15">
        <f t="shared" si="7"/>
        <v>-296590.90909090912</v>
      </c>
      <c r="AG25" s="15">
        <f t="shared" si="7"/>
        <v>-296590.90909090912</v>
      </c>
      <c r="AH25" s="15">
        <f t="shared" si="7"/>
        <v>-296590.90909090912</v>
      </c>
      <c r="AI25" s="15">
        <f t="shared" si="7"/>
        <v>-296590.90909090912</v>
      </c>
      <c r="AJ25" s="15">
        <f t="shared" si="7"/>
        <v>-296590.90909090912</v>
      </c>
      <c r="AK25" s="15">
        <f t="shared" si="7"/>
        <v>-296590.90909090912</v>
      </c>
      <c r="AL25" s="15">
        <f t="shared" si="7"/>
        <v>-296590.90909090912</v>
      </c>
      <c r="AM25" s="15">
        <f t="shared" si="7"/>
        <v>-296590.90909090912</v>
      </c>
      <c r="AN25" s="15">
        <f t="shared" si="7"/>
        <v>-296590.90909090912</v>
      </c>
      <c r="AO25" s="15">
        <f t="shared" si="7"/>
        <v>-296590.90909090912</v>
      </c>
      <c r="AP25" s="15">
        <f t="shared" si="7"/>
        <v>-296590.90909090912</v>
      </c>
      <c r="AQ25" s="15">
        <f t="shared" si="7"/>
        <v>-296590.90909090912</v>
      </c>
      <c r="AR25" s="15">
        <f t="shared" si="7"/>
        <v>-296590.90909090912</v>
      </c>
      <c r="AS25" s="15">
        <f t="shared" si="7"/>
        <v>-296590.90909090912</v>
      </c>
      <c r="AT25" s="15">
        <f t="shared" si="7"/>
        <v>-296590.90909090912</v>
      </c>
      <c r="AU25" s="15">
        <f t="shared" si="7"/>
        <v>-296590.90909090912</v>
      </c>
      <c r="AV25" s="15">
        <f t="shared" si="7"/>
        <v>-296590.90909090912</v>
      </c>
      <c r="AW25" s="15">
        <f t="shared" si="7"/>
        <v>-296590.90909090912</v>
      </c>
      <c r="AX25" s="15">
        <f t="shared" si="7"/>
        <v>-296590.90909090912</v>
      </c>
      <c r="AY25" s="15">
        <f t="shared" si="7"/>
        <v>-296590.90909090912</v>
      </c>
      <c r="AZ25" s="15">
        <f t="shared" si="7"/>
        <v>-296590.90909090912</v>
      </c>
      <c r="BA25" s="15">
        <f t="shared" si="7"/>
        <v>-296590.90909090912</v>
      </c>
      <c r="BB25" s="15">
        <f t="shared" si="7"/>
        <v>-27900000</v>
      </c>
      <c r="BC25" s="15">
        <f t="shared" si="2"/>
        <v>-36000000</v>
      </c>
    </row>
    <row r="26" spans="1:55" x14ac:dyDescent="0.25">
      <c r="A26" s="16" t="s">
        <v>42</v>
      </c>
      <c r="B26" s="17"/>
      <c r="C26" s="18">
        <v>-0.1</v>
      </c>
      <c r="D26" s="16" t="s">
        <v>17</v>
      </c>
      <c r="E26" s="17">
        <f>B12*C26</f>
        <v>0</v>
      </c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7">
        <f>C26*E15*C21</f>
        <v>-7700739.2520062868</v>
      </c>
      <c r="V26" s="16"/>
      <c r="W26" s="16"/>
      <c r="X26" s="16"/>
      <c r="Y26" s="16"/>
      <c r="Z26" s="16"/>
      <c r="AA26" s="16"/>
      <c r="AB26" s="16"/>
      <c r="AC26" s="16"/>
      <c r="AD26" s="17">
        <f>C26*E16*C21</f>
        <v>-9625924.065007858</v>
      </c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7">
        <f>C26*E17*C21</f>
        <v>-1925184.8130015717</v>
      </c>
      <c r="BC26" s="17">
        <f t="shared" si="2"/>
        <v>-19251848.130015716</v>
      </c>
    </row>
    <row r="27" spans="1:55" x14ac:dyDescent="0.25">
      <c r="A27" s="19" t="s">
        <v>44</v>
      </c>
      <c r="B27" s="15"/>
      <c r="E27" s="15">
        <f>SUM(E21:E26)</f>
        <v>37534687.124157175</v>
      </c>
      <c r="F27" s="15">
        <f>SUM(F21:F26)</f>
        <v>0</v>
      </c>
      <c r="G27" s="15">
        <f t="shared" ref="G27:BB27" si="8">SUM(G21:G26)</f>
        <v>0</v>
      </c>
      <c r="H27" s="15">
        <f t="shared" si="8"/>
        <v>0</v>
      </c>
      <c r="I27" s="15">
        <f t="shared" si="8"/>
        <v>0</v>
      </c>
      <c r="J27" s="15">
        <f t="shared" si="8"/>
        <v>0</v>
      </c>
      <c r="K27" s="15">
        <f t="shared" si="8"/>
        <v>0</v>
      </c>
      <c r="L27" s="15">
        <f>SUM(L21:L26)</f>
        <v>-4576299.7759999996</v>
      </c>
      <c r="M27" s="15">
        <f t="shared" si="8"/>
        <v>0</v>
      </c>
      <c r="N27" s="15">
        <f t="shared" si="8"/>
        <v>0</v>
      </c>
      <c r="O27" s="15">
        <f t="shared" si="8"/>
        <v>0</v>
      </c>
      <c r="P27" s="15">
        <f t="shared" si="8"/>
        <v>0</v>
      </c>
      <c r="Q27" s="15">
        <f t="shared" si="8"/>
        <v>0</v>
      </c>
      <c r="R27" s="15">
        <f t="shared" si="8"/>
        <v>0</v>
      </c>
      <c r="S27" s="15">
        <f t="shared" si="8"/>
        <v>0</v>
      </c>
      <c r="T27" s="15">
        <f t="shared" si="8"/>
        <v>0</v>
      </c>
      <c r="U27" s="15">
        <f t="shared" si="8"/>
        <v>-7226440.8238239922</v>
      </c>
      <c r="V27" s="15">
        <f t="shared" si="8"/>
        <v>474298.42818229448</v>
      </c>
      <c r="W27" s="15">
        <f t="shared" si="8"/>
        <v>474298.42818229448</v>
      </c>
      <c r="X27" s="15">
        <f t="shared" si="8"/>
        <v>474298.42818229448</v>
      </c>
      <c r="Y27" s="15">
        <f t="shared" si="8"/>
        <v>474298.42818229448</v>
      </c>
      <c r="Z27" s="15">
        <f t="shared" si="8"/>
        <v>474298.42818229448</v>
      </c>
      <c r="AA27" s="15">
        <f t="shared" si="8"/>
        <v>474298.42818229448</v>
      </c>
      <c r="AB27" s="15">
        <f t="shared" si="8"/>
        <v>474298.42818229448</v>
      </c>
      <c r="AC27" s="15">
        <f t="shared" si="8"/>
        <v>474298.42818229448</v>
      </c>
      <c r="AD27" s="15">
        <f t="shared" si="8"/>
        <v>-13103404.146720577</v>
      </c>
      <c r="AE27" s="15">
        <f t="shared" si="8"/>
        <v>-3477480.08171272</v>
      </c>
      <c r="AF27" s="15">
        <f t="shared" si="8"/>
        <v>-3477480.08171272</v>
      </c>
      <c r="AG27" s="15">
        <f t="shared" si="8"/>
        <v>-3477480.08171272</v>
      </c>
      <c r="AH27" s="15">
        <f t="shared" si="8"/>
        <v>-3477480.08171272</v>
      </c>
      <c r="AI27" s="15">
        <f t="shared" si="8"/>
        <v>-3477480.08171272</v>
      </c>
      <c r="AJ27" s="15">
        <f t="shared" si="8"/>
        <v>-3477480.08171272</v>
      </c>
      <c r="AK27" s="15">
        <f t="shared" si="8"/>
        <v>-3477480.08171272</v>
      </c>
      <c r="AL27" s="15">
        <f t="shared" si="8"/>
        <v>-3477480.08171272</v>
      </c>
      <c r="AM27" s="15">
        <f t="shared" si="8"/>
        <v>-3477480.08171272</v>
      </c>
      <c r="AN27" s="15">
        <f t="shared" si="8"/>
        <v>-3477480.08171272</v>
      </c>
      <c r="AO27" s="15">
        <f t="shared" si="8"/>
        <v>-3477480.08171272</v>
      </c>
      <c r="AP27" s="15">
        <f t="shared" si="8"/>
        <v>-3477480.08171272</v>
      </c>
      <c r="AQ27" s="15">
        <f t="shared" si="8"/>
        <v>-3477480.08171272</v>
      </c>
      <c r="AR27" s="15">
        <f>SUM(AR21:AR26)</f>
        <v>-3477480.08171272</v>
      </c>
      <c r="AS27" s="15">
        <f t="shared" si="8"/>
        <v>-3477480.08171272</v>
      </c>
      <c r="AT27" s="15">
        <f t="shared" si="8"/>
        <v>-3477480.08171272</v>
      </c>
      <c r="AU27" s="15">
        <f t="shared" si="8"/>
        <v>-3477480.08171272</v>
      </c>
      <c r="AV27" s="15">
        <f t="shared" si="8"/>
        <v>-3477480.08171272</v>
      </c>
      <c r="AW27" s="15">
        <f t="shared" si="8"/>
        <v>-3477480.08171272</v>
      </c>
      <c r="AX27" s="15">
        <f t="shared" si="8"/>
        <v>-3477480.08171272</v>
      </c>
      <c r="AY27" s="15">
        <f t="shared" si="8"/>
        <v>-3477480.08171272</v>
      </c>
      <c r="AZ27" s="15">
        <f t="shared" si="8"/>
        <v>-3477480.08171272</v>
      </c>
      <c r="BA27" s="15">
        <f t="shared" si="8"/>
        <v>-3477480.08171272</v>
      </c>
      <c r="BB27" s="15">
        <f t="shared" si="8"/>
        <v>119376638.19462022</v>
      </c>
      <c r="BC27" s="15">
        <f>SUM(BC21:BC26)</f>
        <v>18282838.994141415</v>
      </c>
    </row>
    <row r="28" spans="1:55" x14ac:dyDescent="0.25">
      <c r="A28" s="19" t="s">
        <v>56</v>
      </c>
      <c r="B28" s="15"/>
      <c r="E28" s="15"/>
      <c r="F28" s="15">
        <f>F27</f>
        <v>0</v>
      </c>
      <c r="G28" s="15">
        <f>F28+G27</f>
        <v>0</v>
      </c>
      <c r="H28" s="15">
        <f t="shared" ref="H28:BB28" si="9">G28+H27</f>
        <v>0</v>
      </c>
      <c r="I28" s="15">
        <f t="shared" si="9"/>
        <v>0</v>
      </c>
      <c r="J28" s="15">
        <f t="shared" si="9"/>
        <v>0</v>
      </c>
      <c r="K28" s="15">
        <f t="shared" si="9"/>
        <v>0</v>
      </c>
      <c r="L28" s="15">
        <f t="shared" si="9"/>
        <v>-4576299.7759999996</v>
      </c>
      <c r="M28" s="15">
        <f t="shared" si="9"/>
        <v>-4576299.7759999996</v>
      </c>
      <c r="N28" s="15">
        <f t="shared" si="9"/>
        <v>-4576299.7759999996</v>
      </c>
      <c r="O28" s="15">
        <f t="shared" si="9"/>
        <v>-4576299.7759999996</v>
      </c>
      <c r="P28" s="15">
        <f t="shared" si="9"/>
        <v>-4576299.7759999996</v>
      </c>
      <c r="Q28" s="15">
        <f t="shared" si="9"/>
        <v>-4576299.7759999996</v>
      </c>
      <c r="R28" s="15">
        <f t="shared" si="9"/>
        <v>-4576299.7759999996</v>
      </c>
      <c r="S28" s="15">
        <f t="shared" si="9"/>
        <v>-4576299.7759999996</v>
      </c>
      <c r="T28" s="15">
        <f t="shared" si="9"/>
        <v>-4576299.7759999996</v>
      </c>
      <c r="U28" s="15">
        <f t="shared" si="9"/>
        <v>-11802740.599823993</v>
      </c>
      <c r="V28" s="15">
        <f t="shared" si="9"/>
        <v>-11328442.171641698</v>
      </c>
      <c r="W28" s="15">
        <f t="shared" si="9"/>
        <v>-10854143.743459404</v>
      </c>
      <c r="X28" s="15">
        <f t="shared" si="9"/>
        <v>-10379845.315277109</v>
      </c>
      <c r="Y28" s="15">
        <f t="shared" si="9"/>
        <v>-9905546.8870948143</v>
      </c>
      <c r="Z28" s="15">
        <f t="shared" si="9"/>
        <v>-9431248.4589125197</v>
      </c>
      <c r="AA28" s="15">
        <f t="shared" si="9"/>
        <v>-8956950.0307302251</v>
      </c>
      <c r="AB28" s="15">
        <f t="shared" si="9"/>
        <v>-8482651.6025479306</v>
      </c>
      <c r="AC28" s="15">
        <f t="shared" si="9"/>
        <v>-8008353.174365636</v>
      </c>
      <c r="AD28" s="15">
        <f t="shared" si="9"/>
        <v>-21111757.321086213</v>
      </c>
      <c r="AE28" s="15">
        <f t="shared" si="9"/>
        <v>-24589237.402798932</v>
      </c>
      <c r="AF28" s="15">
        <f t="shared" si="9"/>
        <v>-28066717.484511651</v>
      </c>
      <c r="AG28" s="15">
        <f t="shared" si="9"/>
        <v>-31544197.56622437</v>
      </c>
      <c r="AH28" s="15">
        <f t="shared" si="9"/>
        <v>-35021677.647937089</v>
      </c>
      <c r="AI28" s="15">
        <f t="shared" si="9"/>
        <v>-38499157.729649812</v>
      </c>
      <c r="AJ28" s="15">
        <f t="shared" si="9"/>
        <v>-41976637.811362535</v>
      </c>
      <c r="AK28" s="15">
        <f t="shared" si="9"/>
        <v>-45454117.893075258</v>
      </c>
      <c r="AL28" s="15">
        <f t="shared" si="9"/>
        <v>-48931597.97478798</v>
      </c>
      <c r="AM28" s="15">
        <f t="shared" si="9"/>
        <v>-52409078.056500703</v>
      </c>
      <c r="AN28" s="15">
        <f t="shared" si="9"/>
        <v>-55886558.138213426</v>
      </c>
      <c r="AO28" s="15">
        <f t="shared" si="9"/>
        <v>-59364038.219926149</v>
      </c>
      <c r="AP28" s="15">
        <f t="shared" si="9"/>
        <v>-62841518.301638871</v>
      </c>
      <c r="AQ28" s="15">
        <f t="shared" si="9"/>
        <v>-66318998.383351594</v>
      </c>
      <c r="AR28" s="15">
        <f t="shared" si="9"/>
        <v>-69796478.465064317</v>
      </c>
      <c r="AS28" s="15">
        <f t="shared" si="9"/>
        <v>-73273958.54677704</v>
      </c>
      <c r="AT28" s="15">
        <f t="shared" si="9"/>
        <v>-76751438.628489763</v>
      </c>
      <c r="AU28" s="15">
        <f t="shared" si="9"/>
        <v>-80228918.710202485</v>
      </c>
      <c r="AV28" s="15">
        <f t="shared" si="9"/>
        <v>-83706398.791915208</v>
      </c>
      <c r="AW28" s="15">
        <f t="shared" si="9"/>
        <v>-87183878.873627931</v>
      </c>
      <c r="AX28" s="15">
        <f t="shared" si="9"/>
        <v>-90661358.955340654</v>
      </c>
      <c r="AY28" s="15">
        <f t="shared" si="9"/>
        <v>-94138839.037053376</v>
      </c>
      <c r="AZ28" s="15">
        <f t="shared" si="9"/>
        <v>-97616319.118766099</v>
      </c>
      <c r="BA28" s="15">
        <f t="shared" si="9"/>
        <v>-101093799.20047882</v>
      </c>
      <c r="BB28" s="15">
        <f t="shared" si="9"/>
        <v>18282838.9941414</v>
      </c>
      <c r="BC28" s="15"/>
    </row>
    <row r="29" spans="1:55" x14ac:dyDescent="0.25">
      <c r="A29" s="19" t="s">
        <v>48</v>
      </c>
      <c r="B29" s="15"/>
      <c r="E29" s="23">
        <f>E27/B11</f>
        <v>0.1251156237471906</v>
      </c>
    </row>
    <row r="30" spans="1:55" x14ac:dyDescent="0.25">
      <c r="A30" t="s">
        <v>45</v>
      </c>
      <c r="B30" s="15"/>
      <c r="E30" s="20">
        <f>NPV(E1,G27:BB27)+F27</f>
        <v>-1.475016603984055E-8</v>
      </c>
    </row>
    <row r="31" spans="1:55" x14ac:dyDescent="0.25">
      <c r="A31" t="s">
        <v>46</v>
      </c>
    </row>
    <row r="32" spans="1:55" x14ac:dyDescent="0.25">
      <c r="A32" t="s">
        <v>49</v>
      </c>
      <c r="E32" s="24">
        <f>IRR(F27:BB27)</f>
        <v>1.02368443581764E-2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1</vt:i4>
      </vt:variant>
    </vt:vector>
  </HeadingPairs>
  <TitlesOfParts>
    <vt:vector size="11" baseType="lpstr">
      <vt:lpstr>Original</vt:lpstr>
      <vt:lpstr>$Constr</vt:lpstr>
      <vt:lpstr>Pagamentos</vt:lpstr>
      <vt:lpstr>1)$Terreno</vt:lpstr>
      <vt:lpstr>2)juros16%</vt:lpstr>
      <vt:lpstr>2)10%</vt:lpstr>
      <vt:lpstr>3)$X2</vt:lpstr>
      <vt:lpstr>3)$50%</vt:lpstr>
      <vt:lpstr>4)Permuta</vt:lpstr>
      <vt:lpstr>7)Especulação</vt:lpstr>
      <vt:lpstr>Original!_Hlk8423198</vt:lpstr>
    </vt:vector>
  </TitlesOfParts>
  <Company>USP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Aula</dc:creator>
  <cp:lastModifiedBy>Aula</cp:lastModifiedBy>
  <dcterms:created xsi:type="dcterms:W3CDTF">2022-06-13T22:02:27Z</dcterms:created>
  <dcterms:modified xsi:type="dcterms:W3CDTF">2022-06-21T01:36:03Z</dcterms:modified>
</cp:coreProperties>
</file>