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jrkas\Documents\_     EAC AULAS E BANCAS 2022\_  EAC110adm e 111eco\"/>
    </mc:Choice>
  </mc:AlternateContent>
  <xr:revisionPtr revIDLastSave="0" documentId="13_ncr:1_{B219E1EF-009A-4FD4-A97E-DDBFC6F63D5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ré-prova Petro (opção-1)" sheetId="7" r:id="rId1"/>
    <sheet name="pré-prova Apple (opção-2)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" i="6" l="1"/>
  <c r="G64" i="6" s="1"/>
  <c r="G53" i="6"/>
  <c r="G47" i="6"/>
  <c r="G62" i="7" l="1"/>
  <c r="G64" i="7" s="1"/>
  <c r="G53" i="7"/>
  <c r="G47" i="7"/>
  <c r="D22" i="7" l="1"/>
  <c r="J19" i="7" s="1"/>
  <c r="E22" i="7"/>
  <c r="F22" i="7"/>
  <c r="D27" i="7"/>
  <c r="E27" i="7"/>
  <c r="F27" i="7"/>
  <c r="D29" i="7"/>
  <c r="D35" i="7"/>
  <c r="L14" i="7"/>
  <c r="L15" i="7" s="1"/>
  <c r="K14" i="7"/>
  <c r="J14" i="7"/>
  <c r="I14" i="7"/>
  <c r="K13" i="7"/>
  <c r="J13" i="7"/>
  <c r="I13" i="7"/>
  <c r="J11" i="7"/>
  <c r="I11" i="7"/>
  <c r="E11" i="7"/>
  <c r="D11" i="7"/>
  <c r="C11" i="7"/>
  <c r="E9" i="7"/>
  <c r="L8" i="7"/>
  <c r="L9" i="7" s="1"/>
  <c r="K8" i="7"/>
  <c r="J8" i="7"/>
  <c r="I8" i="7"/>
  <c r="K6" i="7"/>
  <c r="J6" i="7"/>
  <c r="I6" i="7"/>
  <c r="E6" i="7"/>
  <c r="D6" i="7"/>
  <c r="K5" i="7"/>
  <c r="J5" i="7"/>
  <c r="I5" i="7"/>
  <c r="F5" i="7"/>
  <c r="E5" i="7"/>
  <c r="D5" i="7"/>
  <c r="K4" i="7"/>
  <c r="J4" i="7"/>
  <c r="F4" i="7"/>
  <c r="E4" i="7"/>
  <c r="D4" i="7"/>
  <c r="C4" i="7"/>
  <c r="D23" i="7" l="1"/>
  <c r="D30" i="7" s="1"/>
  <c r="D32" i="7" s="1"/>
  <c r="C7" i="7"/>
  <c r="F7" i="7"/>
  <c r="F16" i="7" s="1"/>
  <c r="F23" i="7"/>
  <c r="F30" i="7" s="1"/>
  <c r="F31" i="7" s="1"/>
  <c r="F35" i="7" s="1"/>
  <c r="L19" i="7"/>
  <c r="E23" i="7"/>
  <c r="E30" i="7" s="1"/>
  <c r="E31" i="7" s="1"/>
  <c r="E32" i="7" s="1"/>
  <c r="K19" i="7"/>
  <c r="E35" i="7"/>
  <c r="I15" i="7"/>
  <c r="J9" i="7"/>
  <c r="J15" i="7"/>
  <c r="K15" i="7"/>
  <c r="D7" i="7"/>
  <c r="I9" i="7"/>
  <c r="E7" i="7"/>
  <c r="K9" i="7"/>
  <c r="L16" i="7"/>
  <c r="L11" i="6"/>
  <c r="K11" i="6"/>
  <c r="J11" i="6"/>
  <c r="I11" i="6"/>
  <c r="F24" i="6"/>
  <c r="F25" i="6" s="1"/>
  <c r="F32" i="6" s="1"/>
  <c r="F34" i="6" s="1"/>
  <c r="E24" i="6"/>
  <c r="D24" i="6"/>
  <c r="C24" i="6"/>
  <c r="L16" i="6"/>
  <c r="K16" i="6"/>
  <c r="J16" i="6"/>
  <c r="I16" i="6"/>
  <c r="D36" i="7" l="1"/>
  <c r="E16" i="7"/>
  <c r="L20" i="7" s="1"/>
  <c r="D16" i="7"/>
  <c r="K16" i="7"/>
  <c r="C16" i="7"/>
  <c r="F32" i="7"/>
  <c r="J16" i="7"/>
  <c r="E36" i="7"/>
  <c r="I16" i="7"/>
  <c r="L6" i="6"/>
  <c r="K6" i="6"/>
  <c r="K7" i="6" s="1"/>
  <c r="J6" i="6"/>
  <c r="I6" i="6"/>
  <c r="I7" i="6" s="1"/>
  <c r="F14" i="6"/>
  <c r="E14" i="6"/>
  <c r="D14" i="6"/>
  <c r="C14" i="6"/>
  <c r="E25" i="6"/>
  <c r="E32" i="6" s="1"/>
  <c r="D25" i="6"/>
  <c r="D32" i="6" s="1"/>
  <c r="C25" i="6"/>
  <c r="F9" i="6"/>
  <c r="D9" i="6"/>
  <c r="C9" i="6"/>
  <c r="I17" i="6" l="1"/>
  <c r="K17" i="6"/>
  <c r="F36" i="7"/>
  <c r="J20" i="7"/>
  <c r="K20" i="7"/>
  <c r="L7" i="6"/>
  <c r="J7" i="6"/>
  <c r="C17" i="6"/>
  <c r="C32" i="6"/>
  <c r="D17" i="6"/>
  <c r="E34" i="6"/>
  <c r="D34" i="6"/>
  <c r="F17" i="6"/>
  <c r="E9" i="6"/>
  <c r="L17" i="6" l="1"/>
  <c r="L18" i="6" s="1"/>
  <c r="J17" i="6"/>
  <c r="J18" i="6" s="1"/>
  <c r="I18" i="6"/>
  <c r="E17" i="6"/>
  <c r="C34" i="6"/>
  <c r="K18" i="6" l="1"/>
</calcChain>
</file>

<file path=xl/sharedStrings.xml><?xml version="1.0" encoding="utf-8"?>
<sst xmlns="http://schemas.openxmlformats.org/spreadsheetml/2006/main" count="196" uniqueCount="116">
  <si>
    <t>ATIVO</t>
  </si>
  <si>
    <t>PASSIVO</t>
  </si>
  <si>
    <t>Circulante</t>
  </si>
  <si>
    <t>Não Circulante</t>
  </si>
  <si>
    <t>Patrimônio Líquido</t>
  </si>
  <si>
    <t>DRE</t>
  </si>
  <si>
    <t xml:space="preserve">   Disponível......................</t>
  </si>
  <si>
    <t xml:space="preserve">   Contas a receber............</t>
  </si>
  <si>
    <t xml:space="preserve">   Estoques........................</t>
  </si>
  <si>
    <t xml:space="preserve">   Investimentos................</t>
  </si>
  <si>
    <t xml:space="preserve">   Imobilizado.....................</t>
  </si>
  <si>
    <t xml:space="preserve">   Fornecedores.................</t>
  </si>
  <si>
    <t xml:space="preserve">   Financiamentos..............</t>
  </si>
  <si>
    <t xml:space="preserve">   Impostos........................</t>
  </si>
  <si>
    <t xml:space="preserve">   Dividendos.....................</t>
  </si>
  <si>
    <t xml:space="preserve">   Salários e encargos.........</t>
  </si>
  <si>
    <t xml:space="preserve">   Capital social...................</t>
  </si>
  <si>
    <t xml:space="preserve">   Reservas de lucros...........</t>
  </si>
  <si>
    <t>Totais.....</t>
  </si>
  <si>
    <t xml:space="preserve"> Receita de Vendas............</t>
  </si>
  <si>
    <t xml:space="preserve"> (-) Depreciações................</t>
  </si>
  <si>
    <t xml:space="preserve"> (+) Receitas Financeiras....</t>
  </si>
  <si>
    <t xml:space="preserve"> (-) Outras despesas...........</t>
  </si>
  <si>
    <t xml:space="preserve"> Lucro Bruto......................</t>
  </si>
  <si>
    <t xml:space="preserve"> LAIR.................................</t>
  </si>
  <si>
    <t>(-) Impairment..................</t>
  </si>
  <si>
    <t xml:space="preserve">   Financiamentos (ELP)......</t>
  </si>
  <si>
    <t xml:space="preserve"> LL (*).............................</t>
  </si>
  <si>
    <t xml:space="preserve"> (-) Custo das Vendas (CMV).</t>
  </si>
  <si>
    <r>
      <t xml:space="preserve">   Realizável a LP (</t>
    </r>
    <r>
      <rPr>
        <b/>
        <i/>
        <sz val="10"/>
        <color theme="1"/>
        <rFont val="Arial"/>
        <family val="2"/>
      </rPr>
      <t>RLP</t>
    </r>
    <r>
      <rPr>
        <i/>
        <sz val="10"/>
        <color theme="1"/>
        <rFont val="Arial"/>
        <family val="2"/>
      </rPr>
      <t>)......</t>
    </r>
  </si>
  <si>
    <t xml:space="preserve">   Intangível.........................</t>
  </si>
  <si>
    <t>________</t>
  </si>
  <si>
    <t>Ativo Médio...</t>
  </si>
  <si>
    <t>PL Médio...</t>
  </si>
  <si>
    <t>em 31 de dezembro (em milhões de US$)</t>
  </si>
  <si>
    <t xml:space="preserve">   Outros Créditos...............</t>
  </si>
  <si>
    <t xml:space="preserve"> (-) Desp. Pesq. Desenv.......</t>
  </si>
  <si>
    <t xml:space="preserve"> (-) Desp.Vendas, Ger. Adm.</t>
  </si>
  <si>
    <t xml:space="preserve"> (-) Depreciações e Amort.....</t>
  </si>
  <si>
    <t xml:space="preserve"> (-) Desp/Rec. Financeiras ..</t>
  </si>
  <si>
    <t xml:space="preserve"> (-) IR e CSL (26%)...............</t>
  </si>
  <si>
    <t xml:space="preserve">  Lucro por Ação (LPA)......</t>
  </si>
  <si>
    <t xml:space="preserve">   Dividendos por Ação........</t>
  </si>
  <si>
    <t>BP da APPLE</t>
  </si>
  <si>
    <t>DRE da Cia. APPE</t>
  </si>
  <si>
    <t>em 31/12 (em milhões de US$)</t>
  </si>
  <si>
    <t>Índice ou Quociente</t>
  </si>
  <si>
    <t>Formulação</t>
  </si>
  <si>
    <t>LIQUIDEZ</t>
  </si>
  <si>
    <t>Liquidez Corrente (LC)</t>
  </si>
  <si>
    <t>LC = AC / PC</t>
  </si>
  <si>
    <t>Liquidez Seca (LS)</t>
  </si>
  <si>
    <r>
      <t>LS = (AC – Estoque) /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PC</t>
    </r>
  </si>
  <si>
    <t>Liquidez Imediata (LI)</t>
  </si>
  <si>
    <r>
      <t>LI  =  Disponível /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PC</t>
    </r>
  </si>
  <si>
    <t>Liquidez Geral (LG)</t>
  </si>
  <si>
    <r>
      <t>LG = (AC + RLP) /</t>
    </r>
    <r>
      <rPr>
        <sz val="8"/>
        <rFont val="Arial"/>
        <family val="2"/>
      </rPr>
      <t xml:space="preserve"> (PC + ELP)</t>
    </r>
  </si>
  <si>
    <t>RENTABILIDADE</t>
  </si>
  <si>
    <t>Return on Assets (ROA)</t>
  </si>
  <si>
    <t>Margem de Lucro (M)</t>
  </si>
  <si>
    <r>
      <t>M  =  Lucro Líquido  /</t>
    </r>
    <r>
      <rPr>
        <sz val="8"/>
        <rFont val="Arial"/>
        <family val="2"/>
      </rPr>
      <t xml:space="preserve"> Vendas</t>
    </r>
  </si>
  <si>
    <t>Giro do Ativo (G) - ativo médio</t>
  </si>
  <si>
    <t>ENDIVIDAMENTO</t>
  </si>
  <si>
    <t>Capital de Terceiros (CT)</t>
  </si>
  <si>
    <r>
      <t>CT  /</t>
    </r>
    <r>
      <rPr>
        <sz val="8"/>
        <rFont val="Arial"/>
        <family val="2"/>
      </rPr>
      <t xml:space="preserve">  (CT + CP)</t>
    </r>
  </si>
  <si>
    <t>Capital Próprio (CP)</t>
  </si>
  <si>
    <r>
      <t>CP  /</t>
    </r>
    <r>
      <rPr>
        <sz val="8"/>
        <rFont val="Arial"/>
        <family val="2"/>
      </rPr>
      <t xml:space="preserve">  (CT + CP)</t>
    </r>
  </si>
  <si>
    <t>Garantia do CP ao CT</t>
  </si>
  <si>
    <r>
      <t>CP  /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>CT</t>
    </r>
  </si>
  <si>
    <t>Endividamento a Curto Prazo</t>
  </si>
  <si>
    <r>
      <t>PC  /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>CT</t>
    </r>
  </si>
  <si>
    <t>ESTRUTURA</t>
  </si>
  <si>
    <t>Nível de Imobilização do CP</t>
  </si>
  <si>
    <r>
      <t>Imobilizado   /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>PL</t>
    </r>
  </si>
  <si>
    <t>Nível de Imobilização do Ativo</t>
  </si>
  <si>
    <r>
      <t>Imobilizado   /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>Ativo</t>
    </r>
  </si>
  <si>
    <t>Tempo de Vida do Imobilizado (anos)</t>
  </si>
  <si>
    <r>
      <t>Imobilizado  /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>Deprec. Anual</t>
    </r>
  </si>
  <si>
    <t>ATIVIDADE</t>
  </si>
  <si>
    <t>Prazo médio renov estoques (PMRE)</t>
  </si>
  <si>
    <r>
      <t xml:space="preserve">(Estoque médio : CMV) </t>
    </r>
    <r>
      <rPr>
        <sz val="8"/>
        <rFont val="Symbol"/>
        <family val="1"/>
        <charset val="2"/>
      </rPr>
      <t>´</t>
    </r>
    <r>
      <rPr>
        <sz val="8"/>
        <rFont val="Arial"/>
        <family val="2"/>
      </rPr>
      <t xml:space="preserve"> Nº.Dias</t>
    </r>
  </si>
  <si>
    <t>Prazo médio receb vendas (PMRV)</t>
  </si>
  <si>
    <r>
      <t xml:space="preserve">(Dupl.Rec.Médio : Vendas) </t>
    </r>
    <r>
      <rPr>
        <sz val="8"/>
        <rFont val="Symbol"/>
        <family val="1"/>
        <charset val="2"/>
      </rPr>
      <t>´</t>
    </r>
    <r>
      <rPr>
        <sz val="8"/>
        <rFont val="Arial"/>
        <family val="2"/>
      </rPr>
      <t xml:space="preserve"> Nº.Dias</t>
    </r>
  </si>
  <si>
    <t>Ciclo Operacional</t>
  </si>
  <si>
    <t>PMRE + PMRV</t>
  </si>
  <si>
    <t>Prazo médio pag compras (PMPC)</t>
  </si>
  <si>
    <r>
      <t xml:space="preserve">(Forn.Médio : Compras) </t>
    </r>
    <r>
      <rPr>
        <sz val="8"/>
        <rFont val="Symbol"/>
        <family val="1"/>
        <charset val="2"/>
      </rPr>
      <t>´</t>
    </r>
    <r>
      <rPr>
        <sz val="8"/>
        <rFont val="Arial"/>
        <family val="2"/>
      </rPr>
      <t xml:space="preserve"> Nº.Dias</t>
    </r>
  </si>
  <si>
    <t>Ciclo de Caixa</t>
  </si>
  <si>
    <t xml:space="preserve"> PMPC - Ciclo Operacional</t>
  </si>
  <si>
    <t>OUTROS</t>
  </si>
  <si>
    <t xml:space="preserve">Termômetro de Kanitz </t>
  </si>
  <si>
    <t>insolv&lt;(-3)&lt;penumbra&lt;(0)&lt;solv</t>
  </si>
  <si>
    <t xml:space="preserve"> Receita de Vendas.............................</t>
  </si>
  <si>
    <t xml:space="preserve"> (-) Depreciações.................................</t>
  </si>
  <si>
    <t xml:space="preserve"> (-) Custo das Vendas (CMV).................</t>
  </si>
  <si>
    <t xml:space="preserve"> Lucro Bruto.......................................</t>
  </si>
  <si>
    <t xml:space="preserve"> (-) Desp. Vendas.................................</t>
  </si>
  <si>
    <t xml:space="preserve"> (-) Desp. Ger. Adm..............................</t>
  </si>
  <si>
    <t xml:space="preserve"> (-) Desp. Exploração.............................</t>
  </si>
  <si>
    <t xml:space="preserve"> (-) Desp. Financeiras .........................</t>
  </si>
  <si>
    <t xml:space="preserve"> (+) Receitas Financeiras.......................</t>
  </si>
  <si>
    <t xml:space="preserve"> (-) Outras despesas..............................</t>
  </si>
  <si>
    <t xml:space="preserve"> (-) IR e CSL (34%)...............................</t>
  </si>
  <si>
    <r>
      <t>BP da Cia. Petrolão</t>
    </r>
    <r>
      <rPr>
        <sz val="10"/>
        <color theme="1"/>
        <rFont val="Arial"/>
        <family val="2"/>
      </rPr>
      <t xml:space="preserve"> em 31 de dezembro (em milhões de R$)</t>
    </r>
  </si>
  <si>
    <r>
      <t>DRE da Cia. Petrolão</t>
    </r>
    <r>
      <rPr>
        <sz val="10"/>
        <color theme="1"/>
        <rFont val="Arial"/>
        <family val="2"/>
      </rPr>
      <t xml:space="preserve"> em 31/12 (em milhões de R$)</t>
    </r>
  </si>
  <si>
    <t>Ativo Médio</t>
  </si>
  <si>
    <t>Compras</t>
  </si>
  <si>
    <t>G  =  Vendas  / Ativo Médio</t>
  </si>
  <si>
    <t>ROA = LL / Ativo Médio</t>
  </si>
  <si>
    <t>Mercado</t>
  </si>
  <si>
    <t>Análises/Tend.</t>
  </si>
  <si>
    <t xml:space="preserve"> Lucro antes do IR (LAIR)...................</t>
  </si>
  <si>
    <t xml:space="preserve"> Lucro Líquido (LL) *...........................</t>
  </si>
  <si>
    <t xml:space="preserve"> * considerar o LL antes do impairment para análises</t>
  </si>
  <si>
    <r>
      <t xml:space="preserve">(+) IR/CSL </t>
    </r>
    <r>
      <rPr>
        <i/>
        <sz val="10"/>
        <color theme="0" tint="-0.499984740745262"/>
        <rFont val="Arial"/>
        <family val="2"/>
      </rPr>
      <t>Impairment.......</t>
    </r>
  </si>
  <si>
    <r>
      <t xml:space="preserve"> </t>
    </r>
    <r>
      <rPr>
        <b/>
        <sz val="10"/>
        <color theme="0" tint="-0.499984740745262"/>
        <rFont val="Arial"/>
        <family val="2"/>
      </rPr>
      <t xml:space="preserve">Lucro após </t>
    </r>
    <r>
      <rPr>
        <b/>
        <i/>
        <sz val="10"/>
        <color theme="0" tint="-0.499984740745262"/>
        <rFont val="Arial"/>
        <family val="2"/>
      </rPr>
      <t>Impairment...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</si>
</sst>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%"/>
    <numFmt numFmtId="167" formatCode="_(* #,##0.00_);_(* \(#,##0.00\);_(* &quot;-&quot;??_);_(@_)"/>
    <numFmt numFmtId="168" formatCode="_(* #,##0.0000_);_(* \(#,##0.0000\);_(* &quot;-&quot;??_);_(@_)"/>
    <numFmt numFmtId="169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b/>
      <i/>
      <sz val="10"/>
      <name val="Arial"/>
      <family val="2"/>
    </font>
    <font>
      <b/>
      <sz val="9"/>
      <color theme="1"/>
      <name val="Arial"/>
      <family val="2"/>
    </font>
    <font>
      <u val="singleAccounting"/>
      <sz val="10"/>
      <color rgb="FFFF0000"/>
      <name val="Arial"/>
      <family val="2"/>
    </font>
    <font>
      <sz val="10"/>
      <color rgb="FFFF0000"/>
      <name val="Arial"/>
      <family val="2"/>
    </font>
    <font>
      <u val="singleAccounting"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u val="singleAccounting"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8"/>
      <name val="Symbol"/>
      <family val="1"/>
      <charset val="2"/>
    </font>
    <font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u val="singleAccounting"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41">
    <xf numFmtId="0" fontId="0" fillId="0" borderId="0" xfId="0"/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/>
    </xf>
    <xf numFmtId="164" fontId="8" fillId="2" borderId="3" xfId="1" applyNumberFormat="1" applyFont="1" applyFill="1" applyBorder="1"/>
    <xf numFmtId="164" fontId="5" fillId="2" borderId="3" xfId="1" applyNumberFormat="1" applyFont="1" applyFill="1" applyBorder="1"/>
    <xf numFmtId="164" fontId="5" fillId="2" borderId="0" xfId="0" applyNumberFormat="1" applyFont="1" applyFill="1"/>
    <xf numFmtId="166" fontId="5" fillId="2" borderId="0" xfId="2" applyNumberFormat="1" applyFont="1" applyFill="1"/>
    <xf numFmtId="164" fontId="6" fillId="2" borderId="3" xfId="1" applyNumberFormat="1" applyFont="1" applyFill="1" applyBorder="1"/>
    <xf numFmtId="164" fontId="7" fillId="2" borderId="3" xfId="1" applyNumberFormat="1" applyFont="1" applyFill="1" applyBorder="1"/>
    <xf numFmtId="164" fontId="9" fillId="2" borderId="3" xfId="1" applyNumberFormat="1" applyFont="1" applyFill="1" applyBorder="1"/>
    <xf numFmtId="164" fontId="8" fillId="2" borderId="4" xfId="1" applyNumberFormat="1" applyFont="1" applyFill="1" applyBorder="1" applyAlignment="1">
      <alignment horizontal="right"/>
    </xf>
    <xf numFmtId="164" fontId="8" fillId="2" borderId="4" xfId="1" applyNumberFormat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5" fontId="7" fillId="2" borderId="3" xfId="1" applyNumberFormat="1" applyFont="1" applyFill="1" applyBorder="1"/>
    <xf numFmtId="165" fontId="5" fillId="2" borderId="3" xfId="1" applyNumberFormat="1" applyFont="1" applyFill="1" applyBorder="1"/>
    <xf numFmtId="165" fontId="9" fillId="2" borderId="3" xfId="1" applyNumberFormat="1" applyFont="1" applyFill="1" applyBorder="1"/>
    <xf numFmtId="165" fontId="8" fillId="2" borderId="3" xfId="1" applyNumberFormat="1" applyFont="1" applyFill="1" applyBorder="1"/>
    <xf numFmtId="164" fontId="8" fillId="2" borderId="6" xfId="1" applyNumberFormat="1" applyFont="1" applyFill="1" applyBorder="1"/>
    <xf numFmtId="164" fontId="6" fillId="2" borderId="2" xfId="1" applyNumberFormat="1" applyFont="1" applyFill="1" applyBorder="1"/>
    <xf numFmtId="165" fontId="10" fillId="2" borderId="4" xfId="1" applyNumberFormat="1" applyFont="1" applyFill="1" applyBorder="1"/>
    <xf numFmtId="164" fontId="11" fillId="2" borderId="3" xfId="1" applyNumberFormat="1" applyFont="1" applyFill="1" applyBorder="1"/>
    <xf numFmtId="164" fontId="7" fillId="2" borderId="4" xfId="1" applyNumberFormat="1" applyFont="1" applyFill="1" applyBorder="1"/>
    <xf numFmtId="164" fontId="12" fillId="2" borderId="3" xfId="1" applyNumberFormat="1" applyFont="1" applyFill="1" applyBorder="1"/>
    <xf numFmtId="164" fontId="13" fillId="2" borderId="3" xfId="1" applyNumberFormat="1" applyFont="1" applyFill="1" applyBorder="1"/>
    <xf numFmtId="0" fontId="5" fillId="2" borderId="0" xfId="0" applyFont="1" applyFill="1" applyAlignment="1">
      <alignment horizontal="right"/>
    </xf>
    <xf numFmtId="43" fontId="5" fillId="2" borderId="0" xfId="1" applyFont="1" applyFill="1"/>
    <xf numFmtId="164" fontId="13" fillId="2" borderId="0" xfId="0" applyNumberFormat="1" applyFont="1" applyFill="1"/>
    <xf numFmtId="164" fontId="5" fillId="2" borderId="0" xfId="1" applyNumberFormat="1" applyFont="1" applyFill="1"/>
    <xf numFmtId="164" fontId="2" fillId="2" borderId="3" xfId="1" applyNumberFormat="1" applyFont="1" applyFill="1" applyBorder="1"/>
    <xf numFmtId="164" fontId="14" fillId="2" borderId="3" xfId="1" applyNumberFormat="1" applyFont="1" applyFill="1" applyBorder="1"/>
    <xf numFmtId="166" fontId="6" fillId="2" borderId="6" xfId="2" applyNumberFormat="1" applyFont="1" applyFill="1" applyBorder="1"/>
    <xf numFmtId="168" fontId="5" fillId="2" borderId="0" xfId="1" applyNumberFormat="1" applyFont="1" applyFill="1" applyBorder="1"/>
    <xf numFmtId="43" fontId="5" fillId="2" borderId="2" xfId="1" applyFont="1" applyFill="1" applyBorder="1"/>
    <xf numFmtId="43" fontId="5" fillId="2" borderId="3" xfId="1" applyFont="1" applyFill="1" applyBorder="1"/>
    <xf numFmtId="0" fontId="0" fillId="2" borderId="0" xfId="0" applyFill="1" applyAlignment="1">
      <alignment vertical="top"/>
    </xf>
    <xf numFmtId="0" fontId="18" fillId="2" borderId="0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justify" vertical="top" wrapText="1"/>
    </xf>
    <xf numFmtId="0" fontId="15" fillId="2" borderId="12" xfId="0" applyFont="1" applyFill="1" applyBorder="1" applyAlignment="1">
      <alignment horizontal="justify" vertical="top" wrapText="1"/>
    </xf>
    <xf numFmtId="0" fontId="18" fillId="2" borderId="3" xfId="0" applyFont="1" applyFill="1" applyBorder="1" applyAlignment="1">
      <alignment horizontal="justify" vertical="top" wrapText="1"/>
    </xf>
    <xf numFmtId="43" fontId="18" fillId="2" borderId="3" xfId="1" applyFont="1" applyFill="1" applyBorder="1" applyAlignment="1">
      <alignment horizontal="justify" vertical="top" wrapText="1"/>
    </xf>
    <xf numFmtId="0" fontId="18" fillId="2" borderId="7" xfId="0" applyFont="1" applyFill="1" applyBorder="1" applyAlignment="1">
      <alignment horizontal="justify" vertical="top" wrapText="1"/>
    </xf>
    <xf numFmtId="0" fontId="18" fillId="2" borderId="4" xfId="0" applyFont="1" applyFill="1" applyBorder="1" applyAlignment="1">
      <alignment horizontal="justify" vertical="top" wrapText="1"/>
    </xf>
    <xf numFmtId="43" fontId="18" fillId="2" borderId="4" xfId="1" applyFont="1" applyFill="1" applyBorder="1" applyAlignment="1">
      <alignment horizontal="justify" vertical="top" wrapText="1"/>
    </xf>
    <xf numFmtId="0" fontId="18" fillId="2" borderId="14" xfId="0" applyFont="1" applyFill="1" applyBorder="1" applyAlignment="1">
      <alignment horizontal="justify" vertical="top" wrapText="1"/>
    </xf>
    <xf numFmtId="10" fontId="15" fillId="2" borderId="2" xfId="2" applyNumberFormat="1" applyFont="1" applyFill="1" applyBorder="1" applyAlignment="1">
      <alignment horizontal="justify" vertical="top" wrapText="1"/>
    </xf>
    <xf numFmtId="0" fontId="21" fillId="2" borderId="3" xfId="0" applyFont="1" applyFill="1" applyBorder="1" applyAlignment="1">
      <alignment horizontal="justify" vertical="top" wrapText="1"/>
    </xf>
    <xf numFmtId="10" fontId="21" fillId="2" borderId="3" xfId="2" applyNumberFormat="1" applyFont="1" applyFill="1" applyBorder="1" applyAlignment="1">
      <alignment horizontal="right" vertical="top" wrapText="1"/>
    </xf>
    <xf numFmtId="0" fontId="21" fillId="2" borderId="7" xfId="0" applyFont="1" applyFill="1" applyBorder="1" applyAlignment="1">
      <alignment horizontal="justify" vertical="top" wrapText="1"/>
    </xf>
    <xf numFmtId="10" fontId="18" fillId="2" borderId="3" xfId="2" applyNumberFormat="1" applyFont="1" applyFill="1" applyBorder="1" applyAlignment="1">
      <alignment horizontal="right" vertical="top" wrapText="1"/>
    </xf>
    <xf numFmtId="43" fontId="15" fillId="2" borderId="2" xfId="1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vertical="top"/>
    </xf>
    <xf numFmtId="166" fontId="5" fillId="2" borderId="0" xfId="2" applyNumberFormat="1" applyFont="1" applyFill="1" applyBorder="1"/>
    <xf numFmtId="0" fontId="5" fillId="2" borderId="0" xfId="0" applyFont="1" applyFill="1" applyBorder="1"/>
    <xf numFmtId="164" fontId="7" fillId="2" borderId="9" xfId="1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7" fillId="2" borderId="13" xfId="1" applyNumberFormat="1" applyFont="1" applyFill="1" applyBorder="1"/>
    <xf numFmtId="165" fontId="7" fillId="2" borderId="8" xfId="1" applyNumberFormat="1" applyFont="1" applyFill="1" applyBorder="1"/>
    <xf numFmtId="164" fontId="6" fillId="2" borderId="13" xfId="1" applyNumberFormat="1" applyFont="1" applyFill="1" applyBorder="1"/>
    <xf numFmtId="165" fontId="5" fillId="2" borderId="8" xfId="1" applyNumberFormat="1" applyFont="1" applyFill="1" applyBorder="1"/>
    <xf numFmtId="164" fontId="5" fillId="2" borderId="13" xfId="1" applyNumberFormat="1" applyFont="1" applyFill="1" applyBorder="1"/>
    <xf numFmtId="165" fontId="9" fillId="2" borderId="8" xfId="1" applyNumberFormat="1" applyFont="1" applyFill="1" applyBorder="1"/>
    <xf numFmtId="164" fontId="8" fillId="2" borderId="13" xfId="1" applyNumberFormat="1" applyFont="1" applyFill="1" applyBorder="1"/>
    <xf numFmtId="165" fontId="8" fillId="2" borderId="8" xfId="1" applyNumberFormat="1" applyFont="1" applyFill="1" applyBorder="1"/>
    <xf numFmtId="164" fontId="8" fillId="2" borderId="15" xfId="1" applyNumberFormat="1" applyFont="1" applyFill="1" applyBorder="1"/>
    <xf numFmtId="164" fontId="8" fillId="2" borderId="16" xfId="1" applyNumberFormat="1" applyFont="1" applyFill="1" applyBorder="1"/>
    <xf numFmtId="0" fontId="0" fillId="2" borderId="0" xfId="0" applyFill="1"/>
    <xf numFmtId="0" fontId="2" fillId="2" borderId="0" xfId="0" applyFont="1" applyFill="1" applyBorder="1" applyAlignment="1">
      <alignment horizontal="center" vertical="top"/>
    </xf>
    <xf numFmtId="0" fontId="0" fillId="0" borderId="0" xfId="0" applyFont="1"/>
    <xf numFmtId="0" fontId="16" fillId="2" borderId="0" xfId="0" applyFont="1" applyFill="1" applyBorder="1" applyAlignment="1">
      <alignment vertical="top"/>
    </xf>
    <xf numFmtId="165" fontId="2" fillId="2" borderId="0" xfId="1" applyNumberFormat="1" applyFont="1" applyFill="1" applyBorder="1" applyAlignment="1">
      <alignment vertical="top"/>
    </xf>
    <xf numFmtId="165" fontId="17" fillId="2" borderId="0" xfId="1" applyNumberFormat="1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164" fontId="4" fillId="2" borderId="0" xfId="1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top"/>
    </xf>
    <xf numFmtId="164" fontId="2" fillId="2" borderId="0" xfId="1" applyNumberFormat="1" applyFont="1" applyFill="1" applyBorder="1" applyAlignment="1">
      <alignment horizontal="center" vertical="top"/>
    </xf>
    <xf numFmtId="164" fontId="17" fillId="2" borderId="0" xfId="1" applyNumberFormat="1" applyFont="1" applyFill="1" applyBorder="1" applyAlignment="1">
      <alignment vertical="top"/>
    </xf>
    <xf numFmtId="164" fontId="2" fillId="2" borderId="0" xfId="1" applyNumberFormat="1" applyFont="1" applyFill="1" applyBorder="1" applyAlignment="1">
      <alignment vertical="top"/>
    </xf>
    <xf numFmtId="43" fontId="18" fillId="2" borderId="2" xfId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165" fontId="7" fillId="2" borderId="0" xfId="1" applyNumberFormat="1" applyFont="1" applyFill="1" applyBorder="1"/>
    <xf numFmtId="165" fontId="5" fillId="2" borderId="0" xfId="1" applyNumberFormat="1" applyFont="1" applyFill="1" applyBorder="1"/>
    <xf numFmtId="165" fontId="9" fillId="2" borderId="0" xfId="1" applyNumberFormat="1" applyFont="1" applyFill="1" applyBorder="1"/>
    <xf numFmtId="165" fontId="8" fillId="2" borderId="0" xfId="1" applyNumberFormat="1" applyFont="1" applyFill="1" applyBorder="1"/>
    <xf numFmtId="164" fontId="8" fillId="2" borderId="0" xfId="1" applyNumberFormat="1" applyFont="1" applyFill="1" applyBorder="1"/>
    <xf numFmtId="165" fontId="10" fillId="2" borderId="0" xfId="1" applyNumberFormat="1" applyFont="1" applyFill="1" applyBorder="1"/>
    <xf numFmtId="0" fontId="15" fillId="3" borderId="2" xfId="0" applyFont="1" applyFill="1" applyBorder="1" applyAlignment="1">
      <alignment horizontal="justify" vertical="top" wrapText="1"/>
    </xf>
    <xf numFmtId="0" fontId="21" fillId="3" borderId="3" xfId="0" applyFont="1" applyFill="1" applyBorder="1" applyAlignment="1">
      <alignment horizontal="justify" vertical="top" wrapText="1"/>
    </xf>
    <xf numFmtId="0" fontId="18" fillId="3" borderId="3" xfId="0" applyFont="1" applyFill="1" applyBorder="1" applyAlignment="1">
      <alignment horizontal="justify" vertical="top" wrapText="1"/>
    </xf>
    <xf numFmtId="43" fontId="18" fillId="2" borderId="3" xfId="1" applyFont="1" applyFill="1" applyBorder="1" applyAlignment="1">
      <alignment horizontal="left" vertical="top" wrapText="1"/>
    </xf>
    <xf numFmtId="43" fontId="18" fillId="3" borderId="4" xfId="1" applyFont="1" applyFill="1" applyBorder="1" applyAlignment="1">
      <alignment horizontal="justify" vertical="top" wrapText="1"/>
    </xf>
    <xf numFmtId="169" fontId="18" fillId="2" borderId="4" xfId="1" applyNumberFormat="1" applyFont="1" applyFill="1" applyBorder="1" applyAlignment="1">
      <alignment horizontal="justify" vertical="top" wrapText="1"/>
    </xf>
    <xf numFmtId="0" fontId="18" fillId="3" borderId="4" xfId="0" applyFont="1" applyFill="1" applyBorder="1" applyAlignment="1">
      <alignment horizontal="justify" vertical="top" wrapText="1"/>
    </xf>
    <xf numFmtId="165" fontId="18" fillId="2" borderId="3" xfId="0" applyNumberFormat="1" applyFont="1" applyFill="1" applyBorder="1" applyAlignment="1">
      <alignment horizontal="justify" vertical="top" wrapText="1"/>
    </xf>
    <xf numFmtId="165" fontId="18" fillId="2" borderId="3" xfId="1" applyNumberFormat="1" applyFont="1" applyFill="1" applyBorder="1" applyAlignment="1">
      <alignment horizontal="justify" vertical="top" wrapText="1"/>
    </xf>
    <xf numFmtId="165" fontId="15" fillId="2" borderId="3" xfId="0" applyNumberFormat="1" applyFont="1" applyFill="1" applyBorder="1" applyAlignment="1">
      <alignment horizontal="justify" vertical="top" wrapText="1"/>
    </xf>
    <xf numFmtId="164" fontId="6" fillId="2" borderId="0" xfId="1" applyNumberFormat="1" applyFont="1" applyFill="1" applyBorder="1"/>
    <xf numFmtId="0" fontId="18" fillId="2" borderId="0" xfId="0" applyFont="1" applyFill="1" applyBorder="1" applyAlignment="1">
      <alignment horizontal="center" vertical="top" wrapText="1"/>
    </xf>
    <xf numFmtId="164" fontId="5" fillId="2" borderId="13" xfId="1" applyNumberFormat="1" applyFont="1" applyFill="1" applyBorder="1" applyAlignment="1">
      <alignment horizontal="center"/>
    </xf>
    <xf numFmtId="164" fontId="5" fillId="2" borderId="8" xfId="1" applyNumberFormat="1" applyFont="1" applyFill="1" applyBorder="1" applyAlignment="1">
      <alignment horizontal="center"/>
    </xf>
    <xf numFmtId="164" fontId="7" fillId="2" borderId="15" xfId="1" applyNumberFormat="1" applyFont="1" applyFill="1" applyBorder="1" applyAlignment="1">
      <alignment horizontal="center"/>
    </xf>
    <xf numFmtId="164" fontId="7" fillId="2" borderId="16" xfId="1" applyNumberFormat="1" applyFont="1" applyFill="1" applyBorder="1" applyAlignment="1">
      <alignment horizontal="center"/>
    </xf>
    <xf numFmtId="164" fontId="7" fillId="2" borderId="13" xfId="1" applyNumberFormat="1" applyFont="1" applyFill="1" applyBorder="1" applyAlignment="1">
      <alignment horizontal="left"/>
    </xf>
    <xf numFmtId="164" fontId="7" fillId="2" borderId="8" xfId="1" applyNumberFormat="1" applyFont="1" applyFill="1" applyBorder="1" applyAlignment="1">
      <alignment horizontal="left"/>
    </xf>
    <xf numFmtId="0" fontId="2" fillId="2" borderId="15" xfId="4" applyFont="1" applyFill="1" applyBorder="1" applyAlignment="1" applyProtection="1">
      <alignment horizontal="center" vertical="top" wrapText="1"/>
    </xf>
    <xf numFmtId="0" fontId="2" fillId="2" borderId="5" xfId="4" applyFont="1" applyFill="1" applyBorder="1" applyAlignment="1" applyProtection="1">
      <alignment horizontal="center" vertical="top" wrapText="1"/>
    </xf>
    <xf numFmtId="0" fontId="2" fillId="2" borderId="16" xfId="4" applyFont="1" applyFill="1" applyBorder="1" applyAlignment="1" applyProtection="1">
      <alignment horizontal="center" vertical="top" wrapText="1"/>
    </xf>
    <xf numFmtId="164" fontId="4" fillId="2" borderId="5" xfId="1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8" fillId="2" borderId="8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16" xfId="0" applyFont="1" applyFill="1" applyBorder="1" applyAlignment="1">
      <alignment horizontal="center" vertical="top" wrapText="1"/>
    </xf>
    <xf numFmtId="0" fontId="20" fillId="2" borderId="13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 wrapText="1"/>
    </xf>
    <xf numFmtId="0" fontId="20" fillId="2" borderId="9" xfId="0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left"/>
    </xf>
    <xf numFmtId="164" fontId="7" fillId="2" borderId="11" xfId="1" applyNumberFormat="1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/>
    </xf>
    <xf numFmtId="164" fontId="23" fillId="2" borderId="2" xfId="1" applyNumberFormat="1" applyFont="1" applyFill="1" applyBorder="1"/>
    <xf numFmtId="165" fontId="24" fillId="2" borderId="2" xfId="1" applyNumberFormat="1" applyFont="1" applyFill="1" applyBorder="1"/>
    <xf numFmtId="164" fontId="24" fillId="2" borderId="3" xfId="1" applyNumberFormat="1" applyFont="1" applyFill="1" applyBorder="1"/>
    <xf numFmtId="165" fontId="25" fillId="2" borderId="3" xfId="1" applyNumberFormat="1" applyFont="1" applyFill="1" applyBorder="1"/>
    <xf numFmtId="164" fontId="26" fillId="2" borderId="4" xfId="1" applyNumberFormat="1" applyFont="1" applyFill="1" applyBorder="1"/>
    <xf numFmtId="165" fontId="26" fillId="2" borderId="4" xfId="1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</cellXfs>
  <cellStyles count="7">
    <cellStyle name="Hiperlink 2" xfId="4" xr:uid="{00000000-0005-0000-0000-000001000000}"/>
    <cellStyle name="Normal" xfId="0" builtinId="0"/>
    <cellStyle name="Normal 2" xfId="3" xr:uid="{00000000-0005-0000-0000-000003000000}"/>
    <cellStyle name="Porcentagem" xfId="2" builtinId="5"/>
    <cellStyle name="Porcentagem 2" xfId="5" xr:uid="{00000000-0005-0000-0000-000005000000}"/>
    <cellStyle name="Vírgula" xfId="1" builtinId="3"/>
    <cellStyle name="Vírgula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1546860</xdr:colOff>
          <xdr:row>68</xdr:row>
          <xdr:rowOff>0</xdr:rowOff>
        </xdr:from>
        <xdr:to>
          <xdr:col>9</xdr:col>
          <xdr:colOff>438150</xdr:colOff>
          <xdr:row>69</xdr:row>
          <xdr:rowOff>171450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1546860</xdr:colOff>
          <xdr:row>68</xdr:row>
          <xdr:rowOff>0</xdr:rowOff>
        </xdr:from>
        <xdr:to>
          <xdr:col>9</xdr:col>
          <xdr:colOff>434340</xdr:colOff>
          <xdr:row>69</xdr:row>
          <xdr:rowOff>167640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130CF972-1C17-46B1-9940-81C97D70E4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0"/>
  <sheetViews>
    <sheetView tabSelected="1" workbookViewId="0">
      <selection activeCell="D19" sqref="D19"/>
    </sheetView>
  </sheetViews>
  <sheetFormatPr defaultRowHeight="14.4" x14ac:dyDescent="0.3"/>
  <cols>
    <col min="1" max="1" width="3" customWidth="1"/>
    <col min="2" max="2" width="25.6640625" customWidth="1"/>
    <col min="3" max="6" width="9.77734375" customWidth="1"/>
    <col min="7" max="7" width="8.77734375" customWidth="1"/>
    <col min="8" max="8" width="13.6640625" customWidth="1"/>
    <col min="9" max="12" width="9.77734375" customWidth="1"/>
  </cols>
  <sheetData>
    <row r="1" spans="2:12" ht="17.399999999999999" x14ac:dyDescent="0.3">
      <c r="B1" s="125" t="s">
        <v>103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2:12" x14ac:dyDescent="0.3">
      <c r="B2" s="2" t="s">
        <v>0</v>
      </c>
      <c r="C2" s="2">
        <v>2013</v>
      </c>
      <c r="D2" s="2">
        <v>2014</v>
      </c>
      <c r="E2" s="2">
        <v>2015</v>
      </c>
      <c r="F2" s="2">
        <v>2016</v>
      </c>
      <c r="G2" s="126" t="s">
        <v>1</v>
      </c>
      <c r="H2" s="127"/>
      <c r="I2" s="2">
        <v>2013</v>
      </c>
      <c r="J2" s="2">
        <v>2014</v>
      </c>
      <c r="K2" s="2">
        <v>2015</v>
      </c>
      <c r="L2" s="2">
        <v>2016</v>
      </c>
    </row>
    <row r="3" spans="2:12" x14ac:dyDescent="0.3">
      <c r="B3" s="3" t="s">
        <v>2</v>
      </c>
      <c r="C3" s="4"/>
      <c r="D3" s="4"/>
      <c r="E3" s="4"/>
      <c r="F3" s="4"/>
      <c r="G3" s="128" t="s">
        <v>2</v>
      </c>
      <c r="H3" s="129"/>
      <c r="I3" s="4"/>
      <c r="J3" s="4"/>
      <c r="K3" s="4"/>
      <c r="L3" s="4"/>
    </row>
    <row r="4" spans="2:12" x14ac:dyDescent="0.3">
      <c r="B4" s="4" t="s">
        <v>6</v>
      </c>
      <c r="C4" s="4">
        <f>37172+9101+11057</f>
        <v>57330</v>
      </c>
      <c r="D4" s="4">
        <f>44239+24763</f>
        <v>69002</v>
      </c>
      <c r="E4" s="4">
        <f>97845+5715</f>
        <v>103560</v>
      </c>
      <c r="F4" s="4">
        <f>69108+2556+8222</f>
        <v>79886</v>
      </c>
      <c r="G4" s="100" t="s">
        <v>11</v>
      </c>
      <c r="H4" s="101"/>
      <c r="I4" s="24">
        <v>32037</v>
      </c>
      <c r="J4" s="24">
        <f>25924+6113</f>
        <v>32037</v>
      </c>
      <c r="K4" s="24">
        <f>24913+7599+488-963</f>
        <v>32037</v>
      </c>
      <c r="L4" s="24">
        <v>32037</v>
      </c>
    </row>
    <row r="5" spans="2:12" x14ac:dyDescent="0.3">
      <c r="B5" s="4" t="s">
        <v>7</v>
      </c>
      <c r="C5" s="24">
        <v>35551</v>
      </c>
      <c r="D5" s="24">
        <f>21167+2823+7300+1123+3138</f>
        <v>35551</v>
      </c>
      <c r="E5" s="24">
        <f>3047+22659+3839+6893+421+5225-818-5715</f>
        <v>35551</v>
      </c>
      <c r="F5" s="24">
        <f>43773-8222</f>
        <v>35551</v>
      </c>
      <c r="G5" s="100" t="s">
        <v>12</v>
      </c>
      <c r="H5" s="101"/>
      <c r="I5" s="8">
        <f>18744+38</f>
        <v>18782</v>
      </c>
      <c r="J5" s="8">
        <f>31523+42</f>
        <v>31565</v>
      </c>
      <c r="K5" s="8">
        <f>57334+48</f>
        <v>57382</v>
      </c>
      <c r="L5" s="8">
        <v>31855</v>
      </c>
    </row>
    <row r="6" spans="2:12" ht="15.6" x14ac:dyDescent="0.4">
      <c r="B6" s="4" t="s">
        <v>8</v>
      </c>
      <c r="C6" s="23">
        <v>30470</v>
      </c>
      <c r="D6" s="23">
        <f>30457+13</f>
        <v>30470</v>
      </c>
      <c r="E6" s="23">
        <f>29057+595+818</f>
        <v>30470</v>
      </c>
      <c r="F6" s="23">
        <v>30470</v>
      </c>
      <c r="G6" s="100" t="s">
        <v>13</v>
      </c>
      <c r="H6" s="101"/>
      <c r="I6" s="4">
        <f>659+10938</f>
        <v>11597</v>
      </c>
      <c r="J6" s="4">
        <f>657+10796</f>
        <v>11453</v>
      </c>
      <c r="K6" s="4">
        <f>410+13139+963</f>
        <v>14512</v>
      </c>
      <c r="L6" s="4">
        <v>12238</v>
      </c>
    </row>
    <row r="7" spans="2:12" x14ac:dyDescent="0.3">
      <c r="B7" s="4"/>
      <c r="C7" s="21">
        <f>SUM(C4:C6)</f>
        <v>123351</v>
      </c>
      <c r="D7" s="21">
        <f>SUM(D4:D6)</f>
        <v>135023</v>
      </c>
      <c r="E7" s="21">
        <f>SUM(E4:E6)</f>
        <v>169581</v>
      </c>
      <c r="F7" s="21">
        <f>SUM(F4:F6)</f>
        <v>145907</v>
      </c>
      <c r="G7" s="100" t="s">
        <v>14</v>
      </c>
      <c r="H7" s="101"/>
      <c r="I7" s="4">
        <v>9301</v>
      </c>
      <c r="J7" s="4">
        <v>0</v>
      </c>
      <c r="K7" s="4">
        <v>0</v>
      </c>
      <c r="L7" s="4">
        <v>0</v>
      </c>
    </row>
    <row r="8" spans="2:12" ht="15.6" x14ac:dyDescent="0.4">
      <c r="B8" s="3" t="s">
        <v>3</v>
      </c>
      <c r="C8" s="4"/>
      <c r="D8" s="4"/>
      <c r="E8" s="4"/>
      <c r="F8" s="4"/>
      <c r="G8" s="100" t="s">
        <v>15</v>
      </c>
      <c r="H8" s="101"/>
      <c r="I8" s="9">
        <f>4806+1912+4090</f>
        <v>10808</v>
      </c>
      <c r="J8" s="9">
        <f>5489+2115</f>
        <v>7604</v>
      </c>
      <c r="K8" s="9">
        <f>5085+2556</f>
        <v>7641</v>
      </c>
      <c r="L8" s="9">
        <f>7159-2122</f>
        <v>5037</v>
      </c>
    </row>
    <row r="9" spans="2:12" x14ac:dyDescent="0.3">
      <c r="B9" s="7" t="s">
        <v>29</v>
      </c>
      <c r="C9" s="4">
        <v>44000</v>
      </c>
      <c r="D9" s="4">
        <v>50104</v>
      </c>
      <c r="E9" s="4">
        <f>74879</f>
        <v>74879</v>
      </c>
      <c r="F9" s="4">
        <v>66551</v>
      </c>
      <c r="G9" s="100"/>
      <c r="H9" s="101"/>
      <c r="I9" s="8">
        <f>SUM(I4:I8)</f>
        <v>82525</v>
      </c>
      <c r="J9" s="8">
        <f>SUM(J4:J8)</f>
        <v>82659</v>
      </c>
      <c r="K9" s="8">
        <f>SUM(K4:K8)</f>
        <v>111572</v>
      </c>
      <c r="L9" s="8">
        <f>SUM(L4:L8)</f>
        <v>81167</v>
      </c>
    </row>
    <row r="10" spans="2:12" x14ac:dyDescent="0.3">
      <c r="B10" s="4" t="s">
        <v>9</v>
      </c>
      <c r="C10" s="4">
        <v>15615</v>
      </c>
      <c r="D10" s="4">
        <v>15282</v>
      </c>
      <c r="E10" s="4">
        <v>13772</v>
      </c>
      <c r="F10" s="4">
        <v>9948</v>
      </c>
      <c r="G10" s="104" t="s">
        <v>3</v>
      </c>
      <c r="H10" s="105"/>
      <c r="I10" s="4"/>
      <c r="J10" s="4"/>
      <c r="K10" s="4"/>
      <c r="L10" s="4"/>
    </row>
    <row r="11" spans="2:12" x14ac:dyDescent="0.3">
      <c r="B11" s="4" t="s">
        <v>10</v>
      </c>
      <c r="C11" s="4">
        <f>533880</f>
        <v>533880</v>
      </c>
      <c r="D11" s="4">
        <f>580990</f>
        <v>580990</v>
      </c>
      <c r="E11" s="4">
        <f>629831</f>
        <v>629831</v>
      </c>
      <c r="F11" s="4">
        <v>571876</v>
      </c>
      <c r="G11" s="100" t="s">
        <v>26</v>
      </c>
      <c r="H11" s="101"/>
      <c r="I11" s="8">
        <f>248867+171+1696+70374</f>
        <v>321108</v>
      </c>
      <c r="J11" s="8">
        <f>319322+148+2620+77904</f>
        <v>399994</v>
      </c>
      <c r="K11" s="8">
        <v>530633</v>
      </c>
      <c r="L11" s="8">
        <v>471035</v>
      </c>
    </row>
    <row r="12" spans="2:12" x14ac:dyDescent="0.3">
      <c r="B12" s="4" t="s">
        <v>30</v>
      </c>
      <c r="C12" s="4">
        <v>36121</v>
      </c>
      <c r="D12" s="4">
        <v>11976</v>
      </c>
      <c r="E12" s="4">
        <v>12072</v>
      </c>
      <c r="F12" s="4">
        <v>10663</v>
      </c>
      <c r="G12" s="104" t="s">
        <v>4</v>
      </c>
      <c r="H12" s="105"/>
      <c r="I12" s="4"/>
      <c r="J12" s="4"/>
      <c r="K12" s="4"/>
      <c r="L12" s="4"/>
    </row>
    <row r="13" spans="2:12" x14ac:dyDescent="0.3">
      <c r="B13" s="4"/>
      <c r="C13" s="4"/>
      <c r="D13" s="4"/>
      <c r="E13" s="4"/>
      <c r="F13" s="4"/>
      <c r="G13" s="100" t="s">
        <v>16</v>
      </c>
      <c r="H13" s="101"/>
      <c r="I13" s="4">
        <f>205411+737+1394-2110</f>
        <v>205432</v>
      </c>
      <c r="J13" s="4">
        <f>205432-646+1874-1228</f>
        <v>205432</v>
      </c>
      <c r="K13" s="4">
        <f>205432</f>
        <v>205432</v>
      </c>
      <c r="L13" s="4">
        <v>205432</v>
      </c>
    </row>
    <row r="14" spans="2:12" x14ac:dyDescent="0.3">
      <c r="B14" s="4"/>
      <c r="C14" s="4"/>
      <c r="D14" s="4"/>
      <c r="E14" s="4"/>
      <c r="F14" s="4"/>
      <c r="G14" s="100" t="s">
        <v>17</v>
      </c>
      <c r="H14" s="101"/>
      <c r="I14" s="4">
        <f>149036-7244+2110</f>
        <v>143902</v>
      </c>
      <c r="J14" s="4">
        <f>127438-23376+1228</f>
        <v>105290</v>
      </c>
      <c r="K14" s="4">
        <f>92612-43334+3220</f>
        <v>52498</v>
      </c>
      <c r="L14" s="4">
        <f>44798+2513</f>
        <v>47311</v>
      </c>
    </row>
    <row r="15" spans="2:12" x14ac:dyDescent="0.3">
      <c r="B15" s="4"/>
      <c r="C15" s="4"/>
      <c r="D15" s="4"/>
      <c r="E15" s="4"/>
      <c r="F15" s="4"/>
      <c r="G15" s="100"/>
      <c r="H15" s="101"/>
      <c r="I15" s="8">
        <f>SUM(I13:I14)</f>
        <v>349334</v>
      </c>
      <c r="J15" s="8">
        <f>SUM(J13:J14)</f>
        <v>310722</v>
      </c>
      <c r="K15" s="8">
        <f>SUM(K13:K14)</f>
        <v>257930</v>
      </c>
      <c r="L15" s="8">
        <f>SUM(L13:L14)</f>
        <v>252743</v>
      </c>
    </row>
    <row r="16" spans="2:12" x14ac:dyDescent="0.3">
      <c r="B16" s="10" t="s">
        <v>18</v>
      </c>
      <c r="C16" s="22">
        <f>SUM(C7:C15)</f>
        <v>752967</v>
      </c>
      <c r="D16" s="22">
        <f>SUM(D7:D15)</f>
        <v>793375</v>
      </c>
      <c r="E16" s="22">
        <f>SUM(E7:E15)</f>
        <v>900135</v>
      </c>
      <c r="F16" s="22">
        <f>SUM(F7:F15)</f>
        <v>804945</v>
      </c>
      <c r="G16" s="102" t="s">
        <v>18</v>
      </c>
      <c r="H16" s="103"/>
      <c r="I16" s="22">
        <f>I15+I11+I9</f>
        <v>752967</v>
      </c>
      <c r="J16" s="22">
        <f>J15+J11+J9</f>
        <v>793375</v>
      </c>
      <c r="K16" s="22">
        <f>K15+K11+K9</f>
        <v>900135</v>
      </c>
      <c r="L16" s="22">
        <f>L15+L11+L9</f>
        <v>804945</v>
      </c>
    </row>
    <row r="17" spans="2:13" x14ac:dyDescent="0.3">
      <c r="B17" s="1"/>
      <c r="C17" s="5"/>
      <c r="D17" s="5"/>
      <c r="E17" s="5"/>
      <c r="F17" s="5"/>
      <c r="G17" s="5"/>
      <c r="H17" s="5"/>
      <c r="I17" s="27"/>
      <c r="J17" s="27"/>
      <c r="K17" s="27"/>
      <c r="L17" s="27"/>
    </row>
    <row r="18" spans="2:13" ht="17.399999999999999" x14ac:dyDescent="0.3">
      <c r="B18" s="109" t="s">
        <v>104</v>
      </c>
      <c r="C18" s="109"/>
      <c r="D18" s="109"/>
      <c r="E18" s="109"/>
      <c r="F18" s="109"/>
      <c r="G18" s="75"/>
      <c r="H18" s="1"/>
      <c r="I18" s="5"/>
      <c r="J18" s="5"/>
      <c r="K18" s="5"/>
      <c r="L18" s="5"/>
    </row>
    <row r="19" spans="2:13" x14ac:dyDescent="0.3">
      <c r="B19" s="56" t="s">
        <v>5</v>
      </c>
      <c r="C19" s="57"/>
      <c r="D19" s="13">
        <v>2014</v>
      </c>
      <c r="E19" s="13">
        <v>2015</v>
      </c>
      <c r="F19" s="13">
        <v>2016</v>
      </c>
      <c r="G19" s="81"/>
      <c r="H19" s="69"/>
      <c r="I19" s="76" t="s">
        <v>106</v>
      </c>
      <c r="J19" s="77">
        <f>-D22</f>
        <v>226146</v>
      </c>
      <c r="K19" s="77">
        <f t="shared" ref="K19:L19" si="0">-E22</f>
        <v>184488</v>
      </c>
      <c r="L19" s="77">
        <f t="shared" si="0"/>
        <v>144068</v>
      </c>
      <c r="M19" s="70"/>
    </row>
    <row r="20" spans="2:13" x14ac:dyDescent="0.3">
      <c r="B20" s="58" t="s">
        <v>92</v>
      </c>
      <c r="C20" s="59"/>
      <c r="D20" s="14">
        <v>337260</v>
      </c>
      <c r="E20" s="14">
        <v>321638</v>
      </c>
      <c r="F20" s="14">
        <v>282589</v>
      </c>
      <c r="G20" s="82"/>
      <c r="H20" s="69"/>
      <c r="I20" s="53" t="s">
        <v>105</v>
      </c>
      <c r="J20" s="77">
        <f>(D16+C16)/2</f>
        <v>773171</v>
      </c>
      <c r="K20" s="77">
        <f>(E16+D16)/2</f>
        <v>846755</v>
      </c>
      <c r="L20" s="77">
        <f>(F16+E16)/2</f>
        <v>852540</v>
      </c>
      <c r="M20" s="70"/>
    </row>
    <row r="21" spans="2:13" ht="15" x14ac:dyDescent="0.3">
      <c r="B21" s="60" t="s">
        <v>93</v>
      </c>
      <c r="C21" s="61"/>
      <c r="D21" s="15">
        <v>-30677</v>
      </c>
      <c r="E21" s="15">
        <v>-38574</v>
      </c>
      <c r="F21" s="15">
        <v>-48543</v>
      </c>
      <c r="G21" s="83"/>
      <c r="H21" s="71"/>
      <c r="I21" s="72"/>
      <c r="J21" s="78"/>
      <c r="K21" s="78"/>
      <c r="L21" s="78"/>
      <c r="M21" s="70"/>
    </row>
    <row r="22" spans="2:13" ht="15.6" x14ac:dyDescent="0.4">
      <c r="B22" s="62" t="s">
        <v>94</v>
      </c>
      <c r="C22" s="63"/>
      <c r="D22" s="16">
        <f>-256823-D21</f>
        <v>-226146</v>
      </c>
      <c r="E22" s="16">
        <f>-223062-E21</f>
        <v>-184488</v>
      </c>
      <c r="F22" s="16">
        <f>-192611-F21</f>
        <v>-144068</v>
      </c>
      <c r="G22" s="84"/>
      <c r="H22" s="53"/>
      <c r="I22" s="72"/>
      <c r="J22" s="79"/>
      <c r="K22" s="79"/>
      <c r="L22" s="79"/>
      <c r="M22" s="70"/>
    </row>
    <row r="23" spans="2:13" x14ac:dyDescent="0.3">
      <c r="B23" s="64" t="s">
        <v>95</v>
      </c>
      <c r="C23" s="65"/>
      <c r="D23" s="17">
        <f>SUM(D20:D22)</f>
        <v>80437</v>
      </c>
      <c r="E23" s="17">
        <f>SUM(E20:E22)</f>
        <v>98576</v>
      </c>
      <c r="F23" s="17">
        <f>SUM(F20:F22)</f>
        <v>89978</v>
      </c>
      <c r="G23" s="85"/>
      <c r="H23" s="53"/>
      <c r="I23" s="72"/>
      <c r="J23" s="79"/>
      <c r="K23" s="79"/>
      <c r="L23" s="79"/>
      <c r="M23" s="70"/>
    </row>
    <row r="24" spans="2:13" x14ac:dyDescent="0.3">
      <c r="B24" s="62" t="s">
        <v>96</v>
      </c>
      <c r="C24" s="61"/>
      <c r="D24" s="15">
        <v>-15974</v>
      </c>
      <c r="E24" s="15">
        <v>-15893</v>
      </c>
      <c r="F24" s="15">
        <v>-13825</v>
      </c>
      <c r="G24" s="83"/>
      <c r="H24" s="53"/>
      <c r="I24" s="72"/>
      <c r="J24" s="79"/>
      <c r="K24" s="79"/>
      <c r="L24" s="79"/>
      <c r="M24" s="70"/>
    </row>
    <row r="25" spans="2:13" x14ac:dyDescent="0.3">
      <c r="B25" s="62" t="s">
        <v>97</v>
      </c>
      <c r="C25" s="61"/>
      <c r="D25" s="15">
        <v>-11223</v>
      </c>
      <c r="E25" s="15">
        <v>-11031</v>
      </c>
      <c r="F25" s="15">
        <v>-11482</v>
      </c>
      <c r="G25" s="83"/>
      <c r="H25" s="53"/>
      <c r="I25" s="72"/>
      <c r="J25" s="79"/>
      <c r="K25" s="79"/>
      <c r="L25" s="79"/>
      <c r="M25" s="70"/>
    </row>
    <row r="26" spans="2:13" x14ac:dyDescent="0.3">
      <c r="B26" s="62" t="s">
        <v>98</v>
      </c>
      <c r="C26" s="61"/>
      <c r="D26" s="15">
        <v>-7135</v>
      </c>
      <c r="E26" s="15">
        <v>-6467</v>
      </c>
      <c r="F26" s="15">
        <v>-6056</v>
      </c>
      <c r="G26" s="83"/>
      <c r="H26" s="53"/>
      <c r="I26" s="72"/>
      <c r="J26" s="79"/>
      <c r="K26" s="79"/>
      <c r="L26" s="79"/>
      <c r="M26" s="70"/>
    </row>
    <row r="27" spans="2:13" x14ac:dyDescent="0.3">
      <c r="B27" s="60" t="s">
        <v>99</v>
      </c>
      <c r="C27" s="61"/>
      <c r="D27" s="15">
        <f>-9255+721-8121</f>
        <v>-16655</v>
      </c>
      <c r="E27" s="15">
        <f>-21545-11363</f>
        <v>-32908</v>
      </c>
      <c r="F27" s="15">
        <f>-24176-6647</f>
        <v>-30823</v>
      </c>
      <c r="G27" s="83"/>
      <c r="H27" s="74"/>
      <c r="I27" s="72"/>
      <c r="J27" s="79"/>
      <c r="K27" s="79"/>
      <c r="L27" s="79"/>
      <c r="M27" s="70"/>
    </row>
    <row r="28" spans="2:13" ht="15" x14ac:dyDescent="0.3">
      <c r="B28" s="62" t="s">
        <v>100</v>
      </c>
      <c r="C28" s="61"/>
      <c r="D28" s="15">
        <v>4634</v>
      </c>
      <c r="E28" s="15">
        <v>4867</v>
      </c>
      <c r="F28" s="15">
        <v>3638</v>
      </c>
      <c r="G28" s="83"/>
      <c r="H28" s="71"/>
      <c r="I28" s="72"/>
      <c r="J28" s="73"/>
      <c r="K28" s="73"/>
      <c r="L28" s="73"/>
      <c r="M28" s="70"/>
    </row>
    <row r="29" spans="2:13" ht="15.6" x14ac:dyDescent="0.4">
      <c r="B29" s="62" t="s">
        <v>101</v>
      </c>
      <c r="C29" s="63"/>
      <c r="D29" s="16">
        <f>-6194-12207+451-1045-1801-2589+8121</f>
        <v>-15264</v>
      </c>
      <c r="E29" s="16">
        <v>-30696.999999999993</v>
      </c>
      <c r="F29" s="16">
        <v>-21836</v>
      </c>
      <c r="G29" s="84"/>
      <c r="H29" s="53"/>
      <c r="I29" s="72"/>
      <c r="J29" s="72"/>
      <c r="K29" s="72"/>
      <c r="L29" s="72"/>
      <c r="M29" s="70"/>
    </row>
    <row r="30" spans="2:13" x14ac:dyDescent="0.3">
      <c r="B30" s="64" t="s">
        <v>111</v>
      </c>
      <c r="C30" s="65"/>
      <c r="D30" s="17">
        <f>SUM(D23:D29)</f>
        <v>18820</v>
      </c>
      <c r="E30" s="17">
        <f>SUM(E23:E29)</f>
        <v>6447.0000000000073</v>
      </c>
      <c r="F30" s="17">
        <f>SUM(F23:F29)</f>
        <v>9594</v>
      </c>
      <c r="G30" s="85"/>
      <c r="H30" s="53"/>
      <c r="I30" s="72"/>
      <c r="J30" s="72"/>
      <c r="K30" s="72"/>
      <c r="L30" s="72"/>
      <c r="M30" s="70"/>
    </row>
    <row r="31" spans="2:13" ht="15.6" x14ac:dyDescent="0.4">
      <c r="B31" s="60" t="s">
        <v>102</v>
      </c>
      <c r="C31" s="63"/>
      <c r="D31" s="16">
        <v>-6399</v>
      </c>
      <c r="E31" s="16">
        <f>E30*-0.34</f>
        <v>-2191.9800000000027</v>
      </c>
      <c r="F31" s="16">
        <f>F30*-0.34</f>
        <v>-3261.96</v>
      </c>
      <c r="G31" s="84"/>
      <c r="H31" s="53"/>
      <c r="I31" s="72"/>
      <c r="J31" s="72"/>
      <c r="K31" s="72"/>
      <c r="L31" s="72"/>
      <c r="M31" s="70"/>
    </row>
    <row r="32" spans="2:13" x14ac:dyDescent="0.3">
      <c r="B32" s="66" t="s">
        <v>112</v>
      </c>
      <c r="C32" s="67"/>
      <c r="D32" s="11">
        <f>D31+D30</f>
        <v>12421</v>
      </c>
      <c r="E32" s="11">
        <f>E31+E30</f>
        <v>4255.0200000000041</v>
      </c>
      <c r="F32" s="11">
        <f>F31+F30</f>
        <v>6332.04</v>
      </c>
      <c r="G32" s="98" t="s">
        <v>113</v>
      </c>
      <c r="H32" s="53"/>
      <c r="I32" s="72"/>
      <c r="J32" s="72"/>
      <c r="K32" s="72"/>
      <c r="L32" s="72"/>
      <c r="M32" s="70"/>
    </row>
    <row r="33" spans="2:13" x14ac:dyDescent="0.3">
      <c r="B33" s="18"/>
      <c r="C33" s="18"/>
      <c r="D33" s="18"/>
      <c r="E33" s="18"/>
      <c r="F33" s="18"/>
      <c r="G33" s="86"/>
      <c r="H33" s="53"/>
      <c r="I33" s="72"/>
      <c r="J33" s="72"/>
      <c r="K33" s="72"/>
      <c r="L33" s="72"/>
      <c r="M33" s="70"/>
    </row>
    <row r="34" spans="2:13" x14ac:dyDescent="0.3">
      <c r="B34" s="133" t="s">
        <v>25</v>
      </c>
      <c r="C34" s="134"/>
      <c r="D34" s="134">
        <v>-44636</v>
      </c>
      <c r="E34" s="134">
        <v>-47676</v>
      </c>
      <c r="F34" s="134">
        <v>-20297</v>
      </c>
      <c r="G34" s="83"/>
      <c r="H34" s="54"/>
      <c r="I34" s="55"/>
      <c r="J34" s="55"/>
      <c r="K34" s="55"/>
      <c r="L34" s="55"/>
      <c r="M34" s="70"/>
    </row>
    <row r="35" spans="2:13" ht="15.6" x14ac:dyDescent="0.4">
      <c r="B35" s="135" t="s">
        <v>114</v>
      </c>
      <c r="C35" s="136"/>
      <c r="D35" s="136">
        <f>6399+3892</f>
        <v>10291</v>
      </c>
      <c r="E35" s="136">
        <f>6058-E31</f>
        <v>8249.9800000000032</v>
      </c>
      <c r="F35" s="136">
        <f>-2342-F31</f>
        <v>919.96</v>
      </c>
      <c r="G35" s="84"/>
      <c r="H35" s="54"/>
      <c r="I35" s="55"/>
      <c r="J35" s="55"/>
      <c r="K35" s="55"/>
      <c r="L35" s="55"/>
      <c r="M35" s="70"/>
    </row>
    <row r="36" spans="2:13" x14ac:dyDescent="0.3">
      <c r="B36" s="137" t="s">
        <v>115</v>
      </c>
      <c r="C36" s="138"/>
      <c r="D36" s="138">
        <f>SUM(D32:D35)</f>
        <v>-21924</v>
      </c>
      <c r="E36" s="138">
        <f>SUM(E32:E35)</f>
        <v>-35170.999999999993</v>
      </c>
      <c r="F36" s="138">
        <f>SUM(F32:F35)</f>
        <v>-13045</v>
      </c>
      <c r="G36" s="87"/>
      <c r="H36" s="6"/>
      <c r="I36" s="1"/>
      <c r="J36" s="1"/>
      <c r="K36" s="1"/>
      <c r="L36" s="1"/>
      <c r="M36" s="70"/>
    </row>
    <row r="37" spans="2:13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70"/>
    </row>
    <row r="38" spans="2:13" x14ac:dyDescent="0.3">
      <c r="B38" s="35"/>
      <c r="C38" s="35"/>
      <c r="D38" s="35"/>
      <c r="E38" s="35"/>
      <c r="F38" s="35"/>
      <c r="G38" s="35"/>
      <c r="H38" s="35"/>
      <c r="I38" s="35"/>
      <c r="J38" s="36"/>
      <c r="K38" s="35"/>
      <c r="L38" s="35"/>
      <c r="M38" s="35"/>
    </row>
    <row r="39" spans="2:13" x14ac:dyDescent="0.3">
      <c r="B39" s="35"/>
      <c r="C39" s="35"/>
      <c r="D39" s="35"/>
      <c r="E39" s="35"/>
      <c r="F39" s="35"/>
      <c r="G39" s="35"/>
      <c r="H39" s="35"/>
      <c r="I39" s="35"/>
      <c r="J39" s="36"/>
      <c r="K39" s="35"/>
      <c r="L39" s="35"/>
      <c r="M39" s="35"/>
    </row>
    <row r="40" spans="2:13" ht="15.6" x14ac:dyDescent="0.3">
      <c r="B40" s="37" t="s">
        <v>46</v>
      </c>
      <c r="C40" s="38">
        <v>2013</v>
      </c>
      <c r="D40" s="38">
        <v>2014</v>
      </c>
      <c r="E40" s="38">
        <v>2015</v>
      </c>
      <c r="F40" s="38">
        <v>2016</v>
      </c>
      <c r="G40" s="37" t="s">
        <v>109</v>
      </c>
      <c r="H40" s="37" t="s">
        <v>110</v>
      </c>
      <c r="I40" s="68"/>
      <c r="J40" s="36"/>
      <c r="K40" s="122" t="s">
        <v>47</v>
      </c>
      <c r="L40" s="123"/>
      <c r="M40" s="124"/>
    </row>
    <row r="41" spans="2:13" ht="15" x14ac:dyDescent="0.3">
      <c r="B41" s="39" t="s">
        <v>48</v>
      </c>
      <c r="C41" s="80"/>
      <c r="D41" s="39"/>
      <c r="E41" s="39"/>
      <c r="F41" s="39"/>
      <c r="G41" s="39"/>
      <c r="H41" s="40"/>
      <c r="I41" s="68"/>
      <c r="J41" s="36"/>
      <c r="K41" s="119"/>
      <c r="L41" s="120"/>
      <c r="M41" s="121"/>
    </row>
    <row r="42" spans="2:13" x14ac:dyDescent="0.3">
      <c r="B42" s="41" t="s">
        <v>49</v>
      </c>
      <c r="C42" s="42"/>
      <c r="D42" s="42"/>
      <c r="E42" s="42"/>
      <c r="F42" s="42"/>
      <c r="G42" s="42">
        <v>1.9</v>
      </c>
      <c r="H42" s="43"/>
      <c r="I42" s="68"/>
      <c r="J42" s="36"/>
      <c r="K42" s="110" t="s">
        <v>50</v>
      </c>
      <c r="L42" s="111"/>
      <c r="M42" s="112"/>
    </row>
    <row r="43" spans="2:13" x14ac:dyDescent="0.3">
      <c r="B43" s="41" t="s">
        <v>51</v>
      </c>
      <c r="C43" s="42"/>
      <c r="D43" s="42"/>
      <c r="E43" s="42"/>
      <c r="F43" s="42"/>
      <c r="G43" s="42">
        <v>1.52</v>
      </c>
      <c r="H43" s="43"/>
      <c r="I43" s="68"/>
      <c r="J43" s="36"/>
      <c r="K43" s="110" t="s">
        <v>52</v>
      </c>
      <c r="L43" s="111"/>
      <c r="M43" s="112"/>
    </row>
    <row r="44" spans="2:13" x14ac:dyDescent="0.3">
      <c r="B44" s="41" t="s">
        <v>53</v>
      </c>
      <c r="C44" s="42"/>
      <c r="D44" s="42"/>
      <c r="E44" s="42"/>
      <c r="F44" s="42"/>
      <c r="G44" s="42">
        <v>0.8</v>
      </c>
      <c r="H44" s="43"/>
      <c r="I44" s="68"/>
      <c r="J44" s="36"/>
      <c r="K44" s="110" t="s">
        <v>54</v>
      </c>
      <c r="L44" s="111"/>
      <c r="M44" s="112"/>
    </row>
    <row r="45" spans="2:13" x14ac:dyDescent="0.3">
      <c r="B45" s="44" t="s">
        <v>55</v>
      </c>
      <c r="C45" s="45"/>
      <c r="D45" s="45"/>
      <c r="E45" s="45"/>
      <c r="F45" s="45"/>
      <c r="G45" s="45">
        <v>0.57999999999999996</v>
      </c>
      <c r="H45" s="46"/>
      <c r="I45" s="68"/>
      <c r="J45" s="36"/>
      <c r="K45" s="113" t="s">
        <v>56</v>
      </c>
      <c r="L45" s="114"/>
      <c r="M45" s="115"/>
    </row>
    <row r="46" spans="2:13" ht="15" x14ac:dyDescent="0.3">
      <c r="B46" s="39" t="s">
        <v>57</v>
      </c>
      <c r="C46" s="88"/>
      <c r="D46" s="47"/>
      <c r="E46" s="47"/>
      <c r="F46" s="47"/>
      <c r="G46" s="47"/>
      <c r="H46" s="40"/>
      <c r="I46" s="68"/>
      <c r="J46" s="36"/>
      <c r="K46" s="116"/>
      <c r="L46" s="117"/>
      <c r="M46" s="118"/>
    </row>
    <row r="47" spans="2:13" x14ac:dyDescent="0.3">
      <c r="B47" s="48" t="s">
        <v>58</v>
      </c>
      <c r="C47" s="89"/>
      <c r="D47" s="49"/>
      <c r="E47" s="49"/>
      <c r="F47" s="49"/>
      <c r="G47" s="49">
        <f t="shared" ref="E47:G47" si="1">G48*G49</f>
        <v>5.2000000000000005E-2</v>
      </c>
      <c r="H47" s="50"/>
      <c r="I47" s="68"/>
      <c r="J47" s="36"/>
      <c r="K47" s="110" t="s">
        <v>108</v>
      </c>
      <c r="L47" s="111"/>
      <c r="M47" s="112"/>
    </row>
    <row r="48" spans="2:13" x14ac:dyDescent="0.3">
      <c r="B48" s="41" t="s">
        <v>59</v>
      </c>
      <c r="C48" s="90"/>
      <c r="D48" s="51"/>
      <c r="E48" s="51"/>
      <c r="F48" s="51"/>
      <c r="G48" s="51">
        <v>6.5000000000000002E-2</v>
      </c>
      <c r="H48" s="43"/>
      <c r="I48" s="68"/>
      <c r="J48" s="36"/>
      <c r="K48" s="110" t="s">
        <v>60</v>
      </c>
      <c r="L48" s="111"/>
      <c r="M48" s="112"/>
    </row>
    <row r="49" spans="2:13" x14ac:dyDescent="0.3">
      <c r="B49" s="41" t="s">
        <v>61</v>
      </c>
      <c r="C49" s="90"/>
      <c r="D49" s="91"/>
      <c r="E49" s="91"/>
      <c r="F49" s="91"/>
      <c r="G49" s="91">
        <v>0.8</v>
      </c>
      <c r="H49" s="46"/>
      <c r="I49" s="68"/>
      <c r="J49" s="36"/>
      <c r="K49" s="110" t="s">
        <v>107</v>
      </c>
      <c r="L49" s="111"/>
      <c r="M49" s="112"/>
    </row>
    <row r="50" spans="2:13" ht="15" x14ac:dyDescent="0.3">
      <c r="B50" s="39" t="s">
        <v>62</v>
      </c>
      <c r="C50" s="39"/>
      <c r="D50" s="39"/>
      <c r="E50" s="39"/>
      <c r="F50" s="39"/>
      <c r="G50" s="39"/>
      <c r="H50" s="40"/>
      <c r="I50" s="68"/>
      <c r="J50" s="36"/>
      <c r="K50" s="119"/>
      <c r="L50" s="120"/>
      <c r="M50" s="121"/>
    </row>
    <row r="51" spans="2:13" x14ac:dyDescent="0.3">
      <c r="B51" s="41" t="s">
        <v>63</v>
      </c>
      <c r="C51" s="42"/>
      <c r="D51" s="42"/>
      <c r="E51" s="42"/>
      <c r="F51" s="42"/>
      <c r="G51" s="42">
        <v>0.5</v>
      </c>
      <c r="H51" s="43"/>
      <c r="I51" s="68"/>
      <c r="J51" s="36"/>
      <c r="K51" s="110" t="s">
        <v>64</v>
      </c>
      <c r="L51" s="111"/>
      <c r="M51" s="112"/>
    </row>
    <row r="52" spans="2:13" x14ac:dyDescent="0.3">
      <c r="B52" s="41" t="s">
        <v>65</v>
      </c>
      <c r="C52" s="42"/>
      <c r="D52" s="42"/>
      <c r="E52" s="42"/>
      <c r="F52" s="42"/>
      <c r="G52" s="42">
        <v>0.5</v>
      </c>
      <c r="H52" s="43"/>
      <c r="I52" s="68"/>
      <c r="J52" s="36"/>
      <c r="K52" s="110" t="s">
        <v>66</v>
      </c>
      <c r="L52" s="111"/>
      <c r="M52" s="112"/>
    </row>
    <row r="53" spans="2:13" x14ac:dyDescent="0.3">
      <c r="B53" s="41" t="s">
        <v>67</v>
      </c>
      <c r="C53" s="42"/>
      <c r="D53" s="42"/>
      <c r="E53" s="42"/>
      <c r="F53" s="42"/>
      <c r="G53" s="42">
        <f t="shared" ref="D53:G53" si="2">G52/G51</f>
        <v>1</v>
      </c>
      <c r="H53" s="43"/>
      <c r="I53" s="68"/>
      <c r="J53" s="36"/>
      <c r="K53" s="110" t="s">
        <v>68</v>
      </c>
      <c r="L53" s="111"/>
      <c r="M53" s="112"/>
    </row>
    <row r="54" spans="2:13" x14ac:dyDescent="0.3">
      <c r="B54" s="44" t="s">
        <v>69</v>
      </c>
      <c r="C54" s="45"/>
      <c r="D54" s="45"/>
      <c r="E54" s="45"/>
      <c r="F54" s="45"/>
      <c r="G54" s="45">
        <v>0.25</v>
      </c>
      <c r="H54" s="46"/>
      <c r="I54" s="68"/>
      <c r="J54" s="36"/>
      <c r="K54" s="113" t="s">
        <v>70</v>
      </c>
      <c r="L54" s="114"/>
      <c r="M54" s="115"/>
    </row>
    <row r="55" spans="2:13" ht="15" x14ac:dyDescent="0.3">
      <c r="B55" s="39" t="s">
        <v>71</v>
      </c>
      <c r="C55" s="52"/>
      <c r="D55" s="52"/>
      <c r="E55" s="52"/>
      <c r="F55" s="52"/>
      <c r="G55" s="52"/>
      <c r="H55" s="40"/>
      <c r="I55" s="68"/>
      <c r="J55" s="36"/>
      <c r="K55" s="116"/>
      <c r="L55" s="117"/>
      <c r="M55" s="118"/>
    </row>
    <row r="56" spans="2:13" x14ac:dyDescent="0.3">
      <c r="B56" s="41" t="s">
        <v>72</v>
      </c>
      <c r="C56" s="42"/>
      <c r="D56" s="42"/>
      <c r="E56" s="42"/>
      <c r="F56" s="42"/>
      <c r="G56" s="42">
        <v>1.5</v>
      </c>
      <c r="H56" s="43"/>
      <c r="I56" s="68"/>
      <c r="J56" s="36"/>
      <c r="K56" s="110" t="s">
        <v>73</v>
      </c>
      <c r="L56" s="111"/>
      <c r="M56" s="112"/>
    </row>
    <row r="57" spans="2:13" x14ac:dyDescent="0.3">
      <c r="B57" s="41" t="s">
        <v>74</v>
      </c>
      <c r="C57" s="42"/>
      <c r="D57" s="42"/>
      <c r="E57" s="42"/>
      <c r="F57" s="42"/>
      <c r="G57" s="42">
        <v>0.7</v>
      </c>
      <c r="H57" s="43"/>
      <c r="I57" s="68"/>
      <c r="J57" s="36"/>
      <c r="K57" s="110" t="s">
        <v>75</v>
      </c>
      <c r="L57" s="111"/>
      <c r="M57" s="112"/>
    </row>
    <row r="58" spans="2:13" x14ac:dyDescent="0.3">
      <c r="B58" s="44" t="s">
        <v>76</v>
      </c>
      <c r="C58" s="92"/>
      <c r="D58" s="93"/>
      <c r="E58" s="93"/>
      <c r="F58" s="93"/>
      <c r="G58" s="45">
        <v>10</v>
      </c>
      <c r="H58" s="46"/>
      <c r="I58" s="68"/>
      <c r="J58" s="36"/>
      <c r="K58" s="110" t="s">
        <v>77</v>
      </c>
      <c r="L58" s="111"/>
      <c r="M58" s="112"/>
    </row>
    <row r="59" spans="2:13" ht="15" x14ac:dyDescent="0.3">
      <c r="B59" s="39" t="s">
        <v>78</v>
      </c>
      <c r="C59" s="88"/>
      <c r="D59" s="39"/>
      <c r="E59" s="39"/>
      <c r="F59" s="39"/>
      <c r="G59" s="39"/>
      <c r="H59" s="40"/>
      <c r="I59" s="68"/>
      <c r="J59" s="36"/>
      <c r="K59" s="119"/>
      <c r="L59" s="120"/>
      <c r="M59" s="121"/>
    </row>
    <row r="60" spans="2:13" x14ac:dyDescent="0.3">
      <c r="B60" s="41" t="s">
        <v>79</v>
      </c>
      <c r="C60" s="90"/>
      <c r="D60" s="95"/>
      <c r="E60" s="95"/>
      <c r="F60" s="95"/>
      <c r="G60" s="95">
        <v>40</v>
      </c>
      <c r="H60" s="43"/>
      <c r="I60" s="68"/>
      <c r="J60" s="36"/>
      <c r="K60" s="110" t="s">
        <v>80</v>
      </c>
      <c r="L60" s="111"/>
      <c r="M60" s="112"/>
    </row>
    <row r="61" spans="2:13" x14ac:dyDescent="0.3">
      <c r="B61" s="41" t="s">
        <v>81</v>
      </c>
      <c r="C61" s="90"/>
      <c r="D61" s="96"/>
      <c r="E61" s="96"/>
      <c r="F61" s="96"/>
      <c r="G61" s="96">
        <v>30</v>
      </c>
      <c r="H61" s="43"/>
      <c r="I61" s="68"/>
      <c r="J61" s="35"/>
      <c r="K61" s="110" t="s">
        <v>82</v>
      </c>
      <c r="L61" s="111"/>
      <c r="M61" s="112"/>
    </row>
    <row r="62" spans="2:13" x14ac:dyDescent="0.3">
      <c r="B62" s="41" t="s">
        <v>83</v>
      </c>
      <c r="C62" s="90"/>
      <c r="D62" s="97"/>
      <c r="E62" s="97"/>
      <c r="F62" s="97"/>
      <c r="G62" s="97">
        <f>G61+G60</f>
        <v>70</v>
      </c>
      <c r="H62" s="43"/>
      <c r="I62" s="68"/>
      <c r="J62" s="35"/>
      <c r="K62" s="110" t="s">
        <v>84</v>
      </c>
      <c r="L62" s="111"/>
      <c r="M62" s="112"/>
    </row>
    <row r="63" spans="2:13" x14ac:dyDescent="0.3">
      <c r="B63" s="41" t="s">
        <v>85</v>
      </c>
      <c r="C63" s="90"/>
      <c r="D63" s="96"/>
      <c r="E63" s="96"/>
      <c r="F63" s="96"/>
      <c r="G63" s="96">
        <v>75</v>
      </c>
      <c r="H63" s="43"/>
      <c r="I63" s="68"/>
      <c r="J63" s="35"/>
      <c r="K63" s="110" t="s">
        <v>86</v>
      </c>
      <c r="L63" s="111"/>
      <c r="M63" s="112"/>
    </row>
    <row r="64" spans="2:13" x14ac:dyDescent="0.3">
      <c r="B64" s="41" t="s">
        <v>87</v>
      </c>
      <c r="C64" s="90"/>
      <c r="D64" s="97"/>
      <c r="E64" s="97"/>
      <c r="F64" s="97"/>
      <c r="G64" s="97">
        <f t="shared" ref="E64:G64" si="3">G63-G62</f>
        <v>5</v>
      </c>
      <c r="H64" s="46"/>
      <c r="I64" s="68"/>
      <c r="J64" s="35"/>
      <c r="K64" s="113" t="s">
        <v>88</v>
      </c>
      <c r="L64" s="114"/>
      <c r="M64" s="115"/>
    </row>
    <row r="65" spans="2:13" ht="15" x14ac:dyDescent="0.3">
      <c r="B65" s="39" t="s">
        <v>89</v>
      </c>
      <c r="C65" s="88"/>
      <c r="D65" s="39"/>
      <c r="E65" s="39"/>
      <c r="F65" s="39"/>
      <c r="G65" s="39"/>
      <c r="H65" s="39"/>
      <c r="I65" s="68"/>
      <c r="J65" s="35"/>
      <c r="K65" s="116"/>
      <c r="L65" s="117"/>
      <c r="M65" s="118"/>
    </row>
    <row r="66" spans="2:13" x14ac:dyDescent="0.3">
      <c r="B66" s="44" t="s">
        <v>90</v>
      </c>
      <c r="C66" s="94"/>
      <c r="D66" s="45"/>
      <c r="E66" s="45"/>
      <c r="F66" s="45"/>
      <c r="G66" s="45">
        <v>5</v>
      </c>
      <c r="H66" s="44"/>
      <c r="I66" s="68"/>
      <c r="J66" s="35"/>
      <c r="K66" s="106" t="s">
        <v>91</v>
      </c>
      <c r="L66" s="107"/>
      <c r="M66" s="108"/>
    </row>
    <row r="67" spans="2:13" x14ac:dyDescent="0.3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2:13" x14ac:dyDescent="0.3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2:13" x14ac:dyDescent="0.3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2:13" x14ac:dyDescent="0.3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</sheetData>
  <mergeCells count="44">
    <mergeCell ref="B1:L1"/>
    <mergeCell ref="K44:M44"/>
    <mergeCell ref="K45:M45"/>
    <mergeCell ref="K46:M46"/>
    <mergeCell ref="K47:M47"/>
    <mergeCell ref="K41:M41"/>
    <mergeCell ref="K42:M42"/>
    <mergeCell ref="K43:M43"/>
    <mergeCell ref="G2:H2"/>
    <mergeCell ref="G3:H3"/>
    <mergeCell ref="G4:H4"/>
    <mergeCell ref="G5:H5"/>
    <mergeCell ref="G6:H6"/>
    <mergeCell ref="G7:H7"/>
    <mergeCell ref="G8:H8"/>
    <mergeCell ref="G9:H9"/>
    <mergeCell ref="K57:M57"/>
    <mergeCell ref="K58:M58"/>
    <mergeCell ref="K59:M59"/>
    <mergeCell ref="K54:M54"/>
    <mergeCell ref="K55:M55"/>
    <mergeCell ref="K66:M66"/>
    <mergeCell ref="B18:F18"/>
    <mergeCell ref="K60:M60"/>
    <mergeCell ref="K61:M61"/>
    <mergeCell ref="K62:M62"/>
    <mergeCell ref="K63:M63"/>
    <mergeCell ref="K64:M64"/>
    <mergeCell ref="K65:M65"/>
    <mergeCell ref="K48:M48"/>
    <mergeCell ref="K49:M49"/>
    <mergeCell ref="K50:M50"/>
    <mergeCell ref="K51:M51"/>
    <mergeCell ref="K52:M52"/>
    <mergeCell ref="K53:M53"/>
    <mergeCell ref="K40:M40"/>
    <mergeCell ref="K56:M56"/>
    <mergeCell ref="G15:H15"/>
    <mergeCell ref="G16:H16"/>
    <mergeCell ref="G10:H10"/>
    <mergeCell ref="G11:H11"/>
    <mergeCell ref="G12:H12"/>
    <mergeCell ref="G13:H13"/>
    <mergeCell ref="G14:H14"/>
  </mergeCells>
  <pageMargins left="0.11811023622047245" right="0.11811023622047245" top="0.19685039370078741" bottom="0.19685039370078741" header="0" footer="0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3074" r:id="rId4">
          <objectPr defaultSize="0" autoPict="0" r:id="rId5">
            <anchor moveWithCells="1">
              <from>
                <xdr:col>1</xdr:col>
                <xdr:colOff>1546860</xdr:colOff>
                <xdr:row>68</xdr:row>
                <xdr:rowOff>0</xdr:rowOff>
              </from>
              <to>
                <xdr:col>9</xdr:col>
                <xdr:colOff>434340</xdr:colOff>
                <xdr:row>69</xdr:row>
                <xdr:rowOff>167640</xdr:rowOff>
              </to>
            </anchor>
          </objectPr>
        </oleObject>
      </mc:Choice>
      <mc:Fallback>
        <oleObject progId="Equation.3" shapeId="30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70"/>
  <sheetViews>
    <sheetView workbookViewId="0">
      <selection activeCell="J79" sqref="J79"/>
    </sheetView>
  </sheetViews>
  <sheetFormatPr defaultRowHeight="14.4" x14ac:dyDescent="0.3"/>
  <cols>
    <col min="1" max="1" width="3" customWidth="1"/>
    <col min="2" max="2" width="25.6640625" customWidth="1"/>
    <col min="3" max="6" width="9.77734375" customWidth="1"/>
    <col min="7" max="7" width="8.77734375" customWidth="1"/>
    <col min="8" max="8" width="13.6640625" customWidth="1"/>
    <col min="9" max="12" width="9.77734375" customWidth="1"/>
  </cols>
  <sheetData>
    <row r="1" spans="2:12" ht="17.399999999999999" x14ac:dyDescent="0.3">
      <c r="B1" s="125" t="s">
        <v>43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2:12" x14ac:dyDescent="0.3">
      <c r="B2" s="130" t="s">
        <v>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2:12" x14ac:dyDescent="0.3">
      <c r="B3" s="2" t="s">
        <v>0</v>
      </c>
      <c r="C3" s="2">
        <v>2013</v>
      </c>
      <c r="D3" s="2">
        <v>2014</v>
      </c>
      <c r="E3" s="2">
        <v>2015</v>
      </c>
      <c r="F3" s="2">
        <v>2016</v>
      </c>
      <c r="G3" s="126" t="s">
        <v>1</v>
      </c>
      <c r="H3" s="127"/>
      <c r="I3" s="2">
        <v>2013</v>
      </c>
      <c r="J3" s="2">
        <v>2014</v>
      </c>
      <c r="K3" s="2">
        <v>2015</v>
      </c>
      <c r="L3" s="2">
        <v>2016</v>
      </c>
    </row>
    <row r="4" spans="2:12" x14ac:dyDescent="0.3">
      <c r="B4" s="3" t="s">
        <v>2</v>
      </c>
      <c r="C4" s="4"/>
      <c r="D4" s="4"/>
      <c r="E4" s="4"/>
      <c r="F4" s="4"/>
      <c r="G4" s="8" t="s">
        <v>2</v>
      </c>
      <c r="H4" s="8"/>
      <c r="I4" s="4"/>
      <c r="J4" s="4"/>
      <c r="K4" s="4"/>
      <c r="L4" s="4"/>
    </row>
    <row r="5" spans="2:12" x14ac:dyDescent="0.3">
      <c r="B5" s="4" t="s">
        <v>6</v>
      </c>
      <c r="C5" s="29">
        <v>40571</v>
      </c>
      <c r="D5" s="29">
        <v>25299</v>
      </c>
      <c r="E5" s="29">
        <v>41710</v>
      </c>
      <c r="F5" s="29">
        <v>67308</v>
      </c>
      <c r="G5" s="100" t="s">
        <v>11</v>
      </c>
      <c r="H5" s="101"/>
      <c r="I5" s="29">
        <v>22367</v>
      </c>
      <c r="J5" s="29">
        <v>30196</v>
      </c>
      <c r="K5" s="29">
        <v>35490</v>
      </c>
      <c r="L5" s="29">
        <v>37294</v>
      </c>
    </row>
    <row r="6" spans="2:12" x14ac:dyDescent="0.3">
      <c r="B6" s="4" t="s">
        <v>7</v>
      </c>
      <c r="C6" s="29">
        <v>20641</v>
      </c>
      <c r="D6" s="29">
        <v>27219</v>
      </c>
      <c r="E6" s="29">
        <v>30343</v>
      </c>
      <c r="F6" s="29">
        <v>29299</v>
      </c>
      <c r="G6" s="100" t="s">
        <v>12</v>
      </c>
      <c r="H6" s="101"/>
      <c r="I6" s="29">
        <f>4782+16509</f>
        <v>21291</v>
      </c>
      <c r="J6" s="29">
        <f>7689+19255+6308</f>
        <v>33252</v>
      </c>
      <c r="K6" s="29">
        <f>24169+8499+2500+9952</f>
        <v>45120</v>
      </c>
      <c r="L6" s="29">
        <f>20951+8105+3500+9156</f>
        <v>41712</v>
      </c>
    </row>
    <row r="7" spans="2:12" x14ac:dyDescent="0.3">
      <c r="B7" s="4" t="s">
        <v>8</v>
      </c>
      <c r="C7" s="29">
        <v>1764</v>
      </c>
      <c r="D7" s="29">
        <v>2111</v>
      </c>
      <c r="E7" s="29">
        <v>2349</v>
      </c>
      <c r="F7" s="29">
        <v>2132</v>
      </c>
      <c r="G7" s="100"/>
      <c r="H7" s="101"/>
      <c r="I7" s="8">
        <f>SUM(I5:I6)</f>
        <v>43658</v>
      </c>
      <c r="J7" s="8">
        <f t="shared" ref="J7:L7" si="0">SUM(J5:J6)</f>
        <v>63448</v>
      </c>
      <c r="K7" s="8">
        <f t="shared" si="0"/>
        <v>80610</v>
      </c>
      <c r="L7" s="8">
        <f t="shared" si="0"/>
        <v>79006</v>
      </c>
    </row>
    <row r="8" spans="2:12" ht="15.6" x14ac:dyDescent="0.4">
      <c r="B8" s="4" t="s">
        <v>35</v>
      </c>
      <c r="C8" s="30">
        <v>10310</v>
      </c>
      <c r="D8" s="30">
        <v>13902</v>
      </c>
      <c r="E8" s="30">
        <v>14976</v>
      </c>
      <c r="F8" s="30">
        <v>8130</v>
      </c>
      <c r="G8" s="100"/>
      <c r="H8" s="101"/>
      <c r="I8" s="4"/>
      <c r="J8" s="4"/>
      <c r="K8" s="4"/>
      <c r="L8" s="4"/>
    </row>
    <row r="9" spans="2:12" x14ac:dyDescent="0.3">
      <c r="B9" s="4"/>
      <c r="C9" s="21">
        <f>SUM(C5:C8)</f>
        <v>73286</v>
      </c>
      <c r="D9" s="21">
        <f>SUM(D5:D8)</f>
        <v>68531</v>
      </c>
      <c r="E9" s="21">
        <f>SUM(E5:E8)</f>
        <v>89378</v>
      </c>
      <c r="F9" s="21">
        <f>SUM(F5:F8)</f>
        <v>106869</v>
      </c>
      <c r="G9" s="100"/>
      <c r="H9" s="101"/>
      <c r="I9" s="4"/>
      <c r="J9" s="4"/>
      <c r="K9" s="4"/>
      <c r="L9" s="4"/>
    </row>
    <row r="10" spans="2:12" x14ac:dyDescent="0.3">
      <c r="B10" s="3" t="s">
        <v>3</v>
      </c>
      <c r="C10" s="4"/>
      <c r="D10" s="4"/>
      <c r="E10" s="4"/>
      <c r="F10" s="4"/>
      <c r="G10" s="104" t="s">
        <v>3</v>
      </c>
      <c r="H10" s="105"/>
      <c r="I10" s="4"/>
      <c r="J10" s="4"/>
      <c r="K10" s="4"/>
      <c r="L10" s="4"/>
    </row>
    <row r="11" spans="2:12" x14ac:dyDescent="0.3">
      <c r="B11" s="7" t="s">
        <v>29</v>
      </c>
      <c r="C11" s="4">
        <v>5146</v>
      </c>
      <c r="D11" s="4">
        <v>3764</v>
      </c>
      <c r="E11" s="4">
        <v>5422</v>
      </c>
      <c r="F11" s="4">
        <v>8757</v>
      </c>
      <c r="G11" s="100" t="s">
        <v>26</v>
      </c>
      <c r="H11" s="101"/>
      <c r="I11" s="8">
        <f>83451-43658</f>
        <v>39793</v>
      </c>
      <c r="J11" s="8">
        <f>120292-63448</f>
        <v>56844</v>
      </c>
      <c r="K11" s="8">
        <f>170990-80610</f>
        <v>90380</v>
      </c>
      <c r="L11" s="8">
        <f>193437-79006</f>
        <v>114431</v>
      </c>
    </row>
    <row r="12" spans="2:12" x14ac:dyDescent="0.3">
      <c r="B12" s="4" t="s">
        <v>9</v>
      </c>
      <c r="C12" s="4">
        <v>106215</v>
      </c>
      <c r="D12" s="4">
        <v>130162</v>
      </c>
      <c r="E12" s="4">
        <v>164065</v>
      </c>
      <c r="F12" s="4">
        <v>170430</v>
      </c>
      <c r="G12" s="100"/>
      <c r="H12" s="101"/>
      <c r="I12" s="8"/>
      <c r="J12" s="8"/>
      <c r="K12" s="8"/>
      <c r="L12" s="8"/>
    </row>
    <row r="13" spans="2:12" x14ac:dyDescent="0.3">
      <c r="B13" s="4" t="s">
        <v>10</v>
      </c>
      <c r="C13" s="4">
        <v>16597</v>
      </c>
      <c r="D13" s="4">
        <v>20624</v>
      </c>
      <c r="E13" s="4">
        <v>22471</v>
      </c>
      <c r="F13" s="4">
        <v>27010</v>
      </c>
      <c r="G13" s="104" t="s">
        <v>4</v>
      </c>
      <c r="H13" s="105"/>
      <c r="I13" s="4"/>
      <c r="J13" s="4"/>
      <c r="K13" s="4"/>
      <c r="L13" s="4"/>
    </row>
    <row r="14" spans="2:12" x14ac:dyDescent="0.3">
      <c r="B14" s="4" t="s">
        <v>30</v>
      </c>
      <c r="C14" s="4">
        <f>4179+1577</f>
        <v>5756</v>
      </c>
      <c r="D14" s="4">
        <f>4142+4616</f>
        <v>8758</v>
      </c>
      <c r="E14" s="4">
        <f>3893+5116</f>
        <v>9009</v>
      </c>
      <c r="F14" s="4">
        <f>3206+5414</f>
        <v>8620</v>
      </c>
      <c r="G14" s="100" t="s">
        <v>16</v>
      </c>
      <c r="H14" s="101"/>
      <c r="I14" s="4">
        <v>29484</v>
      </c>
      <c r="J14" s="4">
        <v>30106</v>
      </c>
      <c r="K14" s="4">
        <v>31251</v>
      </c>
      <c r="L14" s="4">
        <v>32144</v>
      </c>
    </row>
    <row r="15" spans="2:12" x14ac:dyDescent="0.3">
      <c r="B15" s="4"/>
      <c r="C15" s="4"/>
      <c r="D15" s="4"/>
      <c r="E15" s="4"/>
      <c r="F15" s="4"/>
      <c r="G15" s="100" t="s">
        <v>17</v>
      </c>
      <c r="H15" s="101"/>
      <c r="I15" s="4">
        <v>94065</v>
      </c>
      <c r="J15" s="4">
        <v>81441</v>
      </c>
      <c r="K15" s="4">
        <v>88104</v>
      </c>
      <c r="L15" s="4">
        <v>96105</v>
      </c>
    </row>
    <row r="16" spans="2:12" x14ac:dyDescent="0.3">
      <c r="B16" s="4"/>
      <c r="C16" s="4"/>
      <c r="D16" s="4"/>
      <c r="E16" s="4"/>
      <c r="F16" s="4"/>
      <c r="G16" s="100"/>
      <c r="H16" s="101"/>
      <c r="I16" s="8">
        <f>SUM(I14:I15)</f>
        <v>123549</v>
      </c>
      <c r="J16" s="8">
        <f>SUM(J14:J15)</f>
        <v>111547</v>
      </c>
      <c r="K16" s="8">
        <f>SUM(K14:K15)</f>
        <v>119355</v>
      </c>
      <c r="L16" s="8">
        <f>SUM(L14:L15)</f>
        <v>128249</v>
      </c>
    </row>
    <row r="17" spans="2:12" x14ac:dyDescent="0.3">
      <c r="B17" s="10" t="s">
        <v>18</v>
      </c>
      <c r="C17" s="22">
        <f>SUM(C9:C16)</f>
        <v>207000</v>
      </c>
      <c r="D17" s="22">
        <f>SUM(D9:D16)</f>
        <v>231839</v>
      </c>
      <c r="E17" s="22">
        <f>SUM(E9:E16)</f>
        <v>290345</v>
      </c>
      <c r="F17" s="22">
        <f>SUM(F9:F16)</f>
        <v>321686</v>
      </c>
      <c r="G17" s="102" t="s">
        <v>18</v>
      </c>
      <c r="H17" s="103"/>
      <c r="I17" s="22">
        <f>I16+I11+I7</f>
        <v>207000</v>
      </c>
      <c r="J17" s="22">
        <f t="shared" ref="J17:L17" si="1">J16+J11+J7</f>
        <v>231839</v>
      </c>
      <c r="K17" s="22">
        <f t="shared" si="1"/>
        <v>290345</v>
      </c>
      <c r="L17" s="22">
        <f t="shared" si="1"/>
        <v>321686</v>
      </c>
    </row>
    <row r="18" spans="2:12" x14ac:dyDescent="0.3">
      <c r="B18" s="1"/>
      <c r="C18" s="5"/>
      <c r="D18" s="1"/>
      <c r="E18" s="1"/>
      <c r="F18" s="1"/>
      <c r="G18" s="1"/>
      <c r="H18" s="1"/>
      <c r="I18" s="27">
        <f>I17-C17</f>
        <v>0</v>
      </c>
      <c r="J18" s="27">
        <f>J17-D17</f>
        <v>0</v>
      </c>
      <c r="K18" s="27">
        <f>K17-E17</f>
        <v>0</v>
      </c>
      <c r="L18" s="27">
        <f>L17-F17</f>
        <v>0</v>
      </c>
    </row>
    <row r="19" spans="2:12" ht="17.399999999999999" x14ac:dyDescent="0.3">
      <c r="B19" s="131" t="s">
        <v>44</v>
      </c>
      <c r="C19" s="131"/>
      <c r="D19" s="131"/>
      <c r="E19" s="1"/>
      <c r="F19" s="1"/>
      <c r="G19" s="1"/>
      <c r="H19" s="1"/>
      <c r="I19" s="5"/>
      <c r="J19" s="5"/>
      <c r="K19" s="5"/>
      <c r="L19" s="5"/>
    </row>
    <row r="20" spans="2:12" x14ac:dyDescent="0.3">
      <c r="B20" s="132" t="s">
        <v>45</v>
      </c>
      <c r="C20" s="132"/>
      <c r="D20" s="132"/>
      <c r="E20" s="1"/>
      <c r="F20" s="1"/>
      <c r="G20" s="1"/>
      <c r="H20" s="1"/>
      <c r="I20" s="1"/>
      <c r="J20" s="1"/>
      <c r="K20" s="1"/>
      <c r="L20" s="1"/>
    </row>
    <row r="21" spans="2:12" x14ac:dyDescent="0.3">
      <c r="B21" s="12" t="s">
        <v>5</v>
      </c>
      <c r="C21" s="13">
        <v>2013</v>
      </c>
      <c r="D21" s="13">
        <v>2014</v>
      </c>
      <c r="E21" s="13">
        <v>2015</v>
      </c>
      <c r="F21" s="13">
        <v>2016</v>
      </c>
      <c r="G21" s="140" t="s">
        <v>32</v>
      </c>
      <c r="H21" s="139"/>
      <c r="I21" s="1"/>
      <c r="J21" s="1" t="s">
        <v>31</v>
      </c>
      <c r="K21" s="1" t="s">
        <v>31</v>
      </c>
      <c r="L21" s="1" t="s">
        <v>31</v>
      </c>
    </row>
    <row r="22" spans="2:12" x14ac:dyDescent="0.3">
      <c r="B22" s="8" t="s">
        <v>19</v>
      </c>
      <c r="C22" s="14">
        <v>170910</v>
      </c>
      <c r="D22" s="14">
        <v>182795</v>
      </c>
      <c r="E22" s="14">
        <v>233715</v>
      </c>
      <c r="F22" s="14">
        <v>215639</v>
      </c>
      <c r="G22" s="140" t="s">
        <v>33</v>
      </c>
      <c r="H22" s="139"/>
      <c r="I22" s="1"/>
      <c r="J22" s="1" t="s">
        <v>31</v>
      </c>
      <c r="K22" s="1" t="s">
        <v>31</v>
      </c>
      <c r="L22" s="1" t="s">
        <v>31</v>
      </c>
    </row>
    <row r="23" spans="2:12" x14ac:dyDescent="0.3">
      <c r="B23" s="7" t="s">
        <v>20</v>
      </c>
      <c r="C23" s="15">
        <v>-6757</v>
      </c>
      <c r="D23" s="15">
        <v>-7946</v>
      </c>
      <c r="E23" s="15">
        <v>-11257</v>
      </c>
      <c r="F23" s="15">
        <v>-10505</v>
      </c>
      <c r="G23" s="1"/>
      <c r="H23" s="1"/>
      <c r="I23" s="1"/>
      <c r="J23" s="1"/>
      <c r="K23" s="1"/>
      <c r="L23" s="1"/>
    </row>
    <row r="24" spans="2:12" ht="15.6" x14ac:dyDescent="0.4">
      <c r="B24" s="4" t="s">
        <v>28</v>
      </c>
      <c r="C24" s="16">
        <f>-106606-C23</f>
        <v>-99849</v>
      </c>
      <c r="D24" s="16">
        <f>-112258-D23</f>
        <v>-104312</v>
      </c>
      <c r="E24" s="16">
        <f>-140089-E23</f>
        <v>-128832</v>
      </c>
      <c r="F24" s="16">
        <f>-131376-F23</f>
        <v>-120871</v>
      </c>
      <c r="G24" s="25"/>
      <c r="H24" s="25"/>
      <c r="I24" s="28"/>
      <c r="J24" s="28"/>
      <c r="K24" s="28"/>
      <c r="L24" s="28"/>
    </row>
    <row r="25" spans="2:12" x14ac:dyDescent="0.3">
      <c r="B25" s="3" t="s">
        <v>23</v>
      </c>
      <c r="C25" s="17">
        <f>SUM(C22:C24)</f>
        <v>64304</v>
      </c>
      <c r="D25" s="17">
        <f>SUM(D22:D24)</f>
        <v>70537</v>
      </c>
      <c r="E25" s="17">
        <f>SUM(E22:E24)</f>
        <v>93626</v>
      </c>
      <c r="F25" s="17">
        <f>SUM(F22:F24)</f>
        <v>84263</v>
      </c>
      <c r="G25" s="25"/>
      <c r="H25" s="25"/>
      <c r="I25" s="26"/>
      <c r="J25" s="26"/>
      <c r="K25" s="26"/>
      <c r="L25" s="26"/>
    </row>
    <row r="26" spans="2:12" x14ac:dyDescent="0.3">
      <c r="B26" s="4" t="s">
        <v>37</v>
      </c>
      <c r="C26" s="15">
        <v>-10830</v>
      </c>
      <c r="D26" s="15">
        <v>-11993</v>
      </c>
      <c r="E26" s="15">
        <v>-14329</v>
      </c>
      <c r="F26" s="15">
        <v>-14194</v>
      </c>
      <c r="G26" s="25"/>
      <c r="H26" s="25"/>
      <c r="I26" s="26"/>
      <c r="J26" s="26"/>
      <c r="K26" s="26"/>
      <c r="L26" s="26"/>
    </row>
    <row r="27" spans="2:12" x14ac:dyDescent="0.3">
      <c r="B27" s="4" t="s">
        <v>36</v>
      </c>
      <c r="C27" s="15">
        <v>-4475</v>
      </c>
      <c r="D27" s="15">
        <v>-6041</v>
      </c>
      <c r="E27" s="15">
        <v>-8067</v>
      </c>
      <c r="F27" s="15">
        <v>-10045</v>
      </c>
      <c r="G27" s="1"/>
      <c r="H27" s="1"/>
      <c r="I27" s="1"/>
      <c r="J27" s="1"/>
      <c r="K27" s="1"/>
      <c r="L27" s="1"/>
    </row>
    <row r="28" spans="2:12" x14ac:dyDescent="0.3">
      <c r="B28" s="4" t="s">
        <v>38</v>
      </c>
      <c r="C28" s="15"/>
      <c r="D28" s="15"/>
      <c r="E28" s="15"/>
      <c r="F28" s="15"/>
      <c r="G28" s="1"/>
      <c r="H28" s="1"/>
      <c r="I28" s="5"/>
      <c r="J28" s="1"/>
      <c r="K28" s="1"/>
      <c r="L28" s="1"/>
    </row>
    <row r="29" spans="2:12" x14ac:dyDescent="0.3">
      <c r="B29" s="7" t="s">
        <v>39</v>
      </c>
      <c r="C29" s="15">
        <v>1180</v>
      </c>
      <c r="D29" s="15">
        <v>1291</v>
      </c>
      <c r="E29" s="15">
        <v>2188</v>
      </c>
      <c r="F29" s="15">
        <v>2543</v>
      </c>
      <c r="G29" s="1"/>
      <c r="H29" s="1"/>
      <c r="I29" s="5"/>
      <c r="J29" s="1"/>
      <c r="K29" s="1"/>
      <c r="L29" s="1"/>
    </row>
    <row r="30" spans="2:12" x14ac:dyDescent="0.3">
      <c r="B30" s="4" t="s">
        <v>21</v>
      </c>
      <c r="C30" s="15"/>
      <c r="D30" s="15"/>
      <c r="E30" s="15"/>
      <c r="F30" s="15"/>
      <c r="G30" s="1"/>
      <c r="H30" s="1"/>
      <c r="I30" s="5"/>
      <c r="J30" s="1"/>
      <c r="K30" s="1"/>
      <c r="L30" s="1"/>
    </row>
    <row r="31" spans="2:12" ht="15.6" x14ac:dyDescent="0.4">
      <c r="B31" s="4" t="s">
        <v>22</v>
      </c>
      <c r="C31" s="16">
        <v>-24</v>
      </c>
      <c r="D31" s="16">
        <v>-311</v>
      </c>
      <c r="E31" s="16">
        <v>-903</v>
      </c>
      <c r="F31" s="16">
        <v>-1195</v>
      </c>
      <c r="G31" s="1"/>
      <c r="H31" s="1"/>
      <c r="I31" s="1"/>
      <c r="J31" s="1"/>
      <c r="K31" s="1"/>
      <c r="L31" s="1"/>
    </row>
    <row r="32" spans="2:12" x14ac:dyDescent="0.3">
      <c r="B32" s="3" t="s">
        <v>24</v>
      </c>
      <c r="C32" s="17">
        <f>SUM(C25:C31)</f>
        <v>50155</v>
      </c>
      <c r="D32" s="17">
        <f>SUM(D25:D31)</f>
        <v>53483</v>
      </c>
      <c r="E32" s="17">
        <f>SUM(E25:E31)</f>
        <v>72515</v>
      </c>
      <c r="F32" s="17">
        <f>SUM(F25:F31)</f>
        <v>61372</v>
      </c>
      <c r="G32" s="6"/>
      <c r="H32" s="6"/>
      <c r="I32" s="1"/>
      <c r="J32" s="1"/>
      <c r="K32" s="1"/>
      <c r="L32" s="1"/>
    </row>
    <row r="33" spans="2:13" ht="15.6" x14ac:dyDescent="0.4">
      <c r="B33" s="7" t="s">
        <v>40</v>
      </c>
      <c r="C33" s="16">
        <v>-13118</v>
      </c>
      <c r="D33" s="16">
        <v>-13973</v>
      </c>
      <c r="E33" s="16">
        <v>-19121</v>
      </c>
      <c r="F33" s="16">
        <v>-15685</v>
      </c>
      <c r="G33" s="32"/>
      <c r="H33" s="32"/>
      <c r="I33" s="1"/>
      <c r="J33" s="1"/>
      <c r="K33" s="1"/>
      <c r="L33" s="1"/>
    </row>
    <row r="34" spans="2:13" x14ac:dyDescent="0.3">
      <c r="B34" s="11" t="s">
        <v>27</v>
      </c>
      <c r="C34" s="11">
        <f>C33+C32</f>
        <v>37037</v>
      </c>
      <c r="D34" s="11">
        <f>D33+D32</f>
        <v>39510</v>
      </c>
      <c r="E34" s="11">
        <f>E33+E32</f>
        <v>53394</v>
      </c>
      <c r="F34" s="11">
        <f>F33+F32</f>
        <v>45687</v>
      </c>
      <c r="G34" s="6"/>
      <c r="H34" s="6"/>
      <c r="I34" s="1"/>
      <c r="J34" s="1"/>
      <c r="K34" s="1"/>
      <c r="L34" s="1"/>
    </row>
    <row r="35" spans="2:13" x14ac:dyDescent="0.3">
      <c r="B35" s="18"/>
      <c r="C35" s="31"/>
      <c r="D35" s="31"/>
      <c r="E35" s="31"/>
      <c r="F35" s="31"/>
      <c r="G35" s="6"/>
      <c r="H35" s="6"/>
      <c r="I35" s="1"/>
      <c r="J35" s="1"/>
      <c r="K35" s="1"/>
      <c r="L35" s="1"/>
    </row>
    <row r="36" spans="2:13" x14ac:dyDescent="0.3">
      <c r="B36" s="19" t="s">
        <v>41</v>
      </c>
      <c r="C36" s="33">
        <v>5.68</v>
      </c>
      <c r="D36" s="33">
        <v>6.45</v>
      </c>
      <c r="E36" s="33">
        <v>9.2200000000000006</v>
      </c>
      <c r="F36" s="33">
        <v>8.31</v>
      </c>
      <c r="G36" s="6"/>
      <c r="H36" s="6"/>
      <c r="I36" s="1"/>
      <c r="J36" s="1"/>
      <c r="K36" s="1"/>
      <c r="L36" s="1"/>
    </row>
    <row r="37" spans="2:13" x14ac:dyDescent="0.3">
      <c r="B37" s="4" t="s">
        <v>42</v>
      </c>
      <c r="C37" s="34">
        <v>1.63</v>
      </c>
      <c r="D37" s="34">
        <v>1.82</v>
      </c>
      <c r="E37" s="34">
        <v>1.98</v>
      </c>
      <c r="F37" s="34">
        <v>2.1800000000000002</v>
      </c>
      <c r="G37" s="6"/>
      <c r="H37" s="6"/>
      <c r="I37" s="1"/>
      <c r="J37" s="1"/>
      <c r="K37" s="1"/>
      <c r="L37" s="1"/>
    </row>
    <row r="38" spans="2:13" x14ac:dyDescent="0.3">
      <c r="B38" s="11"/>
      <c r="C38" s="20"/>
      <c r="D38" s="20"/>
      <c r="E38" s="20"/>
      <c r="F38" s="20"/>
      <c r="G38" s="6"/>
      <c r="H38" s="6"/>
      <c r="I38" s="1"/>
      <c r="J38" s="1"/>
      <c r="K38" s="1"/>
      <c r="L38" s="1"/>
    </row>
    <row r="39" spans="2:13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3" ht="15.6" x14ac:dyDescent="0.3">
      <c r="B40" s="37" t="s">
        <v>46</v>
      </c>
      <c r="C40" s="38">
        <v>2013</v>
      </c>
      <c r="D40" s="38">
        <v>2014</v>
      </c>
      <c r="E40" s="38">
        <v>2015</v>
      </c>
      <c r="F40" s="38">
        <v>2016</v>
      </c>
      <c r="G40" s="37" t="s">
        <v>109</v>
      </c>
      <c r="H40" s="37" t="s">
        <v>110</v>
      </c>
      <c r="I40" s="68"/>
      <c r="J40" s="99"/>
      <c r="K40" s="122" t="s">
        <v>47</v>
      </c>
      <c r="L40" s="123"/>
      <c r="M40" s="124"/>
    </row>
    <row r="41" spans="2:13" ht="15" x14ac:dyDescent="0.3">
      <c r="B41" s="39" t="s">
        <v>48</v>
      </c>
      <c r="C41" s="80"/>
      <c r="D41" s="39"/>
      <c r="E41" s="39"/>
      <c r="F41" s="39"/>
      <c r="G41" s="39"/>
      <c r="H41" s="40"/>
      <c r="I41" s="68"/>
      <c r="J41" s="99"/>
      <c r="K41" s="119"/>
      <c r="L41" s="120"/>
      <c r="M41" s="121"/>
    </row>
    <row r="42" spans="2:13" x14ac:dyDescent="0.3">
      <c r="B42" s="41" t="s">
        <v>49</v>
      </c>
      <c r="C42" s="42"/>
      <c r="D42" s="42"/>
      <c r="E42" s="42"/>
      <c r="F42" s="42"/>
      <c r="G42" s="42">
        <v>1.9</v>
      </c>
      <c r="H42" s="43"/>
      <c r="I42" s="68"/>
      <c r="J42" s="99"/>
      <c r="K42" s="110" t="s">
        <v>50</v>
      </c>
      <c r="L42" s="111"/>
      <c r="M42" s="112"/>
    </row>
    <row r="43" spans="2:13" ht="14.4" customHeight="1" x14ac:dyDescent="0.3">
      <c r="B43" s="41" t="s">
        <v>51</v>
      </c>
      <c r="C43" s="42"/>
      <c r="D43" s="42"/>
      <c r="E43" s="42"/>
      <c r="F43" s="42"/>
      <c r="G43" s="42">
        <v>1.52</v>
      </c>
      <c r="H43" s="43"/>
      <c r="I43" s="68"/>
      <c r="J43" s="99"/>
      <c r="K43" s="110" t="s">
        <v>52</v>
      </c>
      <c r="L43" s="111"/>
      <c r="M43" s="112"/>
    </row>
    <row r="44" spans="2:13" ht="14.4" customHeight="1" x14ac:dyDescent="0.3">
      <c r="B44" s="41" t="s">
        <v>53</v>
      </c>
      <c r="C44" s="42"/>
      <c r="D44" s="42"/>
      <c r="E44" s="42"/>
      <c r="F44" s="42"/>
      <c r="G44" s="42">
        <v>0.8</v>
      </c>
      <c r="H44" s="43"/>
      <c r="I44" s="68"/>
      <c r="J44" s="99"/>
      <c r="K44" s="110" t="s">
        <v>54</v>
      </c>
      <c r="L44" s="111"/>
      <c r="M44" s="112"/>
    </row>
    <row r="45" spans="2:13" ht="14.4" customHeight="1" x14ac:dyDescent="0.3">
      <c r="B45" s="44" t="s">
        <v>55</v>
      </c>
      <c r="C45" s="45"/>
      <c r="D45" s="45"/>
      <c r="E45" s="45"/>
      <c r="F45" s="45"/>
      <c r="G45" s="45">
        <v>0.57999999999999996</v>
      </c>
      <c r="H45" s="46"/>
      <c r="I45" s="68"/>
      <c r="J45" s="99"/>
      <c r="K45" s="113" t="s">
        <v>56</v>
      </c>
      <c r="L45" s="114"/>
      <c r="M45" s="115"/>
    </row>
    <row r="46" spans="2:13" ht="15" x14ac:dyDescent="0.3">
      <c r="B46" s="39" t="s">
        <v>57</v>
      </c>
      <c r="C46" s="88"/>
      <c r="D46" s="47"/>
      <c r="E46" s="47"/>
      <c r="F46" s="47"/>
      <c r="G46" s="47"/>
      <c r="H46" s="40"/>
      <c r="I46" s="68"/>
      <c r="J46" s="99"/>
      <c r="K46" s="116"/>
      <c r="L46" s="117"/>
      <c r="M46" s="118"/>
    </row>
    <row r="47" spans="2:13" ht="14.4" customHeight="1" x14ac:dyDescent="0.3">
      <c r="B47" s="48" t="s">
        <v>58</v>
      </c>
      <c r="C47" s="89"/>
      <c r="D47" s="49"/>
      <c r="E47" s="49"/>
      <c r="F47" s="49"/>
      <c r="G47" s="49">
        <f t="shared" ref="G47:I47" si="2">G48*G49</f>
        <v>5.2000000000000005E-2</v>
      </c>
      <c r="H47" s="50"/>
      <c r="I47" s="68"/>
      <c r="J47" s="99"/>
      <c r="K47" s="110" t="s">
        <v>108</v>
      </c>
      <c r="L47" s="111"/>
      <c r="M47" s="112"/>
    </row>
    <row r="48" spans="2:13" ht="14.4" customHeight="1" x14ac:dyDescent="0.3">
      <c r="B48" s="41" t="s">
        <v>59</v>
      </c>
      <c r="C48" s="90"/>
      <c r="D48" s="51"/>
      <c r="E48" s="51"/>
      <c r="F48" s="51"/>
      <c r="G48" s="51">
        <v>6.5000000000000002E-2</v>
      </c>
      <c r="H48" s="43"/>
      <c r="I48" s="68"/>
      <c r="J48" s="99"/>
      <c r="K48" s="110" t="s">
        <v>60</v>
      </c>
      <c r="L48" s="111"/>
      <c r="M48" s="112"/>
    </row>
    <row r="49" spans="2:13" ht="14.4" customHeight="1" x14ac:dyDescent="0.3">
      <c r="B49" s="41" t="s">
        <v>61</v>
      </c>
      <c r="C49" s="90"/>
      <c r="D49" s="91"/>
      <c r="E49" s="91"/>
      <c r="F49" s="91"/>
      <c r="G49" s="91">
        <v>0.8</v>
      </c>
      <c r="H49" s="46"/>
      <c r="I49" s="68"/>
      <c r="J49" s="99"/>
      <c r="K49" s="110" t="s">
        <v>107</v>
      </c>
      <c r="L49" s="111"/>
      <c r="M49" s="112"/>
    </row>
    <row r="50" spans="2:13" ht="15" x14ac:dyDescent="0.3">
      <c r="B50" s="39" t="s">
        <v>62</v>
      </c>
      <c r="C50" s="39"/>
      <c r="D50" s="39"/>
      <c r="E50" s="39"/>
      <c r="F50" s="39"/>
      <c r="G50" s="39"/>
      <c r="H50" s="40"/>
      <c r="I50" s="68"/>
      <c r="J50" s="99"/>
      <c r="K50" s="119"/>
      <c r="L50" s="120"/>
      <c r="M50" s="121"/>
    </row>
    <row r="51" spans="2:13" ht="14.4" customHeight="1" x14ac:dyDescent="0.3">
      <c r="B51" s="41" t="s">
        <v>63</v>
      </c>
      <c r="C51" s="42"/>
      <c r="D51" s="42"/>
      <c r="E51" s="42"/>
      <c r="F51" s="42"/>
      <c r="G51" s="42">
        <v>0.5</v>
      </c>
      <c r="H51" s="43"/>
      <c r="I51" s="68"/>
      <c r="J51" s="99"/>
      <c r="K51" s="110" t="s">
        <v>64</v>
      </c>
      <c r="L51" s="111"/>
      <c r="M51" s="112"/>
    </row>
    <row r="52" spans="2:13" ht="14.4" customHeight="1" x14ac:dyDescent="0.3">
      <c r="B52" s="41" t="s">
        <v>65</v>
      </c>
      <c r="C52" s="42"/>
      <c r="D52" s="42"/>
      <c r="E52" s="42"/>
      <c r="F52" s="42"/>
      <c r="G52" s="42">
        <v>0.5</v>
      </c>
      <c r="H52" s="43"/>
      <c r="I52" s="68"/>
      <c r="J52" s="99"/>
      <c r="K52" s="110" t="s">
        <v>66</v>
      </c>
      <c r="L52" s="111"/>
      <c r="M52" s="112"/>
    </row>
    <row r="53" spans="2:13" x14ac:dyDescent="0.3">
      <c r="B53" s="41" t="s">
        <v>67</v>
      </c>
      <c r="C53" s="42"/>
      <c r="D53" s="42"/>
      <c r="E53" s="42"/>
      <c r="F53" s="42"/>
      <c r="G53" s="42">
        <f t="shared" ref="G53:J53" si="3">G52/G51</f>
        <v>1</v>
      </c>
      <c r="H53" s="43"/>
      <c r="I53" s="68"/>
      <c r="J53" s="99"/>
      <c r="K53" s="110" t="s">
        <v>68</v>
      </c>
      <c r="L53" s="111"/>
      <c r="M53" s="112"/>
    </row>
    <row r="54" spans="2:13" x14ac:dyDescent="0.3">
      <c r="B54" s="44" t="s">
        <v>69</v>
      </c>
      <c r="C54" s="45"/>
      <c r="D54" s="45"/>
      <c r="E54" s="45"/>
      <c r="F54" s="45"/>
      <c r="G54" s="45">
        <v>0.25</v>
      </c>
      <c r="H54" s="46"/>
      <c r="I54" s="68"/>
      <c r="J54" s="99"/>
      <c r="K54" s="113" t="s">
        <v>70</v>
      </c>
      <c r="L54" s="114"/>
      <c r="M54" s="115"/>
    </row>
    <row r="55" spans="2:13" ht="15" x14ac:dyDescent="0.3">
      <c r="B55" s="39" t="s">
        <v>71</v>
      </c>
      <c r="C55" s="52"/>
      <c r="D55" s="52"/>
      <c r="E55" s="52"/>
      <c r="F55" s="52"/>
      <c r="G55" s="52"/>
      <c r="H55" s="40"/>
      <c r="I55" s="68"/>
      <c r="J55" s="99"/>
      <c r="K55" s="116"/>
      <c r="L55" s="117"/>
      <c r="M55" s="118"/>
    </row>
    <row r="56" spans="2:13" ht="14.4" customHeight="1" x14ac:dyDescent="0.3">
      <c r="B56" s="41" t="s">
        <v>72</v>
      </c>
      <c r="C56" s="42"/>
      <c r="D56" s="42"/>
      <c r="E56" s="42"/>
      <c r="F56" s="42"/>
      <c r="G56" s="42">
        <v>1.5</v>
      </c>
      <c r="H56" s="43"/>
      <c r="I56" s="68"/>
      <c r="J56" s="99"/>
      <c r="K56" s="110" t="s">
        <v>73</v>
      </c>
      <c r="L56" s="111"/>
      <c r="M56" s="112"/>
    </row>
    <row r="57" spans="2:13" ht="14.4" customHeight="1" x14ac:dyDescent="0.3">
      <c r="B57" s="41" t="s">
        <v>74</v>
      </c>
      <c r="C57" s="42"/>
      <c r="D57" s="42"/>
      <c r="E57" s="42"/>
      <c r="F57" s="42"/>
      <c r="G57" s="42">
        <v>0.7</v>
      </c>
      <c r="H57" s="43"/>
      <c r="I57" s="68"/>
      <c r="J57" s="99"/>
      <c r="K57" s="110" t="s">
        <v>75</v>
      </c>
      <c r="L57" s="111"/>
      <c r="M57" s="112"/>
    </row>
    <row r="58" spans="2:13" ht="14.4" customHeight="1" x14ac:dyDescent="0.3">
      <c r="B58" s="44" t="s">
        <v>76</v>
      </c>
      <c r="C58" s="92"/>
      <c r="D58" s="93"/>
      <c r="E58" s="93"/>
      <c r="F58" s="93"/>
      <c r="G58" s="45">
        <v>10</v>
      </c>
      <c r="H58" s="46"/>
      <c r="I58" s="68"/>
      <c r="J58" s="99"/>
      <c r="K58" s="110" t="s">
        <v>77</v>
      </c>
      <c r="L58" s="111"/>
      <c r="M58" s="112"/>
    </row>
    <row r="59" spans="2:13" ht="15" x14ac:dyDescent="0.3">
      <c r="B59" s="39" t="s">
        <v>78</v>
      </c>
      <c r="C59" s="88"/>
      <c r="D59" s="39"/>
      <c r="E59" s="39"/>
      <c r="F59" s="39"/>
      <c r="G59" s="39"/>
      <c r="H59" s="40"/>
      <c r="I59" s="68"/>
      <c r="J59" s="99"/>
      <c r="K59" s="119"/>
      <c r="L59" s="120"/>
      <c r="M59" s="121"/>
    </row>
    <row r="60" spans="2:13" x14ac:dyDescent="0.3">
      <c r="B60" s="41" t="s">
        <v>79</v>
      </c>
      <c r="C60" s="90"/>
      <c r="D60" s="95"/>
      <c r="E60" s="95"/>
      <c r="F60" s="95"/>
      <c r="G60" s="95">
        <v>40</v>
      </c>
      <c r="H60" s="43"/>
      <c r="I60" s="68"/>
      <c r="J60" s="99"/>
      <c r="K60" s="110" t="s">
        <v>80</v>
      </c>
      <c r="L60" s="111"/>
      <c r="M60" s="112"/>
    </row>
    <row r="61" spans="2:13" x14ac:dyDescent="0.3">
      <c r="B61" s="41" t="s">
        <v>81</v>
      </c>
      <c r="C61" s="90"/>
      <c r="D61" s="96"/>
      <c r="E61" s="96"/>
      <c r="F61" s="96"/>
      <c r="G61" s="96">
        <v>30</v>
      </c>
      <c r="H61" s="43"/>
      <c r="I61" s="68"/>
      <c r="J61" s="35"/>
      <c r="K61" s="110" t="s">
        <v>82</v>
      </c>
      <c r="L61" s="111"/>
      <c r="M61" s="112"/>
    </row>
    <row r="62" spans="2:13" x14ac:dyDescent="0.3">
      <c r="B62" s="41" t="s">
        <v>83</v>
      </c>
      <c r="C62" s="90"/>
      <c r="D62" s="97"/>
      <c r="E62" s="97"/>
      <c r="F62" s="97"/>
      <c r="G62" s="97">
        <f>G61+G60</f>
        <v>70</v>
      </c>
      <c r="H62" s="43"/>
      <c r="I62" s="68"/>
      <c r="J62" s="35"/>
      <c r="K62" s="110" t="s">
        <v>84</v>
      </c>
      <c r="L62" s="111"/>
      <c r="M62" s="112"/>
    </row>
    <row r="63" spans="2:13" x14ac:dyDescent="0.3">
      <c r="B63" s="41" t="s">
        <v>85</v>
      </c>
      <c r="C63" s="90"/>
      <c r="D63" s="96"/>
      <c r="E63" s="96"/>
      <c r="F63" s="96"/>
      <c r="G63" s="96">
        <v>75</v>
      </c>
      <c r="H63" s="43"/>
      <c r="I63" s="68"/>
      <c r="J63" s="35"/>
      <c r="K63" s="110" t="s">
        <v>86</v>
      </c>
      <c r="L63" s="111"/>
      <c r="M63" s="112"/>
    </row>
    <row r="64" spans="2:13" x14ac:dyDescent="0.3">
      <c r="B64" s="41" t="s">
        <v>87</v>
      </c>
      <c r="C64" s="90"/>
      <c r="D64" s="97"/>
      <c r="E64" s="97"/>
      <c r="F64" s="97"/>
      <c r="G64" s="97">
        <f t="shared" ref="G64:I64" si="4">G63-G62</f>
        <v>5</v>
      </c>
      <c r="H64" s="46"/>
      <c r="I64" s="68"/>
      <c r="J64" s="35"/>
      <c r="K64" s="113" t="s">
        <v>88</v>
      </c>
      <c r="L64" s="114"/>
      <c r="M64" s="115"/>
    </row>
    <row r="65" spans="2:13" ht="15" x14ac:dyDescent="0.3">
      <c r="B65" s="39" t="s">
        <v>89</v>
      </c>
      <c r="C65" s="88"/>
      <c r="D65" s="39"/>
      <c r="E65" s="39"/>
      <c r="F65" s="39"/>
      <c r="G65" s="39"/>
      <c r="H65" s="39"/>
      <c r="I65" s="68"/>
      <c r="J65" s="35"/>
      <c r="K65" s="116"/>
      <c r="L65" s="117"/>
      <c r="M65" s="118"/>
    </row>
    <row r="66" spans="2:13" x14ac:dyDescent="0.3">
      <c r="B66" s="44" t="s">
        <v>90</v>
      </c>
      <c r="C66" s="94"/>
      <c r="D66" s="45"/>
      <c r="E66" s="45"/>
      <c r="F66" s="45"/>
      <c r="G66" s="45">
        <v>5</v>
      </c>
      <c r="H66" s="44"/>
      <c r="I66" s="68"/>
      <c r="J66" s="35"/>
      <c r="K66" s="106" t="s">
        <v>91</v>
      </c>
      <c r="L66" s="107"/>
      <c r="M66" s="108"/>
    </row>
    <row r="67" spans="2:13" x14ac:dyDescent="0.3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2:13" x14ac:dyDescent="0.3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2:13" x14ac:dyDescent="0.3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2:13" x14ac:dyDescent="0.3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</sheetData>
  <mergeCells count="47">
    <mergeCell ref="K66:M66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21:H21"/>
    <mergeCell ref="G22:H22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61:M61"/>
    <mergeCell ref="K62:M62"/>
    <mergeCell ref="K63:M63"/>
    <mergeCell ref="K64:M64"/>
    <mergeCell ref="K65:M65"/>
    <mergeCell ref="K56:M56"/>
    <mergeCell ref="K57:M57"/>
    <mergeCell ref="K58:M58"/>
    <mergeCell ref="K59:M59"/>
    <mergeCell ref="K60:M60"/>
    <mergeCell ref="K55:M55"/>
    <mergeCell ref="B1:L1"/>
    <mergeCell ref="B2:L2"/>
    <mergeCell ref="B19:D19"/>
    <mergeCell ref="B20:D20"/>
    <mergeCell ref="G3:H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9" r:id="rId4">
          <objectPr defaultSize="0" autoPict="0" r:id="rId5">
            <anchor moveWithCells="1">
              <from>
                <xdr:col>1</xdr:col>
                <xdr:colOff>1546860</xdr:colOff>
                <xdr:row>68</xdr:row>
                <xdr:rowOff>0</xdr:rowOff>
              </from>
              <to>
                <xdr:col>9</xdr:col>
                <xdr:colOff>434340</xdr:colOff>
                <xdr:row>69</xdr:row>
                <xdr:rowOff>167640</xdr:rowOff>
              </to>
            </anchor>
          </objectPr>
        </oleObject>
      </mc:Choice>
      <mc:Fallback>
        <oleObject progId="Equation.3" shapeId="409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pré-prova Petro (opção-1)</vt:lpstr>
      <vt:lpstr>pré-prova Apple (opção-2)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</dc:creator>
  <cp:lastModifiedBy>Jose Roberto Kassai</cp:lastModifiedBy>
  <cp:lastPrinted>2017-05-05T02:55:47Z</cp:lastPrinted>
  <dcterms:created xsi:type="dcterms:W3CDTF">2015-05-21T20:37:30Z</dcterms:created>
  <dcterms:modified xsi:type="dcterms:W3CDTF">2022-05-23T00:45:49Z</dcterms:modified>
</cp:coreProperties>
</file>