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Jose Roberto\Documents\_  EAC AULAS 2020\_ EAC110 e 111\"/>
    </mc:Choice>
  </mc:AlternateContent>
  <xr:revisionPtr revIDLastSave="0" documentId="13_ncr:1_{257FD61B-14B8-4D00-82F3-1B27D95921E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tro &amp; Apple" sheetId="7" r:id="rId1"/>
    <sheet name="Solução (mod 2-3-4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7" l="1"/>
  <c r="F29" i="7"/>
  <c r="C29" i="7"/>
  <c r="C27" i="7"/>
  <c r="G24" i="7"/>
  <c r="F24" i="7"/>
  <c r="D24" i="7"/>
  <c r="D26" i="7" s="1"/>
  <c r="D31" i="7" s="1"/>
  <c r="C24" i="7"/>
  <c r="D23" i="7"/>
  <c r="G15" i="7"/>
  <c r="F15" i="7"/>
  <c r="C8" i="7"/>
  <c r="C17" i="7" s="1"/>
  <c r="G7" i="7"/>
  <c r="D6" i="7"/>
  <c r="D8" i="7" s="1"/>
  <c r="F5" i="7"/>
  <c r="F7" i="7" s="1"/>
  <c r="D17" i="7" l="1"/>
  <c r="D32" i="7"/>
  <c r="D33" i="7" s="1"/>
  <c r="C26" i="7"/>
  <c r="C31" i="7" s="1"/>
  <c r="F17" i="7"/>
  <c r="F31" i="7"/>
  <c r="G17" i="7"/>
  <c r="G31" i="7"/>
  <c r="F42" i="6"/>
  <c r="G25" i="7" l="1"/>
  <c r="C32" i="7"/>
  <c r="C33" i="7" s="1"/>
  <c r="N24" i="6"/>
  <c r="M24" i="6"/>
  <c r="F25" i="7" l="1"/>
  <c r="S31" i="6"/>
  <c r="S30" i="6"/>
  <c r="S29" i="6"/>
  <c r="R31" i="6"/>
  <c r="R30" i="6"/>
  <c r="R29" i="6"/>
  <c r="M27" i="6"/>
  <c r="G42" i="6" l="1"/>
  <c r="D24" i="6"/>
  <c r="C24" i="6"/>
  <c r="D23" i="6"/>
  <c r="N26" i="6" l="1"/>
  <c r="N29" i="6"/>
  <c r="C26" i="6"/>
  <c r="M26" i="6"/>
  <c r="M28" i="6" s="1"/>
  <c r="D26" i="6"/>
  <c r="C29" i="6" l="1"/>
  <c r="F15" i="6"/>
  <c r="G15" i="6"/>
  <c r="G29" i="6"/>
  <c r="F29" i="6"/>
  <c r="G36" i="6"/>
  <c r="G55" i="6" s="1"/>
  <c r="F36" i="6"/>
  <c r="F55" i="6" s="1"/>
  <c r="F31" i="6" l="1"/>
  <c r="R27" i="6"/>
  <c r="G31" i="6"/>
  <c r="S27" i="6"/>
  <c r="G37" i="6"/>
  <c r="G38" i="6" s="1"/>
  <c r="N18" i="6" s="1"/>
  <c r="F37" i="6"/>
  <c r="F38" i="6" s="1"/>
  <c r="M18" i="6" s="1"/>
  <c r="F41" i="6"/>
  <c r="G41" i="6"/>
  <c r="G24" i="6"/>
  <c r="F24" i="6"/>
  <c r="C27" i="6"/>
  <c r="F5" i="6"/>
  <c r="G7" i="6"/>
  <c r="S32" i="6" s="1"/>
  <c r="D6" i="6"/>
  <c r="D8" i="6" l="1"/>
  <c r="S28" i="6" s="1"/>
  <c r="N27" i="6"/>
  <c r="N28" i="6" s="1"/>
  <c r="N30" i="6" s="1"/>
  <c r="F7" i="6"/>
  <c r="R32" i="6" s="1"/>
  <c r="M29" i="6"/>
  <c r="M30" i="6" s="1"/>
  <c r="N14" i="6"/>
  <c r="N8" i="6"/>
  <c r="M14" i="6"/>
  <c r="F43" i="6"/>
  <c r="G43" i="6"/>
  <c r="F53" i="6"/>
  <c r="G53" i="6"/>
  <c r="D31" i="6"/>
  <c r="G44" i="6" s="1"/>
  <c r="G45" i="6" s="1"/>
  <c r="G46" i="6" s="1"/>
  <c r="C31" i="6"/>
  <c r="F44" i="6" s="1"/>
  <c r="F45" i="6" s="1"/>
  <c r="F46" i="6" s="1"/>
  <c r="G17" i="6"/>
  <c r="N12" i="6" s="1"/>
  <c r="F17" i="6"/>
  <c r="M12" i="6" s="1"/>
  <c r="N7" i="6" l="1"/>
  <c r="N9" i="6"/>
  <c r="N6" i="6"/>
  <c r="D17" i="6"/>
  <c r="N23" i="6" s="1"/>
  <c r="M8" i="6"/>
  <c r="N19" i="6"/>
  <c r="N17" i="6"/>
  <c r="N16" i="6" s="1"/>
  <c r="M17" i="6"/>
  <c r="M16" i="6" s="1"/>
  <c r="M19" i="6"/>
  <c r="M11" i="6"/>
  <c r="N11" i="6"/>
  <c r="M13" i="6"/>
  <c r="N13" i="6"/>
  <c r="F47" i="6"/>
  <c r="M20" i="6" s="1"/>
  <c r="F48" i="6"/>
  <c r="F49" i="6" s="1"/>
  <c r="F50" i="6" s="1"/>
  <c r="F51" i="6" s="1"/>
  <c r="F52" i="6" s="1"/>
  <c r="F56" i="6" s="1"/>
  <c r="G47" i="6"/>
  <c r="N20" i="6" s="1"/>
  <c r="N21" i="6" s="1"/>
  <c r="G48" i="6"/>
  <c r="G49" i="6" s="1"/>
  <c r="G50" i="6" s="1"/>
  <c r="G51" i="6" s="1"/>
  <c r="G52" i="6" s="1"/>
  <c r="G56" i="6" s="1"/>
  <c r="C32" i="6"/>
  <c r="C33" i="6" s="1"/>
  <c r="D32" i="6"/>
  <c r="D33" i="6" s="1"/>
  <c r="C8" i="6"/>
  <c r="R28" i="6" s="1"/>
  <c r="G25" i="6" l="1"/>
  <c r="N31" i="6"/>
  <c r="S26" i="6"/>
  <c r="S34" i="6" s="1"/>
  <c r="F25" i="6"/>
  <c r="M31" i="6"/>
  <c r="R26" i="6"/>
  <c r="R34" i="6" s="1"/>
  <c r="M21" i="6"/>
  <c r="C17" i="6"/>
  <c r="M23" i="6" s="1"/>
  <c r="M6" i="6"/>
  <c r="M9" i="6"/>
  <c r="M7" i="6"/>
  <c r="F54" i="6"/>
  <c r="G54" i="6"/>
</calcChain>
</file>

<file path=xl/sharedStrings.xml><?xml version="1.0" encoding="utf-8"?>
<sst xmlns="http://schemas.openxmlformats.org/spreadsheetml/2006/main" count="284" uniqueCount="128">
  <si>
    <t>ATIVO</t>
  </si>
  <si>
    <t>PASSIVO</t>
  </si>
  <si>
    <t>Circulante</t>
  </si>
  <si>
    <t>Não Circulante</t>
  </si>
  <si>
    <t>Patrimônio Líquido</t>
  </si>
  <si>
    <t>DRE</t>
  </si>
  <si>
    <t>CT</t>
  </si>
  <si>
    <t>CP</t>
  </si>
  <si>
    <t>Ebitda</t>
  </si>
  <si>
    <t>Ebit</t>
  </si>
  <si>
    <t>Noplat</t>
  </si>
  <si>
    <t>LL</t>
  </si>
  <si>
    <t>Ki</t>
  </si>
  <si>
    <t>Ke</t>
  </si>
  <si>
    <t>ROI</t>
  </si>
  <si>
    <t>RROI</t>
  </si>
  <si>
    <t>EVA</t>
  </si>
  <si>
    <t>IEVA</t>
  </si>
  <si>
    <t>ELP</t>
  </si>
  <si>
    <t>Totais.....</t>
  </si>
  <si>
    <t>WACC</t>
  </si>
  <si>
    <t>Quadro Clínico de Análises de Balanço</t>
  </si>
  <si>
    <t>Índice</t>
  </si>
  <si>
    <t>Formulação</t>
  </si>
  <si>
    <t>LC = AC / PC</t>
  </si>
  <si>
    <r>
      <t>LS = (AC – Estoque) 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PC</t>
    </r>
  </si>
  <si>
    <r>
      <t>LI  =  Disponível 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PC</t>
    </r>
  </si>
  <si>
    <r>
      <t>LG = (AC + RLP) /</t>
    </r>
    <r>
      <rPr>
        <sz val="8"/>
        <rFont val="Arial"/>
        <family val="2"/>
      </rPr>
      <t xml:space="preserve"> (PC + ELP)</t>
    </r>
  </si>
  <si>
    <t>PMRE mais PMRV</t>
  </si>
  <si>
    <t>PL</t>
  </si>
  <si>
    <t>AC</t>
  </si>
  <si>
    <t>RLP</t>
  </si>
  <si>
    <t>Estoq</t>
  </si>
  <si>
    <t>PC</t>
  </si>
  <si>
    <t>K</t>
  </si>
  <si>
    <t>(PC + ELP) / Ativo</t>
  </si>
  <si>
    <t>PL / Ativo</t>
  </si>
  <si>
    <t>CP / CT</t>
  </si>
  <si>
    <t>PC / (PC + ELP)</t>
  </si>
  <si>
    <r>
      <t>(Imobilizado – Depr.Acum) 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Ativo</t>
    </r>
  </si>
  <si>
    <r>
      <t>(Imobilizado – Depr.Ac)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Deprec  Anual</t>
    </r>
  </si>
  <si>
    <t xml:space="preserve"> Capital de Terceiros (CT)</t>
  </si>
  <si>
    <t xml:space="preserve"> Capital Próprio (CP)</t>
  </si>
  <si>
    <t xml:space="preserve"> Garantia do CP ao CT</t>
  </si>
  <si>
    <t xml:space="preserve"> Endividamento a curto prazo</t>
  </si>
  <si>
    <t xml:space="preserve"> Nível de Imobilização do Ativo</t>
  </si>
  <si>
    <t xml:space="preserve"> Tempo de Vida do Imobilizado (anos)</t>
  </si>
  <si>
    <t xml:space="preserve"> Liquidez Corrente (LC)</t>
  </si>
  <si>
    <t xml:space="preserve"> Liquidez Seca (LS)</t>
  </si>
  <si>
    <t xml:space="preserve"> Liquidez Imediata (LI)</t>
  </si>
  <si>
    <t xml:space="preserve"> Liquidez Geral (LG)</t>
  </si>
  <si>
    <t xml:space="preserve"> Margem de Lucro (M)</t>
  </si>
  <si>
    <t xml:space="preserve"> Prazo médio renovação estoques (PMRE)</t>
  </si>
  <si>
    <t xml:space="preserve"> Prazo médio recebimento vendas (PMRV)</t>
  </si>
  <si>
    <t xml:space="preserve"> Ciclo Operacional</t>
  </si>
  <si>
    <t xml:space="preserve"> Prazo médio pagamento compras (PMPC)</t>
  </si>
  <si>
    <t xml:space="preserve"> Ciclo de Caixa </t>
  </si>
  <si>
    <r>
      <rPr>
        <b/>
        <sz val="8"/>
        <rFont val="Arial"/>
        <family val="2"/>
      </rPr>
      <t>Insolv</t>
    </r>
    <r>
      <rPr>
        <sz val="8"/>
        <rFont val="Arial"/>
        <family val="2"/>
      </rPr>
      <t xml:space="preserve"> &lt; -3 &lt; </t>
    </r>
    <r>
      <rPr>
        <b/>
        <sz val="8"/>
        <rFont val="Arial"/>
        <family val="2"/>
      </rPr>
      <t xml:space="preserve">Penumbra </t>
    </r>
    <r>
      <rPr>
        <sz val="8"/>
        <rFont val="Arial"/>
        <family val="2"/>
      </rPr>
      <t xml:space="preserve">&lt; 0 &lt; </t>
    </r>
    <r>
      <rPr>
        <b/>
        <sz val="8"/>
        <rFont val="Arial"/>
        <family val="2"/>
      </rPr>
      <t>Solv</t>
    </r>
  </si>
  <si>
    <t xml:space="preserve"> PMPC – Ciclo Operacional</t>
  </si>
  <si>
    <t xml:space="preserve"> Termômetro de Kanitz </t>
  </si>
  <si>
    <r>
      <t xml:space="preserve">(Estoque Médio / CMV)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360 Dias</t>
    </r>
  </si>
  <si>
    <r>
      <t xml:space="preserve">(Dupl.Rec. Médio / Vendas)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360 Dias</t>
    </r>
  </si>
  <si>
    <r>
      <t xml:space="preserve">(Forn.Médio / Compras)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360 Dias</t>
    </r>
  </si>
  <si>
    <t xml:space="preserve"> Liquidez</t>
  </si>
  <si>
    <t xml:space="preserve"> Endividamento</t>
  </si>
  <si>
    <t xml:space="preserve"> Rentabilidade</t>
  </si>
  <si>
    <t xml:space="preserve"> Estutura do Imobilizado</t>
  </si>
  <si>
    <t xml:space="preserve"> Atividade</t>
  </si>
  <si>
    <t xml:space="preserve"> Insolvência</t>
  </si>
  <si>
    <t>Quantidade de ações...</t>
  </si>
  <si>
    <t>Petrobrás</t>
  </si>
  <si>
    <t>Apple</t>
  </si>
  <si>
    <t>Balanço Patrimonial (BP)</t>
  </si>
  <si>
    <t>Cotação (us$)</t>
  </si>
  <si>
    <t>Beta...</t>
  </si>
  <si>
    <t xml:space="preserve"> Return on Assets (ROI)</t>
  </si>
  <si>
    <t>ROI = Noplat / Investimentos</t>
  </si>
  <si>
    <t>M = Noplat / Receita de Vendas</t>
  </si>
  <si>
    <t>G = Receita de Vendas / Investimentos</t>
  </si>
  <si>
    <t xml:space="preserve"> Giro de Investimento (G)</t>
  </si>
  <si>
    <t xml:space="preserve"> Return on Equity (ROE)</t>
  </si>
  <si>
    <t>ROE = Lucro Líquido / PL</t>
  </si>
  <si>
    <t xml:space="preserve"> Grau de Alavancagem Finaneira (GAF)</t>
  </si>
  <si>
    <t>GAF = ROE / ROI</t>
  </si>
  <si>
    <t>INVESTIMENTO</t>
  </si>
  <si>
    <t>beta</t>
  </si>
  <si>
    <t>RF...</t>
  </si>
  <si>
    <t>RM...</t>
  </si>
  <si>
    <t>ki...</t>
  </si>
  <si>
    <t>Ke...</t>
  </si>
  <si>
    <t>MVA(fcd)</t>
  </si>
  <si>
    <t>MVA(ações)</t>
  </si>
  <si>
    <t>Cotação provável</t>
  </si>
  <si>
    <t>LPA (us$)</t>
  </si>
  <si>
    <t>Valor das Ações (us$)</t>
  </si>
  <si>
    <t xml:space="preserve"> Return on Investment (ROI)</t>
  </si>
  <si>
    <t>Petro</t>
  </si>
  <si>
    <t>imposto de renda (IR)</t>
  </si>
  <si>
    <t>VPA...</t>
  </si>
  <si>
    <t>VE-fcd</t>
  </si>
  <si>
    <t>VE-ações</t>
  </si>
  <si>
    <t>Alíquota IR...</t>
  </si>
  <si>
    <t xml:space="preserve"> (-) IR/CSL (34% e 25%)..</t>
  </si>
  <si>
    <t xml:space="preserve">   Estoques....................</t>
  </si>
  <si>
    <t xml:space="preserve">   Contas a receber.........</t>
  </si>
  <si>
    <t xml:space="preserve">   Disponível...................</t>
  </si>
  <si>
    <t xml:space="preserve"> Receita de Vendas.....</t>
  </si>
  <si>
    <t xml:space="preserve"> (-) Custo das Vendas....</t>
  </si>
  <si>
    <t xml:space="preserve"> (-) Depreciações...........</t>
  </si>
  <si>
    <t xml:space="preserve"> Lucro Bruto...............</t>
  </si>
  <si>
    <t xml:space="preserve"> (-) Desp. Vendas/Adm...</t>
  </si>
  <si>
    <t xml:space="preserve"> (-) Desp. Pesq. Des.......</t>
  </si>
  <si>
    <t xml:space="preserve"> (-) Desp. Financeiras.....</t>
  </si>
  <si>
    <t xml:space="preserve"> (-) Outras despesas......</t>
  </si>
  <si>
    <t xml:space="preserve"> LAIR...........................</t>
  </si>
  <si>
    <t xml:space="preserve"> Lucro Líquido (LL)......</t>
  </si>
  <si>
    <t xml:space="preserve">   Realizável a L.P. (RLP).</t>
  </si>
  <si>
    <t xml:space="preserve">   Investimentos..............</t>
  </si>
  <si>
    <t xml:space="preserve">   Imobilizado.................</t>
  </si>
  <si>
    <t xml:space="preserve">   Intangível....................</t>
  </si>
  <si>
    <t>(em milhões de US$)</t>
  </si>
  <si>
    <t xml:space="preserve">   Fornecedores..............</t>
  </si>
  <si>
    <t xml:space="preserve">   Financiamentos...........</t>
  </si>
  <si>
    <t xml:space="preserve">   Financiamentos (ELP)...</t>
  </si>
  <si>
    <t xml:space="preserve">   Capital social..............</t>
  </si>
  <si>
    <t xml:space="preserve">   Reservas de lucros......</t>
  </si>
  <si>
    <t>Demonstração do Resultado</t>
  </si>
  <si>
    <t>do Exercício (DRE)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</si>
</sst>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_);_(* \(#,##0.0\);_(* &quot;-&quot;??_);_(@_)"/>
    <numFmt numFmtId="167" formatCode="_(* #,##0.00_);_(* \(#,##0.00\);_(* &quot;-&quot;??_);_(@_)"/>
    <numFmt numFmtId="168" formatCode="0.0000%"/>
    <numFmt numFmtId="169" formatCode="dd/mm/yy;@"/>
    <numFmt numFmtId="170" formatCode="0.000%"/>
    <numFmt numFmtId="171" formatCode="_-* #,##0.0_-;\-* #,##0.0_-;_-* &quot;-&quot;??_-;_-@_-"/>
    <numFmt numFmtId="172" formatCode="_-* #,##0.000_-;\-* #,##0.000_-;_-* &quot;-&quot;??_-;_-@_-"/>
    <numFmt numFmtId="173" formatCode="_-* #,##0_-;\-* #,##0_-;_-* &quot;-&quot;?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9"/>
      <color theme="1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50">
    <xf numFmtId="0" fontId="0" fillId="0" borderId="0" xfId="0"/>
    <xf numFmtId="0" fontId="0" fillId="2" borderId="3" xfId="0" applyFill="1" applyBorder="1"/>
    <xf numFmtId="0" fontId="0" fillId="2" borderId="0" xfId="0" applyFill="1"/>
    <xf numFmtId="0" fontId="6" fillId="2" borderId="2" xfId="0" applyFont="1" applyFill="1" applyBorder="1" applyAlignment="1">
      <alignment horizontal="justify" wrapText="1"/>
    </xf>
    <xf numFmtId="0" fontId="5" fillId="2" borderId="10" xfId="0" applyFont="1" applyFill="1" applyBorder="1" applyAlignment="1">
      <alignment horizontal="justify" wrapText="1"/>
    </xf>
    <xf numFmtId="0" fontId="5" fillId="2" borderId="11" xfId="0" applyFont="1" applyFill="1" applyBorder="1" applyAlignment="1">
      <alignment horizontal="justify" wrapText="1"/>
    </xf>
    <xf numFmtId="0" fontId="5" fillId="2" borderId="12" xfId="0" applyFont="1" applyFill="1" applyBorder="1" applyAlignment="1">
      <alignment horizontal="justify" wrapText="1"/>
    </xf>
    <xf numFmtId="0" fontId="9" fillId="2" borderId="15" xfId="0" applyFont="1" applyFill="1" applyBorder="1" applyAlignment="1">
      <alignment horizontal="justify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167" fontId="3" fillId="2" borderId="3" xfId="6" applyFont="1" applyFill="1" applyBorder="1" applyAlignment="1">
      <alignment horizontal="justify" wrapText="1"/>
    </xf>
    <xf numFmtId="167" fontId="3" fillId="2" borderId="19" xfId="6" applyFont="1" applyFill="1" applyBorder="1" applyAlignment="1">
      <alignment horizontal="justify" wrapText="1"/>
    </xf>
    <xf numFmtId="167" fontId="3" fillId="2" borderId="4" xfId="6" applyFont="1" applyFill="1" applyBorder="1" applyAlignment="1">
      <alignment horizontal="justify" wrapText="1"/>
    </xf>
    <xf numFmtId="167" fontId="3" fillId="2" borderId="20" xfId="6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justify" wrapText="1"/>
    </xf>
    <xf numFmtId="10" fontId="4" fillId="2" borderId="18" xfId="2" applyNumberFormat="1" applyFont="1" applyFill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43" fontId="3" fillId="2" borderId="3" xfId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justify" wrapText="1"/>
    </xf>
    <xf numFmtId="0" fontId="13" fillId="2" borderId="0" xfId="0" applyFont="1" applyFill="1"/>
    <xf numFmtId="164" fontId="16" fillId="2" borderId="3" xfId="1" applyNumberFormat="1" applyFont="1" applyFill="1" applyBorder="1"/>
    <xf numFmtId="164" fontId="13" fillId="2" borderId="3" xfId="1" applyNumberFormat="1" applyFont="1" applyFill="1" applyBorder="1"/>
    <xf numFmtId="164" fontId="13" fillId="2" borderId="0" xfId="0" applyNumberFormat="1" applyFont="1" applyFill="1"/>
    <xf numFmtId="164" fontId="14" fillId="2" borderId="3" xfId="1" applyNumberFormat="1" applyFont="1" applyFill="1" applyBorder="1"/>
    <xf numFmtId="164" fontId="15" fillId="2" borderId="3" xfId="1" applyNumberFormat="1" applyFont="1" applyFill="1" applyBorder="1"/>
    <xf numFmtId="164" fontId="17" fillId="2" borderId="3" xfId="1" applyNumberFormat="1" applyFont="1" applyFill="1" applyBorder="1"/>
    <xf numFmtId="164" fontId="16" fillId="2" borderId="4" xfId="1" applyNumberFormat="1" applyFont="1" applyFill="1" applyBorder="1" applyAlignment="1">
      <alignment horizontal="right"/>
    </xf>
    <xf numFmtId="164" fontId="16" fillId="2" borderId="4" xfId="1" applyNumberFormat="1" applyFont="1" applyFill="1" applyBorder="1"/>
    <xf numFmtId="165" fontId="15" fillId="2" borderId="3" xfId="1" applyNumberFormat="1" applyFont="1" applyFill="1" applyBorder="1"/>
    <xf numFmtId="165" fontId="13" fillId="2" borderId="3" xfId="1" applyNumberFormat="1" applyFont="1" applyFill="1" applyBorder="1"/>
    <xf numFmtId="165" fontId="17" fillId="2" borderId="3" xfId="1" applyNumberFormat="1" applyFont="1" applyFill="1" applyBorder="1"/>
    <xf numFmtId="165" fontId="16" fillId="2" borderId="3" xfId="1" applyNumberFormat="1" applyFont="1" applyFill="1" applyBorder="1"/>
    <xf numFmtId="164" fontId="18" fillId="2" borderId="3" xfId="1" applyNumberFormat="1" applyFont="1" applyFill="1" applyBorder="1"/>
    <xf numFmtId="164" fontId="15" fillId="2" borderId="4" xfId="1" applyNumberFormat="1" applyFont="1" applyFill="1" applyBorder="1"/>
    <xf numFmtId="0" fontId="13" fillId="2" borderId="0" xfId="0" applyFont="1" applyFill="1" applyAlignment="1">
      <alignment horizontal="right"/>
    </xf>
    <xf numFmtId="43" fontId="13" fillId="2" borderId="0" xfId="1" applyFont="1" applyFill="1"/>
    <xf numFmtId="164" fontId="19" fillId="2" borderId="3" xfId="1" applyNumberFormat="1" applyFont="1" applyFill="1" applyBorder="1"/>
    <xf numFmtId="164" fontId="3" fillId="2" borderId="3" xfId="1" applyNumberFormat="1" applyFont="1" applyFill="1" applyBorder="1"/>
    <xf numFmtId="164" fontId="13" fillId="2" borderId="0" xfId="1" applyNumberFormat="1" applyFont="1" applyFill="1"/>
    <xf numFmtId="43" fontId="13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0" applyNumberFormat="1" applyFill="1"/>
    <xf numFmtId="10" fontId="0" fillId="2" borderId="0" xfId="2" applyNumberFormat="1" applyFont="1" applyFill="1"/>
    <xf numFmtId="43" fontId="0" fillId="2" borderId="0" xfId="1" applyFont="1" applyFill="1"/>
    <xf numFmtId="165" fontId="0" fillId="2" borderId="0" xfId="0" applyNumberFormat="1" applyFill="1"/>
    <xf numFmtId="168" fontId="0" fillId="2" borderId="0" xfId="2" applyNumberFormat="1" applyFont="1" applyFill="1"/>
    <xf numFmtId="165" fontId="2" fillId="2" borderId="0" xfId="0" applyNumberFormat="1" applyFont="1" applyFill="1"/>
    <xf numFmtId="164" fontId="2" fillId="2" borderId="0" xfId="0" applyNumberFormat="1" applyFont="1" applyFill="1"/>
    <xf numFmtId="168" fontId="2" fillId="2" borderId="0" xfId="2" applyNumberFormat="1" applyFont="1" applyFill="1"/>
    <xf numFmtId="168" fontId="0" fillId="2" borderId="0" xfId="0" applyNumberFormat="1" applyFill="1"/>
    <xf numFmtId="165" fontId="1" fillId="2" borderId="0" xfId="1" applyNumberFormat="1" applyFont="1" applyFill="1"/>
    <xf numFmtId="164" fontId="15" fillId="2" borderId="16" xfId="1" applyNumberFormat="1" applyFont="1" applyFill="1" applyBorder="1"/>
    <xf numFmtId="164" fontId="13" fillId="2" borderId="2" xfId="1" applyNumberFormat="1" applyFont="1" applyFill="1" applyBorder="1"/>
    <xf numFmtId="164" fontId="15" fillId="2" borderId="2" xfId="1" applyNumberFormat="1" applyFont="1" applyFill="1" applyBorder="1"/>
    <xf numFmtId="164" fontId="13" fillId="2" borderId="16" xfId="1" applyNumberFormat="1" applyFont="1" applyFill="1" applyBorder="1"/>
    <xf numFmtId="164" fontId="15" fillId="2" borderId="17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7" fontId="0" fillId="2" borderId="0" xfId="1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justify" wrapText="1"/>
    </xf>
    <xf numFmtId="43" fontId="3" fillId="2" borderId="19" xfId="1" applyFont="1" applyFill="1" applyBorder="1" applyAlignment="1">
      <alignment horizontal="center" wrapText="1"/>
    </xf>
    <xf numFmtId="0" fontId="10" fillId="2" borderId="0" xfId="0" applyFont="1" applyFill="1"/>
    <xf numFmtId="0" fontId="3" fillId="2" borderId="0" xfId="3" applyFill="1"/>
    <xf numFmtId="0" fontId="3" fillId="2" borderId="0" xfId="3" applyFont="1" applyFill="1"/>
    <xf numFmtId="43" fontId="0" fillId="2" borderId="0" xfId="0" applyNumberFormat="1" applyFill="1"/>
    <xf numFmtId="164" fontId="0" fillId="2" borderId="0" xfId="0" applyNumberFormat="1" applyFill="1"/>
    <xf numFmtId="9" fontId="0" fillId="2" borderId="0" xfId="0" applyNumberFormat="1" applyFill="1"/>
    <xf numFmtId="170" fontId="0" fillId="2" borderId="0" xfId="2" applyNumberFormat="1" applyFont="1" applyFill="1"/>
    <xf numFmtId="166" fontId="2" fillId="2" borderId="0" xfId="0" applyNumberFormat="1" applyFont="1" applyFill="1"/>
    <xf numFmtId="170" fontId="0" fillId="2" borderId="0" xfId="0" applyNumberFormat="1" applyFill="1"/>
    <xf numFmtId="173" fontId="0" fillId="2" borderId="0" xfId="0" applyNumberFormat="1" applyFill="1"/>
    <xf numFmtId="173" fontId="2" fillId="2" borderId="0" xfId="0" applyNumberFormat="1" applyFont="1" applyFill="1"/>
    <xf numFmtId="173" fontId="0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167" fontId="3" fillId="2" borderId="0" xfId="6" applyFont="1" applyFill="1" applyBorder="1" applyAlignment="1">
      <alignment horizontal="justify" wrapText="1"/>
    </xf>
    <xf numFmtId="167" fontId="20" fillId="2" borderId="0" xfId="6" applyFont="1" applyFill="1" applyBorder="1" applyAlignment="1">
      <alignment horizontal="justify" wrapText="1"/>
    </xf>
    <xf numFmtId="171" fontId="3" fillId="2" borderId="3" xfId="1" applyNumberFormat="1" applyFont="1" applyFill="1" applyBorder="1" applyAlignment="1">
      <alignment horizontal="center" wrapText="1"/>
    </xf>
    <xf numFmtId="171" fontId="3" fillId="2" borderId="20" xfId="1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164" fontId="2" fillId="2" borderId="0" xfId="1" applyNumberFormat="1" applyFont="1" applyFill="1"/>
    <xf numFmtId="43" fontId="2" fillId="2" borderId="0" xfId="1" applyFont="1" applyFill="1"/>
    <xf numFmtId="164" fontId="0" fillId="2" borderId="0" xfId="1" applyNumberFormat="1" applyFont="1" applyFill="1"/>
    <xf numFmtId="10" fontId="3" fillId="2" borderId="3" xfId="2" applyNumberFormat="1" applyFont="1" applyFill="1" applyBorder="1" applyAlignment="1">
      <alignment wrapText="1"/>
    </xf>
    <xf numFmtId="10" fontId="3" fillId="2" borderId="19" xfId="2" applyNumberFormat="1" applyFont="1" applyFill="1" applyBorder="1" applyAlignment="1">
      <alignment wrapText="1"/>
    </xf>
    <xf numFmtId="172" fontId="3" fillId="2" borderId="3" xfId="1" applyNumberFormat="1" applyFont="1" applyFill="1" applyBorder="1" applyAlignment="1">
      <alignment wrapText="1"/>
    </xf>
    <xf numFmtId="172" fontId="3" fillId="2" borderId="19" xfId="1" applyNumberFormat="1" applyFont="1" applyFill="1" applyBorder="1" applyAlignment="1">
      <alignment wrapText="1"/>
    </xf>
    <xf numFmtId="43" fontId="3" fillId="2" borderId="4" xfId="1" applyFont="1" applyFill="1" applyBorder="1" applyAlignment="1">
      <alignment wrapText="1"/>
    </xf>
    <xf numFmtId="43" fontId="3" fillId="2" borderId="20" xfId="1" applyFont="1" applyFill="1" applyBorder="1" applyAlignment="1">
      <alignment wrapText="1"/>
    </xf>
    <xf numFmtId="165" fontId="3" fillId="2" borderId="3" xfId="1" applyNumberFormat="1" applyFont="1" applyFill="1" applyBorder="1" applyAlignment="1">
      <alignment vertical="center" wrapText="1"/>
    </xf>
    <xf numFmtId="165" fontId="3" fillId="2" borderId="19" xfId="1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justify" wrapText="1"/>
    </xf>
    <xf numFmtId="0" fontId="4" fillId="2" borderId="10" xfId="0" applyFont="1" applyFill="1" applyBorder="1" applyAlignment="1">
      <alignment horizontal="justify" wrapText="1"/>
    </xf>
    <xf numFmtId="0" fontId="4" fillId="2" borderId="22" xfId="0" applyFont="1" applyFill="1" applyBorder="1" applyAlignment="1">
      <alignment horizontal="justify" wrapText="1"/>
    </xf>
    <xf numFmtId="0" fontId="15" fillId="3" borderId="1" xfId="0" applyFont="1" applyFill="1" applyBorder="1" applyAlignment="1">
      <alignment horizontal="center" vertical="center"/>
    </xf>
    <xf numFmtId="16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right"/>
    </xf>
    <xf numFmtId="164" fontId="13" fillId="4" borderId="0" xfId="1" applyNumberFormat="1" applyFont="1" applyFill="1"/>
    <xf numFmtId="43" fontId="13" fillId="4" borderId="0" xfId="1" applyFont="1" applyFill="1" applyAlignment="1">
      <alignment horizontal="right"/>
    </xf>
    <xf numFmtId="43" fontId="13" fillId="4" borderId="0" xfId="1" applyFont="1" applyFill="1"/>
    <xf numFmtId="0" fontId="0" fillId="4" borderId="0" xfId="0" applyFill="1" applyAlignment="1">
      <alignment horizontal="right"/>
    </xf>
    <xf numFmtId="0" fontId="0" fillId="4" borderId="0" xfId="0" applyFill="1"/>
    <xf numFmtId="10" fontId="0" fillId="4" borderId="0" xfId="0" applyNumberFormat="1" applyFill="1"/>
    <xf numFmtId="10" fontId="0" fillId="4" borderId="0" xfId="2" applyNumberFormat="1" applyFont="1" applyFill="1"/>
    <xf numFmtId="43" fontId="0" fillId="4" borderId="0" xfId="1" applyFont="1" applyFill="1"/>
    <xf numFmtId="9" fontId="0" fillId="4" borderId="0" xfId="0" applyNumberFormat="1" applyFill="1"/>
    <xf numFmtId="0" fontId="2" fillId="4" borderId="0" xfId="0" applyFont="1" applyFill="1" applyAlignment="1">
      <alignment horizontal="right"/>
    </xf>
    <xf numFmtId="164" fontId="2" fillId="4" borderId="0" xfId="0" applyNumberFormat="1" applyFont="1" applyFill="1"/>
    <xf numFmtId="168" fontId="2" fillId="4" borderId="0" xfId="2" applyNumberFormat="1" applyFont="1" applyFill="1"/>
    <xf numFmtId="165" fontId="0" fillId="4" borderId="0" xfId="0" applyNumberFormat="1" applyFill="1"/>
    <xf numFmtId="165" fontId="2" fillId="4" borderId="0" xfId="0" applyNumberFormat="1" applyFont="1" applyFill="1"/>
    <xf numFmtId="168" fontId="0" fillId="4" borderId="0" xfId="2" applyNumberFormat="1" applyFont="1" applyFill="1"/>
    <xf numFmtId="168" fontId="0" fillId="4" borderId="0" xfId="0" applyNumberFormat="1" applyFill="1"/>
    <xf numFmtId="165" fontId="1" fillId="4" borderId="0" xfId="1" applyNumberFormat="1" applyFont="1" applyFill="1"/>
    <xf numFmtId="164" fontId="2" fillId="4" borderId="0" xfId="1" applyNumberFormat="1" applyFont="1" applyFill="1"/>
    <xf numFmtId="167" fontId="0" fillId="4" borderId="0" xfId="1" applyNumberFormat="1" applyFont="1" applyFill="1"/>
    <xf numFmtId="0" fontId="5" fillId="2" borderId="23" xfId="4" applyFont="1" applyFill="1" applyBorder="1" applyAlignment="1" applyProtection="1">
      <alignment horizontal="center" vertical="center" wrapText="1"/>
    </xf>
    <xf numFmtId="0" fontId="5" fillId="2" borderId="13" xfId="4" applyFont="1" applyFill="1" applyBorder="1" applyAlignment="1" applyProtection="1">
      <alignment horizontal="center" vertical="center" wrapText="1"/>
    </xf>
    <xf numFmtId="171" fontId="3" fillId="2" borderId="23" xfId="1" applyNumberFormat="1" applyFont="1" applyFill="1" applyBorder="1" applyAlignment="1">
      <alignment horizontal="center" vertical="center"/>
    </xf>
    <xf numFmtId="171" fontId="3" fillId="2" borderId="13" xfId="1" applyNumberFormat="1" applyFont="1" applyFill="1" applyBorder="1" applyAlignment="1">
      <alignment horizontal="center" vertical="center"/>
    </xf>
    <xf numFmtId="171" fontId="3" fillId="2" borderId="24" xfId="1" applyNumberFormat="1" applyFont="1" applyFill="1" applyBorder="1" applyAlignment="1">
      <alignment horizontal="center" vertical="center"/>
    </xf>
    <xf numFmtId="171" fontId="3" fillId="2" borderId="21" xfId="1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12" fillId="2" borderId="0" xfId="1" applyNumberFormat="1" applyFont="1" applyFill="1" applyBorder="1" applyAlignment="1">
      <alignment horizontal="center" vertical="center"/>
    </xf>
    <xf numFmtId="164" fontId="16" fillId="2" borderId="5" xfId="1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justify" wrapText="1"/>
    </xf>
    <xf numFmtId="0" fontId="9" fillId="4" borderId="15" xfId="0" applyFont="1" applyFill="1" applyBorder="1" applyAlignment="1">
      <alignment horizontal="justify" wrapText="1"/>
    </xf>
    <xf numFmtId="0" fontId="3" fillId="4" borderId="2" xfId="0" applyFont="1" applyFill="1" applyBorder="1" applyAlignment="1">
      <alignment horizontal="justify" wrapText="1"/>
    </xf>
    <xf numFmtId="10" fontId="4" fillId="4" borderId="18" xfId="2" applyNumberFormat="1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justify" wrapText="1"/>
    </xf>
    <xf numFmtId="0" fontId="5" fillId="4" borderId="16" xfId="0" applyFont="1" applyFill="1" applyBorder="1" applyAlignment="1">
      <alignment horizontal="center" wrapText="1"/>
    </xf>
    <xf numFmtId="10" fontId="3" fillId="4" borderId="3" xfId="2" applyNumberFormat="1" applyFont="1" applyFill="1" applyBorder="1" applyAlignment="1">
      <alignment wrapText="1"/>
    </xf>
    <xf numFmtId="10" fontId="3" fillId="4" borderId="19" xfId="2" applyNumberFormat="1" applyFont="1" applyFill="1" applyBorder="1" applyAlignment="1">
      <alignment wrapText="1"/>
    </xf>
    <xf numFmtId="172" fontId="3" fillId="4" borderId="3" xfId="1" applyNumberFormat="1" applyFont="1" applyFill="1" applyBorder="1" applyAlignment="1">
      <alignment wrapText="1"/>
    </xf>
    <xf numFmtId="172" fontId="3" fillId="4" borderId="19" xfId="1" applyNumberFormat="1" applyFont="1" applyFill="1" applyBorder="1" applyAlignment="1">
      <alignment wrapText="1"/>
    </xf>
    <xf numFmtId="0" fontId="5" fillId="4" borderId="11" xfId="0" applyFont="1" applyFill="1" applyBorder="1" applyAlignment="1">
      <alignment horizontal="justify" wrapText="1"/>
    </xf>
    <xf numFmtId="0" fontId="5" fillId="4" borderId="17" xfId="0" applyFont="1" applyFill="1" applyBorder="1" applyAlignment="1">
      <alignment horizontal="center" wrapText="1"/>
    </xf>
    <xf numFmtId="43" fontId="3" fillId="4" borderId="4" xfId="1" applyFont="1" applyFill="1" applyBorder="1" applyAlignment="1">
      <alignment wrapText="1"/>
    </xf>
    <xf numFmtId="43" fontId="3" fillId="4" borderId="20" xfId="1" applyFont="1" applyFill="1" applyBorder="1" applyAlignment="1">
      <alignment wrapText="1"/>
    </xf>
  </cellXfs>
  <cellStyles count="7">
    <cellStyle name="Hiperlink 2" xfId="4" xr:uid="{00000000-0005-0000-0000-000000000000}"/>
    <cellStyle name="Normal" xfId="0" builtinId="0"/>
    <cellStyle name="Normal 2" xfId="3" xr:uid="{00000000-0005-0000-0000-000002000000}"/>
    <cellStyle name="Porcentagem" xfId="2" builtinId="5"/>
    <cellStyle name="Porcentagem 2" xfId="5" xr:uid="{00000000-0005-0000-0000-000004000000}"/>
    <cellStyle name="Vírgula" xfId="1" builtinId="3"/>
    <cellStyle name="Vírgul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33</xdr:row>
          <xdr:rowOff>76200</xdr:rowOff>
        </xdr:from>
        <xdr:to>
          <xdr:col>13</xdr:col>
          <xdr:colOff>542925</xdr:colOff>
          <xdr:row>36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33</xdr:row>
          <xdr:rowOff>76200</xdr:rowOff>
        </xdr:from>
        <xdr:to>
          <xdr:col>13</xdr:col>
          <xdr:colOff>542925</xdr:colOff>
          <xdr:row>36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857D-04C0-4A2C-A40C-C4CBDA83C236}">
  <dimension ref="A1:N62"/>
  <sheetViews>
    <sheetView workbookViewId="0">
      <selection activeCell="K4" sqref="K4:N4"/>
    </sheetView>
  </sheetViews>
  <sheetFormatPr defaultRowHeight="15" x14ac:dyDescent="0.25"/>
  <cols>
    <col min="1" max="1" width="3" customWidth="1"/>
    <col min="2" max="2" width="23.7109375" customWidth="1"/>
    <col min="3" max="4" width="10.7109375" customWidth="1"/>
    <col min="5" max="5" width="23.7109375" customWidth="1"/>
    <col min="6" max="7" width="10.7109375" customWidth="1"/>
    <col min="8" max="8" width="3.42578125" customWidth="1"/>
    <col min="9" max="9" width="4.28515625" customWidth="1"/>
    <col min="10" max="10" width="3.42578125" customWidth="1"/>
    <col min="11" max="11" width="31" customWidth="1"/>
    <col min="12" max="12" width="29.85546875" customWidth="1"/>
    <col min="13" max="14" width="10.7109375" customWidth="1"/>
  </cols>
  <sheetData>
    <row r="1" spans="1:14" ht="23.25" x14ac:dyDescent="0.35">
      <c r="A1" s="2"/>
      <c r="B1" s="131" t="s">
        <v>72</v>
      </c>
      <c r="C1" s="131"/>
      <c r="D1" s="131"/>
      <c r="E1" s="131"/>
      <c r="F1" s="131"/>
      <c r="G1" s="131"/>
      <c r="H1" s="2"/>
      <c r="I1" s="2"/>
      <c r="J1" s="2"/>
      <c r="K1" s="2"/>
      <c r="L1" s="2"/>
      <c r="M1" s="2"/>
      <c r="N1" s="2"/>
    </row>
    <row r="2" spans="1:14" x14ac:dyDescent="0.25">
      <c r="A2" s="2"/>
      <c r="B2" s="132" t="s">
        <v>120</v>
      </c>
      <c r="C2" s="132"/>
      <c r="D2" s="132"/>
      <c r="E2" s="132"/>
      <c r="F2" s="132"/>
      <c r="G2" s="132"/>
      <c r="H2" s="2"/>
      <c r="I2" s="2"/>
      <c r="J2" s="2"/>
      <c r="K2" s="2"/>
      <c r="L2" s="2"/>
      <c r="M2" s="2"/>
      <c r="N2" s="2"/>
    </row>
    <row r="3" spans="1:14" ht="24" thickBot="1" x14ac:dyDescent="0.4">
      <c r="A3" s="2"/>
      <c r="B3" s="96" t="s">
        <v>0</v>
      </c>
      <c r="C3" s="97" t="s">
        <v>70</v>
      </c>
      <c r="D3" s="97" t="s">
        <v>71</v>
      </c>
      <c r="E3" s="96" t="s">
        <v>1</v>
      </c>
      <c r="F3" s="97" t="s">
        <v>70</v>
      </c>
      <c r="G3" s="98" t="s">
        <v>71</v>
      </c>
      <c r="H3" s="2"/>
      <c r="I3" s="2"/>
      <c r="J3" s="2"/>
      <c r="K3" s="133" t="s">
        <v>21</v>
      </c>
      <c r="L3" s="133"/>
      <c r="M3" s="133"/>
      <c r="N3" s="133"/>
    </row>
    <row r="4" spans="1:14" x14ac:dyDescent="0.25">
      <c r="A4" s="2"/>
      <c r="B4" s="23" t="s">
        <v>2</v>
      </c>
      <c r="C4" s="24"/>
      <c r="D4" s="24"/>
      <c r="E4" s="54" t="s">
        <v>2</v>
      </c>
      <c r="F4" s="55"/>
      <c r="G4" s="56"/>
      <c r="H4" s="2"/>
      <c r="I4" s="2"/>
      <c r="J4" s="2"/>
      <c r="K4" s="101" t="s">
        <v>22</v>
      </c>
      <c r="L4" s="102" t="s">
        <v>23</v>
      </c>
      <c r="M4" s="103" t="s">
        <v>70</v>
      </c>
      <c r="N4" s="104" t="s">
        <v>71</v>
      </c>
    </row>
    <row r="5" spans="1:14" ht="15.75" x14ac:dyDescent="0.25">
      <c r="A5" s="2"/>
      <c r="B5" s="24" t="s">
        <v>105</v>
      </c>
      <c r="C5" s="24">
        <v>21261</v>
      </c>
      <c r="D5" s="24">
        <v>67308</v>
      </c>
      <c r="E5" s="57" t="s">
        <v>121</v>
      </c>
      <c r="F5" s="40">
        <f>4975+79+9448</f>
        <v>14502</v>
      </c>
      <c r="G5" s="24">
        <v>37294</v>
      </c>
      <c r="H5" s="2"/>
      <c r="I5" s="2"/>
      <c r="J5" s="2"/>
      <c r="K5" s="93" t="s">
        <v>63</v>
      </c>
      <c r="L5" s="7"/>
      <c r="M5" s="3"/>
      <c r="N5" s="11"/>
    </row>
    <row r="6" spans="1:14" ht="16.5" x14ac:dyDescent="0.35">
      <c r="A6" s="2"/>
      <c r="B6" s="24" t="s">
        <v>104</v>
      </c>
      <c r="C6" s="40">
        <v>14701</v>
      </c>
      <c r="D6" s="40">
        <f>29299+8130</f>
        <v>37429</v>
      </c>
      <c r="E6" s="57" t="s">
        <v>122</v>
      </c>
      <c r="F6" s="28">
        <v>11657</v>
      </c>
      <c r="G6" s="28">
        <v>41712</v>
      </c>
      <c r="H6" s="2"/>
      <c r="I6" s="2"/>
      <c r="J6" s="2"/>
      <c r="K6" s="4" t="s">
        <v>47</v>
      </c>
      <c r="L6" s="8" t="s">
        <v>24</v>
      </c>
      <c r="M6" s="12"/>
      <c r="N6" s="13"/>
    </row>
    <row r="7" spans="1:14" ht="16.5" x14ac:dyDescent="0.35">
      <c r="A7" s="2"/>
      <c r="B7" s="24" t="s">
        <v>103</v>
      </c>
      <c r="C7" s="39">
        <v>8724</v>
      </c>
      <c r="D7" s="39">
        <v>2132</v>
      </c>
      <c r="E7" s="57"/>
      <c r="F7" s="27">
        <f>SUM(F5:F6)</f>
        <v>26159</v>
      </c>
      <c r="G7" s="27">
        <f>SUM(G5:G6)</f>
        <v>79006</v>
      </c>
      <c r="H7" s="2"/>
      <c r="I7" s="2"/>
      <c r="J7" s="2"/>
      <c r="K7" s="4" t="s">
        <v>48</v>
      </c>
      <c r="L7" s="8" t="s">
        <v>25</v>
      </c>
      <c r="M7" s="12"/>
      <c r="N7" s="13"/>
    </row>
    <row r="8" spans="1:14" x14ac:dyDescent="0.25">
      <c r="A8" s="2"/>
      <c r="B8" s="24"/>
      <c r="C8" s="35">
        <f>SUM(C5:C7)</f>
        <v>44686</v>
      </c>
      <c r="D8" s="35">
        <f>SUM(D5:D7)</f>
        <v>106869</v>
      </c>
      <c r="E8" s="57"/>
      <c r="F8" s="24"/>
      <c r="G8" s="24"/>
      <c r="H8" s="2"/>
      <c r="I8" s="2"/>
      <c r="J8" s="2"/>
      <c r="K8" s="4" t="s">
        <v>49</v>
      </c>
      <c r="L8" s="8" t="s">
        <v>26</v>
      </c>
      <c r="M8" s="12"/>
      <c r="N8" s="13"/>
    </row>
    <row r="9" spans="1:14" x14ac:dyDescent="0.25">
      <c r="A9" s="2"/>
      <c r="B9" s="23" t="s">
        <v>3</v>
      </c>
      <c r="C9" s="24"/>
      <c r="D9" s="24"/>
      <c r="E9" s="54" t="s">
        <v>3</v>
      </c>
      <c r="F9" s="24"/>
      <c r="G9" s="27"/>
      <c r="H9" s="2"/>
      <c r="I9" s="2"/>
      <c r="J9" s="2"/>
      <c r="K9" s="5" t="s">
        <v>50</v>
      </c>
      <c r="L9" s="9" t="s">
        <v>27</v>
      </c>
      <c r="M9" s="14"/>
      <c r="N9" s="15"/>
    </row>
    <row r="10" spans="1:14" x14ac:dyDescent="0.25">
      <c r="A10" s="2"/>
      <c r="B10" s="26" t="s">
        <v>116</v>
      </c>
      <c r="C10" s="24">
        <v>21152</v>
      </c>
      <c r="D10" s="24">
        <v>8757</v>
      </c>
      <c r="E10" s="57" t="s">
        <v>123</v>
      </c>
      <c r="F10" s="27">
        <v>149684</v>
      </c>
      <c r="G10" s="27">
        <v>114431</v>
      </c>
      <c r="H10" s="2"/>
      <c r="I10" s="2"/>
      <c r="J10" s="2"/>
      <c r="K10" s="93" t="s">
        <v>64</v>
      </c>
      <c r="L10" s="10"/>
      <c r="M10" s="12"/>
      <c r="N10" s="13"/>
    </row>
    <row r="11" spans="1:14" x14ac:dyDescent="0.25">
      <c r="A11" s="2"/>
      <c r="B11" s="24" t="s">
        <v>117</v>
      </c>
      <c r="C11" s="24">
        <v>3566</v>
      </c>
      <c r="D11" s="24">
        <v>170430</v>
      </c>
      <c r="E11" s="1"/>
      <c r="F11" s="1"/>
      <c r="G11" s="1"/>
      <c r="H11" s="2"/>
      <c r="I11" s="2"/>
      <c r="J11" s="2"/>
      <c r="K11" s="4" t="s">
        <v>41</v>
      </c>
      <c r="L11" s="8" t="s">
        <v>35</v>
      </c>
      <c r="M11" s="12"/>
      <c r="N11" s="13"/>
    </row>
    <row r="12" spans="1:14" x14ac:dyDescent="0.25">
      <c r="A12" s="2"/>
      <c r="B12" s="24" t="s">
        <v>118</v>
      </c>
      <c r="C12" s="24">
        <v>189745</v>
      </c>
      <c r="D12" s="24">
        <v>27010</v>
      </c>
      <c r="E12" s="27" t="s">
        <v>4</v>
      </c>
      <c r="F12" s="24"/>
      <c r="G12" s="27"/>
      <c r="H12" s="2"/>
      <c r="I12" s="2"/>
      <c r="J12" s="2"/>
      <c r="K12" s="4" t="s">
        <v>42</v>
      </c>
      <c r="L12" s="8" t="s">
        <v>36</v>
      </c>
      <c r="M12" s="12"/>
      <c r="N12" s="13"/>
    </row>
    <row r="13" spans="1:14" x14ac:dyDescent="0.25">
      <c r="A13" s="2"/>
      <c r="B13" s="24" t="s">
        <v>119</v>
      </c>
      <c r="C13" s="24">
        <v>3532</v>
      </c>
      <c r="D13" s="24">
        <v>8620</v>
      </c>
      <c r="E13" s="24" t="s">
        <v>124</v>
      </c>
      <c r="F13" s="24">
        <v>68477</v>
      </c>
      <c r="G13" s="24">
        <v>32144</v>
      </c>
      <c r="H13" s="2"/>
      <c r="I13" s="2"/>
      <c r="J13" s="2"/>
      <c r="K13" s="4" t="s">
        <v>43</v>
      </c>
      <c r="L13" s="8" t="s">
        <v>37</v>
      </c>
      <c r="M13" s="12"/>
      <c r="N13" s="13"/>
    </row>
    <row r="14" spans="1:14" ht="16.5" x14ac:dyDescent="0.35">
      <c r="A14" s="2"/>
      <c r="B14" s="24"/>
      <c r="C14" s="24"/>
      <c r="D14" s="24"/>
      <c r="E14" s="24" t="s">
        <v>125</v>
      </c>
      <c r="F14" s="28">
        <v>18361</v>
      </c>
      <c r="G14" s="28">
        <v>96105</v>
      </c>
      <c r="H14" s="2"/>
      <c r="I14" s="2"/>
      <c r="J14" s="2"/>
      <c r="K14" s="4" t="s">
        <v>44</v>
      </c>
      <c r="L14" s="9" t="s">
        <v>38</v>
      </c>
      <c r="M14" s="12"/>
      <c r="N14" s="13"/>
    </row>
    <row r="15" spans="1:14" ht="15.75" x14ac:dyDescent="0.25">
      <c r="A15" s="2"/>
      <c r="B15" s="24"/>
      <c r="C15" s="24"/>
      <c r="D15" s="24"/>
      <c r="E15" s="24"/>
      <c r="F15" s="27">
        <f>SUM(F13:F14)</f>
        <v>86838</v>
      </c>
      <c r="G15" s="27">
        <f>SUM(G13:G14)</f>
        <v>128249</v>
      </c>
      <c r="H15" s="2"/>
      <c r="I15" s="2"/>
      <c r="J15" s="2"/>
      <c r="K15" s="93" t="s">
        <v>65</v>
      </c>
      <c r="L15" s="7"/>
      <c r="M15" s="16"/>
      <c r="N15" s="17"/>
    </row>
    <row r="16" spans="1:14" x14ac:dyDescent="0.25">
      <c r="A16" s="2"/>
      <c r="B16" s="24"/>
      <c r="C16" s="24"/>
      <c r="D16" s="24"/>
      <c r="E16" s="1"/>
      <c r="F16" s="1"/>
      <c r="G16" s="1"/>
      <c r="H16" s="2"/>
      <c r="I16" s="2"/>
      <c r="J16" s="2"/>
      <c r="K16" s="4" t="s">
        <v>75</v>
      </c>
      <c r="L16" s="8" t="s">
        <v>76</v>
      </c>
      <c r="M16" s="85"/>
      <c r="N16" s="86"/>
    </row>
    <row r="17" spans="1:14" x14ac:dyDescent="0.25">
      <c r="A17" s="2"/>
      <c r="B17" s="29" t="s">
        <v>19</v>
      </c>
      <c r="C17" s="36">
        <f>SUM(C8:C16)</f>
        <v>262681</v>
      </c>
      <c r="D17" s="36">
        <f>SUM(D8:D16)</f>
        <v>321686</v>
      </c>
      <c r="E17" s="58" t="s">
        <v>19</v>
      </c>
      <c r="F17" s="36">
        <f>F15+F10+F7</f>
        <v>262681</v>
      </c>
      <c r="G17" s="36">
        <f>G15+G10+G7</f>
        <v>321686</v>
      </c>
      <c r="H17" s="2"/>
      <c r="I17" s="2"/>
      <c r="J17" s="2"/>
      <c r="K17" s="4" t="s">
        <v>51</v>
      </c>
      <c r="L17" s="8" t="s">
        <v>77</v>
      </c>
      <c r="M17" s="85"/>
      <c r="N17" s="86"/>
    </row>
    <row r="18" spans="1:14" x14ac:dyDescent="0.25">
      <c r="A18" s="2"/>
      <c r="B18" s="22"/>
      <c r="C18" s="25"/>
      <c r="D18" s="25"/>
      <c r="E18" s="25"/>
      <c r="F18" s="25"/>
      <c r="G18" s="25"/>
      <c r="H18" s="2"/>
      <c r="I18" s="2"/>
      <c r="J18" s="2"/>
      <c r="K18" s="4" t="s">
        <v>79</v>
      </c>
      <c r="L18" s="8" t="s">
        <v>78</v>
      </c>
      <c r="M18" s="87"/>
      <c r="N18" s="88"/>
    </row>
    <row r="19" spans="1:14" ht="18" x14ac:dyDescent="0.25">
      <c r="A19" s="2"/>
      <c r="B19" s="134" t="s">
        <v>126</v>
      </c>
      <c r="C19" s="134"/>
      <c r="D19" s="134"/>
      <c r="E19" s="2"/>
      <c r="F19" s="2"/>
      <c r="G19" s="2"/>
      <c r="H19" s="2"/>
      <c r="I19" s="2"/>
      <c r="J19" s="2"/>
      <c r="K19" s="4" t="s">
        <v>95</v>
      </c>
      <c r="L19" s="8" t="s">
        <v>76</v>
      </c>
      <c r="M19" s="85"/>
      <c r="N19" s="86"/>
    </row>
    <row r="20" spans="1:14" ht="18" x14ac:dyDescent="0.25">
      <c r="A20" s="2"/>
      <c r="B20" s="134" t="s">
        <v>127</v>
      </c>
      <c r="C20" s="134"/>
      <c r="D20" s="134"/>
      <c r="E20" s="2"/>
      <c r="F20" s="2"/>
      <c r="G20" s="2"/>
      <c r="H20" s="2"/>
      <c r="I20" s="2"/>
      <c r="J20" s="2"/>
      <c r="K20" s="4" t="s">
        <v>80</v>
      </c>
      <c r="L20" s="8" t="s">
        <v>81</v>
      </c>
      <c r="M20" s="85"/>
      <c r="N20" s="86"/>
    </row>
    <row r="21" spans="1:14" x14ac:dyDescent="0.25">
      <c r="A21" s="2"/>
      <c r="B21" s="135" t="s">
        <v>120</v>
      </c>
      <c r="C21" s="135"/>
      <c r="D21" s="135"/>
      <c r="E21" s="43"/>
      <c r="F21" s="47"/>
      <c r="G21" s="2"/>
      <c r="H21" s="2"/>
      <c r="I21" s="2"/>
      <c r="J21" s="2"/>
      <c r="K21" s="5" t="s">
        <v>82</v>
      </c>
      <c r="L21" s="9" t="s">
        <v>83</v>
      </c>
      <c r="M21" s="89"/>
      <c r="N21" s="90"/>
    </row>
    <row r="22" spans="1:14" ht="15.75" x14ac:dyDescent="0.25">
      <c r="A22" s="2"/>
      <c r="B22" s="99" t="s">
        <v>5</v>
      </c>
      <c r="C22" s="100" t="s">
        <v>70</v>
      </c>
      <c r="D22" s="100" t="s">
        <v>71</v>
      </c>
      <c r="E22" s="37" t="s">
        <v>69</v>
      </c>
      <c r="F22" s="41">
        <v>13300</v>
      </c>
      <c r="G22" s="41">
        <v>5400</v>
      </c>
      <c r="H22" s="2"/>
      <c r="I22" s="2"/>
      <c r="J22" s="2"/>
      <c r="K22" s="94" t="s">
        <v>66</v>
      </c>
      <c r="L22" s="21"/>
      <c r="M22" s="61"/>
      <c r="N22" s="18"/>
    </row>
    <row r="23" spans="1:14" x14ac:dyDescent="0.25">
      <c r="A23" s="2"/>
      <c r="B23" s="27" t="s">
        <v>106</v>
      </c>
      <c r="C23" s="31">
        <v>91153</v>
      </c>
      <c r="D23" s="31">
        <f>215639+3270</f>
        <v>218909</v>
      </c>
      <c r="E23" s="42" t="s">
        <v>73</v>
      </c>
      <c r="F23" s="38">
        <v>4</v>
      </c>
      <c r="G23" s="38">
        <v>156</v>
      </c>
      <c r="H23" s="2"/>
      <c r="I23" s="2"/>
      <c r="J23" s="2"/>
      <c r="K23" s="4" t="s">
        <v>45</v>
      </c>
      <c r="L23" s="8" t="s">
        <v>39</v>
      </c>
      <c r="M23" s="20"/>
      <c r="N23" s="63"/>
    </row>
    <row r="24" spans="1:14" x14ac:dyDescent="0.25">
      <c r="A24" s="2"/>
      <c r="B24" s="24" t="s">
        <v>107</v>
      </c>
      <c r="C24" s="32">
        <f>-59439+16000</f>
        <v>-43439</v>
      </c>
      <c r="D24" s="32">
        <f>-10505-120871+3270+10505</f>
        <v>-117601</v>
      </c>
      <c r="E24" s="42" t="s">
        <v>94</v>
      </c>
      <c r="F24" s="41">
        <f>F23*F22</f>
        <v>53200</v>
      </c>
      <c r="G24" s="41">
        <f>G23*G22</f>
        <v>842400</v>
      </c>
      <c r="H24" s="2"/>
      <c r="I24" s="2"/>
      <c r="J24" s="2"/>
      <c r="K24" s="5" t="s">
        <v>46</v>
      </c>
      <c r="L24" s="9" t="s">
        <v>40</v>
      </c>
      <c r="M24" s="79"/>
      <c r="N24" s="80"/>
    </row>
    <row r="25" spans="1:14" ht="17.25" x14ac:dyDescent="0.35">
      <c r="A25" s="2"/>
      <c r="B25" s="24" t="s">
        <v>108</v>
      </c>
      <c r="C25" s="33">
        <v>-16000</v>
      </c>
      <c r="D25" s="33">
        <v>-10505</v>
      </c>
      <c r="E25" s="42" t="s">
        <v>93</v>
      </c>
      <c r="F25" s="38">
        <f>C33/F22</f>
        <v>0.4818796992481203</v>
      </c>
      <c r="G25" s="38">
        <f>D33/G22</f>
        <v>8.4605555555555547</v>
      </c>
      <c r="H25" s="2"/>
      <c r="I25" s="2"/>
      <c r="J25" s="2"/>
      <c r="K25" s="93" t="s">
        <v>67</v>
      </c>
      <c r="L25" s="7"/>
      <c r="M25" s="62"/>
      <c r="N25" s="19"/>
    </row>
    <row r="26" spans="1:14" x14ac:dyDescent="0.25">
      <c r="A26" s="2"/>
      <c r="B26" s="23" t="s">
        <v>109</v>
      </c>
      <c r="C26" s="34">
        <f>SUM(C23:C25)</f>
        <v>31714</v>
      </c>
      <c r="D26" s="34">
        <f>SUM(D23:D25)</f>
        <v>90803</v>
      </c>
      <c r="E26" s="43" t="s">
        <v>74</v>
      </c>
      <c r="F26" s="2">
        <v>2.75</v>
      </c>
      <c r="G26" s="2">
        <v>1.43</v>
      </c>
      <c r="H26" s="2"/>
      <c r="I26" s="2"/>
      <c r="J26" s="2"/>
      <c r="K26" s="4" t="s">
        <v>52</v>
      </c>
      <c r="L26" s="8" t="s">
        <v>60</v>
      </c>
      <c r="M26" s="91"/>
      <c r="N26" s="92"/>
    </row>
    <row r="27" spans="1:14" x14ac:dyDescent="0.25">
      <c r="A27" s="2"/>
      <c r="B27" s="24" t="s">
        <v>110</v>
      </c>
      <c r="C27" s="32">
        <f>-3187-3076</f>
        <v>-6263</v>
      </c>
      <c r="D27" s="32">
        <v>-14194</v>
      </c>
      <c r="E27" s="43" t="s">
        <v>86</v>
      </c>
      <c r="F27" s="44">
        <v>2.1999999999999999E-2</v>
      </c>
      <c r="G27" s="44">
        <v>2.1999999999999999E-2</v>
      </c>
      <c r="H27" s="2"/>
      <c r="I27" s="2"/>
      <c r="J27" s="2"/>
      <c r="K27" s="4" t="s">
        <v>53</v>
      </c>
      <c r="L27" s="8" t="s">
        <v>61</v>
      </c>
      <c r="M27" s="91"/>
      <c r="N27" s="92"/>
    </row>
    <row r="28" spans="1:14" x14ac:dyDescent="0.25">
      <c r="A28" s="2"/>
      <c r="B28" s="24" t="s">
        <v>111</v>
      </c>
      <c r="C28" s="32">
        <v>-844</v>
      </c>
      <c r="D28" s="32">
        <v>-10045</v>
      </c>
      <c r="E28" s="43" t="s">
        <v>87</v>
      </c>
      <c r="F28" s="44">
        <v>8.2000000000000003E-2</v>
      </c>
      <c r="G28" s="44">
        <v>8.2000000000000003E-2</v>
      </c>
      <c r="H28" s="2"/>
      <c r="I28" s="2"/>
      <c r="J28" s="2"/>
      <c r="K28" s="4" t="s">
        <v>54</v>
      </c>
      <c r="L28" s="8" t="s">
        <v>28</v>
      </c>
      <c r="M28" s="91"/>
      <c r="N28" s="92"/>
    </row>
    <row r="29" spans="1:14" x14ac:dyDescent="0.25">
      <c r="A29" s="2"/>
      <c r="B29" s="26" t="s">
        <v>112</v>
      </c>
      <c r="C29" s="32">
        <f>-11584+1244-1710</f>
        <v>-12050</v>
      </c>
      <c r="D29" s="32">
        <v>-3997</v>
      </c>
      <c r="E29" s="43" t="s">
        <v>89</v>
      </c>
      <c r="F29" s="45">
        <f>F27+F26*(F28-F27)</f>
        <v>0.187</v>
      </c>
      <c r="G29" s="45">
        <f>G27+G26*(G28-G27)</f>
        <v>0.10780000000000001</v>
      </c>
      <c r="H29" s="2"/>
      <c r="I29" s="2"/>
      <c r="J29" s="2"/>
      <c r="K29" s="4" t="s">
        <v>55</v>
      </c>
      <c r="L29" s="8" t="s">
        <v>62</v>
      </c>
      <c r="M29" s="91"/>
      <c r="N29" s="92"/>
    </row>
    <row r="30" spans="1:14" ht="17.25" thickBot="1" x14ac:dyDescent="0.4">
      <c r="A30" s="2"/>
      <c r="B30" s="24" t="s">
        <v>113</v>
      </c>
      <c r="C30" s="33">
        <v>-2847</v>
      </c>
      <c r="D30" s="33">
        <v>-1650.9999999999982</v>
      </c>
      <c r="E30" s="43" t="s">
        <v>88</v>
      </c>
      <c r="F30" s="44">
        <v>4.9299999999999997E-2</v>
      </c>
      <c r="G30" s="44">
        <v>1.9199999999999998E-2</v>
      </c>
      <c r="H30" s="2"/>
      <c r="I30" s="2"/>
      <c r="J30" s="2"/>
      <c r="K30" s="4" t="s">
        <v>56</v>
      </c>
      <c r="L30" s="8" t="s">
        <v>58</v>
      </c>
      <c r="M30" s="91"/>
      <c r="N30" s="92"/>
    </row>
    <row r="31" spans="1:14" x14ac:dyDescent="0.25">
      <c r="A31" s="2"/>
      <c r="B31" s="23" t="s">
        <v>114</v>
      </c>
      <c r="C31" s="34">
        <f>SUM(C26:C30)</f>
        <v>9710</v>
      </c>
      <c r="D31" s="34">
        <f>SUM(D26:D30)</f>
        <v>60916</v>
      </c>
      <c r="E31" s="43" t="s">
        <v>98</v>
      </c>
      <c r="F31" s="46">
        <f>F15/F22</f>
        <v>6.5291729323308267</v>
      </c>
      <c r="G31" s="46">
        <f>G15/G22</f>
        <v>23.749814814814815</v>
      </c>
      <c r="H31" s="2"/>
      <c r="I31" s="2"/>
      <c r="J31" s="2"/>
      <c r="K31" s="95" t="s">
        <v>68</v>
      </c>
      <c r="L31" s="125" t="s">
        <v>57</v>
      </c>
      <c r="M31" s="127"/>
      <c r="N31" s="129"/>
    </row>
    <row r="32" spans="1:14" ht="17.25" thickBot="1" x14ac:dyDescent="0.4">
      <c r="A32" s="2"/>
      <c r="B32" s="26" t="s">
        <v>102</v>
      </c>
      <c r="C32" s="33">
        <f>ROUND(-C31*0.34,0)</f>
        <v>-3301</v>
      </c>
      <c r="D32" s="33">
        <f>ROUND(-D31*0.25,0)</f>
        <v>-15229</v>
      </c>
      <c r="E32" s="43" t="s">
        <v>101</v>
      </c>
      <c r="F32" s="69">
        <v>0.34</v>
      </c>
      <c r="G32" s="69">
        <v>0.25</v>
      </c>
      <c r="H32" s="2"/>
      <c r="I32" s="2"/>
      <c r="J32" s="2"/>
      <c r="K32" s="6" t="s">
        <v>59</v>
      </c>
      <c r="L32" s="126"/>
      <c r="M32" s="128"/>
      <c r="N32" s="130"/>
    </row>
    <row r="33" spans="1:14" x14ac:dyDescent="0.25">
      <c r="A33" s="2"/>
      <c r="B33" s="30" t="s">
        <v>115</v>
      </c>
      <c r="C33" s="30">
        <f>C32+C31</f>
        <v>6409</v>
      </c>
      <c r="D33" s="30">
        <f>D32+D31</f>
        <v>45687</v>
      </c>
      <c r="E33" s="2"/>
      <c r="F33" s="45"/>
      <c r="G33" s="45"/>
      <c r="H33" s="2"/>
      <c r="I33" s="2"/>
      <c r="J33" s="2"/>
      <c r="K33" s="64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65"/>
      <c r="L34" s="65"/>
      <c r="M34" s="66"/>
      <c r="N34" s="66"/>
    </row>
    <row r="35" spans="1:14" x14ac:dyDescent="0.25">
      <c r="A35" s="2"/>
      <c r="B35" s="43" t="s">
        <v>69</v>
      </c>
      <c r="C35" s="84">
        <v>13300</v>
      </c>
      <c r="D35" s="84">
        <v>5400</v>
      </c>
      <c r="E35" s="2"/>
      <c r="F35" s="2"/>
      <c r="G35" s="2"/>
      <c r="H35" s="2"/>
      <c r="I35" s="2"/>
      <c r="J35" s="2"/>
      <c r="K35" s="65"/>
      <c r="L35" s="65"/>
      <c r="M35" s="66"/>
      <c r="N35" s="66"/>
    </row>
    <row r="36" spans="1:14" x14ac:dyDescent="0.25">
      <c r="A36" s="2"/>
      <c r="B36" s="43" t="s">
        <v>73</v>
      </c>
      <c r="C36" s="46">
        <v>4</v>
      </c>
      <c r="D36" s="46">
        <v>156</v>
      </c>
      <c r="E36" s="59" t="s">
        <v>6</v>
      </c>
      <c r="F36" s="50"/>
      <c r="G36" s="50"/>
      <c r="H36" s="2"/>
      <c r="I36" s="2"/>
      <c r="J36" s="2"/>
      <c r="K36" s="65"/>
      <c r="L36" s="65"/>
      <c r="M36" s="66"/>
      <c r="N36" s="66"/>
    </row>
    <row r="37" spans="1:14" x14ac:dyDescent="0.25">
      <c r="A37" s="2"/>
      <c r="B37" s="43" t="s">
        <v>94</v>
      </c>
      <c r="C37" s="84">
        <v>53200</v>
      </c>
      <c r="D37" s="84">
        <v>842400</v>
      </c>
      <c r="E37" s="59" t="s">
        <v>7</v>
      </c>
      <c r="F37" s="50"/>
      <c r="G37" s="50"/>
      <c r="H37" s="2"/>
      <c r="I37" s="2"/>
      <c r="J37" s="2"/>
      <c r="K37" s="65"/>
      <c r="L37" s="65"/>
      <c r="M37" s="66"/>
      <c r="N37" s="66"/>
    </row>
    <row r="38" spans="1:14" x14ac:dyDescent="0.25">
      <c r="A38" s="2"/>
      <c r="B38" s="43" t="s">
        <v>93</v>
      </c>
      <c r="C38" s="83">
        <v>0.4818796992481203</v>
      </c>
      <c r="D38" s="83">
        <v>8.4605555555555547</v>
      </c>
      <c r="E38" s="59" t="s">
        <v>84</v>
      </c>
      <c r="F38" s="50"/>
      <c r="G38" s="50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43" t="s">
        <v>74</v>
      </c>
      <c r="C39" s="46">
        <v>2.75</v>
      </c>
      <c r="D39" s="46">
        <v>1.43</v>
      </c>
      <c r="E39" s="43" t="s">
        <v>85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43" t="s">
        <v>98</v>
      </c>
      <c r="C40" s="46">
        <v>6.5291729323308267</v>
      </c>
      <c r="D40" s="46">
        <v>23.749814814814815</v>
      </c>
      <c r="E40" s="43" t="s">
        <v>97</v>
      </c>
      <c r="F40" s="69"/>
      <c r="G40" s="69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43"/>
      <c r="C41" s="46"/>
      <c r="D41" s="46"/>
      <c r="E41" s="43" t="s">
        <v>12</v>
      </c>
      <c r="F41" s="45"/>
      <c r="G41" s="45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43"/>
      <c r="C42" s="46"/>
      <c r="D42" s="46"/>
      <c r="E42" s="43" t="s">
        <v>13</v>
      </c>
      <c r="F42" s="45"/>
      <c r="G42" s="45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43"/>
      <c r="C43" s="83"/>
      <c r="D43" s="83"/>
      <c r="E43" s="59" t="s">
        <v>20</v>
      </c>
      <c r="F43" s="51"/>
      <c r="G43" s="51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43"/>
      <c r="C44" s="46"/>
      <c r="D44" s="46"/>
      <c r="E44" s="43" t="s">
        <v>8</v>
      </c>
      <c r="F44" s="47"/>
      <c r="G44" s="47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43"/>
      <c r="C45" s="46"/>
      <c r="D45" s="46"/>
      <c r="E45" s="43" t="s">
        <v>9</v>
      </c>
      <c r="F45" s="47"/>
      <c r="G45" s="47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71"/>
      <c r="D46" s="71"/>
      <c r="E46" s="59" t="s">
        <v>10</v>
      </c>
      <c r="F46" s="49"/>
      <c r="G46" s="49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47"/>
      <c r="D47" s="47"/>
      <c r="E47" s="43" t="s">
        <v>11</v>
      </c>
      <c r="F47" s="47"/>
      <c r="G47" s="47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70"/>
      <c r="D48" s="70"/>
      <c r="E48" s="43" t="s">
        <v>14</v>
      </c>
      <c r="F48" s="48"/>
      <c r="G48" s="48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72"/>
      <c r="D49" s="72"/>
      <c r="E49" s="43" t="s">
        <v>15</v>
      </c>
      <c r="F49" s="52"/>
      <c r="G49" s="5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73"/>
      <c r="D50" s="73"/>
      <c r="E50" s="43" t="s">
        <v>16</v>
      </c>
      <c r="F50" s="53"/>
      <c r="G50" s="53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75"/>
      <c r="D51" s="75"/>
      <c r="E51" s="43" t="s">
        <v>90</v>
      </c>
      <c r="F51" s="53"/>
      <c r="G51" s="53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74"/>
      <c r="D52" s="74"/>
      <c r="E52" s="43" t="s">
        <v>99</v>
      </c>
      <c r="F52" s="49"/>
      <c r="G52" s="49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68"/>
      <c r="D53" s="68"/>
      <c r="E53" s="43" t="s">
        <v>91</v>
      </c>
      <c r="F53" s="47"/>
      <c r="G53" s="47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46"/>
      <c r="D54" s="46"/>
      <c r="E54" s="43" t="s">
        <v>17</v>
      </c>
      <c r="F54" s="46"/>
      <c r="G54" s="46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46"/>
      <c r="D55" s="46"/>
      <c r="E55" s="43" t="s">
        <v>100</v>
      </c>
      <c r="F55" s="82"/>
      <c r="G55" s="8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46"/>
      <c r="D56" s="46"/>
      <c r="E56" s="43" t="s">
        <v>92</v>
      </c>
      <c r="F56" s="60"/>
      <c r="G56" s="60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68"/>
      <c r="D57" s="68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9">
    <mergeCell ref="L31:L32"/>
    <mergeCell ref="M31:M32"/>
    <mergeCell ref="N31:N32"/>
    <mergeCell ref="B1:G1"/>
    <mergeCell ref="B2:G2"/>
    <mergeCell ref="K3:N3"/>
    <mergeCell ref="B19:D19"/>
    <mergeCell ref="B20:D20"/>
    <mergeCell ref="B21:D21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6145" r:id="rId3">
          <objectPr defaultSize="0" autoPict="0" r:id="rId4">
            <anchor moveWithCells="1">
              <from>
                <xdr:col>10</xdr:col>
                <xdr:colOff>266700</xdr:colOff>
                <xdr:row>33</xdr:row>
                <xdr:rowOff>76200</xdr:rowOff>
              </from>
              <to>
                <xdr:col>13</xdr:col>
                <xdr:colOff>542925</xdr:colOff>
                <xdr:row>36</xdr:row>
                <xdr:rowOff>38100</xdr:rowOff>
              </to>
            </anchor>
          </objectPr>
        </oleObject>
      </mc:Choice>
      <mc:Fallback>
        <oleObject progId="Equation.3" shapeId="614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topLeftCell="A10" zoomScaleNormal="100" workbookViewId="0">
      <selection activeCell="K15" sqref="K15:N21"/>
    </sheetView>
  </sheetViews>
  <sheetFormatPr defaultRowHeight="15" x14ac:dyDescent="0.25"/>
  <cols>
    <col min="1" max="1" width="3" customWidth="1"/>
    <col min="2" max="2" width="23.7109375" customWidth="1"/>
    <col min="3" max="4" width="10.7109375" customWidth="1"/>
    <col min="5" max="5" width="23.7109375" customWidth="1"/>
    <col min="6" max="7" width="10.7109375" customWidth="1"/>
    <col min="8" max="8" width="3.42578125" customWidth="1"/>
    <col min="9" max="9" width="4.28515625" customWidth="1"/>
    <col min="10" max="10" width="3.42578125" customWidth="1"/>
    <col min="11" max="11" width="31" customWidth="1"/>
    <col min="12" max="12" width="29.85546875" customWidth="1"/>
    <col min="13" max="15" width="10.7109375" customWidth="1"/>
    <col min="18" max="18" width="11.28515625" customWidth="1"/>
    <col min="19" max="19" width="12.85546875" customWidth="1"/>
  </cols>
  <sheetData>
    <row r="1" spans="1:22" ht="23.25" x14ac:dyDescent="0.35">
      <c r="A1" s="2"/>
      <c r="B1" s="131" t="s">
        <v>72</v>
      </c>
      <c r="C1" s="131"/>
      <c r="D1" s="131"/>
      <c r="E1" s="131"/>
      <c r="F1" s="131"/>
      <c r="G1" s="13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132" t="s">
        <v>120</v>
      </c>
      <c r="C2" s="132"/>
      <c r="D2" s="132"/>
      <c r="E2" s="132"/>
      <c r="F2" s="132"/>
      <c r="G2" s="1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4" customHeight="1" thickBot="1" x14ac:dyDescent="0.4">
      <c r="A3" s="2"/>
      <c r="B3" s="96" t="s">
        <v>0</v>
      </c>
      <c r="C3" s="97" t="s">
        <v>70</v>
      </c>
      <c r="D3" s="97" t="s">
        <v>71</v>
      </c>
      <c r="E3" s="96" t="s">
        <v>1</v>
      </c>
      <c r="F3" s="97" t="s">
        <v>70</v>
      </c>
      <c r="G3" s="98" t="s">
        <v>71</v>
      </c>
      <c r="H3" s="2"/>
      <c r="I3" s="2"/>
      <c r="J3" s="2"/>
      <c r="K3" s="133" t="s">
        <v>21</v>
      </c>
      <c r="L3" s="133"/>
      <c r="M3" s="133"/>
      <c r="N3" s="133"/>
      <c r="O3" s="81"/>
      <c r="P3" s="2"/>
      <c r="Q3" s="2"/>
      <c r="R3" s="2"/>
      <c r="S3" s="2"/>
      <c r="T3" s="2"/>
      <c r="U3" s="2"/>
      <c r="V3" s="2"/>
    </row>
    <row r="4" spans="1:22" ht="15" customHeight="1" x14ac:dyDescent="0.25">
      <c r="A4" s="2"/>
      <c r="B4" s="23" t="s">
        <v>2</v>
      </c>
      <c r="C4" s="24"/>
      <c r="D4" s="24"/>
      <c r="E4" s="54" t="s">
        <v>2</v>
      </c>
      <c r="F4" s="55"/>
      <c r="G4" s="56"/>
      <c r="H4" s="2"/>
      <c r="I4" s="2"/>
      <c r="J4" s="2"/>
      <c r="K4" s="101" t="s">
        <v>22</v>
      </c>
      <c r="L4" s="102" t="s">
        <v>23</v>
      </c>
      <c r="M4" s="103" t="s">
        <v>70</v>
      </c>
      <c r="N4" s="104" t="s">
        <v>71</v>
      </c>
      <c r="O4" s="76"/>
      <c r="P4" s="2"/>
      <c r="Q4" s="2"/>
      <c r="R4" s="2"/>
      <c r="S4" s="2"/>
      <c r="T4" s="2"/>
      <c r="U4" s="2"/>
      <c r="V4" s="2"/>
    </row>
    <row r="5" spans="1:22" ht="15.75" customHeight="1" x14ac:dyDescent="0.25">
      <c r="A5" s="2"/>
      <c r="B5" s="24" t="s">
        <v>105</v>
      </c>
      <c r="C5" s="24">
        <v>21261</v>
      </c>
      <c r="D5" s="24">
        <v>67308</v>
      </c>
      <c r="E5" s="57" t="s">
        <v>121</v>
      </c>
      <c r="F5" s="40">
        <f>4975+79+9448</f>
        <v>14502</v>
      </c>
      <c r="G5" s="24">
        <v>37294</v>
      </c>
      <c r="H5" s="2"/>
      <c r="I5" s="2"/>
      <c r="J5" s="2"/>
      <c r="K5" s="93" t="s">
        <v>63</v>
      </c>
      <c r="L5" s="7"/>
      <c r="M5" s="3"/>
      <c r="N5" s="11"/>
      <c r="O5" s="76"/>
      <c r="P5" s="2"/>
      <c r="Q5" s="2"/>
      <c r="R5" s="2"/>
      <c r="S5" s="2"/>
      <c r="T5" s="2"/>
      <c r="U5" s="2"/>
      <c r="V5" s="2"/>
    </row>
    <row r="6" spans="1:22" ht="16.5" x14ac:dyDescent="0.35">
      <c r="A6" s="2"/>
      <c r="B6" s="24" t="s">
        <v>104</v>
      </c>
      <c r="C6" s="40">
        <v>14701</v>
      </c>
      <c r="D6" s="40">
        <f>29299+8130</f>
        <v>37429</v>
      </c>
      <c r="E6" s="57" t="s">
        <v>122</v>
      </c>
      <c r="F6" s="28">
        <v>11657</v>
      </c>
      <c r="G6" s="28">
        <v>41712</v>
      </c>
      <c r="H6" s="2"/>
      <c r="I6" s="2"/>
      <c r="J6" s="2"/>
      <c r="K6" s="4" t="s">
        <v>47</v>
      </c>
      <c r="L6" s="8" t="s">
        <v>24</v>
      </c>
      <c r="M6" s="12">
        <f>C8/F7</f>
        <v>1.7082457280477084</v>
      </c>
      <c r="N6" s="13">
        <f>D8/G7</f>
        <v>1.352669417512594</v>
      </c>
      <c r="O6" s="78"/>
      <c r="P6" s="2"/>
      <c r="Q6" s="2"/>
      <c r="R6" s="2"/>
      <c r="S6" s="2"/>
      <c r="T6" s="2"/>
      <c r="U6" s="2"/>
      <c r="V6" s="2"/>
    </row>
    <row r="7" spans="1:22" ht="16.5" x14ac:dyDescent="0.35">
      <c r="A7" s="2"/>
      <c r="B7" s="24" t="s">
        <v>103</v>
      </c>
      <c r="C7" s="39">
        <v>8724</v>
      </c>
      <c r="D7" s="39">
        <v>2132</v>
      </c>
      <c r="E7" s="57"/>
      <c r="F7" s="27">
        <f>SUM(F5:F6)</f>
        <v>26159</v>
      </c>
      <c r="G7" s="27">
        <f>SUM(G5:G6)</f>
        <v>79006</v>
      </c>
      <c r="H7" s="2"/>
      <c r="I7" s="2"/>
      <c r="J7" s="2"/>
      <c r="K7" s="4" t="s">
        <v>48</v>
      </c>
      <c r="L7" s="8" t="s">
        <v>25</v>
      </c>
      <c r="M7" s="12">
        <f>(C8-C7)/F7</f>
        <v>1.3747467410833747</v>
      </c>
      <c r="N7" s="13">
        <f>(D8-D7)/G7</f>
        <v>1.3256841252563096</v>
      </c>
      <c r="O7" s="78"/>
      <c r="P7" s="2"/>
      <c r="Q7" s="2"/>
      <c r="R7" s="2"/>
      <c r="S7" s="2"/>
      <c r="T7" s="2"/>
      <c r="U7" s="2"/>
      <c r="V7" s="2"/>
    </row>
    <row r="8" spans="1:22" x14ac:dyDescent="0.25">
      <c r="A8" s="2"/>
      <c r="B8" s="24"/>
      <c r="C8" s="35">
        <f>SUM(C5:C7)</f>
        <v>44686</v>
      </c>
      <c r="D8" s="35">
        <f>SUM(D5:D7)</f>
        <v>106869</v>
      </c>
      <c r="E8" s="57"/>
      <c r="F8" s="24"/>
      <c r="G8" s="24"/>
      <c r="H8" s="2"/>
      <c r="I8" s="2"/>
      <c r="J8" s="2"/>
      <c r="K8" s="4" t="s">
        <v>49</v>
      </c>
      <c r="L8" s="8" t="s">
        <v>26</v>
      </c>
      <c r="M8" s="12">
        <f>C5/F7</f>
        <v>0.8127604266218128</v>
      </c>
      <c r="N8" s="13">
        <f>D5/G7</f>
        <v>0.8519352960534643</v>
      </c>
      <c r="O8" s="77"/>
      <c r="P8" s="2"/>
      <c r="Q8" s="2"/>
      <c r="R8" s="2"/>
      <c r="S8" s="2"/>
      <c r="T8" s="2"/>
      <c r="U8" s="2"/>
      <c r="V8" s="2"/>
    </row>
    <row r="9" spans="1:22" x14ac:dyDescent="0.25">
      <c r="A9" s="2"/>
      <c r="B9" s="23" t="s">
        <v>3</v>
      </c>
      <c r="C9" s="24"/>
      <c r="D9" s="24"/>
      <c r="E9" s="54" t="s">
        <v>3</v>
      </c>
      <c r="F9" s="24"/>
      <c r="G9" s="27"/>
      <c r="H9" s="2"/>
      <c r="I9" s="2"/>
      <c r="J9" s="2"/>
      <c r="K9" s="5" t="s">
        <v>50</v>
      </c>
      <c r="L9" s="9" t="s">
        <v>27</v>
      </c>
      <c r="M9" s="14">
        <f>(C8+C10)/(F7+F10)</f>
        <v>0.3744135393504433</v>
      </c>
      <c r="N9" s="15">
        <f>(D8+D10)/(G7+G10)</f>
        <v>0.59774500224879423</v>
      </c>
      <c r="O9" s="77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6" t="s">
        <v>116</v>
      </c>
      <c r="C10" s="24">
        <v>21152</v>
      </c>
      <c r="D10" s="24">
        <v>8757</v>
      </c>
      <c r="E10" s="57" t="s">
        <v>123</v>
      </c>
      <c r="F10" s="27">
        <v>149684</v>
      </c>
      <c r="G10" s="27">
        <v>114431</v>
      </c>
      <c r="H10" s="2"/>
      <c r="I10" s="2"/>
      <c r="J10" s="2"/>
      <c r="K10" s="93" t="s">
        <v>64</v>
      </c>
      <c r="L10" s="10"/>
      <c r="M10" s="12"/>
      <c r="N10" s="13"/>
      <c r="O10" s="77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4" t="s">
        <v>117</v>
      </c>
      <c r="C11" s="24">
        <v>3566</v>
      </c>
      <c r="D11" s="24">
        <v>170430</v>
      </c>
      <c r="E11" s="1"/>
      <c r="F11" s="1"/>
      <c r="G11" s="1"/>
      <c r="H11" s="2"/>
      <c r="I11" s="2"/>
      <c r="J11" s="2"/>
      <c r="K11" s="4" t="s">
        <v>41</v>
      </c>
      <c r="L11" s="8" t="s">
        <v>35</v>
      </c>
      <c r="M11" s="12">
        <f>(F7+F10)/F17</f>
        <v>0.66941651661140322</v>
      </c>
      <c r="N11" s="13">
        <f>(G7+G10)/G17</f>
        <v>0.60132240756514121</v>
      </c>
      <c r="O11" s="78"/>
      <c r="P11" s="46"/>
      <c r="Q11" s="46"/>
      <c r="R11" s="2"/>
      <c r="S11" s="2"/>
      <c r="T11" s="2"/>
      <c r="U11" s="2"/>
      <c r="V11" s="2"/>
    </row>
    <row r="12" spans="1:22" x14ac:dyDescent="0.25">
      <c r="A12" s="2"/>
      <c r="B12" s="24" t="s">
        <v>118</v>
      </c>
      <c r="C12" s="24">
        <v>189745</v>
      </c>
      <c r="D12" s="24">
        <v>27010</v>
      </c>
      <c r="E12" s="27" t="s">
        <v>4</v>
      </c>
      <c r="F12" s="24"/>
      <c r="G12" s="27"/>
      <c r="H12" s="2"/>
      <c r="I12" s="2"/>
      <c r="J12" s="2"/>
      <c r="K12" s="4" t="s">
        <v>42</v>
      </c>
      <c r="L12" s="8" t="s">
        <v>36</v>
      </c>
      <c r="M12" s="12">
        <f>F15/F17</f>
        <v>0.33058348338859683</v>
      </c>
      <c r="N12" s="13">
        <f>G15/G17</f>
        <v>0.39867759243485884</v>
      </c>
      <c r="O12" s="77"/>
      <c r="P12" s="67"/>
      <c r="Q12" s="67"/>
      <c r="R12" s="2"/>
      <c r="S12" s="2"/>
      <c r="T12" s="2"/>
      <c r="U12" s="2"/>
      <c r="V12" s="2"/>
    </row>
    <row r="13" spans="1:22" x14ac:dyDescent="0.25">
      <c r="A13" s="2"/>
      <c r="B13" s="24" t="s">
        <v>119</v>
      </c>
      <c r="C13" s="24">
        <v>3532</v>
      </c>
      <c r="D13" s="24">
        <v>8620</v>
      </c>
      <c r="E13" s="24" t="s">
        <v>124</v>
      </c>
      <c r="F13" s="24">
        <v>68477</v>
      </c>
      <c r="G13" s="24">
        <v>32144</v>
      </c>
      <c r="H13" s="2"/>
      <c r="I13" s="2"/>
      <c r="J13" s="2"/>
      <c r="K13" s="4" t="s">
        <v>43</v>
      </c>
      <c r="L13" s="8" t="s">
        <v>37</v>
      </c>
      <c r="M13" s="12">
        <f>M12/M11</f>
        <v>0.49383825344199084</v>
      </c>
      <c r="N13" s="13">
        <f>N12/N11</f>
        <v>0.66300139063364294</v>
      </c>
      <c r="O13" s="77"/>
      <c r="P13" s="2"/>
      <c r="Q13" s="2"/>
      <c r="R13" s="2"/>
      <c r="S13" s="2"/>
      <c r="T13" s="2"/>
      <c r="U13" s="2"/>
      <c r="V13" s="2"/>
    </row>
    <row r="14" spans="1:22" ht="16.5" x14ac:dyDescent="0.35">
      <c r="A14" s="2"/>
      <c r="B14" s="24"/>
      <c r="C14" s="24"/>
      <c r="D14" s="24"/>
      <c r="E14" s="24" t="s">
        <v>125</v>
      </c>
      <c r="F14" s="28">
        <v>18361</v>
      </c>
      <c r="G14" s="28">
        <v>96105</v>
      </c>
      <c r="H14" s="2"/>
      <c r="I14" s="2"/>
      <c r="J14" s="2"/>
      <c r="K14" s="4" t="s">
        <v>44</v>
      </c>
      <c r="L14" s="9" t="s">
        <v>38</v>
      </c>
      <c r="M14" s="12">
        <f>F7/(F7+F10)</f>
        <v>0.14876338552003776</v>
      </c>
      <c r="N14" s="13">
        <f>G7/(G7+G10)</f>
        <v>0.40843271969685219</v>
      </c>
      <c r="O14" s="77"/>
      <c r="P14" s="2"/>
      <c r="Q14" s="2"/>
      <c r="R14" s="2"/>
      <c r="S14" s="2"/>
      <c r="T14" s="2"/>
      <c r="U14" s="2"/>
      <c r="V14" s="2"/>
    </row>
    <row r="15" spans="1:22" ht="12.6" customHeight="1" x14ac:dyDescent="0.25">
      <c r="A15" s="2"/>
      <c r="B15" s="24"/>
      <c r="C15" s="24"/>
      <c r="D15" s="24"/>
      <c r="E15" s="24"/>
      <c r="F15" s="27">
        <f>SUM(F13:F14)</f>
        <v>86838</v>
      </c>
      <c r="G15" s="27">
        <f>SUM(G13:G14)</f>
        <v>128249</v>
      </c>
      <c r="H15" s="2"/>
      <c r="I15" s="2"/>
      <c r="J15" s="2"/>
      <c r="K15" s="136" t="s">
        <v>65</v>
      </c>
      <c r="L15" s="137"/>
      <c r="M15" s="138"/>
      <c r="N15" s="139"/>
      <c r="O15" s="77"/>
      <c r="P15" s="2"/>
      <c r="Q15" s="2"/>
      <c r="R15" s="2"/>
      <c r="S15" s="2"/>
      <c r="T15" s="2"/>
      <c r="U15" s="2"/>
      <c r="V15" s="2"/>
    </row>
    <row r="16" spans="1:22" ht="15" customHeight="1" x14ac:dyDescent="0.25">
      <c r="A16" s="2"/>
      <c r="B16" s="24"/>
      <c r="C16" s="24"/>
      <c r="D16" s="24"/>
      <c r="E16" s="1"/>
      <c r="F16" s="1"/>
      <c r="G16" s="1"/>
      <c r="H16" s="2"/>
      <c r="I16" s="2"/>
      <c r="J16" s="2"/>
      <c r="K16" s="140" t="s">
        <v>75</v>
      </c>
      <c r="L16" s="141" t="s">
        <v>76</v>
      </c>
      <c r="M16" s="142">
        <f>M17*M18</f>
        <v>5.7867909855386639E-2</v>
      </c>
      <c r="N16" s="143">
        <f>N17*N18</f>
        <v>0.17118888716982195</v>
      </c>
      <c r="O16" s="77"/>
      <c r="P16" s="45"/>
      <c r="Q16" s="45"/>
      <c r="R16" s="2"/>
      <c r="S16" s="2"/>
      <c r="T16" s="2"/>
      <c r="U16" s="2"/>
      <c r="V16" s="2"/>
    </row>
    <row r="17" spans="1:22" x14ac:dyDescent="0.25">
      <c r="A17" s="2"/>
      <c r="B17" s="29" t="s">
        <v>19</v>
      </c>
      <c r="C17" s="36">
        <f>SUM(C8:C16)</f>
        <v>262681</v>
      </c>
      <c r="D17" s="36">
        <f>SUM(D8:D16)</f>
        <v>321686</v>
      </c>
      <c r="E17" s="58" t="s">
        <v>19</v>
      </c>
      <c r="F17" s="36">
        <f>F15+F10+F7</f>
        <v>262681</v>
      </c>
      <c r="G17" s="36">
        <f>G15+G10+G7</f>
        <v>321686</v>
      </c>
      <c r="H17" s="2"/>
      <c r="I17" s="2"/>
      <c r="J17" s="2"/>
      <c r="K17" s="140" t="s">
        <v>51</v>
      </c>
      <c r="L17" s="141" t="s">
        <v>77</v>
      </c>
      <c r="M17" s="142">
        <f>F46/C23</f>
        <v>0.15755488025627243</v>
      </c>
      <c r="N17" s="143">
        <f>G46/D23</f>
        <v>0.22239720614501915</v>
      </c>
      <c r="O17" s="77"/>
      <c r="P17" s="45"/>
      <c r="Q17" s="45"/>
      <c r="R17" s="2"/>
      <c r="S17" s="2"/>
      <c r="T17" s="2"/>
      <c r="U17" s="2"/>
      <c r="V17" s="2"/>
    </row>
    <row r="18" spans="1:22" x14ac:dyDescent="0.25">
      <c r="A18" s="2"/>
      <c r="B18" s="22"/>
      <c r="C18" s="25"/>
      <c r="D18" s="25"/>
      <c r="E18" s="25"/>
      <c r="F18" s="25"/>
      <c r="G18" s="25"/>
      <c r="H18" s="2"/>
      <c r="I18" s="2"/>
      <c r="J18" s="2"/>
      <c r="K18" s="140" t="s">
        <v>79</v>
      </c>
      <c r="L18" s="141" t="s">
        <v>78</v>
      </c>
      <c r="M18" s="144">
        <f>C23/F38</f>
        <v>0.36728732084503524</v>
      </c>
      <c r="N18" s="145">
        <f>D23/G38</f>
        <v>0.76974387465188898</v>
      </c>
      <c r="O18" s="77"/>
      <c r="P18" s="45"/>
      <c r="Q18" s="45"/>
      <c r="R18" s="2"/>
      <c r="S18" s="2"/>
      <c r="T18" s="2"/>
      <c r="U18" s="2"/>
      <c r="V18" s="2"/>
    </row>
    <row r="19" spans="1:22" ht="18" x14ac:dyDescent="0.25">
      <c r="A19" s="2"/>
      <c r="B19" s="134" t="s">
        <v>126</v>
      </c>
      <c r="C19" s="134"/>
      <c r="D19" s="134"/>
      <c r="E19" s="2"/>
      <c r="F19" s="2"/>
      <c r="G19" s="2"/>
      <c r="H19" s="2"/>
      <c r="I19" s="2"/>
      <c r="J19" s="2"/>
      <c r="K19" s="140" t="s">
        <v>95</v>
      </c>
      <c r="L19" s="141" t="s">
        <v>76</v>
      </c>
      <c r="M19" s="142">
        <f>F46/F38</f>
        <v>5.7867909855386639E-2</v>
      </c>
      <c r="N19" s="143">
        <f>G46/G38</f>
        <v>0.17118888716982195</v>
      </c>
      <c r="O19" s="77"/>
      <c r="P19" s="45"/>
      <c r="Q19" s="45"/>
      <c r="R19" s="2"/>
      <c r="S19" s="2"/>
      <c r="T19" s="2"/>
      <c r="U19" s="2"/>
      <c r="V19" s="2"/>
    </row>
    <row r="20" spans="1:22" ht="18" x14ac:dyDescent="0.25">
      <c r="A20" s="2"/>
      <c r="B20" s="134" t="s">
        <v>127</v>
      </c>
      <c r="C20" s="134"/>
      <c r="D20" s="134"/>
      <c r="E20" s="2"/>
      <c r="F20" s="2"/>
      <c r="G20" s="2"/>
      <c r="H20" s="2"/>
      <c r="I20" s="2"/>
      <c r="J20" s="2"/>
      <c r="K20" s="140" t="s">
        <v>80</v>
      </c>
      <c r="L20" s="141" t="s">
        <v>81</v>
      </c>
      <c r="M20" s="142">
        <f>F47/F37</f>
        <v>7.3799488703102337E-2</v>
      </c>
      <c r="N20" s="143">
        <f>G47/G37</f>
        <v>0.35623669580269629</v>
      </c>
      <c r="O20" s="77"/>
      <c r="P20" s="45"/>
      <c r="Q20" s="45"/>
      <c r="R20" s="2"/>
      <c r="S20" s="2"/>
      <c r="T20" s="2"/>
      <c r="U20" s="2"/>
      <c r="V20" s="2"/>
    </row>
    <row r="21" spans="1:22" x14ac:dyDescent="0.25">
      <c r="A21" s="2"/>
      <c r="B21" s="135" t="s">
        <v>120</v>
      </c>
      <c r="C21" s="135"/>
      <c r="D21" s="135"/>
      <c r="E21" s="43"/>
      <c r="F21" s="47"/>
      <c r="G21" s="2"/>
      <c r="H21" s="2"/>
      <c r="I21" s="2"/>
      <c r="J21" s="2"/>
      <c r="K21" s="146" t="s">
        <v>82</v>
      </c>
      <c r="L21" s="147" t="s">
        <v>83</v>
      </c>
      <c r="M21" s="148">
        <f>M20/M19</f>
        <v>1.2753093880101962</v>
      </c>
      <c r="N21" s="149">
        <f>N20/N19</f>
        <v>2.0809568990848346</v>
      </c>
      <c r="O21" s="77"/>
      <c r="P21" s="2"/>
      <c r="Q21" s="2"/>
      <c r="R21" s="2"/>
      <c r="S21" s="2"/>
      <c r="T21" s="2"/>
      <c r="U21" s="2"/>
      <c r="V21" s="2"/>
    </row>
    <row r="22" spans="1:22" ht="15.75" x14ac:dyDescent="0.25">
      <c r="A22" s="2"/>
      <c r="B22" s="99" t="s">
        <v>5</v>
      </c>
      <c r="C22" s="100" t="s">
        <v>70</v>
      </c>
      <c r="D22" s="100" t="s">
        <v>71</v>
      </c>
      <c r="E22" s="105" t="s">
        <v>69</v>
      </c>
      <c r="F22" s="106">
        <v>13300</v>
      </c>
      <c r="G22" s="106">
        <v>5400</v>
      </c>
      <c r="H22" s="2"/>
      <c r="I22" s="2"/>
      <c r="J22" s="2"/>
      <c r="K22" s="94" t="s">
        <v>66</v>
      </c>
      <c r="L22" s="21"/>
      <c r="M22" s="61"/>
      <c r="N22" s="18"/>
      <c r="O22" s="77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27" t="s">
        <v>106</v>
      </c>
      <c r="C23" s="31">
        <v>91153</v>
      </c>
      <c r="D23" s="31">
        <f>215639+3270</f>
        <v>218909</v>
      </c>
      <c r="E23" s="107" t="s">
        <v>73</v>
      </c>
      <c r="F23" s="108">
        <v>4</v>
      </c>
      <c r="G23" s="108">
        <v>156</v>
      </c>
      <c r="H23" s="2"/>
      <c r="I23" s="2"/>
      <c r="J23" s="2"/>
      <c r="K23" s="4" t="s">
        <v>45</v>
      </c>
      <c r="L23" s="8" t="s">
        <v>39</v>
      </c>
      <c r="M23" s="20">
        <f>C12/C17</f>
        <v>0.72234002459256663</v>
      </c>
      <c r="N23" s="63">
        <f>D12/D17</f>
        <v>8.3963865384256695E-2</v>
      </c>
      <c r="O23" s="78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4" t="s">
        <v>107</v>
      </c>
      <c r="C24" s="32">
        <f>-59439+16000</f>
        <v>-43439</v>
      </c>
      <c r="D24" s="32">
        <f>-10505-120871+3270+10505</f>
        <v>-117601</v>
      </c>
      <c r="E24" s="107" t="s">
        <v>94</v>
      </c>
      <c r="F24" s="106">
        <f>F23*F22</f>
        <v>53200</v>
      </c>
      <c r="G24" s="106">
        <f>G23*G22</f>
        <v>842400</v>
      </c>
      <c r="H24" s="2"/>
      <c r="I24" s="2"/>
      <c r="J24" s="2"/>
      <c r="K24" s="5" t="s">
        <v>46</v>
      </c>
      <c r="L24" s="9" t="s">
        <v>40</v>
      </c>
      <c r="M24" s="79">
        <f>-C12/C25</f>
        <v>11.8590625</v>
      </c>
      <c r="N24" s="80">
        <f>-D12/D25</f>
        <v>2.5711565920990003</v>
      </c>
      <c r="O24" s="78"/>
      <c r="P24" s="2"/>
      <c r="Q24" s="2"/>
      <c r="R24" s="2"/>
      <c r="S24" s="2"/>
      <c r="T24" s="2"/>
      <c r="U24" s="2"/>
      <c r="V24" s="2"/>
    </row>
    <row r="25" spans="1:22" ht="17.25" x14ac:dyDescent="0.35">
      <c r="A25" s="2"/>
      <c r="B25" s="24" t="s">
        <v>108</v>
      </c>
      <c r="C25" s="33">
        <v>-16000</v>
      </c>
      <c r="D25" s="33">
        <v>-10505</v>
      </c>
      <c r="E25" s="107" t="s">
        <v>93</v>
      </c>
      <c r="F25" s="108">
        <f>C33/F22</f>
        <v>0.4818796992481203</v>
      </c>
      <c r="G25" s="108">
        <f>D33/G22</f>
        <v>8.4605555555555547</v>
      </c>
      <c r="H25" s="2"/>
      <c r="I25" s="2"/>
      <c r="J25" s="2"/>
      <c r="K25" s="93" t="s">
        <v>67</v>
      </c>
      <c r="L25" s="7"/>
      <c r="M25" s="62"/>
      <c r="N25" s="19"/>
      <c r="O25" s="77"/>
      <c r="P25" s="2"/>
      <c r="Q25" s="2"/>
      <c r="R25" s="2" t="s">
        <v>96</v>
      </c>
      <c r="S25" s="2" t="s">
        <v>71</v>
      </c>
      <c r="T25" s="2"/>
      <c r="U25" s="2"/>
      <c r="V25" s="2"/>
    </row>
    <row r="26" spans="1:22" x14ac:dyDescent="0.25">
      <c r="A26" s="2"/>
      <c r="B26" s="23" t="s">
        <v>109</v>
      </c>
      <c r="C26" s="34">
        <f>SUM(C23:C25)</f>
        <v>31714</v>
      </c>
      <c r="D26" s="34">
        <f>SUM(D23:D25)</f>
        <v>90803</v>
      </c>
      <c r="E26" s="109" t="s">
        <v>74</v>
      </c>
      <c r="F26" s="110">
        <v>2.75</v>
      </c>
      <c r="G26" s="110">
        <v>1.43</v>
      </c>
      <c r="H26" s="2"/>
      <c r="I26" s="2"/>
      <c r="J26" s="2"/>
      <c r="K26" s="4" t="s">
        <v>52</v>
      </c>
      <c r="L26" s="8" t="s">
        <v>60</v>
      </c>
      <c r="M26" s="91">
        <f>C7/-C24*360</f>
        <v>72.300006906236334</v>
      </c>
      <c r="N26" s="92">
        <f>D7/-D24*360</f>
        <v>6.5264751150075249</v>
      </c>
      <c r="O26" s="78"/>
      <c r="P26" s="2"/>
      <c r="Q26" s="2" t="s">
        <v>11</v>
      </c>
      <c r="R26" s="68">
        <f>C33</f>
        <v>6409</v>
      </c>
      <c r="S26" s="68">
        <f>D33</f>
        <v>45687</v>
      </c>
      <c r="T26" s="2"/>
      <c r="U26" s="2"/>
      <c r="V26" s="2"/>
    </row>
    <row r="27" spans="1:22" x14ac:dyDescent="0.25">
      <c r="A27" s="2"/>
      <c r="B27" s="24" t="s">
        <v>110</v>
      </c>
      <c r="C27" s="32">
        <f>-3187-3076</f>
        <v>-6263</v>
      </c>
      <c r="D27" s="32">
        <v>-14194</v>
      </c>
      <c r="E27" s="109" t="s">
        <v>86</v>
      </c>
      <c r="F27" s="111">
        <v>2.1999999999999999E-2</v>
      </c>
      <c r="G27" s="111">
        <v>2.1999999999999999E-2</v>
      </c>
      <c r="H27" s="2"/>
      <c r="I27" s="2"/>
      <c r="J27" s="2"/>
      <c r="K27" s="4" t="s">
        <v>53</v>
      </c>
      <c r="L27" s="8" t="s">
        <v>61</v>
      </c>
      <c r="M27" s="91">
        <f>C6/C23*360</f>
        <v>58.060184524919642</v>
      </c>
      <c r="N27" s="92">
        <f>D6/D23*360</f>
        <v>61.55269998035714</v>
      </c>
      <c r="O27" s="77"/>
      <c r="P27" s="2"/>
      <c r="Q27" s="2" t="s">
        <v>29</v>
      </c>
      <c r="R27" s="68">
        <f>F15</f>
        <v>86838</v>
      </c>
      <c r="S27" s="68">
        <f>G15</f>
        <v>128249</v>
      </c>
      <c r="T27" s="2"/>
      <c r="U27" s="2"/>
      <c r="V27" s="2"/>
    </row>
    <row r="28" spans="1:22" x14ac:dyDescent="0.25">
      <c r="A28" s="2"/>
      <c r="B28" s="24" t="s">
        <v>111</v>
      </c>
      <c r="C28" s="32">
        <v>-844</v>
      </c>
      <c r="D28" s="32">
        <v>-10045</v>
      </c>
      <c r="E28" s="109" t="s">
        <v>87</v>
      </c>
      <c r="F28" s="111">
        <v>8.2000000000000003E-2</v>
      </c>
      <c r="G28" s="111">
        <v>8.2000000000000003E-2</v>
      </c>
      <c r="H28" s="2"/>
      <c r="I28" s="2"/>
      <c r="J28" s="2"/>
      <c r="K28" s="4" t="s">
        <v>54</v>
      </c>
      <c r="L28" s="8" t="s">
        <v>28</v>
      </c>
      <c r="M28" s="91">
        <f>M27+M26</f>
        <v>130.36019143115598</v>
      </c>
      <c r="N28" s="92">
        <f>N27+N26</f>
        <v>68.079175095364661</v>
      </c>
      <c r="O28" s="78"/>
      <c r="P28" s="2"/>
      <c r="Q28" s="2" t="s">
        <v>30</v>
      </c>
      <c r="R28" s="68">
        <f>C8</f>
        <v>44686</v>
      </c>
      <c r="S28" s="68">
        <f>D8</f>
        <v>106869</v>
      </c>
      <c r="T28" s="2"/>
      <c r="U28" s="2"/>
      <c r="V28" s="2"/>
    </row>
    <row r="29" spans="1:22" x14ac:dyDescent="0.25">
      <c r="A29" s="2"/>
      <c r="B29" s="26" t="s">
        <v>112</v>
      </c>
      <c r="C29" s="32">
        <f>-11584+1244-1710</f>
        <v>-12050</v>
      </c>
      <c r="D29" s="32">
        <v>-3997</v>
      </c>
      <c r="E29" s="109" t="s">
        <v>89</v>
      </c>
      <c r="F29" s="112">
        <f>F27+F26*(F28-F27)</f>
        <v>0.187</v>
      </c>
      <c r="G29" s="112">
        <f>G27+G26*(G28-G27)</f>
        <v>0.10780000000000001</v>
      </c>
      <c r="H29" s="2"/>
      <c r="I29" s="2"/>
      <c r="J29" s="2"/>
      <c r="K29" s="4" t="s">
        <v>55</v>
      </c>
      <c r="L29" s="8" t="s">
        <v>62</v>
      </c>
      <c r="M29" s="91">
        <f>F5/-C24*360</f>
        <v>120.18508713368172</v>
      </c>
      <c r="N29" s="92">
        <f>G5/-D24*360</f>
        <v>114.16433533728456</v>
      </c>
      <c r="O29" s="78"/>
      <c r="P29" s="2"/>
      <c r="Q29" s="2" t="s">
        <v>31</v>
      </c>
      <c r="R29" s="68">
        <f>C10</f>
        <v>21152</v>
      </c>
      <c r="S29" s="68">
        <f>D10</f>
        <v>8757</v>
      </c>
      <c r="T29" s="2"/>
      <c r="U29" s="2"/>
      <c r="V29" s="2"/>
    </row>
    <row r="30" spans="1:22" ht="17.25" thickBot="1" x14ac:dyDescent="0.4">
      <c r="A30" s="2"/>
      <c r="B30" s="24" t="s">
        <v>113</v>
      </c>
      <c r="C30" s="33">
        <v>-2847</v>
      </c>
      <c r="D30" s="33">
        <v>-1650.9999999999982</v>
      </c>
      <c r="E30" s="109" t="s">
        <v>88</v>
      </c>
      <c r="F30" s="111">
        <v>4.9299999999999997E-2</v>
      </c>
      <c r="G30" s="111">
        <v>1.9199999999999998E-2</v>
      </c>
      <c r="H30" s="2"/>
      <c r="I30" s="2"/>
      <c r="J30" s="2"/>
      <c r="K30" s="4" t="s">
        <v>56</v>
      </c>
      <c r="L30" s="8" t="s">
        <v>58</v>
      </c>
      <c r="M30" s="91">
        <f>M29-M28</f>
        <v>-10.175104297474263</v>
      </c>
      <c r="N30" s="92">
        <f>N29-N28</f>
        <v>46.085160241919894</v>
      </c>
      <c r="O30" s="77"/>
      <c r="P30" s="2"/>
      <c r="Q30" s="2" t="s">
        <v>18</v>
      </c>
      <c r="R30" s="68">
        <f>F10</f>
        <v>149684</v>
      </c>
      <c r="S30" s="68">
        <f>G10</f>
        <v>114431</v>
      </c>
      <c r="T30" s="2"/>
      <c r="U30" s="2"/>
      <c r="V30" s="2"/>
    </row>
    <row r="31" spans="1:22" x14ac:dyDescent="0.25">
      <c r="A31" s="2"/>
      <c r="B31" s="23" t="s">
        <v>114</v>
      </c>
      <c r="C31" s="34">
        <f>SUM(C26:C30)</f>
        <v>9710</v>
      </c>
      <c r="D31" s="34">
        <f>SUM(D26:D30)</f>
        <v>60916</v>
      </c>
      <c r="E31" s="109" t="s">
        <v>98</v>
      </c>
      <c r="F31" s="113">
        <f>F15/F22</f>
        <v>6.5291729323308267</v>
      </c>
      <c r="G31" s="113">
        <f>G15/G22</f>
        <v>23.749814814814815</v>
      </c>
      <c r="H31" s="2"/>
      <c r="I31" s="2"/>
      <c r="J31" s="2"/>
      <c r="K31" s="95" t="s">
        <v>68</v>
      </c>
      <c r="L31" s="125" t="s">
        <v>57</v>
      </c>
      <c r="M31" s="127">
        <f>0.05*C33/F15+1.65*(C8+C10)/(F7+F10)+3.55*(C8-C7)/F7-1.06*C8/F7-0.33*(F7+F10)/F15</f>
        <v>3.0228480145023107</v>
      </c>
      <c r="N31" s="129">
        <f>0.05*D33/G15+1.65*(D8+D10)/(G7+G10)+3.55*(D8-D7)/G7-1.06*D8/G7-0.33*(G7+G10)/G15</f>
        <v>3.7787036380317942</v>
      </c>
      <c r="O31" s="77"/>
      <c r="P31" s="2"/>
      <c r="Q31" s="2" t="s">
        <v>32</v>
      </c>
      <c r="R31" s="68">
        <f>C7</f>
        <v>8724</v>
      </c>
      <c r="S31" s="68">
        <f>D7</f>
        <v>2132</v>
      </c>
      <c r="T31" s="2"/>
      <c r="U31" s="2"/>
      <c r="V31" s="2"/>
    </row>
    <row r="32" spans="1:22" ht="17.25" thickBot="1" x14ac:dyDescent="0.4">
      <c r="A32" s="2"/>
      <c r="B32" s="26" t="s">
        <v>102</v>
      </c>
      <c r="C32" s="33">
        <f>ROUND(-C31*0.34,0)</f>
        <v>-3301</v>
      </c>
      <c r="D32" s="33">
        <f>ROUND(-D31*0.25,0)</f>
        <v>-15229</v>
      </c>
      <c r="E32" s="109" t="s">
        <v>101</v>
      </c>
      <c r="F32" s="114">
        <v>0.34</v>
      </c>
      <c r="G32" s="114">
        <v>0.25</v>
      </c>
      <c r="H32" s="2"/>
      <c r="I32" s="2"/>
      <c r="J32" s="2"/>
      <c r="K32" s="6" t="s">
        <v>59</v>
      </c>
      <c r="L32" s="126"/>
      <c r="M32" s="128"/>
      <c r="N32" s="130"/>
      <c r="O32" s="77"/>
      <c r="P32" s="2"/>
      <c r="Q32" s="2" t="s">
        <v>33</v>
      </c>
      <c r="R32" s="68">
        <f>F7</f>
        <v>26159</v>
      </c>
      <c r="S32" s="68">
        <f>G7</f>
        <v>79006</v>
      </c>
      <c r="T32" s="2"/>
      <c r="U32" s="2"/>
      <c r="V32" s="2"/>
    </row>
    <row r="33" spans="1:22" x14ac:dyDescent="0.25">
      <c r="A33" s="2"/>
      <c r="B33" s="30" t="s">
        <v>115</v>
      </c>
      <c r="C33" s="30">
        <f>C32+C31</f>
        <v>6409</v>
      </c>
      <c r="D33" s="30">
        <f>D32+D31</f>
        <v>45687</v>
      </c>
      <c r="E33" s="110"/>
      <c r="F33" s="112"/>
      <c r="G33" s="112"/>
      <c r="H33" s="2"/>
      <c r="I33" s="2"/>
      <c r="J33" s="2"/>
      <c r="K33" s="64"/>
      <c r="L33" s="2"/>
      <c r="M33" s="2"/>
      <c r="N33" s="2"/>
      <c r="O33" s="2"/>
      <c r="P33" s="2"/>
      <c r="Q33" s="2"/>
      <c r="R33" s="2"/>
      <c r="S33" s="68"/>
      <c r="T33" s="2"/>
      <c r="U33" s="2"/>
      <c r="V33" s="2"/>
    </row>
    <row r="34" spans="1:22" x14ac:dyDescent="0.25">
      <c r="A34" s="2"/>
      <c r="B34" s="2"/>
      <c r="C34" s="2"/>
      <c r="D34" s="2"/>
      <c r="E34" s="110"/>
      <c r="F34" s="110"/>
      <c r="G34" s="110"/>
      <c r="H34" s="2"/>
      <c r="I34" s="2"/>
      <c r="J34" s="2"/>
      <c r="K34" s="65"/>
      <c r="L34" s="65"/>
      <c r="M34" s="66"/>
      <c r="N34" s="66"/>
      <c r="O34" s="66"/>
      <c r="P34" s="2"/>
      <c r="Q34" s="2" t="s">
        <v>34</v>
      </c>
      <c r="R34" s="46">
        <f>0.05*R26/R27+1.65*(R28+R29)/(R32+R30)+3.55*(R28-R31)/R32-1.06*R28/R32-0.33*(R32+R30)/R27</f>
        <v>3.0228480145023107</v>
      </c>
      <c r="S34" s="46">
        <f>0.05*S26/S27+1.65*(S28+S29)/(S32+S30)+3.55*(S28-S31)/S32-1.06*S28/S32-0.33*(S32+S30)/S27</f>
        <v>3.7787036380317942</v>
      </c>
      <c r="T34" s="2"/>
      <c r="U34" s="2"/>
      <c r="V34" s="2"/>
    </row>
    <row r="35" spans="1:22" x14ac:dyDescent="0.25">
      <c r="A35" s="2"/>
      <c r="B35" s="43" t="s">
        <v>69</v>
      </c>
      <c r="C35" s="84">
        <v>13300</v>
      </c>
      <c r="D35" s="84">
        <v>5400</v>
      </c>
      <c r="E35" s="110"/>
      <c r="F35" s="110"/>
      <c r="G35" s="110"/>
      <c r="H35" s="2"/>
      <c r="I35" s="2"/>
      <c r="J35" s="2"/>
      <c r="K35" s="65"/>
      <c r="L35" s="65"/>
      <c r="M35" s="66"/>
      <c r="N35" s="66"/>
      <c r="O35" s="66"/>
      <c r="P35" s="2"/>
      <c r="Q35" s="2"/>
      <c r="R35" s="2"/>
      <c r="S35" s="68"/>
      <c r="T35" s="2"/>
      <c r="U35" s="2"/>
      <c r="V35" s="2"/>
    </row>
    <row r="36" spans="1:22" x14ac:dyDescent="0.25">
      <c r="A36" s="2"/>
      <c r="B36" s="43" t="s">
        <v>73</v>
      </c>
      <c r="C36" s="46">
        <v>4</v>
      </c>
      <c r="D36" s="46">
        <v>156</v>
      </c>
      <c r="E36" s="115" t="s">
        <v>6</v>
      </c>
      <c r="F36" s="116">
        <f>F6+F10</f>
        <v>161341</v>
      </c>
      <c r="G36" s="116">
        <f>G6+G10</f>
        <v>156143</v>
      </c>
      <c r="H36" s="2"/>
      <c r="I36" s="2"/>
      <c r="J36" s="2"/>
      <c r="K36" s="65"/>
      <c r="L36" s="65"/>
      <c r="M36" s="66"/>
      <c r="N36" s="66"/>
      <c r="O36" s="66"/>
      <c r="P36" s="2"/>
      <c r="Q36" s="2"/>
      <c r="R36" s="2"/>
      <c r="S36" s="68"/>
      <c r="T36" s="2"/>
      <c r="U36" s="2"/>
      <c r="V36" s="2"/>
    </row>
    <row r="37" spans="1:22" x14ac:dyDescent="0.25">
      <c r="A37" s="2"/>
      <c r="B37" s="43" t="s">
        <v>94</v>
      </c>
      <c r="C37" s="84">
        <v>53200</v>
      </c>
      <c r="D37" s="84">
        <v>842400</v>
      </c>
      <c r="E37" s="115" t="s">
        <v>7</v>
      </c>
      <c r="F37" s="116">
        <f>F15</f>
        <v>86838</v>
      </c>
      <c r="G37" s="116">
        <f>G15</f>
        <v>128249</v>
      </c>
      <c r="H37" s="2"/>
      <c r="I37" s="2"/>
      <c r="J37" s="2"/>
      <c r="K37" s="65"/>
      <c r="L37" s="65"/>
      <c r="M37" s="66"/>
      <c r="N37" s="66"/>
      <c r="O37" s="66"/>
      <c r="P37" s="2"/>
      <c r="Q37" s="2"/>
      <c r="R37" s="2"/>
      <c r="S37" s="68"/>
      <c r="T37" s="2"/>
      <c r="U37" s="2"/>
      <c r="V37" s="2"/>
    </row>
    <row r="38" spans="1:22" x14ac:dyDescent="0.25">
      <c r="A38" s="2"/>
      <c r="B38" s="43" t="s">
        <v>93</v>
      </c>
      <c r="C38" s="83">
        <v>0.4818796992481203</v>
      </c>
      <c r="D38" s="83">
        <v>8.4605555555555547</v>
      </c>
      <c r="E38" s="115" t="s">
        <v>84</v>
      </c>
      <c r="F38" s="116">
        <f>F37+F36</f>
        <v>248179</v>
      </c>
      <c r="G38" s="116">
        <f>G37+G36</f>
        <v>284392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8"/>
      <c r="T38" s="2"/>
      <c r="U38" s="2"/>
      <c r="V38" s="2"/>
    </row>
    <row r="39" spans="1:22" x14ac:dyDescent="0.25">
      <c r="A39" s="2"/>
      <c r="B39" s="43" t="s">
        <v>74</v>
      </c>
      <c r="C39" s="46">
        <v>2.75</v>
      </c>
      <c r="D39" s="46">
        <v>1.43</v>
      </c>
      <c r="E39" s="109" t="s">
        <v>85</v>
      </c>
      <c r="F39" s="110">
        <v>2.75</v>
      </c>
      <c r="G39" s="110">
        <v>1.43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43" t="s">
        <v>98</v>
      </c>
      <c r="C40" s="46">
        <v>6.5291729323308267</v>
      </c>
      <c r="D40" s="46">
        <v>23.749814814814815</v>
      </c>
      <c r="E40" s="109" t="s">
        <v>97</v>
      </c>
      <c r="F40" s="114">
        <v>0.34</v>
      </c>
      <c r="G40" s="114">
        <v>0.25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43"/>
      <c r="C41" s="46"/>
      <c r="D41" s="46"/>
      <c r="E41" s="109" t="s">
        <v>12</v>
      </c>
      <c r="F41" s="112">
        <f>-C29/(F36)*0.66</f>
        <v>4.9293112104176869E-2</v>
      </c>
      <c r="G41" s="112">
        <f>-D29/(G36)*0.75</f>
        <v>1.9198747302152513E-2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43"/>
      <c r="C42" s="46"/>
      <c r="D42" s="46"/>
      <c r="E42" s="109" t="s">
        <v>13</v>
      </c>
      <c r="F42" s="112">
        <f>F27+F26*(F28-F27)</f>
        <v>0.187</v>
      </c>
      <c r="G42" s="112">
        <f>G27+G26*(G28-G27)</f>
        <v>0.10780000000000001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43"/>
      <c r="C43" s="83"/>
      <c r="D43" s="83"/>
      <c r="E43" s="115" t="s">
        <v>20</v>
      </c>
      <c r="F43" s="117">
        <f>F36/F38*F41+F37/F38*F42</f>
        <v>9.747684534146725E-2</v>
      </c>
      <c r="G43" s="117">
        <f>G36/G38*G41+G37/G38*G42</f>
        <v>5.915423851585136E-2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43"/>
      <c r="C44" s="46"/>
      <c r="D44" s="46"/>
      <c r="E44" s="109" t="s">
        <v>8</v>
      </c>
      <c r="F44" s="118">
        <f>C31-C29-C25</f>
        <v>37760</v>
      </c>
      <c r="G44" s="118">
        <f>D31-D29-D25</f>
        <v>75418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43"/>
      <c r="C45" s="46"/>
      <c r="D45" s="46"/>
      <c r="E45" s="109" t="s">
        <v>9</v>
      </c>
      <c r="F45" s="118">
        <f>F44+C25</f>
        <v>21760</v>
      </c>
      <c r="G45" s="118">
        <f>G44+D25</f>
        <v>64913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C46" s="71"/>
      <c r="D46" s="71"/>
      <c r="E46" s="115" t="s">
        <v>10</v>
      </c>
      <c r="F46" s="119">
        <f>F45*0.66</f>
        <v>14361.6</v>
      </c>
      <c r="G46" s="119">
        <f>G45*0.75</f>
        <v>48684.75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47"/>
      <c r="D47" s="47"/>
      <c r="E47" s="109" t="s">
        <v>11</v>
      </c>
      <c r="F47" s="118">
        <f>F46+C29*0.66</f>
        <v>6408.6</v>
      </c>
      <c r="G47" s="118">
        <f>G46+D29*0.75</f>
        <v>45687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70"/>
      <c r="D48" s="70"/>
      <c r="E48" s="109" t="s">
        <v>14</v>
      </c>
      <c r="F48" s="120">
        <f>F46/F38</f>
        <v>5.7867909855386639E-2</v>
      </c>
      <c r="G48" s="120">
        <f>G46/G38</f>
        <v>0.17118888716982195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2"/>
      <c r="B49" s="2"/>
      <c r="C49" s="72"/>
      <c r="D49" s="72"/>
      <c r="E49" s="109" t="s">
        <v>15</v>
      </c>
      <c r="F49" s="121">
        <f>F48-F43</f>
        <v>-3.9608935486080611E-2</v>
      </c>
      <c r="G49" s="121">
        <f>G48-G43</f>
        <v>0.11203464865397059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2"/>
      <c r="B50" s="2"/>
      <c r="C50" s="73"/>
      <c r="D50" s="73"/>
      <c r="E50" s="109" t="s">
        <v>16</v>
      </c>
      <c r="F50" s="122">
        <f>F49*F38</f>
        <v>-9830.1059999999998</v>
      </c>
      <c r="G50" s="122">
        <f>G49*G38</f>
        <v>31861.757800000003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C51" s="75"/>
      <c r="D51" s="75"/>
      <c r="E51" s="109" t="s">
        <v>90</v>
      </c>
      <c r="F51" s="122">
        <f>F50/F43</f>
        <v>-100845.54917185253</v>
      </c>
      <c r="G51" s="122">
        <f>G50/G43</f>
        <v>538621.72178012424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C52" s="74"/>
      <c r="D52" s="74"/>
      <c r="E52" s="109" t="s">
        <v>99</v>
      </c>
      <c r="F52" s="119">
        <f>F51+F38</f>
        <v>147333.45082814747</v>
      </c>
      <c r="G52" s="119">
        <f>G51+G38</f>
        <v>823013.72178012424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C53" s="68"/>
      <c r="D53" s="68"/>
      <c r="E53" s="109" t="s">
        <v>91</v>
      </c>
      <c r="F53" s="118">
        <f>F22*F23+F36-F38</f>
        <v>-33638</v>
      </c>
      <c r="G53" s="118">
        <f>G22*G23+G36-G38</f>
        <v>714151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2"/>
      <c r="B54" s="2"/>
      <c r="C54" s="46"/>
      <c r="D54" s="46"/>
      <c r="E54" s="109" t="s">
        <v>17</v>
      </c>
      <c r="F54" s="113">
        <f>F53/F51</f>
        <v>0.33355958965206228</v>
      </c>
      <c r="G54" s="113">
        <f>G53/G51</f>
        <v>1.3258859996209551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C55" s="46"/>
      <c r="D55" s="46"/>
      <c r="E55" s="109" t="s">
        <v>100</v>
      </c>
      <c r="F55" s="123">
        <f>F22*F23+F36</f>
        <v>214541</v>
      </c>
      <c r="G55" s="123">
        <f>G22*G23+G36</f>
        <v>998543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2"/>
      <c r="B56" s="2"/>
      <c r="C56" s="46"/>
      <c r="D56" s="46"/>
      <c r="E56" s="109" t="s">
        <v>92</v>
      </c>
      <c r="F56" s="124">
        <f>(F52-F36)/F22</f>
        <v>-1.0531991858535736</v>
      </c>
      <c r="G56" s="124">
        <f>(G52-G36)/G22</f>
        <v>123.49457810743041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2"/>
      <c r="B57" s="2"/>
      <c r="C57" s="68"/>
      <c r="D57" s="6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</sheetData>
  <mergeCells count="9">
    <mergeCell ref="B1:G1"/>
    <mergeCell ref="B20:D20"/>
    <mergeCell ref="K3:N3"/>
    <mergeCell ref="B19:D19"/>
    <mergeCell ref="L31:L32"/>
    <mergeCell ref="M31:M32"/>
    <mergeCell ref="N31:N32"/>
    <mergeCell ref="B21:D21"/>
    <mergeCell ref="B2:G2"/>
  </mergeCells>
  <pageMargins left="0.51181102362204722" right="0.51181102362204722" top="0.39370078740157483" bottom="0.3937007874015748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10</xdr:col>
                <xdr:colOff>266700</xdr:colOff>
                <xdr:row>33</xdr:row>
                <xdr:rowOff>76200</xdr:rowOff>
              </from>
              <to>
                <xdr:col>13</xdr:col>
                <xdr:colOff>542925</xdr:colOff>
                <xdr:row>36</xdr:row>
                <xdr:rowOff>38100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Petro &amp; Apple</vt:lpstr>
      <vt:lpstr>Solução (mod 2-3-4)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</dc:creator>
  <cp:lastModifiedBy>Jose Roberto</cp:lastModifiedBy>
  <cp:lastPrinted>2017-06-13T18:36:46Z</cp:lastPrinted>
  <dcterms:created xsi:type="dcterms:W3CDTF">2015-05-21T20:37:30Z</dcterms:created>
  <dcterms:modified xsi:type="dcterms:W3CDTF">2020-04-24T01:48:10Z</dcterms:modified>
</cp:coreProperties>
</file>