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Roberto\Documents\_  EAC AULAS 2020\_ EAC110 e 111\"/>
    </mc:Choice>
  </mc:AlternateContent>
  <xr:revisionPtr revIDLastSave="0" documentId="8_{E437B2C1-6C67-4002-9446-4B2BC78B029C}" xr6:coauthVersionLast="45" xr6:coauthVersionMax="45" xr10:uidLastSave="{00000000-0000-0000-0000-000000000000}"/>
  <bookViews>
    <workbookView xWindow="-120" yWindow="-120" windowWidth="29040" windowHeight="15840" xr2:uid="{DCCCDDD1-B014-4A01-B580-68C5AC2548B0}"/>
  </bookViews>
  <sheets>
    <sheet name="Abrindo Empresa" sheetId="1" r:id="rId1"/>
    <sheet name="Quadro Clín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F25" i="2"/>
  <c r="F27" i="2" s="1"/>
  <c r="F17" i="2"/>
  <c r="F12" i="2"/>
  <c r="E41" i="2"/>
  <c r="E40" i="2"/>
  <c r="E26" i="2"/>
  <c r="E24" i="2"/>
  <c r="E25" i="2" l="1"/>
  <c r="E27" i="2" s="1"/>
  <c r="Q11" i="1"/>
  <c r="S10" i="1"/>
  <c r="S8" i="1"/>
  <c r="M40" i="1"/>
  <c r="M36" i="1"/>
  <c r="M34" i="1"/>
  <c r="M29" i="1"/>
  <c r="M28" i="1"/>
  <c r="M17" i="1"/>
  <c r="M18" i="1"/>
  <c r="M16" i="1"/>
  <c r="M8" i="1"/>
  <c r="F19" i="1"/>
  <c r="J36" i="1"/>
  <c r="J34" i="1"/>
  <c r="J33" i="1" l="1"/>
  <c r="J26" i="1" s="1"/>
  <c r="J39" i="1" s="1"/>
  <c r="J41" i="1" s="1"/>
  <c r="D9" i="1" s="1"/>
  <c r="J40" i="1"/>
  <c r="D16" i="1"/>
  <c r="C16" i="1"/>
  <c r="G12" i="1"/>
  <c r="C12" i="1"/>
  <c r="F12" i="1"/>
  <c r="J10" i="1"/>
  <c r="J16" i="1" s="1"/>
  <c r="J18" i="1" s="1"/>
  <c r="E7" i="2" l="1"/>
  <c r="D12" i="1"/>
  <c r="E18" i="2"/>
  <c r="E38" i="2"/>
  <c r="D18" i="2"/>
  <c r="D7" i="2"/>
  <c r="D5" i="2"/>
  <c r="D6" i="2"/>
  <c r="D8" i="2"/>
  <c r="D20" i="2"/>
  <c r="D21" i="2"/>
  <c r="E21" i="2"/>
  <c r="F20" i="1"/>
  <c r="D16" i="2" s="1"/>
  <c r="C20" i="1"/>
  <c r="E11" i="2" s="1"/>
  <c r="J20" i="1"/>
  <c r="D17" i="2" l="1"/>
  <c r="D15" i="2"/>
  <c r="D20" i="1"/>
  <c r="E20" i="2" s="1"/>
  <c r="E5" i="2"/>
  <c r="E37" i="2"/>
  <c r="E8" i="2"/>
  <c r="E6" i="2"/>
  <c r="G18" i="1"/>
  <c r="E10" i="2"/>
  <c r="E35" i="2"/>
  <c r="E13" i="2"/>
  <c r="R9" i="1"/>
  <c r="M27" i="1"/>
  <c r="M26" i="1" s="1"/>
  <c r="M39" i="1" s="1"/>
  <c r="M41" i="1" s="1"/>
  <c r="E12" i="2"/>
  <c r="R11" i="1" l="1"/>
  <c r="S11" i="1" s="1"/>
  <c r="S9" i="1"/>
  <c r="G19" i="1"/>
  <c r="M20" i="1"/>
  <c r="M15" i="1" l="1"/>
  <c r="G20" i="1"/>
  <c r="E15" i="2" s="1"/>
  <c r="E36" i="2"/>
  <c r="E28" i="2" s="1"/>
  <c r="E16" i="2"/>
  <c r="E17" i="2" s="1"/>
  <c r="F23" i="1"/>
  <c r="N18" i="1" l="1"/>
  <c r="N19" i="1"/>
  <c r="N15" i="1"/>
  <c r="N16" i="1"/>
  <c r="N17" i="1"/>
  <c r="N20" i="1"/>
</calcChain>
</file>

<file path=xl/sharedStrings.xml><?xml version="1.0" encoding="utf-8"?>
<sst xmlns="http://schemas.openxmlformats.org/spreadsheetml/2006/main" count="200" uniqueCount="166">
  <si>
    <t>ATIVO</t>
  </si>
  <si>
    <t>PASSIVO</t>
  </si>
  <si>
    <t>Circulante</t>
  </si>
  <si>
    <t>Não Circulante</t>
  </si>
  <si>
    <t>Patrimônio Líquido</t>
  </si>
  <si>
    <t xml:space="preserve">  Caixa....................</t>
  </si>
  <si>
    <t xml:space="preserve">  Dupl. Receber......</t>
  </si>
  <si>
    <t xml:space="preserve">  Estoques..............</t>
  </si>
  <si>
    <t xml:space="preserve">  Imobilizado..........</t>
  </si>
  <si>
    <t xml:space="preserve">  Fornecedores..........</t>
  </si>
  <si>
    <t xml:space="preserve">  Financiamentos LP....</t>
  </si>
  <si>
    <t xml:space="preserve">  Contas a pagar..........</t>
  </si>
  <si>
    <t xml:space="preserve">  Salários a pagar........</t>
  </si>
  <si>
    <t xml:space="preserve">  Capital Social...........</t>
  </si>
  <si>
    <t>Total do Ativo</t>
  </si>
  <si>
    <t>Total do Passivo</t>
  </si>
  <si>
    <t>DEMONSTRAÇÃO DO RESULTADO</t>
  </si>
  <si>
    <t>DO EXERCÍCIO</t>
  </si>
  <si>
    <t>BALANÇO PATRIMONIAL (BP)</t>
  </si>
  <si>
    <t xml:space="preserve"> Lucro Bruto</t>
  </si>
  <si>
    <t xml:space="preserve"> Lucro Operacional</t>
  </si>
  <si>
    <t xml:space="preserve">  Lucro Líquido</t>
  </si>
  <si>
    <t xml:space="preserve"> Lucro antes do IR</t>
  </si>
  <si>
    <t xml:space="preserve"> (-) Custo das Vendas.....</t>
  </si>
  <si>
    <t xml:space="preserve"> (-) Desp. Pessoal............</t>
  </si>
  <si>
    <t xml:space="preserve"> Receita Líquida Vendas..</t>
  </si>
  <si>
    <t xml:space="preserve"> (-) Desp. Aluguel.............</t>
  </si>
  <si>
    <t xml:space="preserve"> (-) Outras Despesas.......</t>
  </si>
  <si>
    <t xml:space="preserve"> (-) Desp. Financeiras......</t>
  </si>
  <si>
    <t xml:space="preserve"> (-) I.Renda 34%...............</t>
  </si>
  <si>
    <t xml:space="preserve">  Reserva de Lucros....</t>
  </si>
  <si>
    <t>DRE</t>
  </si>
  <si>
    <t>Inicial</t>
  </si>
  <si>
    <t>Final</t>
  </si>
  <si>
    <t xml:space="preserve">  Depreciações Acum..</t>
  </si>
  <si>
    <t xml:space="preserve"> (-) Desp. Depreciações...</t>
  </si>
  <si>
    <t xml:space="preserve"> (+) Outras Receitas.........</t>
  </si>
  <si>
    <t>Caixa Operacional</t>
  </si>
  <si>
    <t>Caixa Investimentos</t>
  </si>
  <si>
    <t>Caixa Financiamentos</t>
  </si>
  <si>
    <t xml:space="preserve">  (-) Pag. Outras Desp.....</t>
  </si>
  <si>
    <t xml:space="preserve">  (-) Pag. Aluguel.............</t>
  </si>
  <si>
    <t xml:space="preserve">  (-) Rec. Outras Rec.......</t>
  </si>
  <si>
    <t xml:space="preserve">  Rec. de Clientes...........</t>
  </si>
  <si>
    <t xml:space="preserve">  (-) Pag. Fornecedores...</t>
  </si>
  <si>
    <t xml:space="preserve">  (-) Pag. Imobilizado......</t>
  </si>
  <si>
    <t xml:space="preserve"> Variação Total Caixa.....</t>
  </si>
  <si>
    <t xml:space="preserve">  (-) Pag. Dividendos.......</t>
  </si>
  <si>
    <t xml:space="preserve">  (-) Pag. Financ...............</t>
  </si>
  <si>
    <t xml:space="preserve">  (-) Pag. Salários.............</t>
  </si>
  <si>
    <t xml:space="preserve"> (+) Saldo Inicial</t>
  </si>
  <si>
    <t xml:space="preserve">  (=) Saldo Final de Caixa.</t>
  </si>
  <si>
    <t xml:space="preserve">  (-) Pag. Impostos...........</t>
  </si>
  <si>
    <t>DVA</t>
  </si>
  <si>
    <t xml:space="preserve">  Receita de Vendas</t>
  </si>
  <si>
    <t xml:space="preserve">  (-) Desp. Aluguel...........</t>
  </si>
  <si>
    <t xml:space="preserve">  (-) Custo das Vendas.....</t>
  </si>
  <si>
    <t xml:space="preserve">  (-) Outras Despesas.......</t>
  </si>
  <si>
    <t xml:space="preserve">  (+) Outras Receitas.........</t>
  </si>
  <si>
    <t xml:space="preserve">  (-) Desp. Depreciações...</t>
  </si>
  <si>
    <t>Distribuição do VA</t>
  </si>
  <si>
    <t>Valor Adicionado (VA)</t>
  </si>
  <si>
    <t xml:space="preserve">  Governo........................</t>
  </si>
  <si>
    <t xml:space="preserve">  Bancos..........................</t>
  </si>
  <si>
    <t xml:space="preserve">  Funcionários.................</t>
  </si>
  <si>
    <t xml:space="preserve">  Sócios...........................</t>
  </si>
  <si>
    <t xml:space="preserve">   Empresa........................</t>
  </si>
  <si>
    <t xml:space="preserve">  Lucro do período..........</t>
  </si>
  <si>
    <t xml:space="preserve">  (+) Depreciações..........</t>
  </si>
  <si>
    <t xml:space="preserve">  (+) Desp. Financeiras....</t>
  </si>
  <si>
    <t xml:space="preserve">  ( ) Var. Fornecedores....</t>
  </si>
  <si>
    <t xml:space="preserve">  ( ) Var. Estoques............</t>
  </si>
  <si>
    <t xml:space="preserve">  ( ) Var. Dupl. Rec...........</t>
  </si>
  <si>
    <t xml:space="preserve">  ( ) Var. Contas a pag.....</t>
  </si>
  <si>
    <t>DMPL</t>
  </si>
  <si>
    <t>Capital</t>
  </si>
  <si>
    <t>R. Lucros</t>
  </si>
  <si>
    <t>Total</t>
  </si>
  <si>
    <t xml:space="preserve"> Saldo Inicial...................</t>
  </si>
  <si>
    <t xml:space="preserve">  (+) Lucro do período.....</t>
  </si>
  <si>
    <t xml:space="preserve">  Saldo Final....................</t>
  </si>
  <si>
    <t xml:space="preserve">  (-) Distrib. Dividendos..</t>
  </si>
  <si>
    <t>DEMONSTRAÇÃO DAS MUTAÇÕES DO PL</t>
  </si>
  <si>
    <t>DFC - direto</t>
  </si>
  <si>
    <t>DFC - indireto</t>
  </si>
  <si>
    <t>DEMONSTRAÇÃO DO VALOR</t>
  </si>
  <si>
    <t>ADICIONADO</t>
  </si>
  <si>
    <t>DEMONSTRAÇÃO DE FLUXOS</t>
  </si>
  <si>
    <t>DE CAIXA</t>
  </si>
  <si>
    <t>ALGUMAS ANÁLISES</t>
  </si>
  <si>
    <t xml:space="preserve"> - Retorno do Ativo (ROA)</t>
  </si>
  <si>
    <t xml:space="preserve"> - Giro das Vendas (G)</t>
  </si>
  <si>
    <t xml:space="preserve"> - Margem de Lucro (M)</t>
  </si>
  <si>
    <t xml:space="preserve"> - Liquidez Corrente (LC)</t>
  </si>
  <si>
    <t xml:space="preserve"> - Capital Próprio (CP)</t>
  </si>
  <si>
    <t xml:space="preserve"> - Capital de Terceiros (CT)</t>
  </si>
  <si>
    <t xml:space="preserve"> - Garantia do CP ao CT</t>
  </si>
  <si>
    <t xml:space="preserve"> - PMRE</t>
  </si>
  <si>
    <t>Rentabilidade (ECON)</t>
  </si>
  <si>
    <t>Liquidez (FIN)</t>
  </si>
  <si>
    <t>Endividamento</t>
  </si>
  <si>
    <t>Fórmula</t>
  </si>
  <si>
    <t>(Imob-Depr.Ac) / Depr.Anual</t>
  </si>
  <si>
    <t>PMRE + PMRV</t>
  </si>
  <si>
    <t>PMPC - Ciclo Operacional</t>
  </si>
  <si>
    <t>Ano-1</t>
  </si>
  <si>
    <t>Ano-2</t>
  </si>
  <si>
    <r>
      <t xml:space="preserve">Insolvente </t>
    </r>
    <r>
      <rPr>
        <b/>
        <sz val="12"/>
        <color rgb="FFFF0000"/>
        <rFont val="Calibri"/>
        <family val="2"/>
        <scheme val="minor"/>
      </rPr>
      <t>&lt;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&lt;</t>
    </r>
    <r>
      <rPr>
        <sz val="8"/>
        <color theme="1"/>
        <rFont val="Calibri"/>
        <family val="2"/>
        <scheme val="minor"/>
      </rPr>
      <t xml:space="preserve"> Penumbra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&lt;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&lt;</t>
    </r>
    <r>
      <rPr>
        <sz val="8"/>
        <color theme="1"/>
        <rFont val="Calibri"/>
        <family val="2"/>
        <scheme val="minor"/>
      </rPr>
      <t xml:space="preserve"> Solvente</t>
    </r>
  </si>
  <si>
    <t>Imobilizado</t>
  </si>
  <si>
    <t>Atividade</t>
  </si>
  <si>
    <t>Insolvência</t>
  </si>
  <si>
    <t xml:space="preserve"> Liquidez Corrente (LC)</t>
  </si>
  <si>
    <t xml:space="preserve"> Liquidez Seca (LS)</t>
  </si>
  <si>
    <t xml:space="preserve"> Liquidez Imediata (LI)</t>
  </si>
  <si>
    <t xml:space="preserve"> Liquidez Geral (LG)</t>
  </si>
  <si>
    <t xml:space="preserve"> Margem de Lucro (M)</t>
  </si>
  <si>
    <t xml:space="preserve"> Giro do Ativo (G)</t>
  </si>
  <si>
    <t xml:space="preserve"> Return on Assets (ROA)</t>
  </si>
  <si>
    <t xml:space="preserve"> Return on Equity (ROE)</t>
  </si>
  <si>
    <t xml:space="preserve"> Capital de Terceiros (CT)</t>
  </si>
  <si>
    <t xml:space="preserve"> Capital Próprio (CP)</t>
  </si>
  <si>
    <t xml:space="preserve"> Garantia do CP ao CT</t>
  </si>
  <si>
    <t xml:space="preserve"> Nível de Imobilização do Ativo</t>
  </si>
  <si>
    <t xml:space="preserve"> Vida útil do imobilizado (anos)</t>
  </si>
  <si>
    <t xml:space="preserve"> Prazo médio renovação estoques (PMRE)</t>
  </si>
  <si>
    <t xml:space="preserve"> Prazo médio recebimento vendas (PMRV)</t>
  </si>
  <si>
    <t xml:space="preserve"> Ciclo Operacional</t>
  </si>
  <si>
    <t xml:space="preserve"> Prazo médio pagamento compras (PMPC)</t>
  </si>
  <si>
    <t xml:space="preserve"> Ciclo de Caixa</t>
  </si>
  <si>
    <t xml:space="preserve"> Termômetro de Kanitz</t>
  </si>
  <si>
    <t>Índice</t>
  </si>
  <si>
    <t>AC/PC</t>
  </si>
  <si>
    <t>(AC-Estoque)/PC</t>
  </si>
  <si>
    <t>Disponível/PC</t>
  </si>
  <si>
    <t>(AC+RLP)/(PC+ELP)</t>
  </si>
  <si>
    <t>LL/Vendas</t>
  </si>
  <si>
    <t>Vendas/Ativo</t>
  </si>
  <si>
    <t>LL/Ativo</t>
  </si>
  <si>
    <t>LL/PL</t>
  </si>
  <si>
    <t>(PC+ELP) / Ativo</t>
  </si>
  <si>
    <t>PL/Ativo</t>
  </si>
  <si>
    <t>CP/CT</t>
  </si>
  <si>
    <t>PC / (PC+ELP)</t>
  </si>
  <si>
    <t>(Imob-Depr.Ac) / Ativo</t>
  </si>
  <si>
    <t>Estoque / Custo Vendas * 30 dias</t>
  </si>
  <si>
    <t>C.Receber /Vendas * 30 dias</t>
  </si>
  <si>
    <t>Fornec / Compras * 30 dias</t>
  </si>
  <si>
    <t>KANITZ</t>
  </si>
  <si>
    <t>LL</t>
  </si>
  <si>
    <t>PL</t>
  </si>
  <si>
    <t>AC</t>
  </si>
  <si>
    <t>PC</t>
  </si>
  <si>
    <t>RLP</t>
  </si>
  <si>
    <t>ELP</t>
  </si>
  <si>
    <t>Estoque</t>
  </si>
  <si>
    <t>Parâ-metro</t>
  </si>
  <si>
    <t>Análise Tend.</t>
  </si>
  <si>
    <t>Conclusão</t>
  </si>
  <si>
    <t>RUIM</t>
  </si>
  <si>
    <t>bom</t>
  </si>
  <si>
    <t>reg</t>
  </si>
  <si>
    <t>BOM</t>
  </si>
  <si>
    <t>EXCEL.</t>
  </si>
  <si>
    <t>excel.</t>
  </si>
  <si>
    <t>ruim</t>
  </si>
  <si>
    <t xml:space="preserve"> Endividamento a Curto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</si>
</sst>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_-* #,##0.0_-;\-* #,##0.0_-;_-* &quot;-&quot;??_-;_-@_-"/>
    <numFmt numFmtId="168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i/>
      <u val="singleAccounting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 val="singleAccounting"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 val="singleAccounting"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4" fillId="2" borderId="3" xfId="0" applyFont="1" applyFill="1" applyBorder="1"/>
    <xf numFmtId="0" fontId="0" fillId="2" borderId="3" xfId="0" applyFill="1" applyBorder="1"/>
    <xf numFmtId="0" fontId="5" fillId="2" borderId="4" xfId="0" applyFont="1" applyFill="1" applyBorder="1" applyAlignment="1">
      <alignment horizontal="center"/>
    </xf>
    <xf numFmtId="164" fontId="4" fillId="2" borderId="3" xfId="1" applyNumberFormat="1" applyFont="1" applyFill="1" applyBorder="1"/>
    <xf numFmtId="164" fontId="0" fillId="2" borderId="3" xfId="1" applyNumberFormat="1" applyFont="1" applyFill="1" applyBorder="1"/>
    <xf numFmtId="164" fontId="6" fillId="2" borderId="6" xfId="1" applyNumberFormat="1" applyFont="1" applyFill="1" applyBorder="1"/>
    <xf numFmtId="164" fontId="7" fillId="2" borderId="6" xfId="1" applyNumberFormat="1" applyFont="1" applyFill="1" applyBorder="1"/>
    <xf numFmtId="164" fontId="8" fillId="2" borderId="6" xfId="1" applyNumberFormat="1" applyFont="1" applyFill="1" applyBorder="1"/>
    <xf numFmtId="164" fontId="8" fillId="2" borderId="7" xfId="1" applyNumberFormat="1" applyFont="1" applyFill="1" applyBorder="1"/>
    <xf numFmtId="0" fontId="3" fillId="2" borderId="0" xfId="0" applyFont="1" applyFill="1" applyAlignment="1"/>
    <xf numFmtId="164" fontId="6" fillId="2" borderId="3" xfId="1" applyNumberFormat="1" applyFont="1" applyFill="1" applyBorder="1"/>
    <xf numFmtId="164" fontId="8" fillId="2" borderId="3" xfId="1" applyNumberFormat="1" applyFont="1" applyFill="1" applyBorder="1"/>
    <xf numFmtId="0" fontId="8" fillId="2" borderId="4" xfId="0" applyFont="1" applyFill="1" applyBorder="1" applyAlignment="1">
      <alignment horizontal="left"/>
    </xf>
    <xf numFmtId="165" fontId="6" fillId="2" borderId="5" xfId="1" applyNumberFormat="1" applyFont="1" applyFill="1" applyBorder="1"/>
    <xf numFmtId="165" fontId="6" fillId="2" borderId="6" xfId="1" applyNumberFormat="1" applyFont="1" applyFill="1" applyBorder="1"/>
    <xf numFmtId="165" fontId="7" fillId="2" borderId="6" xfId="1" applyNumberFormat="1" applyFont="1" applyFill="1" applyBorder="1"/>
    <xf numFmtId="165" fontId="8" fillId="2" borderId="6" xfId="1" applyNumberFormat="1" applyFont="1" applyFill="1" applyBorder="1"/>
    <xf numFmtId="164" fontId="9" fillId="2" borderId="8" xfId="1" applyNumberFormat="1" applyFont="1" applyFill="1" applyBorder="1"/>
    <xf numFmtId="0" fontId="9" fillId="2" borderId="4" xfId="0" applyFont="1" applyFill="1" applyBorder="1" applyAlignment="1">
      <alignment horizontal="left"/>
    </xf>
    <xf numFmtId="164" fontId="6" fillId="2" borderId="0" xfId="1" applyNumberFormat="1" applyFont="1" applyFill="1" applyBorder="1"/>
    <xf numFmtId="164" fontId="7" fillId="2" borderId="0" xfId="1" applyNumberFormat="1" applyFont="1" applyFill="1" applyBorder="1"/>
    <xf numFmtId="164" fontId="8" fillId="2" borderId="0" xfId="1" applyNumberFormat="1" applyFont="1" applyFill="1" applyBorder="1"/>
    <xf numFmtId="164" fontId="8" fillId="2" borderId="10" xfId="1" applyNumberFormat="1" applyFont="1" applyFill="1" applyBorder="1"/>
    <xf numFmtId="164" fontId="10" fillId="2" borderId="0" xfId="1" applyNumberFormat="1" applyFont="1" applyFill="1" applyBorder="1"/>
    <xf numFmtId="164" fontId="12" fillId="2" borderId="11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165" fontId="6" fillId="2" borderId="7" xfId="1" applyNumberFormat="1" applyFont="1" applyFill="1" applyBorder="1"/>
    <xf numFmtId="164" fontId="11" fillId="2" borderId="8" xfId="1" applyNumberFormat="1" applyFont="1" applyFill="1" applyBorder="1"/>
    <xf numFmtId="164" fontId="11" fillId="2" borderId="3" xfId="1" applyNumberFormat="1" applyFont="1" applyFill="1" applyBorder="1"/>
    <xf numFmtId="165" fontId="11" fillId="2" borderId="6" xfId="1" applyNumberFormat="1" applyFont="1" applyFill="1" applyBorder="1"/>
    <xf numFmtId="165" fontId="11" fillId="2" borderId="5" xfId="1" applyNumberFormat="1" applyFont="1" applyFill="1" applyBorder="1"/>
    <xf numFmtId="165" fontId="13" fillId="2" borderId="6" xfId="1" applyNumberFormat="1" applyFont="1" applyFill="1" applyBorder="1"/>
    <xf numFmtId="0" fontId="6" fillId="2" borderId="4" xfId="0" applyFont="1" applyFill="1" applyBorder="1" applyAlignment="1">
      <alignment horizontal="left"/>
    </xf>
    <xf numFmtId="9" fontId="14" fillId="2" borderId="0" xfId="2" applyFont="1" applyFill="1"/>
    <xf numFmtId="9" fontId="4" fillId="2" borderId="0" xfId="2" applyFont="1" applyFill="1"/>
    <xf numFmtId="0" fontId="1" fillId="2" borderId="0" xfId="0" applyFont="1" applyFill="1"/>
    <xf numFmtId="165" fontId="0" fillId="0" borderId="0" xfId="0" applyNumberFormat="1"/>
    <xf numFmtId="165" fontId="0" fillId="2" borderId="0" xfId="0" applyNumberFormat="1" applyFill="1"/>
    <xf numFmtId="0" fontId="6" fillId="2" borderId="0" xfId="0" applyFont="1" applyFill="1"/>
    <xf numFmtId="164" fontId="3" fillId="2" borderId="12" xfId="1" applyNumberFormat="1" applyFont="1" applyFill="1" applyBorder="1" applyAlignment="1">
      <alignment horizontal="center"/>
    </xf>
    <xf numFmtId="164" fontId="6" fillId="2" borderId="15" xfId="1" applyNumberFormat="1" applyFont="1" applyFill="1" applyBorder="1"/>
    <xf numFmtId="165" fontId="6" fillId="2" borderId="16" xfId="1" applyNumberFormat="1" applyFont="1" applyFill="1" applyBorder="1"/>
    <xf numFmtId="165" fontId="0" fillId="2" borderId="16" xfId="0" applyNumberFormat="1" applyFill="1" applyBorder="1"/>
    <xf numFmtId="164" fontId="6" fillId="2" borderId="18" xfId="1" applyNumberFormat="1" applyFont="1" applyFill="1" applyBorder="1"/>
    <xf numFmtId="164" fontId="9" fillId="2" borderId="13" xfId="1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5" fontId="9" fillId="2" borderId="19" xfId="1" applyNumberFormat="1" applyFont="1" applyFill="1" applyBorder="1"/>
    <xf numFmtId="165" fontId="2" fillId="2" borderId="20" xfId="0" applyNumberFormat="1" applyFont="1" applyFill="1" applyBorder="1"/>
    <xf numFmtId="165" fontId="2" fillId="2" borderId="17" xfId="0" applyNumberFormat="1" applyFont="1" applyFill="1" applyBorder="1"/>
    <xf numFmtId="164" fontId="15" fillId="2" borderId="6" xfId="1" applyNumberFormat="1" applyFont="1" applyFill="1" applyBorder="1"/>
    <xf numFmtId="165" fontId="16" fillId="2" borderId="0" xfId="1" applyNumberFormat="1" applyFont="1" applyFill="1" applyBorder="1"/>
    <xf numFmtId="164" fontId="16" fillId="2" borderId="6" xfId="1" applyNumberFormat="1" applyFont="1" applyFill="1" applyBorder="1"/>
    <xf numFmtId="165" fontId="17" fillId="2" borderId="7" xfId="1" applyNumberFormat="1" applyFont="1" applyFill="1" applyBorder="1"/>
    <xf numFmtId="165" fontId="18" fillId="2" borderId="16" xfId="0" applyNumberFormat="1" applyFont="1" applyFill="1" applyBorder="1"/>
    <xf numFmtId="165" fontId="15" fillId="2" borderId="6" xfId="1" applyNumberFormat="1" applyFont="1" applyFill="1" applyBorder="1"/>
    <xf numFmtId="165" fontId="19" fillId="2" borderId="6" xfId="1" applyNumberFormat="1" applyFont="1" applyFill="1" applyBorder="1"/>
    <xf numFmtId="0" fontId="2" fillId="2" borderId="0" xfId="0" applyFont="1" applyFill="1"/>
    <xf numFmtId="0" fontId="20" fillId="2" borderId="0" xfId="0" applyFont="1" applyFill="1"/>
    <xf numFmtId="43" fontId="0" fillId="2" borderId="0" xfId="1" applyFont="1" applyFill="1"/>
    <xf numFmtId="43" fontId="0" fillId="2" borderId="0" xfId="0" applyNumberFormat="1" applyFill="1"/>
    <xf numFmtId="166" fontId="0" fillId="2" borderId="0" xfId="2" applyNumberFormat="1" applyFont="1" applyFill="1"/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22" xfId="0" applyFont="1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0" fontId="6" fillId="2" borderId="16" xfId="0" applyFont="1" applyFill="1" applyBorder="1"/>
    <xf numFmtId="0" fontId="23" fillId="2" borderId="16" xfId="0" applyFont="1" applyFill="1" applyBorder="1"/>
    <xf numFmtId="0" fontId="24" fillId="2" borderId="16" xfId="0" applyFont="1" applyFill="1" applyBorder="1"/>
    <xf numFmtId="0" fontId="6" fillId="2" borderId="23" xfId="0" applyFont="1" applyFill="1" applyBorder="1"/>
    <xf numFmtId="0" fontId="0" fillId="2" borderId="23" xfId="0" applyFill="1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23" fillId="2" borderId="23" xfId="0" applyFont="1" applyFill="1" applyBorder="1"/>
    <xf numFmtId="0" fontId="0" fillId="2" borderId="23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3" fontId="0" fillId="2" borderId="16" xfId="1" applyFont="1" applyFill="1" applyBorder="1"/>
    <xf numFmtId="166" fontId="0" fillId="2" borderId="16" xfId="2" applyNumberFormat="1" applyFont="1" applyFill="1" applyBorder="1"/>
    <xf numFmtId="166" fontId="0" fillId="2" borderId="23" xfId="2" applyNumberFormat="1" applyFont="1" applyFill="1" applyBorder="1"/>
    <xf numFmtId="168" fontId="0" fillId="2" borderId="0" xfId="1" applyNumberFormat="1" applyFont="1" applyFill="1"/>
    <xf numFmtId="167" fontId="0" fillId="2" borderId="23" xfId="1" applyNumberFormat="1" applyFont="1" applyFill="1" applyBorder="1"/>
    <xf numFmtId="164" fontId="0" fillId="2" borderId="16" xfId="1" applyNumberFormat="1" applyFont="1" applyFill="1" applyBorder="1"/>
    <xf numFmtId="164" fontId="0" fillId="2" borderId="16" xfId="0" applyNumberFormat="1" applyFill="1" applyBorder="1"/>
    <xf numFmtId="165" fontId="21" fillId="2" borderId="16" xfId="0" applyNumberFormat="1" applyFont="1" applyFill="1" applyBorder="1"/>
    <xf numFmtId="43" fontId="2" fillId="2" borderId="23" xfId="1" applyFont="1" applyFill="1" applyBorder="1"/>
    <xf numFmtId="43" fontId="2" fillId="2" borderId="16" xfId="1" applyFont="1" applyFill="1" applyBorder="1"/>
    <xf numFmtId="0" fontId="2" fillId="2" borderId="16" xfId="0" applyFont="1" applyFill="1" applyBorder="1"/>
    <xf numFmtId="166" fontId="2" fillId="2" borderId="16" xfId="2" applyNumberFormat="1" applyFont="1" applyFill="1" applyBorder="1"/>
    <xf numFmtId="164" fontId="2" fillId="2" borderId="16" xfId="1" applyNumberFormat="1" applyFont="1" applyFill="1" applyBorder="1"/>
    <xf numFmtId="43" fontId="2" fillId="2" borderId="16" xfId="1" applyNumberFormat="1" applyFont="1" applyFill="1" applyBorder="1"/>
    <xf numFmtId="166" fontId="2" fillId="2" borderId="16" xfId="0" applyNumberFormat="1" applyFont="1" applyFill="1" applyBorder="1"/>
    <xf numFmtId="166" fontId="2" fillId="2" borderId="23" xfId="2" applyNumberFormat="1" applyFont="1" applyFill="1" applyBorder="1"/>
    <xf numFmtId="164" fontId="2" fillId="2" borderId="16" xfId="0" applyNumberFormat="1" applyFont="1" applyFill="1" applyBorder="1"/>
    <xf numFmtId="0" fontId="3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justify" vertical="center"/>
    </xf>
    <xf numFmtId="0" fontId="28" fillId="2" borderId="16" xfId="0" applyFont="1" applyFill="1" applyBorder="1"/>
    <xf numFmtId="0" fontId="28" fillId="2" borderId="22" xfId="0" applyFont="1" applyFill="1" applyBorder="1"/>
    <xf numFmtId="0" fontId="9" fillId="2" borderId="0" xfId="0" applyFont="1" applyFill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43" fontId="2" fillId="2" borderId="22" xfId="1" applyFont="1" applyFill="1" applyBorder="1" applyAlignment="1">
      <alignment horizontal="center" vertical="center"/>
    </xf>
    <xf numFmtId="43" fontId="2" fillId="2" borderId="23" xfId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29</xdr:row>
      <xdr:rowOff>85725</xdr:rowOff>
    </xdr:from>
    <xdr:to>
      <xdr:col>6</xdr:col>
      <xdr:colOff>203044</xdr:colOff>
      <xdr:row>32</xdr:row>
      <xdr:rowOff>38100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647A4B1-6D50-4BC6-A422-2AB6DF1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5962650"/>
          <a:ext cx="559419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74147-5F71-4BA2-BA56-B6DFE8C314F5}">
  <dimension ref="A1:X77"/>
  <sheetViews>
    <sheetView tabSelected="1" topLeftCell="A16" zoomScaleNormal="100" workbookViewId="0">
      <selection activeCell="F23" sqref="F23"/>
    </sheetView>
  </sheetViews>
  <sheetFormatPr defaultRowHeight="15" x14ac:dyDescent="0.25"/>
  <cols>
    <col min="1" max="1" width="5.7109375" customWidth="1"/>
    <col min="2" max="2" width="20.7109375" customWidth="1"/>
    <col min="3" max="3" width="10.7109375" bestFit="1" customWidth="1"/>
    <col min="4" max="4" width="10.7109375" customWidth="1"/>
    <col min="5" max="5" width="20.7109375" customWidth="1"/>
    <col min="6" max="6" width="10.7109375" customWidth="1"/>
    <col min="7" max="7" width="10.7109375" bestFit="1" customWidth="1"/>
    <col min="9" max="9" width="24.85546875" customWidth="1"/>
    <col min="10" max="10" width="10.7109375" bestFit="1" customWidth="1"/>
    <col min="12" max="12" width="24.85546875" customWidth="1"/>
    <col min="13" max="13" width="10.7109375" bestFit="1" customWidth="1"/>
    <col min="14" max="14" width="6" customWidth="1"/>
    <col min="16" max="16" width="24.85546875" customWidth="1"/>
    <col min="17" max="17" width="10.7109375" bestFit="1" customWidth="1"/>
    <col min="18" max="18" width="11.28515625" customWidth="1"/>
    <col min="19" max="19" width="10.7109375" customWidth="1"/>
    <col min="21" max="21" width="26" customWidth="1"/>
    <col min="22" max="22" width="1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07"/>
      <c r="J3" s="107"/>
      <c r="K3" s="1"/>
      <c r="L3" s="1"/>
      <c r="M3" s="1"/>
      <c r="N3" s="1"/>
      <c r="O3" s="1"/>
      <c r="P3" s="1"/>
      <c r="Q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07"/>
      <c r="J4" s="10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5.75" x14ac:dyDescent="0.25">
      <c r="A5" s="1"/>
      <c r="B5" s="1"/>
      <c r="C5" s="1"/>
      <c r="D5" s="1"/>
      <c r="E5" s="1"/>
      <c r="F5" s="1"/>
      <c r="G5" s="1"/>
      <c r="H5" s="1"/>
      <c r="I5" s="104" t="s">
        <v>16</v>
      </c>
      <c r="J5" s="104"/>
      <c r="K5" s="1"/>
      <c r="L5" s="104" t="s">
        <v>85</v>
      </c>
      <c r="M5" s="104"/>
      <c r="N5" s="1"/>
      <c r="O5" s="1"/>
      <c r="P5" s="104"/>
      <c r="Q5" s="104"/>
      <c r="R5" s="1"/>
      <c r="S5" s="1"/>
      <c r="T5" s="1"/>
    </row>
    <row r="6" spans="1:21" ht="19.5" thickBot="1" x14ac:dyDescent="0.35">
      <c r="A6" s="1"/>
      <c r="B6" s="104" t="s">
        <v>18</v>
      </c>
      <c r="C6" s="104"/>
      <c r="D6" s="104"/>
      <c r="E6" s="104"/>
      <c r="F6" s="104"/>
      <c r="G6" s="104"/>
      <c r="H6" s="1"/>
      <c r="I6" s="104" t="s">
        <v>17</v>
      </c>
      <c r="J6" s="104"/>
      <c r="K6" s="12"/>
      <c r="L6" s="104" t="s">
        <v>86</v>
      </c>
      <c r="M6" s="104"/>
      <c r="N6" s="1"/>
      <c r="O6" s="1"/>
      <c r="P6" s="112" t="s">
        <v>82</v>
      </c>
      <c r="Q6" s="112"/>
      <c r="R6" s="112"/>
      <c r="S6" s="112"/>
      <c r="T6" s="1"/>
    </row>
    <row r="7" spans="1:21" ht="19.5" thickBot="1" x14ac:dyDescent="0.35">
      <c r="A7" s="1"/>
      <c r="B7" s="109" t="s">
        <v>0</v>
      </c>
      <c r="C7" s="110"/>
      <c r="D7" s="111"/>
      <c r="E7" s="105" t="s">
        <v>1</v>
      </c>
      <c r="F7" s="108"/>
      <c r="G7" s="106"/>
      <c r="H7" s="2"/>
      <c r="I7" s="105" t="s">
        <v>31</v>
      </c>
      <c r="J7" s="106"/>
      <c r="K7" s="2"/>
      <c r="L7" s="105" t="s">
        <v>53</v>
      </c>
      <c r="M7" s="106"/>
      <c r="N7" s="2"/>
      <c r="O7" s="1"/>
      <c r="P7" s="42" t="s">
        <v>74</v>
      </c>
      <c r="Q7" s="47" t="s">
        <v>75</v>
      </c>
      <c r="R7" s="48" t="s">
        <v>76</v>
      </c>
      <c r="S7" s="49" t="s">
        <v>77</v>
      </c>
      <c r="T7" s="1"/>
    </row>
    <row r="8" spans="1:21" ht="22.5" customHeight="1" x14ac:dyDescent="0.4">
      <c r="A8" s="1"/>
      <c r="B8" s="3" t="s">
        <v>2</v>
      </c>
      <c r="C8" s="27" t="s">
        <v>32</v>
      </c>
      <c r="D8" s="27" t="s">
        <v>33</v>
      </c>
      <c r="E8" s="6" t="s">
        <v>2</v>
      </c>
      <c r="F8" s="27" t="s">
        <v>32</v>
      </c>
      <c r="G8" s="28" t="s">
        <v>33</v>
      </c>
      <c r="H8" s="2"/>
      <c r="I8" s="20" t="s">
        <v>25</v>
      </c>
      <c r="J8" s="16">
        <v>90000</v>
      </c>
      <c r="K8" s="2"/>
      <c r="L8" s="30" t="s">
        <v>61</v>
      </c>
      <c r="M8" s="33">
        <f>SUM(M9:M14)</f>
        <v>60000</v>
      </c>
      <c r="N8" s="2"/>
      <c r="O8" s="1"/>
      <c r="P8" s="43" t="s">
        <v>78</v>
      </c>
      <c r="Q8" s="44">
        <v>100000</v>
      </c>
      <c r="R8" s="45">
        <v>0</v>
      </c>
      <c r="S8" s="52">
        <f>R8+Q8</f>
        <v>100000</v>
      </c>
      <c r="T8" s="40"/>
      <c r="U8" s="39"/>
    </row>
    <row r="9" spans="1:21" ht="15.75" customHeight="1" x14ac:dyDescent="0.4">
      <c r="A9" s="1"/>
      <c r="B9" s="4" t="s">
        <v>5</v>
      </c>
      <c r="C9" s="22">
        <v>5000</v>
      </c>
      <c r="D9" s="53">
        <f>J41</f>
        <v>20445</v>
      </c>
      <c r="E9" s="7" t="s">
        <v>9</v>
      </c>
      <c r="F9" s="22">
        <v>30000</v>
      </c>
      <c r="G9" s="8">
        <v>30000</v>
      </c>
      <c r="H9" s="2"/>
      <c r="I9" s="13" t="s">
        <v>23</v>
      </c>
      <c r="J9" s="18">
        <v>-30000</v>
      </c>
      <c r="K9" s="2"/>
      <c r="L9" s="13" t="s">
        <v>54</v>
      </c>
      <c r="M9" s="17">
        <v>100000</v>
      </c>
      <c r="N9" s="2"/>
      <c r="O9" s="1"/>
      <c r="P9" s="43" t="s">
        <v>79</v>
      </c>
      <c r="Q9" s="44"/>
      <c r="R9" s="57">
        <f>J20</f>
        <v>10890</v>
      </c>
      <c r="S9" s="52">
        <f>R9+Q9</f>
        <v>10890</v>
      </c>
      <c r="T9" s="40"/>
      <c r="U9" s="39"/>
    </row>
    <row r="10" spans="1:21" ht="15.75" x14ac:dyDescent="0.25">
      <c r="A10" s="1"/>
      <c r="B10" s="4" t="s">
        <v>6</v>
      </c>
      <c r="C10" s="22">
        <v>100000</v>
      </c>
      <c r="D10" s="8">
        <v>100000</v>
      </c>
      <c r="E10" s="7" t="s">
        <v>12</v>
      </c>
      <c r="F10" s="22">
        <v>20000</v>
      </c>
      <c r="G10" s="8">
        <v>20000</v>
      </c>
      <c r="H10" s="2"/>
      <c r="I10" s="14" t="s">
        <v>19</v>
      </c>
      <c r="J10" s="19">
        <f>J9+J8</f>
        <v>60000</v>
      </c>
      <c r="K10" s="2"/>
      <c r="L10" s="13" t="s">
        <v>56</v>
      </c>
      <c r="M10" s="17">
        <v>-30000</v>
      </c>
      <c r="N10" s="2"/>
      <c r="O10" s="1"/>
      <c r="P10" s="43" t="s">
        <v>81</v>
      </c>
      <c r="Q10" s="44"/>
      <c r="R10" s="45">
        <v>-5445</v>
      </c>
      <c r="S10" s="52">
        <f t="shared" ref="S10:S11" si="0">R10+Q10</f>
        <v>-5445</v>
      </c>
      <c r="T10" s="40"/>
      <c r="U10" s="39"/>
    </row>
    <row r="11" spans="1:21" ht="18.75" thickBot="1" x14ac:dyDescent="0.45">
      <c r="A11" s="1"/>
      <c r="B11" s="4" t="s">
        <v>7</v>
      </c>
      <c r="C11" s="23">
        <v>10000</v>
      </c>
      <c r="D11" s="23">
        <v>10000</v>
      </c>
      <c r="E11" s="7" t="s">
        <v>11</v>
      </c>
      <c r="F11" s="23">
        <v>10000</v>
      </c>
      <c r="G11" s="9">
        <v>10000</v>
      </c>
      <c r="H11" s="2"/>
      <c r="I11" s="13" t="s">
        <v>24</v>
      </c>
      <c r="J11" s="17">
        <v>-20000</v>
      </c>
      <c r="K11" s="2"/>
      <c r="L11" s="13" t="s">
        <v>55</v>
      </c>
      <c r="M11" s="17">
        <v>-3000</v>
      </c>
      <c r="N11" s="2"/>
      <c r="O11" s="1"/>
      <c r="P11" s="46" t="s">
        <v>80</v>
      </c>
      <c r="Q11" s="50">
        <f>SUM(Q8:Q10)</f>
        <v>100000</v>
      </c>
      <c r="R11" s="50">
        <f t="shared" ref="R11" si="1">SUM(R8:R10)</f>
        <v>5445</v>
      </c>
      <c r="S11" s="51">
        <f t="shared" si="0"/>
        <v>105445</v>
      </c>
      <c r="T11" s="40"/>
      <c r="U11" s="39"/>
    </row>
    <row r="12" spans="1:21" ht="15.75" x14ac:dyDescent="0.25">
      <c r="A12" s="1"/>
      <c r="B12" s="4"/>
      <c r="C12" s="24">
        <f>SUM(C9:C11)</f>
        <v>115000</v>
      </c>
      <c r="D12" s="24">
        <f>SUM(D9:D11)</f>
        <v>130445</v>
      </c>
      <c r="E12" s="7"/>
      <c r="F12" s="24">
        <f>SUM(F9:F11)</f>
        <v>60000</v>
      </c>
      <c r="G12" s="10">
        <f>SUM(G9:G11)</f>
        <v>60000</v>
      </c>
      <c r="H12" s="2"/>
      <c r="I12" s="13" t="s">
        <v>26</v>
      </c>
      <c r="J12" s="17">
        <v>-3000</v>
      </c>
      <c r="K12" s="2"/>
      <c r="L12" s="13" t="s">
        <v>57</v>
      </c>
      <c r="M12" s="17">
        <v>-7000</v>
      </c>
      <c r="N12" s="2"/>
      <c r="O12" s="1"/>
      <c r="P12" s="1"/>
      <c r="Q12" s="1"/>
      <c r="R12" s="1"/>
      <c r="S12" s="1"/>
      <c r="T12" s="40"/>
      <c r="U12" s="39"/>
    </row>
    <row r="13" spans="1:21" ht="15.75" customHeight="1" x14ac:dyDescent="0.25">
      <c r="A13" s="1"/>
      <c r="B13" s="3" t="s">
        <v>3</v>
      </c>
      <c r="C13" s="22"/>
      <c r="D13" s="8"/>
      <c r="E13" s="6" t="s">
        <v>3</v>
      </c>
      <c r="F13" s="26"/>
      <c r="G13" s="8"/>
      <c r="H13" s="2"/>
      <c r="I13" s="13" t="s">
        <v>27</v>
      </c>
      <c r="J13" s="17">
        <v>-7000</v>
      </c>
      <c r="K13" s="2"/>
      <c r="L13" s="13" t="s">
        <v>58</v>
      </c>
      <c r="M13" s="17">
        <v>10000</v>
      </c>
      <c r="N13" s="2"/>
      <c r="O13" s="1"/>
      <c r="P13" s="1"/>
      <c r="Q13" s="1"/>
      <c r="R13" s="1"/>
      <c r="S13" s="1"/>
      <c r="T13" s="40"/>
      <c r="U13" s="39"/>
    </row>
    <row r="14" spans="1:21" ht="15.75" x14ac:dyDescent="0.25">
      <c r="A14" s="1"/>
      <c r="B14" s="4" t="s">
        <v>8</v>
      </c>
      <c r="C14" s="22">
        <v>180000</v>
      </c>
      <c r="D14" s="22">
        <v>180000</v>
      </c>
      <c r="E14" s="7" t="s">
        <v>10</v>
      </c>
      <c r="F14" s="24">
        <v>135000</v>
      </c>
      <c r="G14" s="10">
        <v>135000</v>
      </c>
      <c r="H14" s="2"/>
      <c r="I14" s="13" t="s">
        <v>36</v>
      </c>
      <c r="J14" s="17">
        <v>10000</v>
      </c>
      <c r="K14" s="2"/>
      <c r="L14" s="13" t="s">
        <v>59</v>
      </c>
      <c r="M14" s="17">
        <v>-10000</v>
      </c>
      <c r="N14" s="2"/>
      <c r="O14" s="1"/>
      <c r="P14" s="1"/>
      <c r="Q14" s="1"/>
      <c r="R14" s="1"/>
      <c r="S14" s="1"/>
      <c r="T14" s="40"/>
      <c r="U14" s="39"/>
    </row>
    <row r="15" spans="1:21" ht="26.25" customHeight="1" x14ac:dyDescent="0.4">
      <c r="A15" s="1"/>
      <c r="B15" s="4" t="s">
        <v>34</v>
      </c>
      <c r="C15" s="23">
        <v>0</v>
      </c>
      <c r="D15" s="54">
        <v>-10000</v>
      </c>
      <c r="E15" s="7"/>
      <c r="F15" s="22"/>
      <c r="G15" s="8"/>
      <c r="H15" s="2"/>
      <c r="I15" s="13" t="s">
        <v>35</v>
      </c>
      <c r="J15" s="18">
        <v>-10000</v>
      </c>
      <c r="K15" s="2"/>
      <c r="L15" s="31" t="s">
        <v>60</v>
      </c>
      <c r="M15" s="32">
        <f>SUM(M16:M20)</f>
        <v>60000</v>
      </c>
      <c r="N15" s="37">
        <f>M15/$M$15</f>
        <v>1</v>
      </c>
      <c r="O15" s="1"/>
      <c r="P15" s="1"/>
      <c r="Q15" s="1"/>
      <c r="R15" s="1"/>
      <c r="S15" s="1"/>
      <c r="T15" s="40"/>
      <c r="U15" s="39"/>
    </row>
    <row r="16" spans="1:21" ht="15.75" x14ac:dyDescent="0.25">
      <c r="A16" s="1"/>
      <c r="B16" s="4"/>
      <c r="C16" s="24">
        <f>C15+C14</f>
        <v>180000</v>
      </c>
      <c r="D16" s="10">
        <f>D15+D14</f>
        <v>170000</v>
      </c>
      <c r="E16" s="6" t="s">
        <v>4</v>
      </c>
      <c r="F16" s="26"/>
      <c r="G16" s="8"/>
      <c r="H16" s="2"/>
      <c r="I16" s="14" t="s">
        <v>20</v>
      </c>
      <c r="J16" s="19">
        <f>SUM(J10:J15)</f>
        <v>30000</v>
      </c>
      <c r="K16" s="2"/>
      <c r="L16" s="13" t="s">
        <v>64</v>
      </c>
      <c r="M16" s="17">
        <f>-J11</f>
        <v>20000</v>
      </c>
      <c r="N16" s="36">
        <f t="shared" ref="N16:N20" si="2">M16/$M$15</f>
        <v>0.33333333333333331</v>
      </c>
      <c r="O16" s="1"/>
      <c r="P16" s="1"/>
      <c r="Q16" s="1"/>
      <c r="R16" s="1"/>
      <c r="S16" s="1"/>
      <c r="T16" s="40"/>
      <c r="U16" s="39"/>
    </row>
    <row r="17" spans="1:24" ht="15.75" customHeight="1" x14ac:dyDescent="0.4">
      <c r="A17" s="1"/>
      <c r="B17" s="4"/>
      <c r="C17" s="22"/>
      <c r="D17" s="8"/>
      <c r="E17" s="7" t="s">
        <v>13</v>
      </c>
      <c r="F17" s="22">
        <v>100000</v>
      </c>
      <c r="G17" s="8">
        <v>100000</v>
      </c>
      <c r="H17" s="2"/>
      <c r="I17" s="13" t="s">
        <v>28</v>
      </c>
      <c r="J17" s="18">
        <v>-13500</v>
      </c>
      <c r="K17" s="2"/>
      <c r="L17" s="13" t="s">
        <v>62</v>
      </c>
      <c r="M17" s="17">
        <f>10000+5610</f>
        <v>15610</v>
      </c>
      <c r="N17" s="36">
        <f t="shared" si="2"/>
        <v>0.26016666666666666</v>
      </c>
      <c r="O17" s="1"/>
      <c r="P17" s="1"/>
      <c r="Q17" s="40"/>
      <c r="R17" s="40"/>
      <c r="S17" s="40"/>
      <c r="T17" s="40"/>
      <c r="U17" s="39"/>
    </row>
    <row r="18" spans="1:24" ht="15.75" customHeight="1" x14ac:dyDescent="0.4">
      <c r="A18" s="1"/>
      <c r="B18" s="4"/>
      <c r="C18" s="22"/>
      <c r="D18" s="8"/>
      <c r="E18" s="7" t="s">
        <v>30</v>
      </c>
      <c r="F18" s="23">
        <v>0</v>
      </c>
      <c r="G18" s="55">
        <f>J20/2</f>
        <v>5445</v>
      </c>
      <c r="H18" s="2"/>
      <c r="I18" s="14" t="s">
        <v>22</v>
      </c>
      <c r="J18" s="19">
        <f>J17+J16</f>
        <v>16500</v>
      </c>
      <c r="K18" s="2"/>
      <c r="L18" s="13" t="s">
        <v>63</v>
      </c>
      <c r="M18" s="17">
        <f>-J17</f>
        <v>13500</v>
      </c>
      <c r="N18" s="36">
        <f t="shared" si="2"/>
        <v>0.22500000000000001</v>
      </c>
      <c r="O18" s="1"/>
      <c r="P18" s="1"/>
      <c r="Q18" s="40"/>
      <c r="R18" s="40"/>
      <c r="S18" s="40"/>
      <c r="T18" s="40"/>
      <c r="U18" s="39"/>
    </row>
    <row r="19" spans="1:24" ht="18" x14ac:dyDescent="0.4">
      <c r="A19" s="1"/>
      <c r="B19" s="4"/>
      <c r="C19" s="22"/>
      <c r="D19" s="8"/>
      <c r="E19" s="7"/>
      <c r="F19" s="24">
        <f>SUM(F17:F18)</f>
        <v>100000</v>
      </c>
      <c r="G19" s="10">
        <f>SUM(G17:G18)</f>
        <v>105445</v>
      </c>
      <c r="H19" s="2"/>
      <c r="I19" s="13" t="s">
        <v>29</v>
      </c>
      <c r="J19" s="34">
        <v>-5610</v>
      </c>
      <c r="K19" s="2"/>
      <c r="L19" s="13" t="s">
        <v>65</v>
      </c>
      <c r="M19" s="17">
        <v>5445</v>
      </c>
      <c r="N19" s="36">
        <f t="shared" si="2"/>
        <v>9.0749999999999997E-2</v>
      </c>
      <c r="O19" s="1"/>
      <c r="P19" s="1"/>
      <c r="Q19" s="40"/>
      <c r="R19" s="40"/>
      <c r="S19" s="40"/>
      <c r="T19" s="40"/>
      <c r="U19" s="39"/>
    </row>
    <row r="20" spans="1:24" ht="14.25" customHeight="1" thickBot="1" x14ac:dyDescent="0.3">
      <c r="A20" s="1"/>
      <c r="B20" s="5" t="s">
        <v>14</v>
      </c>
      <c r="C20" s="25">
        <f>C16+C12</f>
        <v>295000</v>
      </c>
      <c r="D20" s="25">
        <f>D16+D12</f>
        <v>300445</v>
      </c>
      <c r="E20" s="5" t="s">
        <v>15</v>
      </c>
      <c r="F20" s="25">
        <f>F19+F14+F12</f>
        <v>295000</v>
      </c>
      <c r="G20" s="11">
        <f>G19+G14+G12</f>
        <v>300445</v>
      </c>
      <c r="H20" s="2"/>
      <c r="I20" s="15" t="s">
        <v>21</v>
      </c>
      <c r="J20" s="56">
        <f>J19+J18</f>
        <v>10890</v>
      </c>
      <c r="K20" s="2"/>
      <c r="L20" s="35" t="s">
        <v>66</v>
      </c>
      <c r="M20" s="29">
        <f>G18</f>
        <v>5445</v>
      </c>
      <c r="N20" s="36">
        <f t="shared" si="2"/>
        <v>9.0749999999999997E-2</v>
      </c>
      <c r="O20" s="1"/>
      <c r="P20" s="1"/>
      <c r="Q20" s="40"/>
      <c r="R20" s="39"/>
      <c r="S20" s="39"/>
      <c r="T20" s="39"/>
      <c r="U20" s="39"/>
    </row>
    <row r="21" spans="1:24" x14ac:dyDescent="0.2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40"/>
      <c r="R21" s="39"/>
      <c r="S21" s="39"/>
      <c r="T21" s="39"/>
      <c r="U21" s="39"/>
    </row>
    <row r="22" spans="1:24" x14ac:dyDescent="0.2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40"/>
      <c r="R22" s="39"/>
      <c r="S22" s="39"/>
      <c r="T22" s="39"/>
      <c r="U22" s="39"/>
    </row>
    <row r="23" spans="1:24" ht="15.75" x14ac:dyDescent="0.25">
      <c r="A23" s="1"/>
      <c r="B23" s="1"/>
      <c r="C23" s="2"/>
      <c r="D23" s="2"/>
      <c r="E23" s="2" t="s">
        <v>147</v>
      </c>
      <c r="F23" s="62">
        <f>0.05*J20/G19+1.65*D12/(G12+G14)+3.55*(D12-D11)/G12-1.06*D12/G12-0.33*(G12+G14)/G19</f>
        <v>5.3204592901664611</v>
      </c>
      <c r="G23" s="2"/>
      <c r="H23" s="2"/>
      <c r="I23" s="104" t="s">
        <v>87</v>
      </c>
      <c r="J23" s="104"/>
      <c r="K23" s="2"/>
      <c r="L23" s="104" t="s">
        <v>87</v>
      </c>
      <c r="M23" s="104"/>
      <c r="N23" s="2"/>
      <c r="O23" s="1"/>
      <c r="P23" s="1"/>
      <c r="Q23" s="40"/>
      <c r="R23" s="39"/>
      <c r="S23" s="39"/>
      <c r="T23" s="39"/>
      <c r="U23" s="39"/>
    </row>
    <row r="24" spans="1:24" ht="16.5" thickBot="1" x14ac:dyDescent="0.3">
      <c r="A24" s="1"/>
      <c r="B24" s="1"/>
      <c r="C24" s="2"/>
      <c r="D24" s="2"/>
      <c r="E24" s="2"/>
      <c r="F24" s="85"/>
      <c r="G24" s="85"/>
      <c r="H24" s="2"/>
      <c r="I24" s="104" t="s">
        <v>88</v>
      </c>
      <c r="J24" s="104"/>
      <c r="K24" s="2"/>
      <c r="L24" s="104" t="s">
        <v>88</v>
      </c>
      <c r="M24" s="104"/>
      <c r="N24" s="2"/>
      <c r="O24" s="1"/>
      <c r="P24" s="1"/>
      <c r="Q24" s="1"/>
    </row>
    <row r="25" spans="1:24" ht="19.5" thickBot="1" x14ac:dyDescent="0.35">
      <c r="A25" s="1"/>
      <c r="B25" s="1"/>
      <c r="C25" s="2"/>
      <c r="D25" s="2"/>
      <c r="E25" s="2"/>
      <c r="F25" s="2"/>
      <c r="G25" s="2"/>
      <c r="H25" s="2"/>
      <c r="I25" s="105" t="s">
        <v>83</v>
      </c>
      <c r="J25" s="106"/>
      <c r="K25" s="2"/>
      <c r="L25" s="105" t="s">
        <v>84</v>
      </c>
      <c r="M25" s="106"/>
      <c r="N25" s="2"/>
      <c r="O25" s="1"/>
      <c r="P25" s="1"/>
      <c r="Q25" s="1"/>
    </row>
    <row r="26" spans="1:24" ht="24" customHeight="1" x14ac:dyDescent="0.4">
      <c r="A26" s="1"/>
      <c r="B26" s="60"/>
      <c r="C26" s="2"/>
      <c r="D26" s="2"/>
      <c r="E26" s="2"/>
      <c r="F26" s="2"/>
      <c r="G26" s="2"/>
      <c r="H26" s="2"/>
      <c r="I26" s="30" t="s">
        <v>37</v>
      </c>
      <c r="J26" s="33">
        <f>SUM(J27:J33)</f>
        <v>34390</v>
      </c>
      <c r="K26" s="2"/>
      <c r="L26" s="30" t="s">
        <v>37</v>
      </c>
      <c r="M26" s="33">
        <f>SUM(M27:M33)</f>
        <v>34390</v>
      </c>
      <c r="N26" s="2"/>
      <c r="O26" s="1"/>
      <c r="P26" s="1"/>
      <c r="Q26" s="1"/>
    </row>
    <row r="27" spans="1:24" ht="15.75" x14ac:dyDescent="0.25">
      <c r="A27" s="1"/>
      <c r="B27" s="61"/>
      <c r="C27" s="62"/>
      <c r="D27" s="62"/>
      <c r="E27" s="2"/>
      <c r="F27" s="2"/>
      <c r="G27" s="2"/>
      <c r="H27" s="1"/>
      <c r="I27" s="13" t="s">
        <v>43</v>
      </c>
      <c r="J27" s="17">
        <v>100000</v>
      </c>
      <c r="K27" s="1"/>
      <c r="L27" s="13" t="s">
        <v>67</v>
      </c>
      <c r="M27" s="58">
        <f>J20</f>
        <v>10890</v>
      </c>
      <c r="N27" s="1"/>
      <c r="O27" s="1"/>
      <c r="P27" s="1"/>
      <c r="Q27" s="1"/>
    </row>
    <row r="28" spans="1:24" ht="15.75" x14ac:dyDescent="0.25">
      <c r="A28" s="1"/>
      <c r="B28" s="61"/>
      <c r="C28" s="62"/>
      <c r="D28" s="62"/>
      <c r="E28" s="2"/>
      <c r="F28" s="2"/>
      <c r="G28" s="2"/>
      <c r="H28" s="1"/>
      <c r="I28" s="13" t="s">
        <v>44</v>
      </c>
      <c r="J28" s="17">
        <v>-30000</v>
      </c>
      <c r="K28" s="1"/>
      <c r="L28" s="13" t="s">
        <v>68</v>
      </c>
      <c r="M28" s="17">
        <f>-J15</f>
        <v>10000</v>
      </c>
      <c r="N28" s="1"/>
      <c r="O28" s="1"/>
      <c r="P28" s="1"/>
      <c r="Q28" s="1"/>
    </row>
    <row r="29" spans="1:24" ht="15.75" x14ac:dyDescent="0.25">
      <c r="A29" s="1"/>
      <c r="B29" s="61"/>
      <c r="C29" s="63"/>
      <c r="D29" s="63"/>
      <c r="E29" s="1"/>
      <c r="F29" s="1"/>
      <c r="G29" s="1"/>
      <c r="H29" s="1"/>
      <c r="I29" s="13" t="s">
        <v>42</v>
      </c>
      <c r="J29" s="17">
        <v>10000</v>
      </c>
      <c r="K29" s="1"/>
      <c r="L29" s="13" t="s">
        <v>69</v>
      </c>
      <c r="M29" s="17">
        <f>-J17</f>
        <v>13500</v>
      </c>
      <c r="N29" s="1"/>
      <c r="O29" s="1"/>
      <c r="P29" s="1"/>
      <c r="Q29" s="1"/>
      <c r="S29" s="1"/>
      <c r="T29" s="1"/>
      <c r="U29" s="1"/>
      <c r="V29" s="1"/>
      <c r="W29" s="1"/>
      <c r="X29" s="1"/>
    </row>
    <row r="30" spans="1:24" ht="15.75" x14ac:dyDescent="0.25">
      <c r="A30" s="1"/>
      <c r="B30" s="61"/>
      <c r="C30" s="62"/>
      <c r="D30" s="62"/>
      <c r="E30" s="1"/>
      <c r="F30" s="1"/>
      <c r="G30" s="1"/>
      <c r="H30" s="1"/>
      <c r="I30" s="13" t="s">
        <v>49</v>
      </c>
      <c r="J30" s="17">
        <v>-20000</v>
      </c>
      <c r="K30" s="1"/>
      <c r="L30" s="13" t="s">
        <v>72</v>
      </c>
      <c r="M30" s="17">
        <v>0</v>
      </c>
      <c r="N30" s="1"/>
      <c r="O30" s="1"/>
      <c r="P30" s="1"/>
      <c r="Q30" s="1"/>
      <c r="S30" s="1"/>
      <c r="T30" s="1"/>
      <c r="U30" s="1"/>
      <c r="V30" s="1"/>
      <c r="W30" s="1"/>
      <c r="X30" s="1"/>
    </row>
    <row r="31" spans="1:24" ht="15.75" x14ac:dyDescent="0.25">
      <c r="A31" s="1"/>
      <c r="B31" s="61"/>
      <c r="C31" s="1"/>
      <c r="D31" s="64"/>
      <c r="E31" s="1"/>
      <c r="F31" s="1"/>
      <c r="G31" s="1"/>
      <c r="H31" s="1"/>
      <c r="I31" s="13" t="s">
        <v>41</v>
      </c>
      <c r="J31" s="17">
        <v>-3000</v>
      </c>
      <c r="K31" s="1"/>
      <c r="L31" s="13" t="s">
        <v>71</v>
      </c>
      <c r="M31" s="17">
        <v>0</v>
      </c>
      <c r="N31" s="1"/>
      <c r="O31" s="1"/>
      <c r="P31" s="1"/>
      <c r="Q31" s="1"/>
      <c r="S31" s="1"/>
      <c r="T31" s="1"/>
      <c r="U31" s="65" t="s">
        <v>89</v>
      </c>
      <c r="V31" s="41"/>
      <c r="W31" s="41"/>
      <c r="X31" s="41"/>
    </row>
    <row r="32" spans="1:24" ht="15.75" x14ac:dyDescent="0.25">
      <c r="A32" s="1"/>
      <c r="B32" s="61"/>
      <c r="C32" s="1"/>
      <c r="D32" s="62"/>
      <c r="E32" s="1"/>
      <c r="F32" s="1"/>
      <c r="G32" s="1"/>
      <c r="H32" s="1"/>
      <c r="I32" s="13" t="s">
        <v>40</v>
      </c>
      <c r="J32" s="17">
        <v>-7000</v>
      </c>
      <c r="K32" s="1"/>
      <c r="L32" s="13" t="s">
        <v>70</v>
      </c>
      <c r="M32" s="17">
        <v>0</v>
      </c>
      <c r="N32" s="1"/>
      <c r="O32" s="1"/>
      <c r="P32" s="1"/>
      <c r="Q32" s="1"/>
      <c r="S32" s="1"/>
      <c r="T32" s="1"/>
      <c r="U32" s="41" t="s">
        <v>97</v>
      </c>
      <c r="V32" s="66"/>
      <c r="W32" s="41"/>
      <c r="X32" s="41"/>
    </row>
    <row r="33" spans="1:24" ht="15.75" x14ac:dyDescent="0.25">
      <c r="A33" s="1"/>
      <c r="B33" s="61"/>
      <c r="C33" s="1"/>
      <c r="D33" s="64"/>
      <c r="E33" s="1"/>
      <c r="F33" s="1"/>
      <c r="G33" s="1"/>
      <c r="H33" s="1"/>
      <c r="I33" s="13" t="s">
        <v>52</v>
      </c>
      <c r="J33" s="17">
        <f>-5610-10000</f>
        <v>-15610</v>
      </c>
      <c r="K33" s="1"/>
      <c r="L33" s="13" t="s">
        <v>73</v>
      </c>
      <c r="M33" s="17">
        <v>0</v>
      </c>
      <c r="N33" s="1"/>
      <c r="O33" s="1"/>
      <c r="P33" s="1"/>
      <c r="Q33" s="1"/>
      <c r="S33" s="1"/>
      <c r="T33" s="1"/>
      <c r="U33" s="41"/>
      <c r="V33" s="41"/>
      <c r="W33" s="41"/>
      <c r="X33" s="41"/>
    </row>
    <row r="34" spans="1:24" ht="21.75" customHeight="1" x14ac:dyDescent="0.4">
      <c r="A34" s="1"/>
      <c r="B34" s="1"/>
      <c r="C34" s="1"/>
      <c r="D34" s="1"/>
      <c r="E34" s="1"/>
      <c r="F34" s="1"/>
      <c r="G34" s="1"/>
      <c r="H34" s="1"/>
      <c r="I34" s="31" t="s">
        <v>38</v>
      </c>
      <c r="J34" s="32">
        <f>J35</f>
        <v>0</v>
      </c>
      <c r="K34" s="1"/>
      <c r="L34" s="31" t="s">
        <v>38</v>
      </c>
      <c r="M34" s="32">
        <f>M35</f>
        <v>0</v>
      </c>
      <c r="N34" s="1"/>
      <c r="O34" s="1"/>
      <c r="P34" s="1"/>
      <c r="Q34" s="1"/>
      <c r="S34" s="1"/>
      <c r="T34" s="1"/>
      <c r="U34" s="41"/>
      <c r="V34" s="41"/>
      <c r="W34" s="41"/>
      <c r="X34" s="41"/>
    </row>
    <row r="35" spans="1:24" ht="15.75" x14ac:dyDescent="0.25">
      <c r="A35" s="1"/>
      <c r="B35" s="1"/>
      <c r="C35" s="1"/>
      <c r="D35" s="1"/>
      <c r="E35" s="1"/>
      <c r="F35" s="1"/>
      <c r="G35" s="1"/>
      <c r="H35" s="1"/>
      <c r="I35" s="13" t="s">
        <v>45</v>
      </c>
      <c r="J35" s="17">
        <v>0</v>
      </c>
      <c r="K35" s="1"/>
      <c r="L35" s="13" t="s">
        <v>45</v>
      </c>
      <c r="M35" s="17">
        <v>0</v>
      </c>
      <c r="N35" s="1"/>
      <c r="O35" s="1"/>
      <c r="P35" s="1"/>
      <c r="Q35" s="1"/>
      <c r="S35" s="1"/>
      <c r="T35" s="1"/>
      <c r="U35" s="41"/>
      <c r="V35" s="41"/>
      <c r="W35" s="41"/>
      <c r="X35" s="41"/>
    </row>
    <row r="36" spans="1:24" ht="21.75" customHeight="1" x14ac:dyDescent="0.4">
      <c r="A36" s="1"/>
      <c r="B36" s="1"/>
      <c r="C36" s="1"/>
      <c r="D36" s="1"/>
      <c r="E36" s="1"/>
      <c r="F36" s="1"/>
      <c r="G36" s="1"/>
      <c r="H36" s="1"/>
      <c r="I36" s="31" t="s">
        <v>39</v>
      </c>
      <c r="J36" s="32">
        <f>J37+J38</f>
        <v>-18945</v>
      </c>
      <c r="K36" s="1"/>
      <c r="L36" s="31" t="s">
        <v>39</v>
      </c>
      <c r="M36" s="32">
        <f>M37+M38</f>
        <v>-18945</v>
      </c>
      <c r="N36" s="1"/>
      <c r="O36" s="1"/>
      <c r="P36" s="1"/>
      <c r="Q36" s="1"/>
      <c r="S36" s="1"/>
      <c r="T36" s="1"/>
      <c r="U36" s="41" t="s">
        <v>93</v>
      </c>
      <c r="V36" s="41"/>
      <c r="W36" s="41"/>
      <c r="X36" s="41"/>
    </row>
    <row r="37" spans="1:24" ht="15.75" x14ac:dyDescent="0.25">
      <c r="A37" s="1"/>
      <c r="B37" s="1"/>
      <c r="C37" s="1"/>
      <c r="D37" s="1"/>
      <c r="E37" s="1"/>
      <c r="F37" s="1"/>
      <c r="G37" s="1"/>
      <c r="H37" s="1"/>
      <c r="I37" s="13" t="s">
        <v>48</v>
      </c>
      <c r="J37" s="17">
        <v>-13500</v>
      </c>
      <c r="K37" s="1"/>
      <c r="L37" s="13" t="s">
        <v>48</v>
      </c>
      <c r="M37" s="17">
        <v>-13500</v>
      </c>
      <c r="N37" s="1"/>
      <c r="O37" s="1"/>
      <c r="P37" s="1"/>
      <c r="Q37" s="1"/>
      <c r="S37" s="1"/>
      <c r="T37" s="1"/>
      <c r="U37" s="41" t="s">
        <v>94</v>
      </c>
      <c r="V37" s="41"/>
      <c r="W37" s="41"/>
      <c r="X37" s="41"/>
    </row>
    <row r="38" spans="1:24" ht="15.75" x14ac:dyDescent="0.25">
      <c r="A38" s="1"/>
      <c r="B38" s="1"/>
      <c r="C38" s="1"/>
      <c r="D38" s="1"/>
      <c r="E38" s="1"/>
      <c r="F38" s="1"/>
      <c r="G38" s="1"/>
      <c r="H38" s="1"/>
      <c r="I38" s="13" t="s">
        <v>47</v>
      </c>
      <c r="J38" s="17">
        <v>-5445</v>
      </c>
      <c r="K38" s="1"/>
      <c r="L38" s="13" t="s">
        <v>47</v>
      </c>
      <c r="M38" s="17">
        <v>-5445</v>
      </c>
      <c r="N38" s="1"/>
      <c r="O38" s="1"/>
      <c r="P38" s="1"/>
      <c r="Q38" s="1"/>
      <c r="S38" s="1"/>
      <c r="T38" s="1"/>
      <c r="U38" s="41" t="s">
        <v>95</v>
      </c>
      <c r="V38" s="41"/>
      <c r="W38" s="41"/>
      <c r="X38" s="41"/>
    </row>
    <row r="39" spans="1:24" ht="24" customHeight="1" x14ac:dyDescent="0.4">
      <c r="A39" s="1"/>
      <c r="B39" s="1"/>
      <c r="C39" s="1"/>
      <c r="D39" s="1"/>
      <c r="E39" s="1"/>
      <c r="F39" s="1"/>
      <c r="G39" s="1"/>
      <c r="H39" s="1"/>
      <c r="I39" s="31" t="s">
        <v>46</v>
      </c>
      <c r="J39" s="59">
        <f>J36+J34+J26</f>
        <v>15445</v>
      </c>
      <c r="K39" s="1"/>
      <c r="L39" s="31" t="s">
        <v>46</v>
      </c>
      <c r="M39" s="59">
        <f>M36+M34+M26</f>
        <v>15445</v>
      </c>
      <c r="N39" s="1"/>
      <c r="O39" s="1"/>
      <c r="P39" s="1"/>
      <c r="Q39" s="1"/>
      <c r="S39" s="1"/>
      <c r="T39" s="1"/>
      <c r="U39" s="41" t="s">
        <v>96</v>
      </c>
      <c r="V39" s="41"/>
      <c r="W39" s="41"/>
      <c r="X39" s="41"/>
    </row>
    <row r="40" spans="1:24" ht="15.75" x14ac:dyDescent="0.25">
      <c r="A40" s="1"/>
      <c r="B40" s="1"/>
      <c r="C40" s="1"/>
      <c r="D40" s="1"/>
      <c r="E40" s="1"/>
      <c r="F40" s="1"/>
      <c r="G40" s="1"/>
      <c r="H40" s="1"/>
      <c r="I40" s="13" t="s">
        <v>50</v>
      </c>
      <c r="J40" s="17">
        <f>C9</f>
        <v>5000</v>
      </c>
      <c r="K40" s="1"/>
      <c r="L40" s="13" t="s">
        <v>50</v>
      </c>
      <c r="M40" s="17">
        <f>C9</f>
        <v>5000</v>
      </c>
      <c r="N40" s="1"/>
      <c r="O40" s="1"/>
      <c r="P40" s="1"/>
      <c r="Q40" s="1"/>
      <c r="S40" s="1"/>
      <c r="T40" s="1"/>
      <c r="U40" s="41" t="s">
        <v>92</v>
      </c>
      <c r="V40" s="41"/>
      <c r="W40" s="41"/>
      <c r="X40" s="41"/>
    </row>
    <row r="41" spans="1:24" ht="24" customHeight="1" thickBot="1" x14ac:dyDescent="0.3">
      <c r="A41" s="1"/>
      <c r="B41" s="1"/>
      <c r="C41" s="1"/>
      <c r="D41" s="1"/>
      <c r="E41" s="1"/>
      <c r="F41" s="1"/>
      <c r="G41" s="1"/>
      <c r="H41" s="1"/>
      <c r="I41" s="21" t="s">
        <v>51</v>
      </c>
      <c r="J41" s="56">
        <f>J40+J39</f>
        <v>20445</v>
      </c>
      <c r="K41" s="1"/>
      <c r="L41" s="21" t="s">
        <v>51</v>
      </c>
      <c r="M41" s="56">
        <f>M40+M39</f>
        <v>20445</v>
      </c>
      <c r="N41" s="1"/>
      <c r="O41" s="1"/>
      <c r="P41" s="1"/>
      <c r="Q41" s="1"/>
      <c r="S41" s="1"/>
      <c r="T41" s="1"/>
      <c r="U41" s="41" t="s">
        <v>91</v>
      </c>
      <c r="V41" s="41"/>
      <c r="W41" s="41"/>
      <c r="X41" s="41"/>
    </row>
    <row r="42" spans="1:2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1"/>
      <c r="O42" s="1"/>
      <c r="P42" s="1"/>
      <c r="Q42" s="1"/>
      <c r="S42" s="1"/>
      <c r="T42" s="1"/>
      <c r="U42" s="41" t="s">
        <v>90</v>
      </c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mergeCells count="19">
    <mergeCell ref="L25:M25"/>
    <mergeCell ref="P5:Q5"/>
    <mergeCell ref="P6:S6"/>
    <mergeCell ref="L5:M5"/>
    <mergeCell ref="L6:M6"/>
    <mergeCell ref="L7:M7"/>
    <mergeCell ref="L23:M23"/>
    <mergeCell ref="L24:M24"/>
    <mergeCell ref="B6:G6"/>
    <mergeCell ref="E7:G7"/>
    <mergeCell ref="I7:J7"/>
    <mergeCell ref="I6:J6"/>
    <mergeCell ref="B7:D7"/>
    <mergeCell ref="I23:J23"/>
    <mergeCell ref="I24:J24"/>
    <mergeCell ref="I25:J25"/>
    <mergeCell ref="I3:J3"/>
    <mergeCell ref="I4:J4"/>
    <mergeCell ref="I5:J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FE2D-6BA8-4E79-80CC-3CF1FB00AB5A}">
  <dimension ref="A1:H41"/>
  <sheetViews>
    <sheetView workbookViewId="0">
      <selection activeCell="K35" sqref="K35"/>
    </sheetView>
  </sheetViews>
  <sheetFormatPr defaultRowHeight="15" x14ac:dyDescent="0.25"/>
  <cols>
    <col min="2" max="2" width="34" customWidth="1"/>
    <col min="3" max="3" width="33.5703125" style="67" customWidth="1"/>
    <col min="4" max="4" width="6.42578125" customWidth="1"/>
    <col min="5" max="5" width="6.85546875" customWidth="1"/>
    <col min="6" max="6" width="6.28515625" customWidth="1"/>
    <col min="7" max="7" width="7" customWidth="1"/>
  </cols>
  <sheetData>
    <row r="1" spans="1:8" x14ac:dyDescent="0.25">
      <c r="A1" s="1"/>
      <c r="B1" s="1"/>
      <c r="C1" s="68"/>
      <c r="D1" s="1"/>
      <c r="E1" s="1"/>
      <c r="F1" s="1"/>
      <c r="G1" s="1"/>
      <c r="H1" s="1"/>
    </row>
    <row r="2" spans="1:8" x14ac:dyDescent="0.25">
      <c r="A2" s="1"/>
      <c r="B2" s="1"/>
      <c r="C2" s="68"/>
      <c r="D2" s="1"/>
      <c r="E2" s="1"/>
      <c r="F2" s="1"/>
      <c r="G2" s="1"/>
      <c r="H2" s="1"/>
    </row>
    <row r="3" spans="1:8" ht="25.5" x14ac:dyDescent="0.25">
      <c r="A3" s="1"/>
      <c r="B3" s="99" t="s">
        <v>130</v>
      </c>
      <c r="C3" s="99" t="s">
        <v>101</v>
      </c>
      <c r="D3" s="100" t="s">
        <v>105</v>
      </c>
      <c r="E3" s="100" t="s">
        <v>106</v>
      </c>
      <c r="F3" s="101" t="s">
        <v>155</v>
      </c>
      <c r="G3" s="101" t="s">
        <v>156</v>
      </c>
      <c r="H3" s="101" t="s">
        <v>157</v>
      </c>
    </row>
    <row r="4" spans="1:8" ht="15.75" x14ac:dyDescent="0.25">
      <c r="A4" s="1"/>
      <c r="B4" s="102" t="s">
        <v>99</v>
      </c>
      <c r="C4" s="70"/>
      <c r="D4" s="71"/>
      <c r="E4" s="71"/>
      <c r="F4" s="71"/>
      <c r="G4" s="70"/>
      <c r="H4" s="113" t="s">
        <v>161</v>
      </c>
    </row>
    <row r="5" spans="1:8" ht="15.75" x14ac:dyDescent="0.25">
      <c r="A5" s="1"/>
      <c r="B5" s="72" t="s">
        <v>111</v>
      </c>
      <c r="C5" s="70" t="s">
        <v>131</v>
      </c>
      <c r="D5" s="82">
        <f>'Abrindo Empresa'!C12/'Abrindo Empresa'!F12</f>
        <v>1.9166666666666667</v>
      </c>
      <c r="E5" s="82">
        <f>'Abrindo Empresa'!D12/'Abrindo Empresa'!G12</f>
        <v>2.1740833333333334</v>
      </c>
      <c r="F5" s="91">
        <v>2</v>
      </c>
      <c r="G5" s="70" t="s">
        <v>159</v>
      </c>
      <c r="H5" s="115"/>
    </row>
    <row r="6" spans="1:8" ht="15.75" x14ac:dyDescent="0.25">
      <c r="A6" s="1"/>
      <c r="B6" s="72" t="s">
        <v>112</v>
      </c>
      <c r="C6" s="70" t="s">
        <v>132</v>
      </c>
      <c r="D6" s="82">
        <f>('Abrindo Empresa'!C12-'Abrindo Empresa'!C11)/'Abrindo Empresa'!F12</f>
        <v>1.75</v>
      </c>
      <c r="E6" s="82">
        <f>('Abrindo Empresa'!D12-'Abrindo Empresa'!D11)/'Abrindo Empresa'!G12</f>
        <v>2.0074166666666668</v>
      </c>
      <c r="F6" s="91">
        <v>1.8</v>
      </c>
      <c r="G6" s="70" t="s">
        <v>159</v>
      </c>
      <c r="H6" s="115"/>
    </row>
    <row r="7" spans="1:8" ht="15.75" x14ac:dyDescent="0.25">
      <c r="A7" s="1"/>
      <c r="B7" s="72" t="s">
        <v>113</v>
      </c>
      <c r="C7" s="70" t="s">
        <v>133</v>
      </c>
      <c r="D7" s="82">
        <f>'Abrindo Empresa'!C9/'Abrindo Empresa'!F12</f>
        <v>8.3333333333333329E-2</v>
      </c>
      <c r="E7" s="82">
        <f>'Abrindo Empresa'!D9/'Abrindo Empresa'!G12</f>
        <v>0.34075</v>
      </c>
      <c r="F7" s="91">
        <v>0.4</v>
      </c>
      <c r="G7" s="70" t="s">
        <v>160</v>
      </c>
      <c r="H7" s="115"/>
    </row>
    <row r="8" spans="1:8" ht="15.75" x14ac:dyDescent="0.25">
      <c r="A8" s="1"/>
      <c r="B8" s="72" t="s">
        <v>114</v>
      </c>
      <c r="C8" s="70" t="s">
        <v>134</v>
      </c>
      <c r="D8" s="82">
        <f>'Abrindo Empresa'!C12/('Abrindo Empresa'!F12+'Abrindo Empresa'!F14)</f>
        <v>0.58974358974358976</v>
      </c>
      <c r="E8" s="82">
        <f>'Abrindo Empresa'!D12/('Abrindo Empresa'!G12+'Abrindo Empresa'!G14)</f>
        <v>0.66894871794871791</v>
      </c>
      <c r="F8" s="91">
        <v>0.6</v>
      </c>
      <c r="G8" s="70" t="s">
        <v>159</v>
      </c>
      <c r="H8" s="114"/>
    </row>
    <row r="9" spans="1:8" ht="15.75" x14ac:dyDescent="0.25">
      <c r="A9" s="1"/>
      <c r="B9" s="103" t="s">
        <v>98</v>
      </c>
      <c r="C9" s="77"/>
      <c r="D9" s="78"/>
      <c r="E9" s="78"/>
      <c r="F9" s="69"/>
      <c r="G9" s="77"/>
      <c r="H9" s="113" t="s">
        <v>161</v>
      </c>
    </row>
    <row r="10" spans="1:8" ht="15.75" x14ac:dyDescent="0.25">
      <c r="A10" s="1"/>
      <c r="B10" s="72" t="s">
        <v>115</v>
      </c>
      <c r="C10" s="70" t="s">
        <v>135</v>
      </c>
      <c r="D10" s="71"/>
      <c r="E10" s="83">
        <f>'Abrindo Empresa'!J20/'Abrindo Empresa'!J8</f>
        <v>0.121</v>
      </c>
      <c r="F10" s="96">
        <v>0.1</v>
      </c>
      <c r="G10" s="70" t="s">
        <v>159</v>
      </c>
      <c r="H10" s="115"/>
    </row>
    <row r="11" spans="1:8" ht="15.75" x14ac:dyDescent="0.25">
      <c r="A11" s="1"/>
      <c r="B11" s="72" t="s">
        <v>116</v>
      </c>
      <c r="C11" s="70" t="s">
        <v>136</v>
      </c>
      <c r="D11" s="71"/>
      <c r="E11" s="82">
        <f>'Abrindo Empresa'!J8/'Abrindo Empresa'!C20</f>
        <v>0.30508474576271188</v>
      </c>
      <c r="F11" s="95">
        <v>0.5</v>
      </c>
      <c r="G11" s="70" t="s">
        <v>160</v>
      </c>
      <c r="H11" s="115"/>
    </row>
    <row r="12" spans="1:8" ht="15.75" x14ac:dyDescent="0.25">
      <c r="A12" s="1"/>
      <c r="B12" s="73" t="s">
        <v>117</v>
      </c>
      <c r="C12" s="70" t="s">
        <v>137</v>
      </c>
      <c r="D12" s="71"/>
      <c r="E12" s="83">
        <f>E11*E10</f>
        <v>3.6915254237288135E-2</v>
      </c>
      <c r="F12" s="93">
        <f>F11*F10</f>
        <v>0.05</v>
      </c>
      <c r="G12" s="70" t="s">
        <v>159</v>
      </c>
      <c r="H12" s="115"/>
    </row>
    <row r="13" spans="1:8" ht="15.75" x14ac:dyDescent="0.25">
      <c r="A13" s="1"/>
      <c r="B13" s="79" t="s">
        <v>118</v>
      </c>
      <c r="C13" s="80" t="s">
        <v>138</v>
      </c>
      <c r="D13" s="76"/>
      <c r="E13" s="84">
        <f>'Abrindo Empresa'!J20/'Abrindo Empresa'!F19</f>
        <v>0.1089</v>
      </c>
      <c r="F13" s="97">
        <v>0.12</v>
      </c>
      <c r="G13" s="80" t="s">
        <v>159</v>
      </c>
      <c r="H13" s="114"/>
    </row>
    <row r="14" spans="1:8" ht="15.75" x14ac:dyDescent="0.25">
      <c r="A14" s="1"/>
      <c r="B14" s="102" t="s">
        <v>100</v>
      </c>
      <c r="C14" s="70"/>
      <c r="D14" s="71"/>
      <c r="E14" s="71"/>
      <c r="F14" s="92"/>
      <c r="G14" s="70"/>
      <c r="H14" s="113" t="s">
        <v>161</v>
      </c>
    </row>
    <row r="15" spans="1:8" ht="15.75" x14ac:dyDescent="0.25">
      <c r="A15" s="1"/>
      <c r="B15" s="72" t="s">
        <v>119</v>
      </c>
      <c r="C15" s="70" t="s">
        <v>139</v>
      </c>
      <c r="D15" s="82">
        <f>('Abrindo Empresa'!F12+'Abrindo Empresa'!F14)/'Abrindo Empresa'!F20</f>
        <v>0.66101694915254239</v>
      </c>
      <c r="E15" s="82">
        <f>('Abrindo Empresa'!G12+'Abrindo Empresa'!G14)/'Abrindo Empresa'!G20</f>
        <v>0.64903726139559648</v>
      </c>
      <c r="F15" s="91">
        <v>0.5</v>
      </c>
      <c r="G15" s="70" t="s">
        <v>159</v>
      </c>
      <c r="H15" s="115"/>
    </row>
    <row r="16" spans="1:8" ht="15.75" x14ac:dyDescent="0.25">
      <c r="A16" s="1"/>
      <c r="B16" s="72" t="s">
        <v>120</v>
      </c>
      <c r="C16" s="70" t="s">
        <v>140</v>
      </c>
      <c r="D16" s="82">
        <f>'Abrindo Empresa'!F19/'Abrindo Empresa'!F20</f>
        <v>0.33898305084745761</v>
      </c>
      <c r="E16" s="82">
        <f>'Abrindo Empresa'!G19/'Abrindo Empresa'!G20</f>
        <v>0.35096273860440347</v>
      </c>
      <c r="F16" s="91">
        <v>0.5</v>
      </c>
      <c r="G16" s="70" t="s">
        <v>159</v>
      </c>
      <c r="H16" s="115"/>
    </row>
    <row r="17" spans="1:8" ht="15.75" x14ac:dyDescent="0.25">
      <c r="A17" s="1"/>
      <c r="B17" s="72" t="s">
        <v>121</v>
      </c>
      <c r="C17" s="70" t="s">
        <v>141</v>
      </c>
      <c r="D17" s="82">
        <f>D16/D15</f>
        <v>0.51282051282051277</v>
      </c>
      <c r="E17" s="82">
        <f>E16/E15</f>
        <v>0.54074358974358983</v>
      </c>
      <c r="F17" s="91">
        <f>F16/F15</f>
        <v>1</v>
      </c>
      <c r="G17" s="70" t="s">
        <v>160</v>
      </c>
      <c r="H17" s="115"/>
    </row>
    <row r="18" spans="1:8" ht="15.75" x14ac:dyDescent="0.25">
      <c r="A18" s="1"/>
      <c r="B18" s="72" t="s">
        <v>165</v>
      </c>
      <c r="C18" s="70" t="s">
        <v>142</v>
      </c>
      <c r="D18" s="82">
        <f>'Abrindo Empresa'!F12/('Abrindo Empresa'!F12+'Abrindo Empresa'!F14)</f>
        <v>0.30769230769230771</v>
      </c>
      <c r="E18" s="82">
        <f>'Abrindo Empresa'!G12/('Abrindo Empresa'!G12+'Abrindo Empresa'!G14)</f>
        <v>0.30769230769230771</v>
      </c>
      <c r="F18" s="91">
        <v>0.3</v>
      </c>
      <c r="G18" s="70" t="s">
        <v>159</v>
      </c>
      <c r="H18" s="114"/>
    </row>
    <row r="19" spans="1:8" ht="15.75" x14ac:dyDescent="0.25">
      <c r="A19" s="1"/>
      <c r="B19" s="103" t="s">
        <v>108</v>
      </c>
      <c r="C19" s="77"/>
      <c r="D19" s="78"/>
      <c r="E19" s="78"/>
      <c r="F19" s="69"/>
      <c r="G19" s="77"/>
      <c r="H19" s="113" t="s">
        <v>162</v>
      </c>
    </row>
    <row r="20" spans="1:8" ht="15.75" x14ac:dyDescent="0.25">
      <c r="A20" s="1"/>
      <c r="B20" s="72" t="s">
        <v>122</v>
      </c>
      <c r="C20" s="70" t="s">
        <v>143</v>
      </c>
      <c r="D20" s="82">
        <f>'Abrindo Empresa'!C16/'Abrindo Empresa'!C20</f>
        <v>0.61016949152542377</v>
      </c>
      <c r="E20" s="82">
        <f>'Abrindo Empresa'!D16/'Abrindo Empresa'!D20</f>
        <v>0.56582735608846879</v>
      </c>
      <c r="F20" s="91">
        <v>0.55000000000000004</v>
      </c>
      <c r="G20" s="70" t="s">
        <v>159</v>
      </c>
      <c r="H20" s="115"/>
    </row>
    <row r="21" spans="1:8" ht="15.75" x14ac:dyDescent="0.25">
      <c r="A21" s="1"/>
      <c r="B21" s="75" t="s">
        <v>123</v>
      </c>
      <c r="C21" s="80" t="s">
        <v>102</v>
      </c>
      <c r="D21" s="86">
        <f>'Abrindo Empresa'!C16/-'Abrindo Empresa'!$J$15</f>
        <v>18</v>
      </c>
      <c r="E21" s="86">
        <f>'Abrindo Empresa'!D16/-'Abrindo Empresa'!$J$15</f>
        <v>17</v>
      </c>
      <c r="F21" s="90">
        <v>9</v>
      </c>
      <c r="G21" s="80" t="s">
        <v>163</v>
      </c>
      <c r="H21" s="114"/>
    </row>
    <row r="22" spans="1:8" ht="15.75" x14ac:dyDescent="0.25">
      <c r="A22" s="1"/>
      <c r="B22" s="102" t="s">
        <v>109</v>
      </c>
      <c r="C22" s="70"/>
      <c r="D22" s="71"/>
      <c r="E22" s="71"/>
      <c r="F22" s="92"/>
      <c r="G22" s="70"/>
      <c r="H22" s="113" t="s">
        <v>158</v>
      </c>
    </row>
    <row r="23" spans="1:8" x14ac:dyDescent="0.25">
      <c r="A23" s="1"/>
      <c r="B23" s="74" t="s">
        <v>124</v>
      </c>
      <c r="C23" s="70" t="s">
        <v>144</v>
      </c>
      <c r="D23" s="71"/>
      <c r="E23" s="87">
        <f>'Abrindo Empresa'!D11/-'Abrindo Empresa'!J9*30</f>
        <v>10</v>
      </c>
      <c r="F23" s="94">
        <v>13</v>
      </c>
      <c r="G23" s="70" t="s">
        <v>159</v>
      </c>
      <c r="H23" s="115"/>
    </row>
    <row r="24" spans="1:8" x14ac:dyDescent="0.25">
      <c r="A24" s="1"/>
      <c r="B24" s="74" t="s">
        <v>125</v>
      </c>
      <c r="C24" s="70" t="s">
        <v>145</v>
      </c>
      <c r="D24" s="71"/>
      <c r="E24" s="87">
        <f>'Abrindo Empresa'!D10/'Abrindo Empresa'!J8*30</f>
        <v>33.333333333333336</v>
      </c>
      <c r="F24" s="94">
        <v>15</v>
      </c>
      <c r="G24" s="70" t="s">
        <v>164</v>
      </c>
      <c r="H24" s="115"/>
    </row>
    <row r="25" spans="1:8" ht="15.75" x14ac:dyDescent="0.25">
      <c r="A25" s="1"/>
      <c r="B25" s="72" t="s">
        <v>126</v>
      </c>
      <c r="C25" s="81" t="s">
        <v>103</v>
      </c>
      <c r="D25" s="71"/>
      <c r="E25" s="88">
        <f>E24+E23</f>
        <v>43.333333333333336</v>
      </c>
      <c r="F25" s="98">
        <f>F24+F23</f>
        <v>28</v>
      </c>
      <c r="G25" s="70" t="s">
        <v>160</v>
      </c>
      <c r="H25" s="115"/>
    </row>
    <row r="26" spans="1:8" x14ac:dyDescent="0.25">
      <c r="A26" s="1"/>
      <c r="B26" s="74" t="s">
        <v>127</v>
      </c>
      <c r="C26" s="70" t="s">
        <v>146</v>
      </c>
      <c r="D26" s="71"/>
      <c r="E26" s="87">
        <f>'Abrindo Empresa'!G9/-'Abrindo Empresa'!J9*30</f>
        <v>30</v>
      </c>
      <c r="F26" s="94">
        <v>33</v>
      </c>
      <c r="G26" s="70" t="s">
        <v>159</v>
      </c>
      <c r="H26" s="115"/>
    </row>
    <row r="27" spans="1:8" ht="15.75" x14ac:dyDescent="0.25">
      <c r="A27" s="1"/>
      <c r="B27" s="72" t="s">
        <v>128</v>
      </c>
      <c r="C27" s="81" t="s">
        <v>104</v>
      </c>
      <c r="D27" s="71"/>
      <c r="E27" s="89">
        <f>E26-E25</f>
        <v>-13.333333333333336</v>
      </c>
      <c r="F27" s="57">
        <f>F26-F25</f>
        <v>5</v>
      </c>
      <c r="G27" s="70" t="s">
        <v>164</v>
      </c>
      <c r="H27" s="114"/>
    </row>
    <row r="28" spans="1:8" ht="15.75" x14ac:dyDescent="0.25">
      <c r="A28" s="1"/>
      <c r="B28" s="103" t="s">
        <v>110</v>
      </c>
      <c r="C28" s="116" t="s">
        <v>107</v>
      </c>
      <c r="D28" s="113"/>
      <c r="E28" s="118">
        <f>0.05*E35/E36+1.65*(E37+37)/(E38+E40)+3.55*(E37-E41)/E38-1.06*E37/E38-0.33*(E38+E40)/E36</f>
        <v>5.320772367089539</v>
      </c>
      <c r="F28" s="118">
        <v>3</v>
      </c>
      <c r="G28" s="113" t="s">
        <v>159</v>
      </c>
      <c r="H28" s="113" t="s">
        <v>161</v>
      </c>
    </row>
    <row r="29" spans="1:8" ht="15.75" x14ac:dyDescent="0.25">
      <c r="A29" s="1"/>
      <c r="B29" s="75" t="s">
        <v>129</v>
      </c>
      <c r="C29" s="117"/>
      <c r="D29" s="114"/>
      <c r="E29" s="119"/>
      <c r="F29" s="119"/>
      <c r="G29" s="114"/>
      <c r="H29" s="114"/>
    </row>
    <row r="30" spans="1:8" ht="15.75" x14ac:dyDescent="0.25">
      <c r="A30" s="1"/>
      <c r="B30" s="41"/>
      <c r="C30" s="68"/>
      <c r="D30" s="1"/>
      <c r="E30" s="1"/>
      <c r="F30" s="1"/>
      <c r="G30" s="1"/>
      <c r="H30" s="1"/>
    </row>
    <row r="31" spans="1:8" x14ac:dyDescent="0.25">
      <c r="A31" s="1"/>
      <c r="B31" s="1"/>
      <c r="C31" s="68"/>
      <c r="D31" s="1"/>
      <c r="E31" s="1"/>
      <c r="F31" s="1"/>
      <c r="G31" s="1"/>
      <c r="H31" s="1"/>
    </row>
    <row r="32" spans="1:8" x14ac:dyDescent="0.25">
      <c r="A32" s="1"/>
      <c r="B32" s="1"/>
      <c r="C32" s="68"/>
      <c r="D32" s="1"/>
      <c r="E32" s="1"/>
      <c r="F32" s="1"/>
      <c r="G32" s="1"/>
      <c r="H32" s="1"/>
    </row>
    <row r="33" spans="1:8" x14ac:dyDescent="0.25">
      <c r="A33" s="1"/>
      <c r="B33" s="1"/>
      <c r="C33" s="68"/>
      <c r="D33" s="1"/>
      <c r="E33" s="1"/>
      <c r="F33" s="1"/>
      <c r="G33" s="1"/>
      <c r="H33" s="1"/>
    </row>
    <row r="35" spans="1:8" x14ac:dyDescent="0.25">
      <c r="D35" s="67" t="s">
        <v>148</v>
      </c>
      <c r="E35" s="120">
        <f>'Abrindo Empresa'!J20</f>
        <v>10890</v>
      </c>
      <c r="F35" s="120"/>
    </row>
    <row r="36" spans="1:8" x14ac:dyDescent="0.25">
      <c r="D36" s="67" t="s">
        <v>149</v>
      </c>
      <c r="E36" s="120">
        <f>'Abrindo Empresa'!G19</f>
        <v>105445</v>
      </c>
      <c r="F36" s="120"/>
    </row>
    <row r="37" spans="1:8" x14ac:dyDescent="0.25">
      <c r="D37" s="67" t="s">
        <v>150</v>
      </c>
      <c r="E37" s="120">
        <f>'Abrindo Empresa'!D12</f>
        <v>130445</v>
      </c>
      <c r="F37" s="120"/>
    </row>
    <row r="38" spans="1:8" x14ac:dyDescent="0.25">
      <c r="D38" s="67" t="s">
        <v>151</v>
      </c>
      <c r="E38" s="120">
        <f>'Abrindo Empresa'!G12</f>
        <v>60000</v>
      </c>
      <c r="F38" s="120"/>
    </row>
    <row r="39" spans="1:8" x14ac:dyDescent="0.25">
      <c r="D39" s="67" t="s">
        <v>152</v>
      </c>
      <c r="E39" s="120">
        <v>0</v>
      </c>
      <c r="F39" s="120"/>
    </row>
    <row r="40" spans="1:8" x14ac:dyDescent="0.25">
      <c r="D40" s="67" t="s">
        <v>153</v>
      </c>
      <c r="E40" s="120">
        <f>'Abrindo Empresa'!G14</f>
        <v>135000</v>
      </c>
      <c r="F40" s="120"/>
    </row>
    <row r="41" spans="1:8" x14ac:dyDescent="0.25">
      <c r="D41" s="67" t="s">
        <v>154</v>
      </c>
      <c r="E41" s="120">
        <f>'Abrindo Empresa'!D11</f>
        <v>10000</v>
      </c>
      <c r="F41" s="120"/>
    </row>
  </sheetData>
  <mergeCells count="18">
    <mergeCell ref="E41:F41"/>
    <mergeCell ref="E35:F35"/>
    <mergeCell ref="E36:F36"/>
    <mergeCell ref="E37:F37"/>
    <mergeCell ref="E38:F38"/>
    <mergeCell ref="E39:F39"/>
    <mergeCell ref="E40:F40"/>
    <mergeCell ref="C28:C29"/>
    <mergeCell ref="D28:D29"/>
    <mergeCell ref="E28:E29"/>
    <mergeCell ref="F28:F29"/>
    <mergeCell ref="G28:G29"/>
    <mergeCell ref="H28:H29"/>
    <mergeCell ref="H4:H8"/>
    <mergeCell ref="H9:H13"/>
    <mergeCell ref="H14:H18"/>
    <mergeCell ref="H19:H21"/>
    <mergeCell ref="H22:H2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Abrindo Empresa</vt:lpstr>
      <vt:lpstr>Quadro Clínico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Kassai</dc:creator>
  <cp:lastModifiedBy>Jose Roberto</cp:lastModifiedBy>
  <dcterms:created xsi:type="dcterms:W3CDTF">2018-07-04T18:59:28Z</dcterms:created>
  <dcterms:modified xsi:type="dcterms:W3CDTF">2020-04-24T00:05:34Z</dcterms:modified>
</cp:coreProperties>
</file>