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eaching\Graduacao\Financas_I\2020\"/>
    </mc:Choice>
  </mc:AlternateContent>
  <xr:revisionPtr revIDLastSave="0" documentId="13_ncr:1_{252D4B50-99EC-44F4-8BC5-44576A6C48BF}" xr6:coauthVersionLast="46" xr6:coauthVersionMax="46" xr10:uidLastSave="{00000000-0000-0000-0000-000000000000}"/>
  <bookViews>
    <workbookView xWindow="-19290" yWindow="-4510" windowWidth="19380" windowHeight="10380" xr2:uid="{DFC67DDB-BF0A-4676-8D9C-8BB0B1EBAD46}"/>
  </bookViews>
  <sheets>
    <sheet name="dados_simulados" sheetId="1" r:id="rId1"/>
    <sheet name="funcao_potencia" sheetId="3" r:id="rId2"/>
    <sheet name="funcao_quadratica" sheetId="4" r:id="rId3"/>
    <sheet name="comparacao_aversao_ao_risc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2" l="1"/>
  <c r="C11" i="2" s="1"/>
  <c r="K11" i="2" s="1"/>
  <c r="E3" i="2"/>
  <c r="E2" i="2"/>
  <c r="L11" i="2"/>
  <c r="F11" i="2" l="1"/>
  <c r="G11" i="2"/>
  <c r="J11" i="2"/>
  <c r="D11" i="2"/>
  <c r="H11" i="2"/>
  <c r="E11" i="2"/>
  <c r="I11" i="2"/>
  <c r="K28" i="2"/>
  <c r="S28" i="2" s="1"/>
  <c r="L10" i="2"/>
  <c r="L9" i="2"/>
  <c r="I28" i="2" l="1"/>
  <c r="Q28" i="2" s="1"/>
  <c r="J28" i="2"/>
  <c r="R28" i="2" s="1"/>
  <c r="K29" i="2"/>
  <c r="S29" i="2" s="1"/>
  <c r="J3" i="2"/>
  <c r="F3" i="2" s="1"/>
  <c r="I29" i="2" l="1"/>
  <c r="Q29" i="2" s="1"/>
  <c r="J29" i="2"/>
  <c r="R29" i="2" s="1"/>
  <c r="F2" i="2"/>
  <c r="J4" i="2" s="1"/>
  <c r="D3" i="2"/>
  <c r="C10" i="2" s="1"/>
  <c r="D2" i="2"/>
  <c r="C9" i="2" l="1"/>
  <c r="M9" i="2" s="1"/>
  <c r="J2" i="2"/>
  <c r="K20" i="2"/>
  <c r="K24" i="2" s="1"/>
  <c r="J20" i="2"/>
  <c r="J24" i="2" s="1"/>
  <c r="I20" i="2"/>
  <c r="I24" i="2" s="1"/>
  <c r="K10" i="2"/>
  <c r="M10" i="2"/>
  <c r="I10" i="2"/>
  <c r="H10" i="2"/>
  <c r="G10" i="2"/>
  <c r="J10" i="2"/>
  <c r="J5" i="2"/>
  <c r="E10" i="2"/>
  <c r="D10" i="2"/>
  <c r="F10" i="2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5" i="1"/>
  <c r="O1" i="1"/>
  <c r="H5" i="1"/>
  <c r="G5" i="1"/>
  <c r="D5" i="1"/>
  <c r="F5" i="1"/>
  <c r="E5" i="1"/>
  <c r="K9" i="2" l="1"/>
  <c r="G9" i="2"/>
  <c r="E19" i="2" s="1"/>
  <c r="E20" i="2" s="1"/>
  <c r="J9" i="2"/>
  <c r="F19" i="2" s="1"/>
  <c r="D24" i="2" s="1"/>
  <c r="D25" i="2" s="1"/>
  <c r="D9" i="2"/>
  <c r="D19" i="2" s="1"/>
  <c r="D20" i="2" s="1"/>
  <c r="H9" i="2"/>
  <c r="I9" i="2"/>
  <c r="E9" i="2"/>
  <c r="F9" i="2"/>
  <c r="Q20" i="2"/>
  <c r="I22" i="2"/>
  <c r="R20" i="2"/>
  <c r="J22" i="2"/>
  <c r="S20" i="2"/>
  <c r="K22" i="2"/>
  <c r="A6" i="1"/>
  <c r="P6" i="1"/>
  <c r="C5" i="1"/>
  <c r="B5" i="1"/>
  <c r="J19" i="2" l="1"/>
  <c r="J23" i="2" s="1"/>
  <c r="I19" i="2"/>
  <c r="I23" i="2" s="1"/>
  <c r="D6" i="1"/>
  <c r="H6" i="1"/>
  <c r="G6" i="1"/>
  <c r="I6" i="1"/>
  <c r="D23" i="2"/>
  <c r="D22" i="2"/>
  <c r="F20" i="2" s="1"/>
  <c r="A7" i="1"/>
  <c r="C7" i="1" s="1"/>
  <c r="F6" i="1"/>
  <c r="E6" i="1"/>
  <c r="B6" i="1"/>
  <c r="C6" i="1"/>
  <c r="Q19" i="2" l="1"/>
  <c r="I21" i="2"/>
  <c r="R19" i="2"/>
  <c r="J21" i="2"/>
  <c r="K19" i="2"/>
  <c r="K23" i="2" s="1"/>
  <c r="H7" i="1"/>
  <c r="G7" i="1"/>
  <c r="I7" i="1"/>
  <c r="D7" i="1"/>
  <c r="A8" i="1"/>
  <c r="E7" i="1"/>
  <c r="F7" i="1"/>
  <c r="B7" i="1"/>
  <c r="S19" i="2" l="1"/>
  <c r="K21" i="2"/>
  <c r="I8" i="1"/>
  <c r="D8" i="1"/>
  <c r="H8" i="1"/>
  <c r="G8" i="1"/>
  <c r="A9" i="1"/>
  <c r="E8" i="1"/>
  <c r="F8" i="1"/>
  <c r="B8" i="1"/>
  <c r="C8" i="1"/>
  <c r="I9" i="1" l="1"/>
  <c r="D9" i="1"/>
  <c r="H9" i="1"/>
  <c r="G9" i="1"/>
  <c r="A10" i="1"/>
  <c r="E9" i="1"/>
  <c r="F9" i="1"/>
  <c r="B9" i="1"/>
  <c r="P14" i="1" s="1"/>
  <c r="C9" i="1"/>
  <c r="D10" i="1" l="1"/>
  <c r="H10" i="1"/>
  <c r="G10" i="1"/>
  <c r="I10" i="1"/>
  <c r="A11" i="1"/>
  <c r="E10" i="1"/>
  <c r="F10" i="1"/>
  <c r="B10" i="1"/>
  <c r="C10" i="1"/>
  <c r="D11" i="1" l="1"/>
  <c r="H11" i="1"/>
  <c r="G11" i="1"/>
  <c r="I11" i="1"/>
  <c r="A12" i="1"/>
  <c r="E11" i="1"/>
  <c r="F11" i="1"/>
  <c r="B11" i="1"/>
  <c r="C11" i="1"/>
  <c r="D12" i="1" l="1"/>
  <c r="H12" i="1"/>
  <c r="G12" i="1"/>
  <c r="I12" i="1"/>
  <c r="A13" i="1"/>
  <c r="F12" i="1"/>
  <c r="E12" i="1"/>
  <c r="B12" i="1"/>
  <c r="C12" i="1"/>
  <c r="H13" i="1" l="1"/>
  <c r="G13" i="1"/>
  <c r="I13" i="1"/>
  <c r="D13" i="1"/>
  <c r="A14" i="1"/>
  <c r="E13" i="1"/>
  <c r="F13" i="1"/>
  <c r="B13" i="1"/>
  <c r="C13" i="1"/>
  <c r="I14" i="1" l="1"/>
  <c r="D14" i="1"/>
  <c r="H14" i="1"/>
  <c r="G14" i="1"/>
  <c r="A15" i="1"/>
  <c r="E14" i="1"/>
  <c r="F14" i="1"/>
  <c r="B14" i="1"/>
  <c r="P8" i="1" s="1"/>
  <c r="C14" i="1"/>
  <c r="H15" i="1" l="1"/>
  <c r="G15" i="1"/>
  <c r="I15" i="1"/>
  <c r="D15" i="1"/>
  <c r="A16" i="1"/>
  <c r="E15" i="1"/>
  <c r="F15" i="1"/>
  <c r="B15" i="1"/>
  <c r="C15" i="1"/>
  <c r="I16" i="1" l="1"/>
  <c r="D16" i="1"/>
  <c r="H16" i="1"/>
  <c r="G16" i="1"/>
  <c r="A17" i="1"/>
  <c r="E16" i="1"/>
  <c r="F16" i="1"/>
  <c r="B16" i="1"/>
  <c r="C16" i="1"/>
  <c r="D17" i="1" l="1"/>
  <c r="H17" i="1"/>
  <c r="G17" i="1"/>
  <c r="I17" i="1"/>
  <c r="A18" i="1"/>
  <c r="E17" i="1"/>
  <c r="F17" i="1"/>
  <c r="B17" i="1"/>
  <c r="C17" i="1"/>
  <c r="D18" i="1" l="1"/>
  <c r="H18" i="1"/>
  <c r="G18" i="1"/>
  <c r="I18" i="1"/>
  <c r="A19" i="1"/>
  <c r="F18" i="1"/>
  <c r="E18" i="1"/>
  <c r="B18" i="1"/>
  <c r="C18" i="1"/>
  <c r="H19" i="1" l="1"/>
  <c r="G19" i="1"/>
  <c r="I19" i="1"/>
  <c r="D19" i="1"/>
  <c r="A20" i="1"/>
  <c r="E19" i="1"/>
  <c r="F19" i="1"/>
  <c r="B19" i="1"/>
  <c r="C19" i="1"/>
  <c r="I20" i="1" l="1"/>
  <c r="D20" i="1"/>
  <c r="H20" i="1"/>
  <c r="G20" i="1"/>
  <c r="A21" i="1"/>
  <c r="E20" i="1"/>
  <c r="F20" i="1"/>
  <c r="B20" i="1"/>
  <c r="C20" i="1"/>
  <c r="I21" i="1" l="1"/>
  <c r="H21" i="1"/>
  <c r="G21" i="1"/>
  <c r="D21" i="1"/>
  <c r="A22" i="1"/>
  <c r="E21" i="1"/>
  <c r="F21" i="1"/>
  <c r="B21" i="1"/>
  <c r="C21" i="1"/>
  <c r="D22" i="1" l="1"/>
  <c r="G22" i="1"/>
  <c r="I22" i="1"/>
  <c r="H22" i="1"/>
  <c r="A23" i="1"/>
  <c r="E22" i="1"/>
  <c r="F22" i="1"/>
  <c r="B22" i="1"/>
  <c r="C22" i="1"/>
  <c r="D23" i="1" l="1"/>
  <c r="H23" i="1"/>
  <c r="G23" i="1"/>
  <c r="I23" i="1"/>
  <c r="A24" i="1"/>
  <c r="E23" i="1"/>
  <c r="F23" i="1"/>
  <c r="B23" i="1"/>
  <c r="C23" i="1"/>
  <c r="D24" i="1" l="1"/>
  <c r="H24" i="1"/>
  <c r="G24" i="1"/>
  <c r="I24" i="1"/>
  <c r="A25" i="1"/>
  <c r="F24" i="1"/>
  <c r="E24" i="1"/>
  <c r="B24" i="1"/>
  <c r="C24" i="1"/>
  <c r="H25" i="1" l="1"/>
  <c r="G25" i="1"/>
  <c r="I25" i="1"/>
  <c r="D25" i="1"/>
  <c r="A26" i="1"/>
  <c r="E25" i="1"/>
  <c r="F25" i="1"/>
  <c r="B25" i="1"/>
  <c r="C25" i="1"/>
  <c r="I26" i="1" l="1"/>
  <c r="H26" i="1"/>
  <c r="D26" i="1"/>
  <c r="G26" i="1"/>
  <c r="A27" i="1"/>
  <c r="E26" i="1"/>
  <c r="F26" i="1"/>
  <c r="B26" i="1"/>
  <c r="C26" i="1"/>
  <c r="I27" i="1" l="1"/>
  <c r="D27" i="1"/>
  <c r="H27" i="1"/>
  <c r="G27" i="1"/>
  <c r="A28" i="1"/>
  <c r="E27" i="1"/>
  <c r="F27" i="1"/>
  <c r="B27" i="1"/>
  <c r="C27" i="1"/>
  <c r="I28" i="1" l="1"/>
  <c r="D28" i="1"/>
  <c r="G28" i="1"/>
  <c r="H28" i="1"/>
  <c r="A29" i="1"/>
  <c r="E28" i="1"/>
  <c r="F28" i="1"/>
  <c r="B28" i="1"/>
  <c r="C28" i="1"/>
  <c r="D29" i="1" l="1"/>
  <c r="H29" i="1"/>
  <c r="I29" i="1"/>
  <c r="G29" i="1"/>
  <c r="A30" i="1"/>
  <c r="E29" i="1"/>
  <c r="F29" i="1"/>
  <c r="B29" i="1"/>
  <c r="C29" i="1"/>
  <c r="D30" i="1" l="1"/>
  <c r="H30" i="1"/>
  <c r="G30" i="1"/>
  <c r="I30" i="1"/>
  <c r="A31" i="1"/>
  <c r="F30" i="1"/>
  <c r="E30" i="1"/>
  <c r="B30" i="1"/>
  <c r="C30" i="1"/>
  <c r="H31" i="1" l="1"/>
  <c r="G31" i="1"/>
  <c r="I31" i="1"/>
  <c r="D31" i="1"/>
  <c r="A32" i="1"/>
  <c r="E31" i="1"/>
  <c r="F31" i="1"/>
  <c r="B31" i="1"/>
  <c r="C31" i="1"/>
  <c r="I32" i="1" l="1"/>
  <c r="D32" i="1"/>
  <c r="G32" i="1"/>
  <c r="H32" i="1"/>
  <c r="A33" i="1"/>
  <c r="E32" i="1"/>
  <c r="F32" i="1"/>
  <c r="B32" i="1"/>
  <c r="C32" i="1"/>
  <c r="I33" i="1" l="1"/>
  <c r="G33" i="1"/>
  <c r="H33" i="1"/>
  <c r="D33" i="1"/>
  <c r="A34" i="1"/>
  <c r="E33" i="1"/>
  <c r="F33" i="1"/>
  <c r="B33" i="1"/>
  <c r="C33" i="1"/>
  <c r="H34" i="1" l="1"/>
  <c r="I34" i="1"/>
  <c r="D34" i="1"/>
  <c r="G34" i="1"/>
  <c r="A35" i="1"/>
  <c r="E34" i="1"/>
  <c r="F34" i="1"/>
  <c r="B34" i="1"/>
  <c r="P15" i="1" s="1"/>
  <c r="P16" i="1" s="1"/>
  <c r="C34" i="1"/>
  <c r="D35" i="1" l="1"/>
  <c r="H35" i="1"/>
  <c r="I35" i="1"/>
  <c r="G35" i="1"/>
  <c r="A36" i="1"/>
  <c r="E35" i="1"/>
  <c r="F35" i="1"/>
  <c r="B35" i="1"/>
  <c r="C35" i="1"/>
  <c r="D36" i="1" l="1"/>
  <c r="H36" i="1"/>
  <c r="G36" i="1"/>
  <c r="I36" i="1"/>
  <c r="A37" i="1"/>
  <c r="F36" i="1"/>
  <c r="E36" i="1"/>
  <c r="B36" i="1"/>
  <c r="C36" i="1"/>
  <c r="H37" i="1" l="1"/>
  <c r="G37" i="1"/>
  <c r="I37" i="1"/>
  <c r="D37" i="1"/>
  <c r="A38" i="1"/>
  <c r="E37" i="1"/>
  <c r="F37" i="1"/>
  <c r="B37" i="1"/>
  <c r="C37" i="1"/>
  <c r="I38" i="1" l="1"/>
  <c r="H38" i="1"/>
  <c r="D38" i="1"/>
  <c r="G38" i="1"/>
  <c r="A39" i="1"/>
  <c r="E38" i="1"/>
  <c r="F38" i="1"/>
  <c r="B38" i="1"/>
  <c r="C38" i="1"/>
  <c r="G39" i="1" l="1"/>
  <c r="I39" i="1"/>
  <c r="D39" i="1"/>
  <c r="H39" i="1"/>
  <c r="A40" i="1"/>
  <c r="E39" i="1"/>
  <c r="F39" i="1"/>
  <c r="B39" i="1"/>
  <c r="C39" i="1"/>
  <c r="D40" i="1" l="1"/>
  <c r="I40" i="1"/>
  <c r="H40" i="1"/>
  <c r="G40" i="1"/>
  <c r="A41" i="1"/>
  <c r="E40" i="1"/>
  <c r="F40" i="1"/>
  <c r="B40" i="1"/>
  <c r="C40" i="1"/>
  <c r="D41" i="1" l="1"/>
  <c r="H41" i="1"/>
  <c r="G41" i="1"/>
  <c r="I41" i="1"/>
  <c r="A42" i="1"/>
  <c r="E41" i="1"/>
  <c r="F41" i="1"/>
  <c r="B41" i="1"/>
  <c r="C41" i="1"/>
  <c r="D42" i="1" l="1"/>
  <c r="H42" i="1"/>
  <c r="G42" i="1"/>
  <c r="I42" i="1"/>
  <c r="A43" i="1"/>
  <c r="F42" i="1"/>
  <c r="E42" i="1"/>
  <c r="B42" i="1"/>
  <c r="C42" i="1"/>
  <c r="H43" i="1" l="1"/>
  <c r="G43" i="1"/>
  <c r="I43" i="1"/>
  <c r="D43" i="1"/>
  <c r="A44" i="1"/>
  <c r="E43" i="1"/>
  <c r="F43" i="1"/>
  <c r="B43" i="1"/>
  <c r="C43" i="1"/>
  <c r="I44" i="1" l="1"/>
  <c r="H44" i="1"/>
  <c r="D44" i="1"/>
  <c r="G44" i="1"/>
  <c r="A45" i="1"/>
  <c r="E44" i="1"/>
  <c r="F44" i="1"/>
  <c r="B44" i="1"/>
  <c r="C44" i="1"/>
  <c r="I45" i="1" l="1"/>
  <c r="H45" i="1"/>
  <c r="D45" i="1"/>
  <c r="G45" i="1"/>
  <c r="A46" i="1"/>
  <c r="E45" i="1"/>
  <c r="F45" i="1"/>
  <c r="B45" i="1"/>
  <c r="C45" i="1"/>
  <c r="H46" i="1" l="1"/>
  <c r="D46" i="1"/>
  <c r="G46" i="1"/>
  <c r="I46" i="1"/>
  <c r="A47" i="1"/>
  <c r="E46" i="1"/>
  <c r="F46" i="1"/>
  <c r="B46" i="1"/>
  <c r="C46" i="1"/>
  <c r="D47" i="1" l="1"/>
  <c r="H47" i="1"/>
  <c r="G47" i="1"/>
  <c r="I47" i="1"/>
  <c r="A48" i="1"/>
  <c r="E47" i="1"/>
  <c r="F47" i="1"/>
  <c r="B47" i="1"/>
  <c r="C47" i="1"/>
  <c r="D48" i="1" l="1"/>
  <c r="H48" i="1"/>
  <c r="G48" i="1"/>
  <c r="I48" i="1"/>
  <c r="A49" i="1"/>
  <c r="F48" i="1"/>
  <c r="E48" i="1"/>
  <c r="B48" i="1"/>
  <c r="C48" i="1"/>
  <c r="H49" i="1" l="1"/>
  <c r="G49" i="1"/>
  <c r="I49" i="1"/>
  <c r="D49" i="1"/>
  <c r="A50" i="1"/>
  <c r="E49" i="1"/>
  <c r="F49" i="1"/>
  <c r="B49" i="1"/>
  <c r="C49" i="1"/>
  <c r="I50" i="1" l="1"/>
  <c r="H50" i="1"/>
  <c r="D50" i="1"/>
  <c r="G50" i="1"/>
  <c r="A51" i="1"/>
  <c r="E50" i="1"/>
  <c r="F50" i="1"/>
  <c r="B50" i="1"/>
  <c r="C50" i="1"/>
  <c r="G51" i="1" l="1"/>
  <c r="H51" i="1"/>
  <c r="D51" i="1"/>
  <c r="I51" i="1"/>
  <c r="A52" i="1"/>
  <c r="E51" i="1"/>
  <c r="F51" i="1"/>
  <c r="B51" i="1"/>
  <c r="C51" i="1"/>
  <c r="I52" i="1" l="1"/>
  <c r="H52" i="1"/>
  <c r="D52" i="1"/>
  <c r="G52" i="1"/>
  <c r="A53" i="1"/>
  <c r="E52" i="1"/>
  <c r="F52" i="1"/>
  <c r="B52" i="1"/>
  <c r="C52" i="1"/>
  <c r="I53" i="1" l="1"/>
  <c r="D53" i="1"/>
  <c r="H53" i="1"/>
  <c r="G53" i="1"/>
  <c r="A54" i="1"/>
  <c r="E53" i="1"/>
  <c r="F53" i="1"/>
  <c r="B53" i="1"/>
  <c r="C53" i="1"/>
  <c r="D54" i="1" l="1"/>
  <c r="H54" i="1"/>
  <c r="G54" i="1"/>
  <c r="I54" i="1"/>
  <c r="A55" i="1"/>
  <c r="F54" i="1"/>
  <c r="E54" i="1"/>
  <c r="B54" i="1"/>
  <c r="C54" i="1"/>
  <c r="H55" i="1" l="1"/>
  <c r="G55" i="1"/>
  <c r="I55" i="1"/>
  <c r="D55" i="1"/>
  <c r="A56" i="1"/>
  <c r="E55" i="1"/>
  <c r="F55" i="1"/>
  <c r="B55" i="1"/>
  <c r="C55" i="1"/>
  <c r="I56" i="1" l="1"/>
  <c r="D56" i="1"/>
  <c r="H56" i="1"/>
  <c r="G56" i="1"/>
  <c r="A57" i="1"/>
  <c r="E56" i="1"/>
  <c r="F56" i="1"/>
  <c r="B56" i="1"/>
  <c r="C56" i="1"/>
  <c r="I57" i="1" l="1"/>
  <c r="H57" i="1"/>
  <c r="G57" i="1"/>
  <c r="D57" i="1"/>
  <c r="E57" i="1"/>
  <c r="F57" i="1"/>
  <c r="B57" i="1"/>
  <c r="C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tc={BA3458CD-F256-46E5-B179-A5E907122069}</author>
  </authors>
  <commentList>
    <comment ref="H23" authorId="0" shapeId="0" xr:uid="{BA3458CD-F256-46E5-B179-A5E907122069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 que é preciso ser uma perda!</t>
      </text>
    </comment>
  </commentList>
</comments>
</file>

<file path=xl/sharedStrings.xml><?xml version="1.0" encoding="utf-8"?>
<sst xmlns="http://schemas.openxmlformats.org/spreadsheetml/2006/main" count="106" uniqueCount="62">
  <si>
    <t>fator</t>
  </si>
  <si>
    <t>W_i</t>
  </si>
  <si>
    <t>U(W_i)</t>
  </si>
  <si>
    <t>U'(W_i)</t>
  </si>
  <si>
    <t>80% de 5 e 20% de 30</t>
  </si>
  <si>
    <t>utilidade de 5</t>
  </si>
  <si>
    <t>utilidade de 30</t>
  </si>
  <si>
    <t>Averso ao Risco</t>
  </si>
  <si>
    <t>utilidade esperada</t>
  </si>
  <si>
    <t>Valor atuarial da aposta ou riqueza esperada</t>
  </si>
  <si>
    <t>Utilidade de 10</t>
  </si>
  <si>
    <t>Neutro ao Risco</t>
  </si>
  <si>
    <t>Jogo: G(a,b:alpha)</t>
  </si>
  <si>
    <t>Prêmio de risco</t>
  </si>
  <si>
    <t>Logaritmo</t>
  </si>
  <si>
    <t>Potência</t>
  </si>
  <si>
    <t>Quadrática</t>
  </si>
  <si>
    <t>U(log(W_i))</t>
  </si>
  <si>
    <t>U'(log(W_i))</t>
  </si>
  <si>
    <t>Riqueza</t>
  </si>
  <si>
    <t>Função Log</t>
  </si>
  <si>
    <t>U''(log(W_i))</t>
  </si>
  <si>
    <t>U''(W_i)</t>
  </si>
  <si>
    <t>a</t>
  </si>
  <si>
    <t>b</t>
  </si>
  <si>
    <t>Coeficiente de aversão ao risco</t>
  </si>
  <si>
    <t>ARA</t>
  </si>
  <si>
    <t>RRA</t>
  </si>
  <si>
    <t>theta</t>
  </si>
  <si>
    <t>a/2b tem que ser maior do que W</t>
  </si>
  <si>
    <t>Probabilidade do evento</t>
  </si>
  <si>
    <t>Riqueza Inicial (W_0)</t>
  </si>
  <si>
    <t>Riqueza Esperada E(W)</t>
  </si>
  <si>
    <t>Evento (Z_i)</t>
  </si>
  <si>
    <t>[Z_i-E(Z)]^2</t>
  </si>
  <si>
    <t>Esperança da loteria E(Z)</t>
  </si>
  <si>
    <t>Variância da loteria Var(Z)</t>
  </si>
  <si>
    <t>Desvio padrão da loteria DP(Z)</t>
  </si>
  <si>
    <t>Utilidade Esperada</t>
  </si>
  <si>
    <t>aW-bW^2</t>
  </si>
  <si>
    <t>Equivalente em Certeza</t>
  </si>
  <si>
    <t>W^(1-theta)/ (1-theta)</t>
  </si>
  <si>
    <t>delta</t>
  </si>
  <si>
    <t>raiz delta</t>
  </si>
  <si>
    <t>Raiz 1 quadrática</t>
  </si>
  <si>
    <t>Raiz 2 quadrática</t>
  </si>
  <si>
    <t>Condição para utilidade marginal positiva da quadrática</t>
  </si>
  <si>
    <t>Markowitz (valor)</t>
  </si>
  <si>
    <t>Arrow-Pratt (valor)</t>
  </si>
  <si>
    <t>cte</t>
  </si>
  <si>
    <t>Markowitz (% renda)</t>
  </si>
  <si>
    <t>Arrow-Pratt (% renda)</t>
  </si>
  <si>
    <t xml:space="preserve">Coeficiente de aversão ao risco </t>
  </si>
  <si>
    <t>Markowitz (% perda)</t>
  </si>
  <si>
    <t>Arrow-Pratt (% perda)</t>
  </si>
  <si>
    <t>Comparação: (Fator "x" / Fator 1) %</t>
  </si>
  <si>
    <t>Comparação (Fator "x" / Fator 1) %</t>
  </si>
  <si>
    <t>fator perda</t>
  </si>
  <si>
    <t>fator riqueza</t>
  </si>
  <si>
    <t>Fator riqueza e perda =1; Riqueza = 800000</t>
  </si>
  <si>
    <t>valor riqueza</t>
  </si>
  <si>
    <t>valor loteria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</si>
</sst>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_-"/>
    <numFmt numFmtId="165" formatCode="0.000000"/>
    <numFmt numFmtId="166" formatCode="0.00000"/>
    <numFmt numFmtId="167" formatCode="0.0000000"/>
    <numFmt numFmtId="168" formatCode="0.000"/>
    <numFmt numFmtId="169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4" xfId="0" applyNumberFormat="1" applyBorder="1"/>
    <xf numFmtId="1" fontId="0" fillId="0" borderId="5" xfId="0" applyNumberFormat="1" applyBorder="1"/>
    <xf numFmtId="1" fontId="0" fillId="0" borderId="8" xfId="0" applyNumberFormat="1" applyBorder="1"/>
    <xf numFmtId="1" fontId="0" fillId="0" borderId="7" xfId="0" applyNumberFormat="1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3" borderId="0" xfId="0" applyFill="1"/>
    <xf numFmtId="1" fontId="0" fillId="3" borderId="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12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8" fontId="0" fillId="0" borderId="5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6" xfId="0" applyNumberFormat="1" applyBorder="1"/>
    <xf numFmtId="169" fontId="0" fillId="0" borderId="0" xfId="0" applyNumberForma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dados_simulados!$B$4</c:f>
              <c:strCache>
                <c:ptCount val="1"/>
                <c:pt idx="0">
                  <c:v>U(log(W_i))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dados_simulados!$A$5:$A$57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</c:numCache>
            </c:numRef>
          </c:xVal>
          <c:yVal>
            <c:numRef>
              <c:f>dados_simulados!$B$5:$B$57</c:f>
              <c:numCache>
                <c:formatCode>General</c:formatCode>
                <c:ptCount val="53"/>
                <c:pt idx="0">
                  <c:v>1.3862943611198906</c:v>
                </c:pt>
                <c:pt idx="1">
                  <c:v>1.6094379124341003</c:v>
                </c:pt>
                <c:pt idx="2">
                  <c:v>1.791759469228055</c:v>
                </c:pt>
                <c:pt idx="3">
                  <c:v>1.9459101490553132</c:v>
                </c:pt>
                <c:pt idx="4">
                  <c:v>2.0794415416798357</c:v>
                </c:pt>
                <c:pt idx="5">
                  <c:v>2.1972245773362196</c:v>
                </c:pt>
                <c:pt idx="6">
                  <c:v>2.3025850929940459</c:v>
                </c:pt>
                <c:pt idx="7">
                  <c:v>2.3978952727983707</c:v>
                </c:pt>
                <c:pt idx="8">
                  <c:v>2.4849066497880004</c:v>
                </c:pt>
                <c:pt idx="9">
                  <c:v>2.5649493574615367</c:v>
                </c:pt>
                <c:pt idx="10">
                  <c:v>2.6390573296152584</c:v>
                </c:pt>
                <c:pt idx="11">
                  <c:v>2.7080502011022101</c:v>
                </c:pt>
                <c:pt idx="12">
                  <c:v>2.7725887222397811</c:v>
                </c:pt>
                <c:pt idx="13">
                  <c:v>2.8332133440562162</c:v>
                </c:pt>
                <c:pt idx="14">
                  <c:v>2.8903717578961645</c:v>
                </c:pt>
                <c:pt idx="15">
                  <c:v>2.9444389791664403</c:v>
                </c:pt>
                <c:pt idx="16">
                  <c:v>2.9957322735539909</c:v>
                </c:pt>
                <c:pt idx="17">
                  <c:v>3.044522437723423</c:v>
                </c:pt>
                <c:pt idx="18">
                  <c:v>3.0910424533583161</c:v>
                </c:pt>
                <c:pt idx="19">
                  <c:v>3.1354942159291497</c:v>
                </c:pt>
                <c:pt idx="20">
                  <c:v>3.1780538303479458</c:v>
                </c:pt>
                <c:pt idx="21">
                  <c:v>3.2188758248682006</c:v>
                </c:pt>
                <c:pt idx="22">
                  <c:v>3.2580965380214821</c:v>
                </c:pt>
                <c:pt idx="23">
                  <c:v>3.2958368660043291</c:v>
                </c:pt>
                <c:pt idx="24">
                  <c:v>3.3322045101752038</c:v>
                </c:pt>
                <c:pt idx="25">
                  <c:v>3.3672958299864741</c:v>
                </c:pt>
                <c:pt idx="26">
                  <c:v>3.4011973816621555</c:v>
                </c:pt>
                <c:pt idx="27">
                  <c:v>3.4339872044851463</c:v>
                </c:pt>
                <c:pt idx="28">
                  <c:v>3.4657359027997265</c:v>
                </c:pt>
                <c:pt idx="29">
                  <c:v>3.4965075614664802</c:v>
                </c:pt>
                <c:pt idx="30">
                  <c:v>3.5263605246161616</c:v>
                </c:pt>
                <c:pt idx="31">
                  <c:v>3.5553480614894135</c:v>
                </c:pt>
                <c:pt idx="32">
                  <c:v>3.5835189384561099</c:v>
                </c:pt>
                <c:pt idx="33">
                  <c:v>3.6109179126442243</c:v>
                </c:pt>
                <c:pt idx="34">
                  <c:v>3.6375861597263857</c:v>
                </c:pt>
                <c:pt idx="35">
                  <c:v>3.6635616461296463</c:v>
                </c:pt>
                <c:pt idx="36">
                  <c:v>3.6888794541139363</c:v>
                </c:pt>
                <c:pt idx="37">
                  <c:v>3.713572066704308</c:v>
                </c:pt>
                <c:pt idx="38">
                  <c:v>3.7376696182833684</c:v>
                </c:pt>
                <c:pt idx="39">
                  <c:v>3.7612001156935624</c:v>
                </c:pt>
                <c:pt idx="40">
                  <c:v>3.784189633918261</c:v>
                </c:pt>
                <c:pt idx="41">
                  <c:v>3.8066624897703196</c:v>
                </c:pt>
                <c:pt idx="42">
                  <c:v>3.8286413964890951</c:v>
                </c:pt>
                <c:pt idx="43">
                  <c:v>3.8501476017100584</c:v>
                </c:pt>
                <c:pt idx="44">
                  <c:v>3.8712010109078911</c:v>
                </c:pt>
                <c:pt idx="45">
                  <c:v>3.8918202981106265</c:v>
                </c:pt>
                <c:pt idx="46">
                  <c:v>3.912023005428146</c:v>
                </c:pt>
                <c:pt idx="47">
                  <c:v>3.9318256327243257</c:v>
                </c:pt>
                <c:pt idx="48">
                  <c:v>3.9512437185814275</c:v>
                </c:pt>
                <c:pt idx="49">
                  <c:v>3.970291913552122</c:v>
                </c:pt>
                <c:pt idx="50">
                  <c:v>3.9889840465642745</c:v>
                </c:pt>
                <c:pt idx="51">
                  <c:v>4.0073331852324712</c:v>
                </c:pt>
                <c:pt idx="52">
                  <c:v>4.0253516907351496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A-44F3-9B37-5F58227F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55600"/>
        <c:axId val="460053960"/>
      </c:scatterChart>
      <c:valAx>
        <c:axId val="4600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053960"/>
        <c:crosses val="autoZero"/>
        <c:crossBetween val="midCat"/>
      </c:valAx>
      <c:valAx>
        <c:axId val="46005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05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dados_simulados!$C$4</c:f>
              <c:strCache>
                <c:ptCount val="1"/>
                <c:pt idx="0">
                  <c:v>U'(log(W_i))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dados_simulados!$A$5:$A$57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</c:numCache>
            </c:numRef>
          </c:xVal>
          <c:yVal>
            <c:numRef>
              <c:f>dados_simulados!$C$5:$C$57</c:f>
              <c:numCache>
                <c:formatCode>General</c:formatCode>
                <c:ptCount val="53"/>
                <c:pt idx="0">
                  <c:v>0.25</c:v>
                </c:pt>
                <c:pt idx="1">
                  <c:v>0.2</c:v>
                </c:pt>
                <c:pt idx="2">
                  <c:v>0.16666666666666666</c:v>
                </c:pt>
                <c:pt idx="3">
                  <c:v>0.14285714285714285</c:v>
                </c:pt>
                <c:pt idx="4">
                  <c:v>0.125</c:v>
                </c:pt>
                <c:pt idx="5">
                  <c:v>0.1111111111111111</c:v>
                </c:pt>
                <c:pt idx="6">
                  <c:v>0.1</c:v>
                </c:pt>
                <c:pt idx="7">
                  <c:v>9.0909090909090912E-2</c:v>
                </c:pt>
                <c:pt idx="8">
                  <c:v>8.3333333333333329E-2</c:v>
                </c:pt>
                <c:pt idx="9">
                  <c:v>7.6923076923076927E-2</c:v>
                </c:pt>
                <c:pt idx="10">
                  <c:v>7.1428571428571425E-2</c:v>
                </c:pt>
                <c:pt idx="11">
                  <c:v>6.6666666666666666E-2</c:v>
                </c:pt>
                <c:pt idx="12">
                  <c:v>6.25E-2</c:v>
                </c:pt>
                <c:pt idx="13">
                  <c:v>5.8823529411764705E-2</c:v>
                </c:pt>
                <c:pt idx="14">
                  <c:v>5.5555555555555552E-2</c:v>
                </c:pt>
                <c:pt idx="15">
                  <c:v>5.2631578947368418E-2</c:v>
                </c:pt>
                <c:pt idx="16">
                  <c:v>0.05</c:v>
                </c:pt>
                <c:pt idx="17">
                  <c:v>4.7619047619047616E-2</c:v>
                </c:pt>
                <c:pt idx="18">
                  <c:v>4.5454545454545456E-2</c:v>
                </c:pt>
                <c:pt idx="19">
                  <c:v>4.3478260869565216E-2</c:v>
                </c:pt>
                <c:pt idx="20">
                  <c:v>4.1666666666666664E-2</c:v>
                </c:pt>
                <c:pt idx="21">
                  <c:v>0.04</c:v>
                </c:pt>
                <c:pt idx="22">
                  <c:v>3.8461538461538464E-2</c:v>
                </c:pt>
                <c:pt idx="23">
                  <c:v>3.7037037037037035E-2</c:v>
                </c:pt>
                <c:pt idx="24">
                  <c:v>3.5714285714285712E-2</c:v>
                </c:pt>
                <c:pt idx="25">
                  <c:v>3.4482758620689655E-2</c:v>
                </c:pt>
                <c:pt idx="26">
                  <c:v>3.3333333333333333E-2</c:v>
                </c:pt>
                <c:pt idx="27">
                  <c:v>3.2258064516129031E-2</c:v>
                </c:pt>
                <c:pt idx="28">
                  <c:v>3.125E-2</c:v>
                </c:pt>
                <c:pt idx="29">
                  <c:v>3.0303030303030304E-2</c:v>
                </c:pt>
                <c:pt idx="30">
                  <c:v>2.9411764705882353E-2</c:v>
                </c:pt>
                <c:pt idx="31">
                  <c:v>2.8571428571428571E-2</c:v>
                </c:pt>
                <c:pt idx="32">
                  <c:v>2.7777777777777776E-2</c:v>
                </c:pt>
                <c:pt idx="33">
                  <c:v>2.7027027027027029E-2</c:v>
                </c:pt>
                <c:pt idx="34">
                  <c:v>2.6315789473684209E-2</c:v>
                </c:pt>
                <c:pt idx="35">
                  <c:v>2.564102564102564E-2</c:v>
                </c:pt>
                <c:pt idx="36">
                  <c:v>2.5000000000000001E-2</c:v>
                </c:pt>
                <c:pt idx="37">
                  <c:v>2.4390243902439025E-2</c:v>
                </c:pt>
                <c:pt idx="38">
                  <c:v>2.3809523809523808E-2</c:v>
                </c:pt>
                <c:pt idx="39">
                  <c:v>2.3255813953488372E-2</c:v>
                </c:pt>
                <c:pt idx="40">
                  <c:v>2.2727272727272728E-2</c:v>
                </c:pt>
                <c:pt idx="41">
                  <c:v>2.2222222222222223E-2</c:v>
                </c:pt>
                <c:pt idx="42">
                  <c:v>2.1739130434782608E-2</c:v>
                </c:pt>
                <c:pt idx="43">
                  <c:v>2.1276595744680851E-2</c:v>
                </c:pt>
                <c:pt idx="44">
                  <c:v>2.0833333333333332E-2</c:v>
                </c:pt>
                <c:pt idx="45">
                  <c:v>2.0408163265306121E-2</c:v>
                </c:pt>
                <c:pt idx="46">
                  <c:v>0.02</c:v>
                </c:pt>
                <c:pt idx="47">
                  <c:v>1.9607843137254902E-2</c:v>
                </c:pt>
                <c:pt idx="48">
                  <c:v>1.9230769230769232E-2</c:v>
                </c:pt>
                <c:pt idx="49">
                  <c:v>1.8867924528301886E-2</c:v>
                </c:pt>
                <c:pt idx="50">
                  <c:v>1.8518518518518517E-2</c:v>
                </c:pt>
                <c:pt idx="51">
                  <c:v>1.8181818181818181E-2</c:v>
                </c:pt>
                <c:pt idx="52">
                  <c:v>1.7857142857142856E-2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D-413D-B955-F22654ED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970080"/>
        <c:axId val="551970408"/>
      </c:scatterChart>
      <c:valAx>
        <c:axId val="55197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1970408"/>
        <c:crosses val="autoZero"/>
        <c:crossBetween val="midCat"/>
      </c:valAx>
      <c:valAx>
        <c:axId val="55197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197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dados_simulados!$E$4</c:f>
              <c:strCache>
                <c:ptCount val="1"/>
                <c:pt idx="0">
                  <c:v>U(W_i)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dados_simulados!$E$5:$E$57</c:f>
              <c:numCache>
                <c:formatCode>General</c:formatCode>
                <c:ptCount val="53"/>
                <c:pt idx="0">
                  <c:v>-0.25</c:v>
                </c:pt>
                <c:pt idx="1">
                  <c:v>-0.2</c:v>
                </c:pt>
                <c:pt idx="2">
                  <c:v>-0.16666666666666666</c:v>
                </c:pt>
                <c:pt idx="3">
                  <c:v>-0.14285714285714285</c:v>
                </c:pt>
                <c:pt idx="4">
                  <c:v>-0.125</c:v>
                </c:pt>
                <c:pt idx="5">
                  <c:v>-0.1111111111111111</c:v>
                </c:pt>
                <c:pt idx="6">
                  <c:v>-0.1</c:v>
                </c:pt>
                <c:pt idx="7">
                  <c:v>-9.0909090909090912E-2</c:v>
                </c:pt>
                <c:pt idx="8">
                  <c:v>-8.3333333333333329E-2</c:v>
                </c:pt>
                <c:pt idx="9">
                  <c:v>-7.6923076923076927E-2</c:v>
                </c:pt>
                <c:pt idx="10">
                  <c:v>-7.1428571428571425E-2</c:v>
                </c:pt>
                <c:pt idx="11">
                  <c:v>-6.6666666666666666E-2</c:v>
                </c:pt>
                <c:pt idx="12">
                  <c:v>-6.25E-2</c:v>
                </c:pt>
                <c:pt idx="13">
                  <c:v>-5.8823529411764705E-2</c:v>
                </c:pt>
                <c:pt idx="14">
                  <c:v>-5.5555555555555552E-2</c:v>
                </c:pt>
                <c:pt idx="15">
                  <c:v>-5.2631578947368418E-2</c:v>
                </c:pt>
                <c:pt idx="16">
                  <c:v>-0.05</c:v>
                </c:pt>
                <c:pt idx="17">
                  <c:v>-4.7619047619047616E-2</c:v>
                </c:pt>
                <c:pt idx="18">
                  <c:v>-4.5454545454545456E-2</c:v>
                </c:pt>
                <c:pt idx="19">
                  <c:v>-4.3478260869565216E-2</c:v>
                </c:pt>
                <c:pt idx="20">
                  <c:v>-4.1666666666666664E-2</c:v>
                </c:pt>
                <c:pt idx="21">
                  <c:v>-0.04</c:v>
                </c:pt>
                <c:pt idx="22">
                  <c:v>-3.8461538461538464E-2</c:v>
                </c:pt>
                <c:pt idx="23">
                  <c:v>-3.7037037037037035E-2</c:v>
                </c:pt>
                <c:pt idx="24">
                  <c:v>-3.5714285714285712E-2</c:v>
                </c:pt>
                <c:pt idx="25">
                  <c:v>-3.4482758620689655E-2</c:v>
                </c:pt>
                <c:pt idx="26">
                  <c:v>-3.3333333333333333E-2</c:v>
                </c:pt>
                <c:pt idx="27">
                  <c:v>-3.2258064516129031E-2</c:v>
                </c:pt>
                <c:pt idx="28">
                  <c:v>-3.125E-2</c:v>
                </c:pt>
                <c:pt idx="29">
                  <c:v>-3.0303030303030304E-2</c:v>
                </c:pt>
                <c:pt idx="30">
                  <c:v>-2.9411764705882353E-2</c:v>
                </c:pt>
                <c:pt idx="31">
                  <c:v>-2.8571428571428571E-2</c:v>
                </c:pt>
                <c:pt idx="32">
                  <c:v>-2.7777777777777776E-2</c:v>
                </c:pt>
                <c:pt idx="33">
                  <c:v>-2.7027027027027029E-2</c:v>
                </c:pt>
                <c:pt idx="34">
                  <c:v>-2.6315789473684209E-2</c:v>
                </c:pt>
                <c:pt idx="35">
                  <c:v>-2.564102564102564E-2</c:v>
                </c:pt>
                <c:pt idx="36">
                  <c:v>-2.5000000000000001E-2</c:v>
                </c:pt>
                <c:pt idx="37">
                  <c:v>-2.4390243902439025E-2</c:v>
                </c:pt>
                <c:pt idx="38">
                  <c:v>-2.3809523809523808E-2</c:v>
                </c:pt>
                <c:pt idx="39">
                  <c:v>-2.3255813953488372E-2</c:v>
                </c:pt>
                <c:pt idx="40">
                  <c:v>-2.2727272727272728E-2</c:v>
                </c:pt>
                <c:pt idx="41">
                  <c:v>-2.2222222222222223E-2</c:v>
                </c:pt>
                <c:pt idx="42">
                  <c:v>-2.1739130434782608E-2</c:v>
                </c:pt>
                <c:pt idx="43">
                  <c:v>-2.1276595744680851E-2</c:v>
                </c:pt>
                <c:pt idx="44">
                  <c:v>-2.0833333333333332E-2</c:v>
                </c:pt>
                <c:pt idx="45">
                  <c:v>-2.0408163265306121E-2</c:v>
                </c:pt>
                <c:pt idx="46">
                  <c:v>-0.02</c:v>
                </c:pt>
                <c:pt idx="47">
                  <c:v>-1.9607843137254902E-2</c:v>
                </c:pt>
                <c:pt idx="48">
                  <c:v>-1.9230769230769232E-2</c:v>
                </c:pt>
                <c:pt idx="49">
                  <c:v>-1.8867924528301886E-2</c:v>
                </c:pt>
                <c:pt idx="50">
                  <c:v>-1.8518518518518517E-2</c:v>
                </c:pt>
                <c:pt idx="51">
                  <c:v>-1.8181818181818181E-2</c:v>
                </c:pt>
                <c:pt idx="52">
                  <c:v>-1.7857142857142856E-2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B-449E-91B6-DFC8FAD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715504"/>
        <c:axId val="466707632"/>
      </c:lineChart>
      <c:catAx>
        <c:axId val="466715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6707632"/>
        <c:crosses val="autoZero"/>
        <c:auto val="1"/>
        <c:lblAlgn val="ctr"/>
        <c:lblOffset val="100"/>
        <c:noMultiLvlLbl val="0"/>
      </c:catAx>
      <c:valAx>
        <c:axId val="4667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671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dados_simulados!$H$4</c:f>
              <c:strCache>
                <c:ptCount val="1"/>
                <c:pt idx="0">
                  <c:v>U(W_i)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dados_simulados!$H$5:$H$57</c:f>
              <c:numCache>
                <c:formatCode>General</c:formatCode>
                <c:ptCount val="53"/>
                <c:pt idx="0">
                  <c:v>1560</c:v>
                </c:pt>
                <c:pt idx="1">
                  <c:v>1937.5</c:v>
                </c:pt>
                <c:pt idx="2">
                  <c:v>2310</c:v>
                </c:pt>
                <c:pt idx="3">
                  <c:v>2677.5</c:v>
                </c:pt>
                <c:pt idx="4">
                  <c:v>3040</c:v>
                </c:pt>
                <c:pt idx="5">
                  <c:v>3397.5</c:v>
                </c:pt>
                <c:pt idx="6">
                  <c:v>3750</c:v>
                </c:pt>
                <c:pt idx="7">
                  <c:v>4097.5</c:v>
                </c:pt>
                <c:pt idx="8">
                  <c:v>4440</c:v>
                </c:pt>
                <c:pt idx="9">
                  <c:v>4777.5</c:v>
                </c:pt>
                <c:pt idx="10">
                  <c:v>5110</c:v>
                </c:pt>
                <c:pt idx="11">
                  <c:v>5437.5</c:v>
                </c:pt>
                <c:pt idx="12">
                  <c:v>5760</c:v>
                </c:pt>
                <c:pt idx="13">
                  <c:v>6077.5</c:v>
                </c:pt>
                <c:pt idx="14">
                  <c:v>6390</c:v>
                </c:pt>
                <c:pt idx="15">
                  <c:v>6697.5</c:v>
                </c:pt>
                <c:pt idx="16">
                  <c:v>7000</c:v>
                </c:pt>
                <c:pt idx="17">
                  <c:v>7297.5</c:v>
                </c:pt>
                <c:pt idx="18">
                  <c:v>7590</c:v>
                </c:pt>
                <c:pt idx="19">
                  <c:v>7877.5</c:v>
                </c:pt>
                <c:pt idx="20">
                  <c:v>8160</c:v>
                </c:pt>
                <c:pt idx="21">
                  <c:v>8437.5</c:v>
                </c:pt>
                <c:pt idx="22">
                  <c:v>8710</c:v>
                </c:pt>
                <c:pt idx="23">
                  <c:v>8977.5</c:v>
                </c:pt>
                <c:pt idx="24">
                  <c:v>9240</c:v>
                </c:pt>
                <c:pt idx="25">
                  <c:v>9497.5</c:v>
                </c:pt>
                <c:pt idx="26">
                  <c:v>9750</c:v>
                </c:pt>
                <c:pt idx="27">
                  <c:v>9997.5</c:v>
                </c:pt>
                <c:pt idx="28">
                  <c:v>10240</c:v>
                </c:pt>
                <c:pt idx="29">
                  <c:v>10477.5</c:v>
                </c:pt>
                <c:pt idx="30">
                  <c:v>10710</c:v>
                </c:pt>
                <c:pt idx="31">
                  <c:v>10937.5</c:v>
                </c:pt>
                <c:pt idx="32">
                  <c:v>11160</c:v>
                </c:pt>
                <c:pt idx="33">
                  <c:v>11377.5</c:v>
                </c:pt>
                <c:pt idx="34">
                  <c:v>11590</c:v>
                </c:pt>
                <c:pt idx="35">
                  <c:v>11797.5</c:v>
                </c:pt>
                <c:pt idx="36">
                  <c:v>12000</c:v>
                </c:pt>
                <c:pt idx="37">
                  <c:v>12197.5</c:v>
                </c:pt>
                <c:pt idx="38">
                  <c:v>12390</c:v>
                </c:pt>
                <c:pt idx="39">
                  <c:v>12577.5</c:v>
                </c:pt>
                <c:pt idx="40">
                  <c:v>12760</c:v>
                </c:pt>
                <c:pt idx="41">
                  <c:v>12937.5</c:v>
                </c:pt>
                <c:pt idx="42">
                  <c:v>13110</c:v>
                </c:pt>
                <c:pt idx="43">
                  <c:v>13277.5</c:v>
                </c:pt>
                <c:pt idx="44">
                  <c:v>13440</c:v>
                </c:pt>
                <c:pt idx="45">
                  <c:v>13597.5</c:v>
                </c:pt>
                <c:pt idx="46">
                  <c:v>13750</c:v>
                </c:pt>
                <c:pt idx="47">
                  <c:v>13897.5</c:v>
                </c:pt>
                <c:pt idx="48">
                  <c:v>14040</c:v>
                </c:pt>
                <c:pt idx="49">
                  <c:v>14177.5</c:v>
                </c:pt>
                <c:pt idx="50">
                  <c:v>14310</c:v>
                </c:pt>
                <c:pt idx="51">
                  <c:v>14437.5</c:v>
                </c:pt>
                <c:pt idx="52">
                  <c:v>14560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0-489E-92C7-8B16AE68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3776"/>
        <c:axId val="473784104"/>
      </c:lineChart>
      <c:catAx>
        <c:axId val="473783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84104"/>
        <c:crosses val="autoZero"/>
        <c:auto val="1"/>
        <c:lblAlgn val="ctr"/>
        <c:lblOffset val="100"/>
        <c:noMultiLvlLbl val="0"/>
      </c:catAx>
      <c:valAx>
        <c:axId val="47378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8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183FE-4434-48E9-8429-5C52C1B62F5D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EB95B6-693A-4063-B1BA-A6F76B822ECE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323850</xdr:colOff>
      <xdr:row>1</xdr:row>
      <xdr:rowOff>157162</xdr:rowOff>
    </xdr:from>
    <xdr:to>
      <xdr:col>28</xdr:col>
      <xdr:colOff>19050</xdr:colOff>
      <xdr:row>16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0182C-6588-4C1B-AFB0-DE7CE1BC3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457200</xdr:colOff>
      <xdr:row>17</xdr:row>
      <xdr:rowOff>166687</xdr:rowOff>
    </xdr:from>
    <xdr:to>
      <xdr:col>28</xdr:col>
      <xdr:colOff>152400</xdr:colOff>
      <xdr:row>32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BA9B93-F2A9-4292-BF86-4F2B362FA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931BB-286D-45D2-8C83-C089139EEB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61E8C7-6E0B-4EE5-85FC-AACF0AEDA0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rreira, Alex" id="{5C995E78-359D-4E1E-B956-C3DBB2A98779}" userId="S::u1871314@live.warwick.ac.uk::5b59ccda-6136-4043-b8d1-eccf285d65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0-04-15T20:40:06.58" personId="{5C995E78-359D-4E1E-B956-C3DBB2A98779}" id="{BA3458CD-F256-46E5-B179-A5E907122069}">
    <text>Observe que é preciso ser uma perda!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63C5-E36F-40C4-81A7-AE0745EAA34B}">
  <dimension ref="A1:P57"/>
  <sheetViews>
    <sheetView showGridLines="0" tabSelected="1" topLeftCell="A2" zoomScale="120" zoomScaleNormal="120" workbookViewId="0">
      <selection activeCell="F7" sqref="F7"/>
    </sheetView>
  </sheetViews>
  <sheetFormatPr defaultRowHeight="15" x14ac:dyDescent="0.25"/>
  <cols>
    <col min="2" max="3" width="12" bestFit="1" customWidth="1"/>
    <col min="4" max="4" width="12" customWidth="1"/>
    <col min="5" max="5" width="14.7109375" bestFit="1" customWidth="1"/>
    <col min="15" max="15" width="41" bestFit="1" customWidth="1"/>
    <col min="16" max="16" width="12" bestFit="1" customWidth="1"/>
    <col min="17" max="17" width="8.7109375" bestFit="1" customWidth="1"/>
    <col min="18" max="18" width="10.5703125" bestFit="1" customWidth="1"/>
  </cols>
  <sheetData>
    <row r="1" spans="1:16" x14ac:dyDescent="0.25">
      <c r="F1" t="s">
        <v>0</v>
      </c>
      <c r="G1">
        <v>1</v>
      </c>
      <c r="I1" t="s">
        <v>28</v>
      </c>
      <c r="J1">
        <v>2</v>
      </c>
      <c r="L1" t="s">
        <v>23</v>
      </c>
      <c r="M1">
        <v>400</v>
      </c>
      <c r="O1">
        <f>M1/(2*M2)</f>
        <v>80</v>
      </c>
      <c r="P1" t="s">
        <v>29</v>
      </c>
    </row>
    <row r="2" spans="1:16" x14ac:dyDescent="0.25">
      <c r="L2" t="s">
        <v>24</v>
      </c>
      <c r="M2">
        <v>2.5</v>
      </c>
    </row>
    <row r="3" spans="1:16" x14ac:dyDescent="0.25">
      <c r="A3" t="s">
        <v>19</v>
      </c>
      <c r="B3" s="75" t="s">
        <v>20</v>
      </c>
      <c r="C3" s="75"/>
      <c r="D3" s="75"/>
      <c r="E3" s="75" t="s">
        <v>15</v>
      </c>
      <c r="F3" s="75"/>
      <c r="G3" s="75"/>
      <c r="H3" s="75" t="s">
        <v>16</v>
      </c>
      <c r="I3" s="75"/>
      <c r="J3" s="75"/>
    </row>
    <row r="4" spans="1:16" x14ac:dyDescent="0.25">
      <c r="A4" t="s">
        <v>1</v>
      </c>
      <c r="B4" t="s">
        <v>17</v>
      </c>
      <c r="C4" t="s">
        <v>18</v>
      </c>
      <c r="D4" t="s">
        <v>21</v>
      </c>
      <c r="E4" t="s">
        <v>2</v>
      </c>
      <c r="F4" t="s">
        <v>3</v>
      </c>
      <c r="G4" t="s">
        <v>22</v>
      </c>
      <c r="H4" t="s">
        <v>2</v>
      </c>
      <c r="I4" t="s">
        <v>3</v>
      </c>
      <c r="J4" t="s">
        <v>22</v>
      </c>
      <c r="O4" t="s">
        <v>12</v>
      </c>
    </row>
    <row r="5" spans="1:16" x14ac:dyDescent="0.25">
      <c r="A5">
        <v>4</v>
      </c>
      <c r="B5">
        <f>LN(A5)</f>
        <v>1.3862943611198906</v>
      </c>
      <c r="C5">
        <f>1/A5</f>
        <v>0.25</v>
      </c>
      <c r="D5">
        <f>-1*(1/POWER(A5,2))</f>
        <v>-6.25E-2</v>
      </c>
      <c r="E5">
        <f>POWER(A5,1-$J$1)/(1-$J$1)</f>
        <v>-0.25</v>
      </c>
      <c r="F5">
        <f>POWER(A5,-$J$1)</f>
        <v>6.25E-2</v>
      </c>
      <c r="G5">
        <f>-$J$1*POWER(A5,-$J$1-1)</f>
        <v>-3.125E-2</v>
      </c>
      <c r="H5">
        <f>$M$1*A5-$M$2*POWER(A5,2)</f>
        <v>1560</v>
      </c>
      <c r="I5">
        <f>$M$1-2*$M$2*A5</f>
        <v>380</v>
      </c>
      <c r="J5">
        <f>-2*$M$2</f>
        <v>-5</v>
      </c>
      <c r="O5" t="s">
        <v>4</v>
      </c>
    </row>
    <row r="6" spans="1:16" ht="31.5" customHeight="1" x14ac:dyDescent="0.25">
      <c r="A6">
        <f>A5+$G$1</f>
        <v>5</v>
      </c>
      <c r="B6">
        <f t="shared" ref="B6:B57" si="0">LN(A6)</f>
        <v>1.6094379124341003</v>
      </c>
      <c r="C6">
        <f t="shared" ref="C6:C19" si="1">1/A6</f>
        <v>0.2</v>
      </c>
      <c r="D6">
        <f t="shared" ref="D6:D57" si="2">-1*(1/POWER(A6,2))</f>
        <v>-0.04</v>
      </c>
      <c r="E6">
        <f t="shared" ref="E6:E57" si="3">POWER(A6,1-$J$1)/(1-$J$1)</f>
        <v>-0.2</v>
      </c>
      <c r="F6">
        <f t="shared" ref="F6:F57" si="4">POWER(A6,-$J$1)</f>
        <v>0.04</v>
      </c>
      <c r="G6">
        <f t="shared" ref="G6:G57" si="5">-$J$1*POWER(A6,-$J$1-1)</f>
        <v>-1.6E-2</v>
      </c>
      <c r="H6">
        <f t="shared" ref="H6:H57" si="6">$M$1*A6-$M$2*POWER(A6,2)</f>
        <v>1937.5</v>
      </c>
      <c r="I6">
        <f t="shared" ref="I6:I57" si="7">$M$1-2*$M$2*A6</f>
        <v>375</v>
      </c>
      <c r="J6">
        <f t="shared" ref="J6:J57" si="8">-2*$M$2</f>
        <v>-5</v>
      </c>
      <c r="O6" t="s">
        <v>9</v>
      </c>
      <c r="P6">
        <f>0.8*5+0.2*30</f>
        <v>10</v>
      </c>
    </row>
    <row r="7" spans="1:16" x14ac:dyDescent="0.25">
      <c r="A7">
        <f t="shared" ref="A7:A57" si="9">A6+$G$1</f>
        <v>6</v>
      </c>
      <c r="B7">
        <f t="shared" si="0"/>
        <v>1.791759469228055</v>
      </c>
      <c r="C7">
        <f t="shared" si="1"/>
        <v>0.16666666666666666</v>
      </c>
      <c r="D7">
        <f t="shared" si="2"/>
        <v>-2.7777777777777776E-2</v>
      </c>
      <c r="E7">
        <f t="shared" si="3"/>
        <v>-0.16666666666666666</v>
      </c>
      <c r="F7">
        <f t="shared" si="4"/>
        <v>2.7777777777777776E-2</v>
      </c>
      <c r="G7">
        <f t="shared" si="5"/>
        <v>-9.2592592592592587E-3</v>
      </c>
      <c r="H7">
        <f t="shared" si="6"/>
        <v>2310</v>
      </c>
      <c r="I7">
        <f t="shared" si="7"/>
        <v>370</v>
      </c>
      <c r="J7">
        <f t="shared" si="8"/>
        <v>-5</v>
      </c>
      <c r="O7" s="75" t="s">
        <v>11</v>
      </c>
      <c r="P7" s="75"/>
    </row>
    <row r="8" spans="1:16" x14ac:dyDescent="0.25">
      <c r="A8">
        <f t="shared" si="9"/>
        <v>7</v>
      </c>
      <c r="B8">
        <f t="shared" si="0"/>
        <v>1.9459101490553132</v>
      </c>
      <c r="C8">
        <f t="shared" si="1"/>
        <v>0.14285714285714285</v>
      </c>
      <c r="D8">
        <f t="shared" si="2"/>
        <v>-2.0408163265306121E-2</v>
      </c>
      <c r="E8">
        <f t="shared" si="3"/>
        <v>-0.14285714285714285</v>
      </c>
      <c r="F8">
        <f t="shared" si="4"/>
        <v>2.0408163265306121E-2</v>
      </c>
      <c r="G8">
        <f t="shared" si="5"/>
        <v>-5.8309037900874635E-3</v>
      </c>
      <c r="H8">
        <f t="shared" si="6"/>
        <v>2677.5</v>
      </c>
      <c r="I8">
        <f t="shared" si="7"/>
        <v>365</v>
      </c>
      <c r="J8">
        <f t="shared" si="8"/>
        <v>-5</v>
      </c>
      <c r="O8" t="s">
        <v>10</v>
      </c>
      <c r="P8" s="1">
        <f>B14</f>
        <v>2.5649493574615367</v>
      </c>
    </row>
    <row r="9" spans="1:16" x14ac:dyDescent="0.25">
      <c r="A9">
        <f t="shared" si="9"/>
        <v>8</v>
      </c>
      <c r="B9">
        <f t="shared" si="0"/>
        <v>2.0794415416798357</v>
      </c>
      <c r="C9">
        <f t="shared" si="1"/>
        <v>0.125</v>
      </c>
      <c r="D9">
        <f t="shared" si="2"/>
        <v>-1.5625E-2</v>
      </c>
      <c r="E9">
        <f t="shared" si="3"/>
        <v>-0.125</v>
      </c>
      <c r="F9">
        <f t="shared" si="4"/>
        <v>1.5625E-2</v>
      </c>
      <c r="G9">
        <f t="shared" si="5"/>
        <v>-3.90625E-3</v>
      </c>
      <c r="H9">
        <f t="shared" si="6"/>
        <v>3040</v>
      </c>
      <c r="I9">
        <f t="shared" si="7"/>
        <v>360</v>
      </c>
      <c r="J9">
        <f t="shared" si="8"/>
        <v>-5</v>
      </c>
    </row>
    <row r="10" spans="1:16" x14ac:dyDescent="0.25">
      <c r="A10">
        <f t="shared" si="9"/>
        <v>9</v>
      </c>
      <c r="B10">
        <f t="shared" si="0"/>
        <v>2.1972245773362196</v>
      </c>
      <c r="C10">
        <f t="shared" si="1"/>
        <v>0.1111111111111111</v>
      </c>
      <c r="D10">
        <f t="shared" si="2"/>
        <v>-1.2345679012345678E-2</v>
      </c>
      <c r="E10">
        <f t="shared" si="3"/>
        <v>-0.1111111111111111</v>
      </c>
      <c r="F10">
        <f t="shared" si="4"/>
        <v>1.2345679012345678E-2</v>
      </c>
      <c r="G10">
        <f t="shared" si="5"/>
        <v>-2.7434842249657062E-3</v>
      </c>
      <c r="H10">
        <f t="shared" si="6"/>
        <v>3397.5</v>
      </c>
      <c r="I10">
        <f t="shared" si="7"/>
        <v>355</v>
      </c>
      <c r="J10">
        <f t="shared" si="8"/>
        <v>-5</v>
      </c>
    </row>
    <row r="11" spans="1:16" x14ac:dyDescent="0.25">
      <c r="A11">
        <f t="shared" si="9"/>
        <v>10</v>
      </c>
      <c r="B11">
        <f t="shared" si="0"/>
        <v>2.3025850929940459</v>
      </c>
      <c r="C11">
        <f t="shared" si="1"/>
        <v>0.1</v>
      </c>
      <c r="D11">
        <f t="shared" si="2"/>
        <v>-0.01</v>
      </c>
      <c r="E11">
        <f t="shared" si="3"/>
        <v>-0.1</v>
      </c>
      <c r="F11">
        <f t="shared" si="4"/>
        <v>0.01</v>
      </c>
      <c r="G11">
        <f t="shared" si="5"/>
        <v>-2E-3</v>
      </c>
      <c r="H11">
        <f t="shared" si="6"/>
        <v>3750</v>
      </c>
      <c r="I11">
        <f t="shared" si="7"/>
        <v>350</v>
      </c>
      <c r="J11">
        <f t="shared" si="8"/>
        <v>-5</v>
      </c>
    </row>
    <row r="12" spans="1:16" x14ac:dyDescent="0.25">
      <c r="A12">
        <f t="shared" si="9"/>
        <v>11</v>
      </c>
      <c r="B12">
        <f t="shared" si="0"/>
        <v>2.3978952727983707</v>
      </c>
      <c r="C12">
        <f t="shared" si="1"/>
        <v>9.0909090909090912E-2</v>
      </c>
      <c r="D12">
        <f t="shared" si="2"/>
        <v>-8.2644628099173556E-3</v>
      </c>
      <c r="E12">
        <f t="shared" si="3"/>
        <v>-9.0909090909090912E-2</v>
      </c>
      <c r="F12">
        <f t="shared" si="4"/>
        <v>8.2644628099173556E-3</v>
      </c>
      <c r="G12">
        <f t="shared" si="5"/>
        <v>-1.5026296018031556E-3</v>
      </c>
      <c r="H12">
        <f t="shared" si="6"/>
        <v>4097.5</v>
      </c>
      <c r="I12">
        <f t="shared" si="7"/>
        <v>345</v>
      </c>
      <c r="J12">
        <f t="shared" si="8"/>
        <v>-5</v>
      </c>
    </row>
    <row r="13" spans="1:16" x14ac:dyDescent="0.25">
      <c r="A13">
        <f t="shared" si="9"/>
        <v>12</v>
      </c>
      <c r="B13">
        <f t="shared" si="0"/>
        <v>2.4849066497880004</v>
      </c>
      <c r="C13">
        <f t="shared" si="1"/>
        <v>8.3333333333333329E-2</v>
      </c>
      <c r="D13">
        <f t="shared" si="2"/>
        <v>-6.9444444444444441E-3</v>
      </c>
      <c r="E13">
        <f t="shared" si="3"/>
        <v>-8.3333333333333329E-2</v>
      </c>
      <c r="F13">
        <f t="shared" si="4"/>
        <v>6.9444444444444441E-3</v>
      </c>
      <c r="G13">
        <f t="shared" si="5"/>
        <v>-1.1574074074074073E-3</v>
      </c>
      <c r="H13">
        <f t="shared" si="6"/>
        <v>4440</v>
      </c>
      <c r="I13">
        <f t="shared" si="7"/>
        <v>340</v>
      </c>
      <c r="J13">
        <f t="shared" si="8"/>
        <v>-5</v>
      </c>
      <c r="O13" s="75" t="s">
        <v>7</v>
      </c>
      <c r="P13" s="75"/>
    </row>
    <row r="14" spans="1:16" x14ac:dyDescent="0.25">
      <c r="A14">
        <f t="shared" si="9"/>
        <v>13</v>
      </c>
      <c r="B14">
        <f t="shared" si="0"/>
        <v>2.5649493574615367</v>
      </c>
      <c r="C14">
        <f t="shared" si="1"/>
        <v>7.6923076923076927E-2</v>
      </c>
      <c r="D14">
        <f t="shared" si="2"/>
        <v>-5.9171597633136093E-3</v>
      </c>
      <c r="E14">
        <f t="shared" si="3"/>
        <v>-7.6923076923076927E-2</v>
      </c>
      <c r="F14">
        <f t="shared" si="4"/>
        <v>5.9171597633136093E-3</v>
      </c>
      <c r="G14">
        <f t="shared" si="5"/>
        <v>-9.1033227127901685E-4</v>
      </c>
      <c r="H14">
        <f t="shared" si="6"/>
        <v>4777.5</v>
      </c>
      <c r="I14">
        <f t="shared" si="7"/>
        <v>335</v>
      </c>
      <c r="J14">
        <f t="shared" si="8"/>
        <v>-5</v>
      </c>
      <c r="O14" t="s">
        <v>5</v>
      </c>
      <c r="P14">
        <f>B9</f>
        <v>2.0794415416798357</v>
      </c>
    </row>
    <row r="15" spans="1:16" x14ac:dyDescent="0.25">
      <c r="A15">
        <f t="shared" si="9"/>
        <v>14</v>
      </c>
      <c r="B15">
        <f t="shared" si="0"/>
        <v>2.6390573296152584</v>
      </c>
      <c r="C15">
        <f t="shared" si="1"/>
        <v>7.1428571428571425E-2</v>
      </c>
      <c r="D15">
        <f t="shared" si="2"/>
        <v>-5.1020408163265302E-3</v>
      </c>
      <c r="E15">
        <f t="shared" si="3"/>
        <v>-7.1428571428571425E-2</v>
      </c>
      <c r="F15">
        <f t="shared" si="4"/>
        <v>5.1020408163265302E-3</v>
      </c>
      <c r="G15">
        <f t="shared" si="5"/>
        <v>-7.2886297376093293E-4</v>
      </c>
      <c r="H15">
        <f t="shared" si="6"/>
        <v>5110</v>
      </c>
      <c r="I15">
        <f t="shared" si="7"/>
        <v>330</v>
      </c>
      <c r="J15">
        <f t="shared" si="8"/>
        <v>-5</v>
      </c>
      <c r="O15" t="s">
        <v>6</v>
      </c>
      <c r="P15">
        <f>B34</f>
        <v>3.4965075614664802</v>
      </c>
    </row>
    <row r="16" spans="1:16" x14ac:dyDescent="0.25">
      <c r="A16">
        <f t="shared" si="9"/>
        <v>15</v>
      </c>
      <c r="B16">
        <f t="shared" si="0"/>
        <v>2.7080502011022101</v>
      </c>
      <c r="C16">
        <f t="shared" si="1"/>
        <v>6.6666666666666666E-2</v>
      </c>
      <c r="D16">
        <f t="shared" si="2"/>
        <v>-4.4444444444444444E-3</v>
      </c>
      <c r="E16">
        <f t="shared" si="3"/>
        <v>-6.6666666666666666E-2</v>
      </c>
      <c r="F16">
        <f t="shared" si="4"/>
        <v>4.4444444444444444E-3</v>
      </c>
      <c r="G16">
        <f t="shared" si="5"/>
        <v>-5.9259259259259258E-4</v>
      </c>
      <c r="H16">
        <f t="shared" si="6"/>
        <v>5437.5</v>
      </c>
      <c r="I16">
        <f t="shared" si="7"/>
        <v>325</v>
      </c>
      <c r="J16">
        <f t="shared" si="8"/>
        <v>-5</v>
      </c>
      <c r="O16" t="s">
        <v>8</v>
      </c>
      <c r="P16" s="1">
        <f>0.8*P14+0.2*P15</f>
        <v>2.3628547456371649</v>
      </c>
    </row>
    <row r="17" spans="1:10" x14ac:dyDescent="0.25">
      <c r="A17">
        <f t="shared" si="9"/>
        <v>16</v>
      </c>
      <c r="B17">
        <f t="shared" si="0"/>
        <v>2.7725887222397811</v>
      </c>
      <c r="C17">
        <f t="shared" si="1"/>
        <v>6.25E-2</v>
      </c>
      <c r="D17">
        <f t="shared" si="2"/>
        <v>-3.90625E-3</v>
      </c>
      <c r="E17">
        <f t="shared" si="3"/>
        <v>-6.25E-2</v>
      </c>
      <c r="F17">
        <f t="shared" si="4"/>
        <v>3.90625E-3</v>
      </c>
      <c r="G17">
        <f t="shared" si="5"/>
        <v>-4.8828125E-4</v>
      </c>
      <c r="H17">
        <f t="shared" si="6"/>
        <v>5760</v>
      </c>
      <c r="I17">
        <f t="shared" si="7"/>
        <v>320</v>
      </c>
      <c r="J17">
        <f t="shared" si="8"/>
        <v>-5</v>
      </c>
    </row>
    <row r="18" spans="1:10" x14ac:dyDescent="0.25">
      <c r="A18">
        <f t="shared" si="9"/>
        <v>17</v>
      </c>
      <c r="B18">
        <f t="shared" si="0"/>
        <v>2.8332133440562162</v>
      </c>
      <c r="C18">
        <f t="shared" si="1"/>
        <v>5.8823529411764705E-2</v>
      </c>
      <c r="D18">
        <f t="shared" si="2"/>
        <v>-3.4602076124567475E-3</v>
      </c>
      <c r="E18">
        <f t="shared" si="3"/>
        <v>-5.8823529411764705E-2</v>
      </c>
      <c r="F18">
        <f t="shared" si="4"/>
        <v>3.4602076124567475E-3</v>
      </c>
      <c r="G18">
        <f t="shared" si="5"/>
        <v>-4.0708324852432322E-4</v>
      </c>
      <c r="H18">
        <f t="shared" si="6"/>
        <v>6077.5</v>
      </c>
      <c r="I18">
        <f t="shared" si="7"/>
        <v>315</v>
      </c>
      <c r="J18">
        <f t="shared" si="8"/>
        <v>-5</v>
      </c>
    </row>
    <row r="19" spans="1:10" x14ac:dyDescent="0.25">
      <c r="A19">
        <f t="shared" si="9"/>
        <v>18</v>
      </c>
      <c r="B19">
        <f t="shared" si="0"/>
        <v>2.8903717578961645</v>
      </c>
      <c r="C19">
        <f t="shared" si="1"/>
        <v>5.5555555555555552E-2</v>
      </c>
      <c r="D19">
        <f t="shared" si="2"/>
        <v>-3.0864197530864196E-3</v>
      </c>
      <c r="E19">
        <f t="shared" si="3"/>
        <v>-5.5555555555555552E-2</v>
      </c>
      <c r="F19">
        <f t="shared" si="4"/>
        <v>3.0864197530864196E-3</v>
      </c>
      <c r="G19">
        <f t="shared" si="5"/>
        <v>-3.4293552812071328E-4</v>
      </c>
      <c r="H19">
        <f t="shared" si="6"/>
        <v>6390</v>
      </c>
      <c r="I19">
        <f t="shared" si="7"/>
        <v>310</v>
      </c>
      <c r="J19">
        <f t="shared" si="8"/>
        <v>-5</v>
      </c>
    </row>
    <row r="20" spans="1:10" x14ac:dyDescent="0.25">
      <c r="A20">
        <f t="shared" si="9"/>
        <v>19</v>
      </c>
      <c r="B20">
        <f t="shared" si="0"/>
        <v>2.9444389791664403</v>
      </c>
      <c r="C20">
        <f t="shared" ref="C20:C57" si="10">1/A20</f>
        <v>5.2631578947368418E-2</v>
      </c>
      <c r="D20">
        <f t="shared" si="2"/>
        <v>-2.7700831024930748E-3</v>
      </c>
      <c r="E20">
        <f t="shared" si="3"/>
        <v>-5.2631578947368418E-2</v>
      </c>
      <c r="F20">
        <f t="shared" si="4"/>
        <v>2.7700831024930748E-3</v>
      </c>
      <c r="G20">
        <f t="shared" si="5"/>
        <v>-2.9158769499927102E-4</v>
      </c>
      <c r="H20">
        <f t="shared" si="6"/>
        <v>6697.5</v>
      </c>
      <c r="I20">
        <f t="shared" si="7"/>
        <v>305</v>
      </c>
      <c r="J20">
        <f t="shared" si="8"/>
        <v>-5</v>
      </c>
    </row>
    <row r="21" spans="1:10" x14ac:dyDescent="0.25">
      <c r="A21">
        <f t="shared" si="9"/>
        <v>20</v>
      </c>
      <c r="B21">
        <f t="shared" si="0"/>
        <v>2.9957322735539909</v>
      </c>
      <c r="C21">
        <f t="shared" si="10"/>
        <v>0.05</v>
      </c>
      <c r="D21">
        <f t="shared" si="2"/>
        <v>-2.5000000000000001E-3</v>
      </c>
      <c r="E21">
        <f t="shared" si="3"/>
        <v>-0.05</v>
      </c>
      <c r="F21">
        <f t="shared" si="4"/>
        <v>2.5000000000000001E-3</v>
      </c>
      <c r="G21">
        <f t="shared" si="5"/>
        <v>-2.5000000000000001E-4</v>
      </c>
      <c r="H21">
        <f t="shared" si="6"/>
        <v>7000</v>
      </c>
      <c r="I21">
        <f t="shared" si="7"/>
        <v>300</v>
      </c>
      <c r="J21">
        <f t="shared" si="8"/>
        <v>-5</v>
      </c>
    </row>
    <row r="22" spans="1:10" x14ac:dyDescent="0.25">
      <c r="A22">
        <f t="shared" si="9"/>
        <v>21</v>
      </c>
      <c r="B22">
        <f t="shared" si="0"/>
        <v>3.044522437723423</v>
      </c>
      <c r="C22">
        <f t="shared" si="10"/>
        <v>4.7619047619047616E-2</v>
      </c>
      <c r="D22">
        <f t="shared" si="2"/>
        <v>-2.2675736961451248E-3</v>
      </c>
      <c r="E22">
        <f t="shared" si="3"/>
        <v>-4.7619047619047616E-2</v>
      </c>
      <c r="F22">
        <f t="shared" si="4"/>
        <v>2.2675736961451248E-3</v>
      </c>
      <c r="G22">
        <f t="shared" si="5"/>
        <v>-2.1595939963286903E-4</v>
      </c>
      <c r="H22">
        <f t="shared" si="6"/>
        <v>7297.5</v>
      </c>
      <c r="I22">
        <f t="shared" si="7"/>
        <v>295</v>
      </c>
      <c r="J22">
        <f t="shared" si="8"/>
        <v>-5</v>
      </c>
    </row>
    <row r="23" spans="1:10" x14ac:dyDescent="0.25">
      <c r="A23">
        <f t="shared" si="9"/>
        <v>22</v>
      </c>
      <c r="B23">
        <f t="shared" si="0"/>
        <v>3.0910424533583161</v>
      </c>
      <c r="C23">
        <f t="shared" si="10"/>
        <v>4.5454545454545456E-2</v>
      </c>
      <c r="D23">
        <f t="shared" si="2"/>
        <v>-2.0661157024793389E-3</v>
      </c>
      <c r="E23">
        <f t="shared" si="3"/>
        <v>-4.5454545454545456E-2</v>
      </c>
      <c r="F23">
        <f t="shared" si="4"/>
        <v>2.0661157024793389E-3</v>
      </c>
      <c r="G23">
        <f t="shared" si="5"/>
        <v>-1.8782870022539445E-4</v>
      </c>
      <c r="H23">
        <f t="shared" si="6"/>
        <v>7590</v>
      </c>
      <c r="I23">
        <f t="shared" si="7"/>
        <v>290</v>
      </c>
      <c r="J23">
        <f t="shared" si="8"/>
        <v>-5</v>
      </c>
    </row>
    <row r="24" spans="1:10" x14ac:dyDescent="0.25">
      <c r="A24">
        <f t="shared" si="9"/>
        <v>23</v>
      </c>
      <c r="B24">
        <f t="shared" si="0"/>
        <v>3.1354942159291497</v>
      </c>
      <c r="C24">
        <f t="shared" si="10"/>
        <v>4.3478260869565216E-2</v>
      </c>
      <c r="D24">
        <f t="shared" si="2"/>
        <v>-1.890359168241966E-3</v>
      </c>
      <c r="E24">
        <f t="shared" si="3"/>
        <v>-4.3478260869565216E-2</v>
      </c>
      <c r="F24">
        <f t="shared" si="4"/>
        <v>1.890359168241966E-3</v>
      </c>
      <c r="G24">
        <f t="shared" si="5"/>
        <v>-1.6437905810799704E-4</v>
      </c>
      <c r="H24">
        <f t="shared" si="6"/>
        <v>7877.5</v>
      </c>
      <c r="I24">
        <f t="shared" si="7"/>
        <v>285</v>
      </c>
      <c r="J24">
        <f t="shared" si="8"/>
        <v>-5</v>
      </c>
    </row>
    <row r="25" spans="1:10" x14ac:dyDescent="0.25">
      <c r="A25">
        <f t="shared" si="9"/>
        <v>24</v>
      </c>
      <c r="B25">
        <f t="shared" si="0"/>
        <v>3.1780538303479458</v>
      </c>
      <c r="C25">
        <f t="shared" si="10"/>
        <v>4.1666666666666664E-2</v>
      </c>
      <c r="D25">
        <f t="shared" si="2"/>
        <v>-1.736111111111111E-3</v>
      </c>
      <c r="E25">
        <f t="shared" si="3"/>
        <v>-4.1666666666666664E-2</v>
      </c>
      <c r="F25">
        <f t="shared" si="4"/>
        <v>1.736111111111111E-3</v>
      </c>
      <c r="G25">
        <f t="shared" si="5"/>
        <v>-1.4467592592592592E-4</v>
      </c>
      <c r="H25">
        <f t="shared" si="6"/>
        <v>8160</v>
      </c>
      <c r="I25">
        <f t="shared" si="7"/>
        <v>280</v>
      </c>
      <c r="J25">
        <f t="shared" si="8"/>
        <v>-5</v>
      </c>
    </row>
    <row r="26" spans="1:10" x14ac:dyDescent="0.25">
      <c r="A26">
        <f t="shared" si="9"/>
        <v>25</v>
      </c>
      <c r="B26">
        <f t="shared" si="0"/>
        <v>3.2188758248682006</v>
      </c>
      <c r="C26">
        <f t="shared" si="10"/>
        <v>0.04</v>
      </c>
      <c r="D26">
        <f t="shared" si="2"/>
        <v>-1.6000000000000001E-3</v>
      </c>
      <c r="E26">
        <f t="shared" si="3"/>
        <v>-0.04</v>
      </c>
      <c r="F26">
        <f t="shared" si="4"/>
        <v>1.6000000000000001E-3</v>
      </c>
      <c r="G26">
        <f t="shared" si="5"/>
        <v>-1.2799999999999999E-4</v>
      </c>
      <c r="H26">
        <f t="shared" si="6"/>
        <v>8437.5</v>
      </c>
      <c r="I26">
        <f t="shared" si="7"/>
        <v>275</v>
      </c>
      <c r="J26">
        <f t="shared" si="8"/>
        <v>-5</v>
      </c>
    </row>
    <row r="27" spans="1:10" x14ac:dyDescent="0.25">
      <c r="A27">
        <f t="shared" si="9"/>
        <v>26</v>
      </c>
      <c r="B27">
        <f t="shared" si="0"/>
        <v>3.2580965380214821</v>
      </c>
      <c r="C27">
        <f t="shared" si="10"/>
        <v>3.8461538461538464E-2</v>
      </c>
      <c r="D27">
        <f t="shared" si="2"/>
        <v>-1.4792899408284023E-3</v>
      </c>
      <c r="E27">
        <f t="shared" si="3"/>
        <v>-3.8461538461538464E-2</v>
      </c>
      <c r="F27">
        <f t="shared" si="4"/>
        <v>1.4792899408284023E-3</v>
      </c>
      <c r="G27">
        <f t="shared" si="5"/>
        <v>-1.1379153390987711E-4</v>
      </c>
      <c r="H27">
        <f t="shared" si="6"/>
        <v>8710</v>
      </c>
      <c r="I27">
        <f t="shared" si="7"/>
        <v>270</v>
      </c>
      <c r="J27">
        <f t="shared" si="8"/>
        <v>-5</v>
      </c>
    </row>
    <row r="28" spans="1:10" x14ac:dyDescent="0.25">
      <c r="A28">
        <f t="shared" si="9"/>
        <v>27</v>
      </c>
      <c r="B28">
        <f t="shared" si="0"/>
        <v>3.2958368660043291</v>
      </c>
      <c r="C28">
        <f t="shared" si="10"/>
        <v>3.7037037037037035E-2</v>
      </c>
      <c r="D28">
        <f t="shared" si="2"/>
        <v>-1.3717421124828531E-3</v>
      </c>
      <c r="E28">
        <f t="shared" si="3"/>
        <v>-3.7037037037037035E-2</v>
      </c>
      <c r="F28">
        <f t="shared" si="4"/>
        <v>1.3717421124828531E-3</v>
      </c>
      <c r="G28">
        <f t="shared" si="5"/>
        <v>-1.0161052685058171E-4</v>
      </c>
      <c r="H28">
        <f t="shared" si="6"/>
        <v>8977.5</v>
      </c>
      <c r="I28">
        <f t="shared" si="7"/>
        <v>265</v>
      </c>
      <c r="J28">
        <f t="shared" si="8"/>
        <v>-5</v>
      </c>
    </row>
    <row r="29" spans="1:10" x14ac:dyDescent="0.25">
      <c r="A29">
        <f t="shared" si="9"/>
        <v>28</v>
      </c>
      <c r="B29">
        <f t="shared" si="0"/>
        <v>3.3322045101752038</v>
      </c>
      <c r="C29">
        <f t="shared" si="10"/>
        <v>3.5714285714285712E-2</v>
      </c>
      <c r="D29">
        <f t="shared" si="2"/>
        <v>-1.2755102040816326E-3</v>
      </c>
      <c r="E29">
        <f t="shared" si="3"/>
        <v>-3.5714285714285712E-2</v>
      </c>
      <c r="F29">
        <f t="shared" si="4"/>
        <v>1.2755102040816326E-3</v>
      </c>
      <c r="G29">
        <f t="shared" si="5"/>
        <v>-9.1107871720116617E-5</v>
      </c>
      <c r="H29">
        <f t="shared" si="6"/>
        <v>9240</v>
      </c>
      <c r="I29">
        <f t="shared" si="7"/>
        <v>260</v>
      </c>
      <c r="J29">
        <f t="shared" si="8"/>
        <v>-5</v>
      </c>
    </row>
    <row r="30" spans="1:10" x14ac:dyDescent="0.25">
      <c r="A30">
        <f t="shared" si="9"/>
        <v>29</v>
      </c>
      <c r="B30">
        <f t="shared" si="0"/>
        <v>3.3672958299864741</v>
      </c>
      <c r="C30">
        <f t="shared" si="10"/>
        <v>3.4482758620689655E-2</v>
      </c>
      <c r="D30">
        <f t="shared" si="2"/>
        <v>-1.1890606420927466E-3</v>
      </c>
      <c r="E30">
        <f t="shared" si="3"/>
        <v>-3.4482758620689655E-2</v>
      </c>
      <c r="F30">
        <f t="shared" si="4"/>
        <v>1.1890606420927466E-3</v>
      </c>
      <c r="G30">
        <f t="shared" si="5"/>
        <v>-8.2004182213292872E-5</v>
      </c>
      <c r="H30">
        <f t="shared" si="6"/>
        <v>9497.5</v>
      </c>
      <c r="I30">
        <f t="shared" si="7"/>
        <v>255</v>
      </c>
      <c r="J30">
        <f t="shared" si="8"/>
        <v>-5</v>
      </c>
    </row>
    <row r="31" spans="1:10" x14ac:dyDescent="0.25">
      <c r="A31">
        <f t="shared" si="9"/>
        <v>30</v>
      </c>
      <c r="B31">
        <f t="shared" si="0"/>
        <v>3.4011973816621555</v>
      </c>
      <c r="C31">
        <f t="shared" si="10"/>
        <v>3.3333333333333333E-2</v>
      </c>
      <c r="D31">
        <f t="shared" si="2"/>
        <v>-1.1111111111111111E-3</v>
      </c>
      <c r="E31">
        <f t="shared" si="3"/>
        <v>-3.3333333333333333E-2</v>
      </c>
      <c r="F31">
        <f t="shared" si="4"/>
        <v>1.1111111111111111E-3</v>
      </c>
      <c r="G31">
        <f t="shared" si="5"/>
        <v>-7.4074074074074073E-5</v>
      </c>
      <c r="H31">
        <f t="shared" si="6"/>
        <v>9750</v>
      </c>
      <c r="I31">
        <f t="shared" si="7"/>
        <v>250</v>
      </c>
      <c r="J31">
        <f t="shared" si="8"/>
        <v>-5</v>
      </c>
    </row>
    <row r="32" spans="1:10" x14ac:dyDescent="0.25">
      <c r="A32">
        <f t="shared" si="9"/>
        <v>31</v>
      </c>
      <c r="B32">
        <f t="shared" si="0"/>
        <v>3.4339872044851463</v>
      </c>
      <c r="C32">
        <f t="shared" si="10"/>
        <v>3.2258064516129031E-2</v>
      </c>
      <c r="D32">
        <f t="shared" si="2"/>
        <v>-1.0405827263267431E-3</v>
      </c>
      <c r="E32">
        <f t="shared" si="3"/>
        <v>-3.2258064516129031E-2</v>
      </c>
      <c r="F32">
        <f t="shared" si="4"/>
        <v>1.0405827263267431E-3</v>
      </c>
      <c r="G32">
        <f t="shared" si="5"/>
        <v>-6.7134369440435029E-5</v>
      </c>
      <c r="H32">
        <f t="shared" si="6"/>
        <v>9997.5</v>
      </c>
      <c r="I32">
        <f t="shared" si="7"/>
        <v>245</v>
      </c>
      <c r="J32">
        <f t="shared" si="8"/>
        <v>-5</v>
      </c>
    </row>
    <row r="33" spans="1:10" x14ac:dyDescent="0.25">
      <c r="A33">
        <f t="shared" si="9"/>
        <v>32</v>
      </c>
      <c r="B33">
        <f t="shared" si="0"/>
        <v>3.4657359027997265</v>
      </c>
      <c r="C33">
        <f t="shared" si="10"/>
        <v>3.125E-2</v>
      </c>
      <c r="D33">
        <f t="shared" si="2"/>
        <v>-9.765625E-4</v>
      </c>
      <c r="E33">
        <f t="shared" si="3"/>
        <v>-3.125E-2</v>
      </c>
      <c r="F33">
        <f t="shared" si="4"/>
        <v>9.765625E-4</v>
      </c>
      <c r="G33">
        <f t="shared" si="5"/>
        <v>-6.103515625E-5</v>
      </c>
      <c r="H33">
        <f t="shared" si="6"/>
        <v>10240</v>
      </c>
      <c r="I33">
        <f t="shared" si="7"/>
        <v>240</v>
      </c>
      <c r="J33">
        <f t="shared" si="8"/>
        <v>-5</v>
      </c>
    </row>
    <row r="34" spans="1:10" x14ac:dyDescent="0.25">
      <c r="A34">
        <f t="shared" si="9"/>
        <v>33</v>
      </c>
      <c r="B34">
        <f t="shared" si="0"/>
        <v>3.4965075614664802</v>
      </c>
      <c r="C34">
        <f t="shared" si="10"/>
        <v>3.0303030303030304E-2</v>
      </c>
      <c r="D34">
        <f t="shared" si="2"/>
        <v>-9.1827364554637281E-4</v>
      </c>
      <c r="E34">
        <f t="shared" si="3"/>
        <v>-3.0303030303030304E-2</v>
      </c>
      <c r="F34">
        <f t="shared" si="4"/>
        <v>9.1827364554637281E-4</v>
      </c>
      <c r="G34">
        <f t="shared" si="5"/>
        <v>-5.5652948214931685E-5</v>
      </c>
      <c r="H34">
        <f t="shared" si="6"/>
        <v>10477.5</v>
      </c>
      <c r="I34">
        <f t="shared" si="7"/>
        <v>235</v>
      </c>
      <c r="J34">
        <f t="shared" si="8"/>
        <v>-5</v>
      </c>
    </row>
    <row r="35" spans="1:10" x14ac:dyDescent="0.25">
      <c r="A35">
        <f t="shared" si="9"/>
        <v>34</v>
      </c>
      <c r="B35">
        <f t="shared" si="0"/>
        <v>3.5263605246161616</v>
      </c>
      <c r="C35">
        <f t="shared" si="10"/>
        <v>2.9411764705882353E-2</v>
      </c>
      <c r="D35">
        <f t="shared" si="2"/>
        <v>-8.6505190311418688E-4</v>
      </c>
      <c r="E35">
        <f t="shared" si="3"/>
        <v>-2.9411764705882353E-2</v>
      </c>
      <c r="F35">
        <f t="shared" si="4"/>
        <v>8.6505190311418688E-4</v>
      </c>
      <c r="G35">
        <f t="shared" si="5"/>
        <v>-5.0885406065540403E-5</v>
      </c>
      <c r="H35">
        <f t="shared" si="6"/>
        <v>10710</v>
      </c>
      <c r="I35">
        <f t="shared" si="7"/>
        <v>230</v>
      </c>
      <c r="J35">
        <f t="shared" si="8"/>
        <v>-5</v>
      </c>
    </row>
    <row r="36" spans="1:10" x14ac:dyDescent="0.25">
      <c r="A36">
        <f t="shared" si="9"/>
        <v>35</v>
      </c>
      <c r="B36">
        <f t="shared" si="0"/>
        <v>3.5553480614894135</v>
      </c>
      <c r="C36">
        <f t="shared" si="10"/>
        <v>2.8571428571428571E-2</v>
      </c>
      <c r="D36">
        <f t="shared" si="2"/>
        <v>-8.1632653061224493E-4</v>
      </c>
      <c r="E36">
        <f t="shared" si="3"/>
        <v>-2.8571428571428571E-2</v>
      </c>
      <c r="F36">
        <f t="shared" si="4"/>
        <v>8.1632653061224493E-4</v>
      </c>
      <c r="G36">
        <f t="shared" si="5"/>
        <v>-4.664723032069971E-5</v>
      </c>
      <c r="H36">
        <f t="shared" si="6"/>
        <v>10937.5</v>
      </c>
      <c r="I36">
        <f t="shared" si="7"/>
        <v>225</v>
      </c>
      <c r="J36">
        <f t="shared" si="8"/>
        <v>-5</v>
      </c>
    </row>
    <row r="37" spans="1:10" x14ac:dyDescent="0.25">
      <c r="A37">
        <f t="shared" si="9"/>
        <v>36</v>
      </c>
      <c r="B37">
        <f t="shared" si="0"/>
        <v>3.5835189384561099</v>
      </c>
      <c r="C37">
        <f t="shared" si="10"/>
        <v>2.7777777777777776E-2</v>
      </c>
      <c r="D37">
        <f t="shared" si="2"/>
        <v>-7.716049382716049E-4</v>
      </c>
      <c r="E37">
        <f t="shared" si="3"/>
        <v>-2.7777777777777776E-2</v>
      </c>
      <c r="F37">
        <f t="shared" si="4"/>
        <v>7.716049382716049E-4</v>
      </c>
      <c r="G37">
        <f t="shared" si="5"/>
        <v>-4.286694101508916E-5</v>
      </c>
      <c r="H37">
        <f t="shared" si="6"/>
        <v>11160</v>
      </c>
      <c r="I37">
        <f t="shared" si="7"/>
        <v>220</v>
      </c>
      <c r="J37">
        <f t="shared" si="8"/>
        <v>-5</v>
      </c>
    </row>
    <row r="38" spans="1:10" x14ac:dyDescent="0.25">
      <c r="A38">
        <f t="shared" si="9"/>
        <v>37</v>
      </c>
      <c r="B38">
        <f t="shared" si="0"/>
        <v>3.6109179126442243</v>
      </c>
      <c r="C38">
        <f t="shared" si="10"/>
        <v>2.7027027027027029E-2</v>
      </c>
      <c r="D38">
        <f t="shared" si="2"/>
        <v>-7.3046018991964939E-4</v>
      </c>
      <c r="E38">
        <f t="shared" si="3"/>
        <v>-2.7027027027027029E-2</v>
      </c>
      <c r="F38">
        <f t="shared" si="4"/>
        <v>7.3046018991964939E-4</v>
      </c>
      <c r="G38">
        <f t="shared" si="5"/>
        <v>-3.9484334590251315E-5</v>
      </c>
      <c r="H38">
        <f t="shared" si="6"/>
        <v>11377.5</v>
      </c>
      <c r="I38">
        <f t="shared" si="7"/>
        <v>215</v>
      </c>
      <c r="J38">
        <f t="shared" si="8"/>
        <v>-5</v>
      </c>
    </row>
    <row r="39" spans="1:10" x14ac:dyDescent="0.25">
      <c r="A39">
        <f t="shared" si="9"/>
        <v>38</v>
      </c>
      <c r="B39">
        <f t="shared" si="0"/>
        <v>3.6375861597263857</v>
      </c>
      <c r="C39">
        <f t="shared" si="10"/>
        <v>2.6315789473684209E-2</v>
      </c>
      <c r="D39">
        <f t="shared" si="2"/>
        <v>-6.925207756232687E-4</v>
      </c>
      <c r="E39">
        <f t="shared" si="3"/>
        <v>-2.6315789473684209E-2</v>
      </c>
      <c r="F39">
        <f t="shared" si="4"/>
        <v>6.925207756232687E-4</v>
      </c>
      <c r="G39">
        <f t="shared" si="5"/>
        <v>-3.6448461874908878E-5</v>
      </c>
      <c r="H39">
        <f t="shared" si="6"/>
        <v>11590</v>
      </c>
      <c r="I39">
        <f t="shared" si="7"/>
        <v>210</v>
      </c>
      <c r="J39">
        <f t="shared" si="8"/>
        <v>-5</v>
      </c>
    </row>
    <row r="40" spans="1:10" x14ac:dyDescent="0.25">
      <c r="A40">
        <f t="shared" si="9"/>
        <v>39</v>
      </c>
      <c r="B40">
        <f t="shared" si="0"/>
        <v>3.6635616461296463</v>
      </c>
      <c r="C40">
        <f t="shared" si="10"/>
        <v>2.564102564102564E-2</v>
      </c>
      <c r="D40">
        <f t="shared" si="2"/>
        <v>-6.5746219592373442E-4</v>
      </c>
      <c r="E40">
        <f t="shared" si="3"/>
        <v>-2.564102564102564E-2</v>
      </c>
      <c r="F40">
        <f t="shared" si="4"/>
        <v>6.5746219592373442E-4</v>
      </c>
      <c r="G40">
        <f t="shared" si="5"/>
        <v>-3.3716010047370996E-5</v>
      </c>
      <c r="H40">
        <f t="shared" si="6"/>
        <v>11797.5</v>
      </c>
      <c r="I40">
        <f t="shared" si="7"/>
        <v>205</v>
      </c>
      <c r="J40">
        <f t="shared" si="8"/>
        <v>-5</v>
      </c>
    </row>
    <row r="41" spans="1:10" x14ac:dyDescent="0.25">
      <c r="A41">
        <f t="shared" si="9"/>
        <v>40</v>
      </c>
      <c r="B41">
        <f t="shared" si="0"/>
        <v>3.6888794541139363</v>
      </c>
      <c r="C41">
        <f t="shared" si="10"/>
        <v>2.5000000000000001E-2</v>
      </c>
      <c r="D41">
        <f t="shared" si="2"/>
        <v>-6.2500000000000001E-4</v>
      </c>
      <c r="E41">
        <f t="shared" si="3"/>
        <v>-2.5000000000000001E-2</v>
      </c>
      <c r="F41">
        <f t="shared" si="4"/>
        <v>6.2500000000000001E-4</v>
      </c>
      <c r="G41">
        <f t="shared" si="5"/>
        <v>-3.1250000000000001E-5</v>
      </c>
      <c r="H41">
        <f t="shared" si="6"/>
        <v>12000</v>
      </c>
      <c r="I41">
        <f t="shared" si="7"/>
        <v>200</v>
      </c>
      <c r="J41">
        <f t="shared" si="8"/>
        <v>-5</v>
      </c>
    </row>
    <row r="42" spans="1:10" x14ac:dyDescent="0.25">
      <c r="A42">
        <f t="shared" si="9"/>
        <v>41</v>
      </c>
      <c r="B42">
        <f t="shared" si="0"/>
        <v>3.713572066704308</v>
      </c>
      <c r="C42">
        <f t="shared" si="10"/>
        <v>2.4390243902439025E-2</v>
      </c>
      <c r="D42">
        <f t="shared" si="2"/>
        <v>-5.9488399762046404E-4</v>
      </c>
      <c r="E42">
        <f t="shared" si="3"/>
        <v>-2.4390243902439025E-2</v>
      </c>
      <c r="F42">
        <f t="shared" si="4"/>
        <v>5.9488399762046404E-4</v>
      </c>
      <c r="G42">
        <f t="shared" si="5"/>
        <v>-2.9018731591242145E-5</v>
      </c>
      <c r="H42">
        <f t="shared" si="6"/>
        <v>12197.5</v>
      </c>
      <c r="I42">
        <f t="shared" si="7"/>
        <v>195</v>
      </c>
      <c r="J42">
        <f t="shared" si="8"/>
        <v>-5</v>
      </c>
    </row>
    <row r="43" spans="1:10" x14ac:dyDescent="0.25">
      <c r="A43">
        <f t="shared" si="9"/>
        <v>42</v>
      </c>
      <c r="B43">
        <f t="shared" si="0"/>
        <v>3.7376696182833684</v>
      </c>
      <c r="C43">
        <f t="shared" si="10"/>
        <v>2.3809523809523808E-2</v>
      </c>
      <c r="D43">
        <f t="shared" si="2"/>
        <v>-5.6689342403628119E-4</v>
      </c>
      <c r="E43">
        <f t="shared" si="3"/>
        <v>-2.3809523809523808E-2</v>
      </c>
      <c r="F43">
        <f t="shared" si="4"/>
        <v>5.6689342403628119E-4</v>
      </c>
      <c r="G43">
        <f t="shared" si="5"/>
        <v>-2.6994924954108629E-5</v>
      </c>
      <c r="H43">
        <f t="shared" si="6"/>
        <v>12390</v>
      </c>
      <c r="I43">
        <f t="shared" si="7"/>
        <v>190</v>
      </c>
      <c r="J43">
        <f t="shared" si="8"/>
        <v>-5</v>
      </c>
    </row>
    <row r="44" spans="1:10" x14ac:dyDescent="0.25">
      <c r="A44">
        <f t="shared" si="9"/>
        <v>43</v>
      </c>
      <c r="B44">
        <f t="shared" si="0"/>
        <v>3.7612001156935624</v>
      </c>
      <c r="C44">
        <f t="shared" si="10"/>
        <v>2.3255813953488372E-2</v>
      </c>
      <c r="D44">
        <f t="shared" si="2"/>
        <v>-5.4083288263926451E-4</v>
      </c>
      <c r="E44">
        <f t="shared" si="3"/>
        <v>-2.3255813953488372E-2</v>
      </c>
      <c r="F44">
        <f t="shared" si="4"/>
        <v>5.4083288263926451E-4</v>
      </c>
      <c r="G44">
        <f t="shared" si="5"/>
        <v>-2.5155017797175093E-5</v>
      </c>
      <c r="H44">
        <f t="shared" si="6"/>
        <v>12577.5</v>
      </c>
      <c r="I44">
        <f t="shared" si="7"/>
        <v>185</v>
      </c>
      <c r="J44">
        <f t="shared" si="8"/>
        <v>-5</v>
      </c>
    </row>
    <row r="45" spans="1:10" x14ac:dyDescent="0.25">
      <c r="A45">
        <f t="shared" si="9"/>
        <v>44</v>
      </c>
      <c r="B45">
        <f t="shared" si="0"/>
        <v>3.784189633918261</v>
      </c>
      <c r="C45">
        <f t="shared" si="10"/>
        <v>2.2727272727272728E-2</v>
      </c>
      <c r="D45">
        <f t="shared" si="2"/>
        <v>-5.1652892561983473E-4</v>
      </c>
      <c r="E45">
        <f t="shared" si="3"/>
        <v>-2.2727272727272728E-2</v>
      </c>
      <c r="F45">
        <f t="shared" si="4"/>
        <v>5.1652892561983473E-4</v>
      </c>
      <c r="G45">
        <f t="shared" si="5"/>
        <v>-2.3478587528174306E-5</v>
      </c>
      <c r="H45">
        <f t="shared" si="6"/>
        <v>12760</v>
      </c>
      <c r="I45">
        <f t="shared" si="7"/>
        <v>180</v>
      </c>
      <c r="J45">
        <f t="shared" si="8"/>
        <v>-5</v>
      </c>
    </row>
    <row r="46" spans="1:10" x14ac:dyDescent="0.25">
      <c r="A46">
        <f t="shared" si="9"/>
        <v>45</v>
      </c>
      <c r="B46">
        <f t="shared" si="0"/>
        <v>3.8066624897703196</v>
      </c>
      <c r="C46">
        <f t="shared" si="10"/>
        <v>2.2222222222222223E-2</v>
      </c>
      <c r="D46">
        <f t="shared" si="2"/>
        <v>-4.9382716049382717E-4</v>
      </c>
      <c r="E46">
        <f t="shared" si="3"/>
        <v>-2.2222222222222223E-2</v>
      </c>
      <c r="F46">
        <f t="shared" si="4"/>
        <v>4.9382716049382717E-4</v>
      </c>
      <c r="G46">
        <f t="shared" si="5"/>
        <v>-2.1947873799725652E-5</v>
      </c>
      <c r="H46">
        <f t="shared" si="6"/>
        <v>12937.5</v>
      </c>
      <c r="I46">
        <f t="shared" si="7"/>
        <v>175</v>
      </c>
      <c r="J46">
        <f t="shared" si="8"/>
        <v>-5</v>
      </c>
    </row>
    <row r="47" spans="1:10" x14ac:dyDescent="0.25">
      <c r="A47">
        <f t="shared" si="9"/>
        <v>46</v>
      </c>
      <c r="B47">
        <f t="shared" si="0"/>
        <v>3.8286413964890951</v>
      </c>
      <c r="C47">
        <f t="shared" si="10"/>
        <v>2.1739130434782608E-2</v>
      </c>
      <c r="D47">
        <f t="shared" si="2"/>
        <v>-4.7258979206049151E-4</v>
      </c>
      <c r="E47">
        <f t="shared" si="3"/>
        <v>-2.1739130434782608E-2</v>
      </c>
      <c r="F47">
        <f t="shared" si="4"/>
        <v>4.7258979206049151E-4</v>
      </c>
      <c r="G47">
        <f t="shared" si="5"/>
        <v>-2.0547382263499631E-5</v>
      </c>
      <c r="H47">
        <f t="shared" si="6"/>
        <v>13110</v>
      </c>
      <c r="I47">
        <f t="shared" si="7"/>
        <v>170</v>
      </c>
      <c r="J47">
        <f t="shared" si="8"/>
        <v>-5</v>
      </c>
    </row>
    <row r="48" spans="1:10" x14ac:dyDescent="0.25">
      <c r="A48">
        <f t="shared" si="9"/>
        <v>47</v>
      </c>
      <c r="B48">
        <f t="shared" si="0"/>
        <v>3.8501476017100584</v>
      </c>
      <c r="C48">
        <f t="shared" si="10"/>
        <v>2.1276595744680851E-2</v>
      </c>
      <c r="D48">
        <f t="shared" si="2"/>
        <v>-4.526935264825713E-4</v>
      </c>
      <c r="E48">
        <f t="shared" si="3"/>
        <v>-2.1276595744680851E-2</v>
      </c>
      <c r="F48">
        <f t="shared" si="4"/>
        <v>4.526935264825713E-4</v>
      </c>
      <c r="G48">
        <f t="shared" si="5"/>
        <v>-1.9263554318407288E-5</v>
      </c>
      <c r="H48">
        <f t="shared" si="6"/>
        <v>13277.5</v>
      </c>
      <c r="I48">
        <f t="shared" si="7"/>
        <v>165</v>
      </c>
      <c r="J48">
        <f t="shared" si="8"/>
        <v>-5</v>
      </c>
    </row>
    <row r="49" spans="1:10" x14ac:dyDescent="0.25">
      <c r="A49">
        <f t="shared" si="9"/>
        <v>48</v>
      </c>
      <c r="B49">
        <f t="shared" si="0"/>
        <v>3.8712010109078911</v>
      </c>
      <c r="C49">
        <f t="shared" si="10"/>
        <v>2.0833333333333332E-2</v>
      </c>
      <c r="D49">
        <f t="shared" si="2"/>
        <v>-4.3402777777777775E-4</v>
      </c>
      <c r="E49">
        <f t="shared" si="3"/>
        <v>-2.0833333333333332E-2</v>
      </c>
      <c r="F49">
        <f t="shared" si="4"/>
        <v>4.3402777777777775E-4</v>
      </c>
      <c r="G49">
        <f t="shared" si="5"/>
        <v>-1.808449074074074E-5</v>
      </c>
      <c r="H49">
        <f t="shared" si="6"/>
        <v>13440</v>
      </c>
      <c r="I49">
        <f t="shared" si="7"/>
        <v>160</v>
      </c>
      <c r="J49">
        <f t="shared" si="8"/>
        <v>-5</v>
      </c>
    </row>
    <row r="50" spans="1:10" x14ac:dyDescent="0.25">
      <c r="A50">
        <f t="shared" si="9"/>
        <v>49</v>
      </c>
      <c r="B50">
        <f t="shared" si="0"/>
        <v>3.8918202981106265</v>
      </c>
      <c r="C50">
        <f t="shared" si="10"/>
        <v>2.0408163265306121E-2</v>
      </c>
      <c r="D50">
        <f t="shared" si="2"/>
        <v>-4.1649312786339027E-4</v>
      </c>
      <c r="E50">
        <f t="shared" si="3"/>
        <v>-2.0408163265306121E-2</v>
      </c>
      <c r="F50">
        <f t="shared" si="4"/>
        <v>4.1649312786339027E-4</v>
      </c>
      <c r="G50">
        <f t="shared" si="5"/>
        <v>-1.6999719504628174E-5</v>
      </c>
      <c r="H50">
        <f t="shared" si="6"/>
        <v>13597.5</v>
      </c>
      <c r="I50">
        <f t="shared" si="7"/>
        <v>155</v>
      </c>
      <c r="J50">
        <f t="shared" si="8"/>
        <v>-5</v>
      </c>
    </row>
    <row r="51" spans="1:10" x14ac:dyDescent="0.25">
      <c r="A51">
        <f t="shared" si="9"/>
        <v>50</v>
      </c>
      <c r="B51">
        <f t="shared" si="0"/>
        <v>3.912023005428146</v>
      </c>
      <c r="C51">
        <f t="shared" si="10"/>
        <v>0.02</v>
      </c>
      <c r="D51">
        <f t="shared" si="2"/>
        <v>-4.0000000000000002E-4</v>
      </c>
      <c r="E51">
        <f t="shared" si="3"/>
        <v>-0.02</v>
      </c>
      <c r="F51">
        <f t="shared" si="4"/>
        <v>4.0000000000000002E-4</v>
      </c>
      <c r="G51">
        <f t="shared" si="5"/>
        <v>-1.5999999999999999E-5</v>
      </c>
      <c r="H51">
        <f t="shared" si="6"/>
        <v>13750</v>
      </c>
      <c r="I51">
        <f t="shared" si="7"/>
        <v>150</v>
      </c>
      <c r="J51">
        <f t="shared" si="8"/>
        <v>-5</v>
      </c>
    </row>
    <row r="52" spans="1:10" x14ac:dyDescent="0.25">
      <c r="A52">
        <f t="shared" si="9"/>
        <v>51</v>
      </c>
      <c r="B52">
        <f t="shared" si="0"/>
        <v>3.9318256327243257</v>
      </c>
      <c r="C52">
        <f t="shared" si="10"/>
        <v>1.9607843137254902E-2</v>
      </c>
      <c r="D52">
        <f t="shared" si="2"/>
        <v>-3.8446751249519417E-4</v>
      </c>
      <c r="E52">
        <f t="shared" si="3"/>
        <v>-1.9607843137254902E-2</v>
      </c>
      <c r="F52">
        <f t="shared" si="4"/>
        <v>3.8446751249519417E-4</v>
      </c>
      <c r="G52">
        <f t="shared" si="5"/>
        <v>-1.5077157352752711E-5</v>
      </c>
      <c r="H52">
        <f t="shared" si="6"/>
        <v>13897.5</v>
      </c>
      <c r="I52">
        <f t="shared" si="7"/>
        <v>145</v>
      </c>
      <c r="J52">
        <f t="shared" si="8"/>
        <v>-5</v>
      </c>
    </row>
    <row r="53" spans="1:10" x14ac:dyDescent="0.25">
      <c r="A53">
        <f t="shared" si="9"/>
        <v>52</v>
      </c>
      <c r="B53">
        <f t="shared" si="0"/>
        <v>3.9512437185814275</v>
      </c>
      <c r="C53">
        <f t="shared" si="10"/>
        <v>1.9230769230769232E-2</v>
      </c>
      <c r="D53">
        <f t="shared" si="2"/>
        <v>-3.6982248520710058E-4</v>
      </c>
      <c r="E53">
        <f t="shared" si="3"/>
        <v>-1.9230769230769232E-2</v>
      </c>
      <c r="F53">
        <f t="shared" si="4"/>
        <v>3.6982248520710058E-4</v>
      </c>
      <c r="G53">
        <f t="shared" si="5"/>
        <v>-1.4223941738734638E-5</v>
      </c>
      <c r="H53">
        <f t="shared" si="6"/>
        <v>14040</v>
      </c>
      <c r="I53">
        <f t="shared" si="7"/>
        <v>140</v>
      </c>
      <c r="J53">
        <f t="shared" si="8"/>
        <v>-5</v>
      </c>
    </row>
    <row r="54" spans="1:10" x14ac:dyDescent="0.25">
      <c r="A54">
        <f t="shared" si="9"/>
        <v>53</v>
      </c>
      <c r="B54">
        <f t="shared" si="0"/>
        <v>3.970291913552122</v>
      </c>
      <c r="C54">
        <f t="shared" si="10"/>
        <v>1.8867924528301886E-2</v>
      </c>
      <c r="D54">
        <f t="shared" si="2"/>
        <v>-3.55998576005696E-4</v>
      </c>
      <c r="E54">
        <f t="shared" si="3"/>
        <v>-1.8867924528301886E-2</v>
      </c>
      <c r="F54">
        <f t="shared" si="4"/>
        <v>3.55998576005696E-4</v>
      </c>
      <c r="G54">
        <f t="shared" si="5"/>
        <v>-1.343390852851683E-5</v>
      </c>
      <c r="H54">
        <f t="shared" si="6"/>
        <v>14177.5</v>
      </c>
      <c r="I54">
        <f t="shared" si="7"/>
        <v>135</v>
      </c>
      <c r="J54">
        <f t="shared" si="8"/>
        <v>-5</v>
      </c>
    </row>
    <row r="55" spans="1:10" x14ac:dyDescent="0.25">
      <c r="A55">
        <f t="shared" si="9"/>
        <v>54</v>
      </c>
      <c r="B55">
        <f t="shared" si="0"/>
        <v>3.9889840465642745</v>
      </c>
      <c r="C55">
        <f t="shared" si="10"/>
        <v>1.8518518518518517E-2</v>
      </c>
      <c r="D55">
        <f t="shared" si="2"/>
        <v>-3.4293552812071328E-4</v>
      </c>
      <c r="E55">
        <f t="shared" si="3"/>
        <v>-1.8518518518518517E-2</v>
      </c>
      <c r="F55">
        <f t="shared" si="4"/>
        <v>3.4293552812071328E-4</v>
      </c>
      <c r="G55">
        <f t="shared" si="5"/>
        <v>-1.2701315856322714E-5</v>
      </c>
      <c r="H55">
        <f t="shared" si="6"/>
        <v>14310</v>
      </c>
      <c r="I55">
        <f t="shared" si="7"/>
        <v>130</v>
      </c>
      <c r="J55">
        <f t="shared" si="8"/>
        <v>-5</v>
      </c>
    </row>
    <row r="56" spans="1:10" x14ac:dyDescent="0.25">
      <c r="A56">
        <f t="shared" si="9"/>
        <v>55</v>
      </c>
      <c r="B56">
        <f t="shared" si="0"/>
        <v>4.0073331852324712</v>
      </c>
      <c r="C56">
        <f t="shared" si="10"/>
        <v>1.8181818181818181E-2</v>
      </c>
      <c r="D56">
        <f t="shared" si="2"/>
        <v>-3.3057851239669424E-4</v>
      </c>
      <c r="E56">
        <f t="shared" si="3"/>
        <v>-1.8181818181818181E-2</v>
      </c>
      <c r="F56">
        <f t="shared" si="4"/>
        <v>3.3057851239669424E-4</v>
      </c>
      <c r="G56">
        <f t="shared" si="5"/>
        <v>-1.2021036814425244E-5</v>
      </c>
      <c r="H56">
        <f t="shared" si="6"/>
        <v>14437.5</v>
      </c>
      <c r="I56">
        <f t="shared" si="7"/>
        <v>125</v>
      </c>
      <c r="J56">
        <f t="shared" si="8"/>
        <v>-5</v>
      </c>
    </row>
    <row r="57" spans="1:10" x14ac:dyDescent="0.25">
      <c r="A57">
        <f t="shared" si="9"/>
        <v>56</v>
      </c>
      <c r="B57">
        <f t="shared" si="0"/>
        <v>4.0253516907351496</v>
      </c>
      <c r="C57">
        <f t="shared" si="10"/>
        <v>1.7857142857142856E-2</v>
      </c>
      <c r="D57">
        <f t="shared" si="2"/>
        <v>-3.1887755102040814E-4</v>
      </c>
      <c r="E57">
        <f t="shared" si="3"/>
        <v>-1.7857142857142856E-2</v>
      </c>
      <c r="F57">
        <f t="shared" si="4"/>
        <v>3.1887755102040814E-4</v>
      </c>
      <c r="G57">
        <f t="shared" si="5"/>
        <v>-1.1388483965014577E-5</v>
      </c>
      <c r="H57">
        <f t="shared" si="6"/>
        <v>14560</v>
      </c>
      <c r="I57">
        <f t="shared" si="7"/>
        <v>120</v>
      </c>
      <c r="J57">
        <f t="shared" si="8"/>
        <v>-5</v>
      </c>
    </row>
  </sheetData>
  <mergeCells count="5">
    <mergeCell ref="O13:P13"/>
    <mergeCell ref="O7:P7"/>
    <mergeCell ref="B3:D3"/>
    <mergeCell ref="E3:G3"/>
    <mergeCell ref="H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1758-16E6-4BAF-95CF-702AD9192150}">
  <dimension ref="C1:S29"/>
  <sheetViews>
    <sheetView showGridLines="0" zoomScale="110" zoomScaleNormal="11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3" max="3" width="23.28515625" bestFit="1" customWidth="1"/>
    <col min="4" max="4" width="11.28515625" bestFit="1" customWidth="1"/>
    <col min="5" max="5" width="16.140625" bestFit="1" customWidth="1"/>
    <col min="6" max="6" width="12.42578125" customWidth="1"/>
    <col min="7" max="7" width="21.140625" bestFit="1" customWidth="1"/>
    <col min="8" max="8" width="20.7109375" bestFit="1" customWidth="1"/>
    <col min="9" max="9" width="28.28515625" bestFit="1" customWidth="1"/>
    <col min="10" max="10" width="10.28515625" bestFit="1" customWidth="1"/>
    <col min="11" max="11" width="15.140625" bestFit="1" customWidth="1"/>
    <col min="12" max="12" width="12.28515625" bestFit="1" customWidth="1"/>
    <col min="13" max="13" width="21.140625" bestFit="1" customWidth="1"/>
    <col min="14" max="14" width="8.7109375" bestFit="1" customWidth="1"/>
    <col min="15" max="15" width="13.140625" bestFit="1" customWidth="1"/>
    <col min="16" max="16" width="4.28515625" customWidth="1"/>
    <col min="17" max="17" width="10.42578125" bestFit="1" customWidth="1"/>
    <col min="18" max="18" width="8.7109375" bestFit="1" customWidth="1"/>
    <col min="19" max="19" width="10.5703125" bestFit="1" customWidth="1"/>
    <col min="20" max="20" width="4.5703125" customWidth="1"/>
  </cols>
  <sheetData>
    <row r="1" spans="3:19" x14ac:dyDescent="0.25">
      <c r="C1" t="s">
        <v>30</v>
      </c>
      <c r="D1" t="s">
        <v>1</v>
      </c>
      <c r="E1" t="s">
        <v>33</v>
      </c>
      <c r="F1" t="s">
        <v>34</v>
      </c>
      <c r="I1" t="s">
        <v>31</v>
      </c>
      <c r="J1">
        <f>M1*M2</f>
        <v>20000</v>
      </c>
      <c r="L1" t="s">
        <v>60</v>
      </c>
      <c r="M1">
        <v>20000</v>
      </c>
    </row>
    <row r="2" spans="3:19" x14ac:dyDescent="0.25">
      <c r="C2">
        <v>0.5</v>
      </c>
      <c r="D2">
        <f>$J$1+E2</f>
        <v>21000</v>
      </c>
      <c r="E2">
        <f>M4*M3</f>
        <v>1000</v>
      </c>
      <c r="F2">
        <f>(E2-$J$3)^2</f>
        <v>1000000</v>
      </c>
      <c r="G2" s="2"/>
      <c r="I2" t="s">
        <v>32</v>
      </c>
      <c r="J2">
        <f>C2*D2+C3*D3</f>
        <v>20000</v>
      </c>
      <c r="L2" t="s">
        <v>58</v>
      </c>
      <c r="M2">
        <v>1</v>
      </c>
    </row>
    <row r="3" spans="3:19" x14ac:dyDescent="0.25">
      <c r="C3">
        <v>0.5</v>
      </c>
      <c r="D3">
        <f>$J$1+E3</f>
        <v>19000</v>
      </c>
      <c r="E3">
        <f>-M4*M3</f>
        <v>-1000</v>
      </c>
      <c r="F3">
        <f>(E3-$J$3)^2</f>
        <v>1000000</v>
      </c>
      <c r="G3" s="2"/>
      <c r="I3" t="s">
        <v>35</v>
      </c>
      <c r="J3">
        <f>C2*E2+C3*E3</f>
        <v>0</v>
      </c>
      <c r="L3" t="s">
        <v>57</v>
      </c>
      <c r="M3">
        <v>1</v>
      </c>
    </row>
    <row r="4" spans="3:19" x14ac:dyDescent="0.25">
      <c r="G4" s="2"/>
      <c r="I4" t="s">
        <v>36</v>
      </c>
      <c r="J4">
        <f>C2*F2+C3*F3</f>
        <v>1000000</v>
      </c>
      <c r="L4" t="s">
        <v>61</v>
      </c>
      <c r="M4">
        <v>1000</v>
      </c>
    </row>
    <row r="5" spans="3:19" x14ac:dyDescent="0.25">
      <c r="I5" t="s">
        <v>37</v>
      </c>
      <c r="J5">
        <f>POWER(J4,1/2)</f>
        <v>1000</v>
      </c>
    </row>
    <row r="6" spans="3:19" x14ac:dyDescent="0.25">
      <c r="G6" s="2"/>
    </row>
    <row r="7" spans="3:19" ht="34.5" x14ac:dyDescent="0.25">
      <c r="C7" s="61" t="s">
        <v>19</v>
      </c>
      <c r="D7" s="76" t="s">
        <v>20</v>
      </c>
      <c r="E7" s="77"/>
      <c r="F7" s="78"/>
      <c r="G7" s="76" t="s">
        <v>15</v>
      </c>
      <c r="H7" s="77"/>
      <c r="I7" s="78"/>
      <c r="J7" s="76" t="s">
        <v>16</v>
      </c>
      <c r="K7" s="77"/>
      <c r="L7" s="78"/>
      <c r="M7" s="33" t="s">
        <v>46</v>
      </c>
    </row>
    <row r="8" spans="3:19" x14ac:dyDescent="0.25">
      <c r="C8" s="62" t="s">
        <v>1</v>
      </c>
      <c r="D8" s="6" t="s">
        <v>17</v>
      </c>
      <c r="E8" s="7" t="s">
        <v>18</v>
      </c>
      <c r="F8" s="8" t="s">
        <v>21</v>
      </c>
      <c r="G8" s="6" t="s">
        <v>2</v>
      </c>
      <c r="H8" s="7" t="s">
        <v>3</v>
      </c>
      <c r="I8" s="8" t="s">
        <v>22</v>
      </c>
      <c r="J8" s="6" t="s">
        <v>2</v>
      </c>
      <c r="K8" s="7" t="s">
        <v>3</v>
      </c>
      <c r="L8" s="8" t="s">
        <v>22</v>
      </c>
      <c r="M8" s="16"/>
    </row>
    <row r="9" spans="3:19" x14ac:dyDescent="0.25">
      <c r="C9" s="16">
        <f>D2</f>
        <v>21000</v>
      </c>
      <c r="D9" s="35">
        <f>LN(C9)</f>
        <v>9.9522777167055594</v>
      </c>
      <c r="E9" s="36">
        <f>1/C9</f>
        <v>4.761904761904762E-5</v>
      </c>
      <c r="F9" s="37">
        <f>-1*(1/POWER(C9,2))</f>
        <v>-2.2675736961451247E-9</v>
      </c>
      <c r="G9" s="70">
        <f>POWER(C9,1-$D$14)/(1-$D$14)</f>
        <v>-4.761904761904762E-5</v>
      </c>
      <c r="H9" s="71">
        <f>POWER(C9,-$D$14)</f>
        <v>2.2675736961451247E-9</v>
      </c>
      <c r="I9" s="66">
        <f>-$D$14*POWER(C9,-$D$14-1)</f>
        <v>-2.1595939963286901E-13</v>
      </c>
      <c r="J9" s="34">
        <f>($K$13*C9)-($K$14*(C9*C9))</f>
        <v>1671180000</v>
      </c>
      <c r="K9" s="27">
        <f>$K$13-(2*$K$14*C9)</f>
        <v>79160</v>
      </c>
      <c r="L9" s="28">
        <f>-2*$K$14</f>
        <v>-0.04</v>
      </c>
      <c r="M9" s="31" t="str">
        <f>IF(C9&lt;($K$13/(2*$K$14)),"sim","não")</f>
        <v>sim</v>
      </c>
    </row>
    <row r="10" spans="3:19" x14ac:dyDescent="0.25">
      <c r="C10" s="16">
        <f>D3</f>
        <v>19000</v>
      </c>
      <c r="D10" s="38">
        <f>LN(C10)</f>
        <v>9.8521942581485771</v>
      </c>
      <c r="E10" s="39">
        <f>1/C10</f>
        <v>5.2631578947368424E-5</v>
      </c>
      <c r="F10" s="40">
        <f>-1*(1/POWER(C10,2))</f>
        <v>-2.770083102493075E-9</v>
      </c>
      <c r="G10" s="29">
        <f>POWER(C10,1-$D$14)/(1-$D$14)</f>
        <v>-5.2631578947368424E-5</v>
      </c>
      <c r="H10" s="30">
        <f>POWER(C10,-$D$14)</f>
        <v>2.770083102493075E-9</v>
      </c>
      <c r="I10" s="25">
        <f>-$D$14*POWER(C10,-$D$14-1)</f>
        <v>-2.9158769499927103E-13</v>
      </c>
      <c r="J10" s="29">
        <f>($K$13*C10)-($K$14*(C10*C10))</f>
        <v>1512780000</v>
      </c>
      <c r="K10" s="30">
        <f>$K$13-(2*K14*C10)</f>
        <v>79240</v>
      </c>
      <c r="L10" s="25">
        <f>-2*$K$14</f>
        <v>-0.04</v>
      </c>
      <c r="M10" s="32" t="str">
        <f>IF(C10&lt;($K$13/(2*$K$14)),"sim","não")</f>
        <v>sim</v>
      </c>
    </row>
    <row r="11" spans="3:19" x14ac:dyDescent="0.25">
      <c r="C11" s="17">
        <f>J1</f>
        <v>20000</v>
      </c>
      <c r="D11" s="38">
        <f>LN(C11)</f>
        <v>9.9034875525361272</v>
      </c>
      <c r="E11" s="39">
        <f>1/C11</f>
        <v>5.0000000000000002E-5</v>
      </c>
      <c r="F11" s="40">
        <f>-1*(1/POWER(C11,2))</f>
        <v>-2.5000000000000001E-9</v>
      </c>
      <c r="G11" s="47">
        <f>POWER(C11,1-$D$14)/(1-$D$14)</f>
        <v>-5.0000000000000002E-5</v>
      </c>
      <c r="H11" s="72">
        <f>POWER(C11,-$D$14)</f>
        <v>2.5000000000000001E-9</v>
      </c>
      <c r="I11" s="44">
        <f>-$D$14*POWER(C11,-$D$14-1)</f>
        <v>-2.4999999999999999E-13</v>
      </c>
      <c r="J11" s="29">
        <f>($K$13*C11)-($K$14*(C11*C11))</f>
        <v>1592000000</v>
      </c>
      <c r="K11" s="30">
        <f>$K$13-(2*K14*C11)</f>
        <v>79200</v>
      </c>
      <c r="L11" s="25">
        <f>-2*$K$14</f>
        <v>-0.04</v>
      </c>
      <c r="M11" s="7"/>
    </row>
    <row r="12" spans="3:19" x14ac:dyDescent="0.25">
      <c r="G12" t="s">
        <v>41</v>
      </c>
      <c r="J12" s="63" t="s">
        <v>39</v>
      </c>
      <c r="K12" s="64"/>
      <c r="L12" s="65"/>
    </row>
    <row r="13" spans="3:19" x14ac:dyDescent="0.25">
      <c r="C13" t="s">
        <v>49</v>
      </c>
      <c r="D13">
        <v>1</v>
      </c>
      <c r="J13" s="6" t="s">
        <v>23</v>
      </c>
      <c r="K13" s="7">
        <v>80000</v>
      </c>
      <c r="L13" s="8"/>
    </row>
    <row r="14" spans="3:19" x14ac:dyDescent="0.25">
      <c r="C14" t="s">
        <v>28</v>
      </c>
      <c r="D14">
        <v>2</v>
      </c>
      <c r="J14" s="9" t="s">
        <v>24</v>
      </c>
      <c r="K14" s="10">
        <v>0.02</v>
      </c>
      <c r="L14" s="11"/>
    </row>
    <row r="16" spans="3:19" x14ac:dyDescent="0.25">
      <c r="M16" s="80" t="s">
        <v>59</v>
      </c>
      <c r="N16" s="80"/>
      <c r="O16" s="80"/>
      <c r="Q16" s="75" t="s">
        <v>56</v>
      </c>
      <c r="R16" s="75"/>
      <c r="S16" s="75"/>
    </row>
    <row r="17" spans="3:19" x14ac:dyDescent="0.25">
      <c r="I17" s="79" t="s">
        <v>13</v>
      </c>
      <c r="J17" s="79"/>
      <c r="K17" s="79"/>
      <c r="M17" s="79" t="s">
        <v>13</v>
      </c>
      <c r="N17" s="79"/>
      <c r="O17" s="79"/>
      <c r="Q17" s="79" t="s">
        <v>13</v>
      </c>
      <c r="R17" s="79"/>
      <c r="S17" s="79"/>
    </row>
    <row r="18" spans="3:19" x14ac:dyDescent="0.25">
      <c r="D18" s="3" t="s">
        <v>14</v>
      </c>
      <c r="E18" s="4" t="s">
        <v>15</v>
      </c>
      <c r="F18" s="5" t="s">
        <v>16</v>
      </c>
      <c r="I18" s="3" t="s">
        <v>14</v>
      </c>
      <c r="J18" s="49" t="s">
        <v>15</v>
      </c>
      <c r="K18" s="5" t="s">
        <v>16</v>
      </c>
      <c r="L18" s="59"/>
      <c r="M18" s="22" t="s">
        <v>14</v>
      </c>
      <c r="N18" s="49" t="s">
        <v>15</v>
      </c>
      <c r="O18" s="23" t="s">
        <v>16</v>
      </c>
      <c r="P18" s="59"/>
      <c r="Q18" s="22" t="s">
        <v>14</v>
      </c>
      <c r="R18" s="49" t="s">
        <v>15</v>
      </c>
      <c r="S18" s="23" t="s">
        <v>16</v>
      </c>
    </row>
    <row r="19" spans="3:19" x14ac:dyDescent="0.25">
      <c r="C19" t="s">
        <v>38</v>
      </c>
      <c r="D19" s="12">
        <f>C2*D9+C3*D10</f>
        <v>9.9022359874270691</v>
      </c>
      <c r="E19" s="69">
        <f>C2*G9+C3*G10</f>
        <v>-5.0125313283208022E-5</v>
      </c>
      <c r="F19" s="13">
        <f>C2*J9+C3*J10</f>
        <v>1591980000</v>
      </c>
      <c r="H19" s="52" t="s">
        <v>47</v>
      </c>
      <c r="I19" s="56">
        <f>$J$2-D20</f>
        <v>25.015644561815861</v>
      </c>
      <c r="J19" s="57">
        <f>$J$2-E20</f>
        <v>50</v>
      </c>
      <c r="K19" s="58">
        <f>$J$2-F20</f>
        <v>0.25252523628296331</v>
      </c>
      <c r="L19" s="60"/>
      <c r="M19" s="53">
        <v>1564.0288664344698</v>
      </c>
      <c r="N19" s="54">
        <v>3125</v>
      </c>
      <c r="O19" s="55">
        <v>1041.2149464313406</v>
      </c>
      <c r="P19" s="60"/>
      <c r="Q19" s="53">
        <f>(I19/M19)*100</f>
        <v>1.5994362443478582</v>
      </c>
      <c r="R19" s="54">
        <f t="shared" ref="R19:R20" si="0">(J19/N19)*100</f>
        <v>1.6</v>
      </c>
      <c r="S19" s="55">
        <f t="shared" ref="S19:S20" si="1">(K19/O19)*100</f>
        <v>2.4252940005180305E-2</v>
      </c>
    </row>
    <row r="20" spans="3:19" x14ac:dyDescent="0.25">
      <c r="C20" t="s">
        <v>40</v>
      </c>
      <c r="D20" s="68">
        <f>EXP(D19)</f>
        <v>19974.984355438184</v>
      </c>
      <c r="E20" s="15">
        <f>POWER(((1-$D$14)*E19),1/(1-$D$14))</f>
        <v>19950</v>
      </c>
      <c r="F20" s="14">
        <f>D22</f>
        <v>19999.747474763717</v>
      </c>
      <c r="H20" t="s">
        <v>48</v>
      </c>
      <c r="I20" s="24">
        <f>-(1/2)*J4*(F11/E11)</f>
        <v>24.999999999999996</v>
      </c>
      <c r="J20" s="67">
        <f>-1/2*J4*(I11/H11)</f>
        <v>49.999999999999993</v>
      </c>
      <c r="K20" s="44">
        <f>-(1/2)*J4*(L11/K11)</f>
        <v>0.25252525252525254</v>
      </c>
      <c r="L20" s="60"/>
      <c r="M20" s="47">
        <v>1562.4999999999998</v>
      </c>
      <c r="N20" s="51">
        <v>3125.0000000000005</v>
      </c>
      <c r="O20" s="48">
        <v>1041.6666666666667</v>
      </c>
      <c r="P20" s="60"/>
      <c r="Q20" s="47">
        <f t="shared" ref="Q20" si="2">(I20/M20)*100</f>
        <v>1.6</v>
      </c>
      <c r="R20" s="51">
        <f t="shared" si="0"/>
        <v>1.5999999999999996</v>
      </c>
      <c r="S20" s="48">
        <f t="shared" si="1"/>
        <v>2.4242424242424242E-2</v>
      </c>
    </row>
    <row r="21" spans="3:19" x14ac:dyDescent="0.25">
      <c r="H21" s="52" t="s">
        <v>50</v>
      </c>
      <c r="I21" s="56">
        <f>(I19/$M$1)*100</f>
        <v>0.12507822280907929</v>
      </c>
      <c r="J21" s="57">
        <f t="shared" ref="J21:K21" si="3">(J19/$M$1)*100</f>
        <v>0.25</v>
      </c>
      <c r="K21" s="58">
        <f t="shared" si="3"/>
        <v>1.2626261814148165E-3</v>
      </c>
      <c r="M21" s="56">
        <v>0.19550360830430874</v>
      </c>
      <c r="N21" s="57">
        <v>0.390625</v>
      </c>
      <c r="O21" s="58">
        <v>0.13015186830391759</v>
      </c>
    </row>
    <row r="22" spans="3:19" x14ac:dyDescent="0.25">
      <c r="C22" s="18" t="s">
        <v>44</v>
      </c>
      <c r="D22" s="19">
        <f>(-K13+D25)/(-2*K14)</f>
        <v>19999.747474763717</v>
      </c>
      <c r="H22" t="s">
        <v>51</v>
      </c>
      <c r="I22" s="24">
        <f t="shared" ref="I22:K22" si="4">(I20/$M$1)*100</f>
        <v>0.12499999999999999</v>
      </c>
      <c r="J22" s="67">
        <f t="shared" si="4"/>
        <v>0.24999999999999997</v>
      </c>
      <c r="K22" s="44">
        <f t="shared" si="4"/>
        <v>1.2626262626262625E-3</v>
      </c>
      <c r="M22" s="24">
        <v>0.19531249999999997</v>
      </c>
      <c r="N22" s="67">
        <v>0.39062500000000011</v>
      </c>
      <c r="O22" s="44">
        <v>0.13020833333333334</v>
      </c>
    </row>
    <row r="23" spans="3:19" x14ac:dyDescent="0.25">
      <c r="C23" s="20" t="s">
        <v>45</v>
      </c>
      <c r="D23" s="21">
        <f>(-K13-D25)/(-2*K14)</f>
        <v>3980000.252525236</v>
      </c>
      <c r="H23" s="52" t="s">
        <v>53</v>
      </c>
      <c r="I23" s="56">
        <f>(I19/(-$E$3))*100</f>
        <v>2.501564456181586</v>
      </c>
      <c r="J23" s="57">
        <f t="shared" ref="J23:K24" si="5">(J19/(-$E$3))*100</f>
        <v>5</v>
      </c>
      <c r="K23" s="58">
        <f t="shared" si="5"/>
        <v>2.5252523628296334E-2</v>
      </c>
      <c r="M23" s="56">
        <v>3.1280577328689398</v>
      </c>
      <c r="N23" s="57">
        <v>6.25</v>
      </c>
      <c r="O23" s="58">
        <v>2.0824298928626814</v>
      </c>
    </row>
    <row r="24" spans="3:19" x14ac:dyDescent="0.25">
      <c r="C24" t="s">
        <v>42</v>
      </c>
      <c r="D24">
        <f>K13*K13-(4*K14*F19)</f>
        <v>6272641600</v>
      </c>
      <c r="H24" t="s">
        <v>54</v>
      </c>
      <c r="I24" s="24">
        <f>(I20/(-$E$3))*100</f>
        <v>2.5</v>
      </c>
      <c r="J24" s="67">
        <f t="shared" si="5"/>
        <v>5</v>
      </c>
      <c r="K24" s="44">
        <f t="shared" si="5"/>
        <v>2.5252525252525252E-2</v>
      </c>
      <c r="M24" s="24">
        <v>3.1249999999999996</v>
      </c>
      <c r="N24" s="67">
        <v>6.2500000000000018</v>
      </c>
      <c r="O24" s="44">
        <v>2.0833333333333335</v>
      </c>
    </row>
    <row r="25" spans="3:19" x14ac:dyDescent="0.25">
      <c r="C25" t="s">
        <v>43</v>
      </c>
      <c r="D25">
        <f>POWER(D24,1/2)</f>
        <v>79200.010101009451</v>
      </c>
      <c r="Q25" s="75" t="s">
        <v>55</v>
      </c>
      <c r="R25" s="75"/>
      <c r="S25" s="75"/>
    </row>
    <row r="26" spans="3:19" x14ac:dyDescent="0.25">
      <c r="I26" s="79" t="s">
        <v>25</v>
      </c>
      <c r="J26" s="79"/>
      <c r="K26" s="79"/>
      <c r="M26" s="79" t="s">
        <v>52</v>
      </c>
      <c r="N26" s="79"/>
      <c r="O26" s="79"/>
      <c r="Q26" s="79" t="s">
        <v>25</v>
      </c>
      <c r="R26" s="79"/>
      <c r="S26" s="79"/>
    </row>
    <row r="27" spans="3:19" x14ac:dyDescent="0.25">
      <c r="I27" s="41" t="s">
        <v>14</v>
      </c>
      <c r="J27" s="49" t="s">
        <v>15</v>
      </c>
      <c r="K27" s="42" t="s">
        <v>16</v>
      </c>
      <c r="M27" s="41" t="s">
        <v>14</v>
      </c>
      <c r="N27" s="49" t="s">
        <v>15</v>
      </c>
      <c r="O27" s="42" t="s">
        <v>16</v>
      </c>
      <c r="Q27" s="22" t="s">
        <v>14</v>
      </c>
      <c r="R27" s="49" t="s">
        <v>15</v>
      </c>
      <c r="S27" s="23" t="s">
        <v>16</v>
      </c>
    </row>
    <row r="28" spans="3:19" x14ac:dyDescent="0.25">
      <c r="H28" s="74" t="s">
        <v>26</v>
      </c>
      <c r="I28" s="26">
        <f>-(F11/E11)</f>
        <v>4.9999999999999996E-5</v>
      </c>
      <c r="J28" s="50">
        <f>-(I11/H11)</f>
        <v>9.9999999999999991E-5</v>
      </c>
      <c r="K28" s="43">
        <f>-(L11/K11)</f>
        <v>5.0505050505050505E-7</v>
      </c>
      <c r="M28" s="26">
        <v>1.2499999999999999E-6</v>
      </c>
      <c r="N28" s="73">
        <v>2.5000000000000002E-6</v>
      </c>
      <c r="O28" s="43">
        <v>8.3333333333333333E-7</v>
      </c>
      <c r="Q28" s="45">
        <f>(I28/M28)*100</f>
        <v>4000</v>
      </c>
      <c r="R28" s="50">
        <f t="shared" ref="R28:R29" si="6">(J28/N28)*100</f>
        <v>3999.9999999999991</v>
      </c>
      <c r="S28" s="46">
        <f t="shared" ref="S28:S29" si="7">(K28/O28)*100</f>
        <v>60.606060606060609</v>
      </c>
    </row>
    <row r="29" spans="3:19" x14ac:dyDescent="0.25">
      <c r="H29" s="74" t="s">
        <v>27</v>
      </c>
      <c r="I29" s="29">
        <f>I28*$C$11</f>
        <v>0.99999999999999989</v>
      </c>
      <c r="J29" s="51">
        <f t="shared" ref="J29:K29" si="8">J28*$C$11</f>
        <v>1.9999999999999998</v>
      </c>
      <c r="K29" s="25">
        <f t="shared" si="8"/>
        <v>1.01010101010101E-2</v>
      </c>
      <c r="M29" s="29">
        <v>0.99999999999999989</v>
      </c>
      <c r="N29" s="51">
        <v>2</v>
      </c>
      <c r="O29" s="25">
        <v>0.66666666666666663</v>
      </c>
      <c r="Q29" s="47">
        <f t="shared" ref="Q29" si="9">(I29/M29)*100</f>
        <v>100</v>
      </c>
      <c r="R29" s="51">
        <f t="shared" si="6"/>
        <v>99.999999999999986</v>
      </c>
      <c r="S29" s="48">
        <f t="shared" si="7"/>
        <v>1.5151515151515149</v>
      </c>
    </row>
  </sheetData>
  <mergeCells count="12">
    <mergeCell ref="M17:O17"/>
    <mergeCell ref="M26:O26"/>
    <mergeCell ref="M16:O16"/>
    <mergeCell ref="Q16:S16"/>
    <mergeCell ref="Q17:S17"/>
    <mergeCell ref="Q26:S26"/>
    <mergeCell ref="Q25:S25"/>
    <mergeCell ref="D7:F7"/>
    <mergeCell ref="G7:I7"/>
    <mergeCell ref="I17:K17"/>
    <mergeCell ref="J7:L7"/>
    <mergeCell ref="I26:K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dados_simulados</vt:lpstr>
      <vt:lpstr>comparacao_aversao_ao_risco</vt:lpstr>
      <vt:lpstr>funcao_potencia</vt:lpstr>
      <vt:lpstr>funcao_quadratica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Luiz Ferreira</dc:creator>
  <cp:lastModifiedBy>Alex Ferreira, Luiz</cp:lastModifiedBy>
  <dcterms:created xsi:type="dcterms:W3CDTF">2020-03-02T11:26:05Z</dcterms:created>
  <dcterms:modified xsi:type="dcterms:W3CDTF">2021-05-12T18:02:40Z</dcterms:modified>
</cp:coreProperties>
</file>