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ESALQ - USP\LEB0630\"/>
    </mc:Choice>
  </mc:AlternateContent>
  <bookViews>
    <workbookView xWindow="240" yWindow="75" windowWidth="20115" windowHeight="7740" activeTab="1"/>
  </bookViews>
  <sheets>
    <sheet name="NHF" sheetId="1" r:id="rId1"/>
    <sheet name="Graus Dia" sheetId="3" r:id="rId2"/>
    <sheet name="Diário" sheetId="6" r:id="rId3"/>
    <sheet name="Exemplo" sheetId="4" r:id="rId4"/>
    <sheet name="Estimativa Temp." sheetId="5" r:id="rId5"/>
  </sheets>
  <calcPr calcId="152511"/>
</workbook>
</file>

<file path=xl/calcChain.xml><?xml version="1.0" encoding="utf-8"?>
<calcChain xmlns="http://schemas.openxmlformats.org/spreadsheetml/2006/main">
  <c r="C3" i="1" l="1"/>
  <c r="J167" i="6"/>
  <c r="J168" i="6"/>
  <c r="J169" i="6"/>
  <c r="J170" i="6"/>
  <c r="J171" i="6"/>
  <c r="J172" i="6"/>
  <c r="J173" i="6"/>
  <c r="J174" i="6"/>
  <c r="J175" i="6"/>
  <c r="E175" i="6"/>
  <c r="F175" i="6"/>
  <c r="E167" i="6"/>
  <c r="F167" i="6"/>
  <c r="E168" i="6"/>
  <c r="F168" i="6" s="1"/>
  <c r="F169" i="6" s="1"/>
  <c r="E169" i="6"/>
  <c r="E170" i="6"/>
  <c r="F170" i="6" s="1"/>
  <c r="F171" i="6" s="1"/>
  <c r="E171" i="6"/>
  <c r="E172" i="6"/>
  <c r="E173" i="6"/>
  <c r="E174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E154" i="6"/>
  <c r="F154" i="6" s="1"/>
  <c r="E155" i="6"/>
  <c r="E156" i="6"/>
  <c r="E157" i="6"/>
  <c r="E158" i="6"/>
  <c r="E159" i="6"/>
  <c r="E160" i="6"/>
  <c r="E161" i="6"/>
  <c r="E162" i="6"/>
  <c r="E163" i="6"/>
  <c r="E164" i="6"/>
  <c r="E165" i="6"/>
  <c r="E166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E141" i="6"/>
  <c r="F141" i="6" s="1"/>
  <c r="E142" i="6"/>
  <c r="E143" i="6"/>
  <c r="E144" i="6"/>
  <c r="E145" i="6"/>
  <c r="E146" i="6"/>
  <c r="E147" i="6"/>
  <c r="E148" i="6"/>
  <c r="E149" i="6"/>
  <c r="E150" i="6"/>
  <c r="E151" i="6"/>
  <c r="E152" i="6"/>
  <c r="E153" i="6"/>
  <c r="H112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5" i="6"/>
  <c r="H6" i="6"/>
  <c r="H7" i="6"/>
  <c r="H8" i="6"/>
  <c r="H9" i="6"/>
  <c r="H10" i="6"/>
  <c r="E95" i="6"/>
  <c r="F95" i="6" s="1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5" i="6"/>
  <c r="F5" i="6" s="1"/>
  <c r="E6" i="6"/>
  <c r="F6" i="6" s="1"/>
  <c r="E7" i="6"/>
  <c r="F7" i="6" s="1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J4" i="6"/>
  <c r="H4" i="6"/>
  <c r="F4" i="6"/>
  <c r="E4" i="6"/>
  <c r="J3" i="6"/>
  <c r="H3" i="6"/>
  <c r="E3" i="6"/>
  <c r="F3" i="6" s="1"/>
  <c r="F4" i="5"/>
  <c r="F40" i="5"/>
  <c r="F9" i="5"/>
  <c r="F8" i="5"/>
  <c r="F7" i="5"/>
  <c r="F6" i="5"/>
  <c r="F5" i="5"/>
  <c r="O42" i="5"/>
  <c r="N42" i="5"/>
  <c r="M42" i="5"/>
  <c r="L42" i="5"/>
  <c r="F42" i="5" s="1"/>
  <c r="H42" i="5"/>
  <c r="O41" i="5"/>
  <c r="N41" i="5"/>
  <c r="L41" i="5"/>
  <c r="H41" i="5"/>
  <c r="F41" i="5" s="1"/>
  <c r="O40" i="5"/>
  <c r="N40" i="5"/>
  <c r="M40" i="5"/>
  <c r="L40" i="5"/>
  <c r="H40" i="5"/>
  <c r="O39" i="5"/>
  <c r="N39" i="5"/>
  <c r="M39" i="5"/>
  <c r="L39" i="5"/>
  <c r="H39" i="5"/>
  <c r="F39" i="5" s="1"/>
  <c r="O38" i="5"/>
  <c r="N38" i="5"/>
  <c r="M38" i="5"/>
  <c r="L38" i="5"/>
  <c r="F38" i="5"/>
  <c r="O37" i="5"/>
  <c r="N37" i="5"/>
  <c r="M37" i="5"/>
  <c r="L37" i="5"/>
  <c r="K37" i="5"/>
  <c r="H37" i="5"/>
  <c r="F37" i="5" s="1"/>
  <c r="O36" i="5"/>
  <c r="N36" i="5"/>
  <c r="M36" i="5"/>
  <c r="L36" i="5"/>
  <c r="H36" i="5"/>
  <c r="F36" i="5" s="1"/>
  <c r="O35" i="5"/>
  <c r="N35" i="5"/>
  <c r="M35" i="5"/>
  <c r="L35" i="5"/>
  <c r="I35" i="5"/>
  <c r="H35" i="5"/>
  <c r="F35" i="5"/>
  <c r="O34" i="5"/>
  <c r="N34" i="5"/>
  <c r="M34" i="5"/>
  <c r="L34" i="5"/>
  <c r="K34" i="5"/>
  <c r="H34" i="5"/>
  <c r="F34" i="5" s="1"/>
  <c r="O33" i="5"/>
  <c r="N33" i="5"/>
  <c r="M33" i="5"/>
  <c r="L33" i="5"/>
  <c r="H33" i="5"/>
  <c r="F33" i="5" s="1"/>
  <c r="O32" i="5"/>
  <c r="N32" i="5"/>
  <c r="H32" i="5"/>
  <c r="F32" i="5" s="1"/>
  <c r="O31" i="5"/>
  <c r="N31" i="5"/>
  <c r="M31" i="5"/>
  <c r="L31" i="5"/>
  <c r="K31" i="5"/>
  <c r="H31" i="5"/>
  <c r="F31" i="5"/>
  <c r="O30" i="5"/>
  <c r="N30" i="5"/>
  <c r="M30" i="5"/>
  <c r="L30" i="5"/>
  <c r="F30" i="5" s="1"/>
  <c r="H30" i="5"/>
  <c r="O29" i="5"/>
  <c r="N29" i="5"/>
  <c r="L29" i="5"/>
  <c r="H29" i="5"/>
  <c r="F29" i="5" s="1"/>
  <c r="O28" i="5"/>
  <c r="N28" i="5"/>
  <c r="M28" i="5"/>
  <c r="K28" i="5"/>
  <c r="H28" i="5"/>
  <c r="F28" i="5" s="1"/>
  <c r="O27" i="5"/>
  <c r="N27" i="5"/>
  <c r="M27" i="5"/>
  <c r="L27" i="5"/>
  <c r="H27" i="5"/>
  <c r="F27" i="5" s="1"/>
  <c r="O26" i="5"/>
  <c r="N26" i="5"/>
  <c r="M26" i="5"/>
  <c r="K26" i="5"/>
  <c r="H26" i="5"/>
  <c r="F26" i="5" s="1"/>
  <c r="O25" i="5"/>
  <c r="N25" i="5"/>
  <c r="M25" i="5"/>
  <c r="L25" i="5"/>
  <c r="H25" i="5"/>
  <c r="F25" i="5" s="1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G4" i="4"/>
  <c r="G3" i="4"/>
  <c r="E3" i="4"/>
  <c r="F2" i="4"/>
  <c r="E2" i="4"/>
  <c r="E7" i="4"/>
  <c r="F7" i="4" s="1"/>
  <c r="C7" i="4"/>
  <c r="F3" i="4"/>
  <c r="E4" i="4"/>
  <c r="F4" i="4" s="1"/>
  <c r="G2" i="4"/>
  <c r="D3" i="3"/>
  <c r="E3" i="3"/>
  <c r="G3" i="3" s="1"/>
  <c r="F172" i="6" l="1"/>
  <c r="F173" i="6" s="1"/>
  <c r="F174" i="6" s="1"/>
  <c r="F155" i="6"/>
  <c r="F156" i="6" s="1"/>
  <c r="F157" i="6" s="1"/>
  <c r="F158" i="6" s="1"/>
  <c r="F159" i="6" s="1"/>
  <c r="F160" i="6" s="1"/>
  <c r="F161" i="6" s="1"/>
  <c r="F162" i="6" s="1"/>
  <c r="F163" i="6" s="1"/>
  <c r="F164" i="6" s="1"/>
  <c r="F165" i="6" s="1"/>
  <c r="F166" i="6" s="1"/>
  <c r="F142" i="6"/>
  <c r="F143" i="6" s="1"/>
  <c r="F144" i="6" s="1"/>
  <c r="F145" i="6" s="1"/>
  <c r="F146" i="6" s="1"/>
  <c r="F147" i="6" s="1"/>
  <c r="F148" i="6" s="1"/>
  <c r="F149" i="6" s="1"/>
  <c r="F150" i="6" s="1"/>
  <c r="F151" i="6" s="1"/>
  <c r="F152" i="6" s="1"/>
  <c r="F153" i="6" s="1"/>
  <c r="F96" i="6"/>
  <c r="F97" i="6" s="1"/>
  <c r="F98" i="6" s="1"/>
  <c r="F99" i="6" s="1"/>
  <c r="F100" i="6" s="1"/>
  <c r="F101" i="6" s="1"/>
  <c r="F102" i="6" s="1"/>
  <c r="F103" i="6" s="1"/>
  <c r="F104" i="6" s="1"/>
  <c r="F105" i="6" s="1"/>
  <c r="F106" i="6" s="1"/>
  <c r="F107" i="6" s="1"/>
  <c r="F108" i="6" s="1"/>
  <c r="F109" i="6" s="1"/>
  <c r="F110" i="6" s="1"/>
  <c r="F111" i="6" s="1"/>
  <c r="F112" i="6" s="1"/>
  <c r="F113" i="6" s="1"/>
  <c r="F114" i="6" s="1"/>
  <c r="F115" i="6" s="1"/>
  <c r="F116" i="6" s="1"/>
  <c r="F117" i="6" s="1"/>
  <c r="F118" i="6" s="1"/>
  <c r="F119" i="6" s="1"/>
  <c r="F120" i="6" s="1"/>
  <c r="F121" i="6" s="1"/>
  <c r="F122" i="6" s="1"/>
  <c r="F123" i="6" s="1"/>
  <c r="F124" i="6" s="1"/>
  <c r="F125" i="6" s="1"/>
  <c r="F126" i="6" s="1"/>
  <c r="F127" i="6" s="1"/>
  <c r="F128" i="6" s="1"/>
  <c r="F129" i="6" s="1"/>
  <c r="F130" i="6" s="1"/>
  <c r="F131" i="6" s="1"/>
  <c r="F132" i="6" s="1"/>
  <c r="F133" i="6" s="1"/>
  <c r="F134" i="6" s="1"/>
  <c r="F135" i="6" s="1"/>
  <c r="F136" i="6" s="1"/>
  <c r="F137" i="6" s="1"/>
  <c r="F138" i="6" s="1"/>
  <c r="F139" i="6" s="1"/>
  <c r="F140" i="6" s="1"/>
  <c r="F9" i="6"/>
  <c r="F10" i="6" s="1"/>
  <c r="F11" i="6" s="1"/>
  <c r="F12" i="6" s="1"/>
  <c r="F13" i="6" s="1"/>
  <c r="F14" i="6" s="1"/>
  <c r="F15" i="6" s="1"/>
  <c r="F16" i="6" s="1"/>
  <c r="F17" i="6" s="1"/>
  <c r="F18" i="6" s="1"/>
  <c r="F19" i="6" s="1"/>
  <c r="F20" i="6" s="1"/>
  <c r="F21" i="6" s="1"/>
  <c r="F22" i="6" s="1"/>
  <c r="F23" i="6" s="1"/>
  <c r="F24" i="6" s="1"/>
  <c r="F25" i="6" s="1"/>
  <c r="F26" i="6" s="1"/>
  <c r="F27" i="6" s="1"/>
  <c r="F28" i="6" s="1"/>
  <c r="F29" i="6" s="1"/>
  <c r="F30" i="6" s="1"/>
  <c r="F31" i="6" s="1"/>
  <c r="F32" i="6" s="1"/>
  <c r="F33" i="6" s="1"/>
  <c r="F34" i="6" s="1"/>
  <c r="F35" i="6" s="1"/>
  <c r="F36" i="6" s="1"/>
  <c r="F37" i="6" s="1"/>
  <c r="F38" i="6" s="1"/>
  <c r="F39" i="6" s="1"/>
  <c r="F40" i="6" s="1"/>
  <c r="F41" i="6" s="1"/>
  <c r="F42" i="6" s="1"/>
  <c r="F43" i="6" s="1"/>
  <c r="F44" i="6" s="1"/>
  <c r="F45" i="6" s="1"/>
  <c r="F46" i="6" s="1"/>
  <c r="F47" i="6" s="1"/>
  <c r="F48" i="6" s="1"/>
  <c r="F49" i="6" s="1"/>
  <c r="F50" i="6" s="1"/>
  <c r="F51" i="6" s="1"/>
  <c r="F52" i="6" s="1"/>
  <c r="F53" i="6" s="1"/>
  <c r="F54" i="6" s="1"/>
  <c r="F55" i="6" s="1"/>
  <c r="F56" i="6" s="1"/>
  <c r="F57" i="6" s="1"/>
  <c r="F58" i="6" s="1"/>
  <c r="F59" i="6" s="1"/>
  <c r="F60" i="6" s="1"/>
  <c r="F61" i="6" s="1"/>
  <c r="F62" i="6" s="1"/>
  <c r="F63" i="6" s="1"/>
  <c r="F64" i="6" s="1"/>
  <c r="F65" i="6" s="1"/>
  <c r="F66" i="6" s="1"/>
  <c r="F67" i="6" s="1"/>
  <c r="F68" i="6" s="1"/>
  <c r="F69" i="6" s="1"/>
  <c r="F70" i="6" s="1"/>
  <c r="F71" i="6" s="1"/>
  <c r="F72" i="6" s="1"/>
  <c r="F73" i="6" s="1"/>
  <c r="F74" i="6" s="1"/>
  <c r="F75" i="6" s="1"/>
  <c r="F76" i="6" s="1"/>
  <c r="F77" i="6" s="1"/>
  <c r="F78" i="6" s="1"/>
  <c r="F79" i="6" s="1"/>
  <c r="F80" i="6" s="1"/>
  <c r="F81" i="6" s="1"/>
  <c r="F82" i="6" s="1"/>
  <c r="F83" i="6" s="1"/>
  <c r="F84" i="6" s="1"/>
  <c r="F85" i="6" s="1"/>
  <c r="F86" i="6" s="1"/>
  <c r="F87" i="6" s="1"/>
  <c r="F88" i="6" s="1"/>
  <c r="F89" i="6" s="1"/>
  <c r="F90" i="6" s="1"/>
  <c r="F91" i="6" s="1"/>
  <c r="F92" i="6" s="1"/>
  <c r="F93" i="6" s="1"/>
  <c r="F94" i="6" s="1"/>
  <c r="F8" i="6"/>
  <c r="I2" i="4"/>
  <c r="D7" i="3"/>
  <c r="E7" i="3"/>
  <c r="E10" i="3" s="1"/>
  <c r="G10" i="3" s="1"/>
  <c r="E6" i="3"/>
  <c r="G6" i="3" s="1"/>
  <c r="E5" i="3"/>
  <c r="G5" i="3" s="1"/>
  <c r="E4" i="3"/>
  <c r="G4" i="3" s="1"/>
  <c r="H3" i="3"/>
  <c r="I3" i="3" s="1"/>
  <c r="K3" i="3" s="1"/>
  <c r="D6" i="3"/>
  <c r="D5" i="3"/>
  <c r="D4" i="3"/>
  <c r="G3" i="1"/>
  <c r="H3" i="1" s="1"/>
  <c r="H6" i="3" l="1"/>
  <c r="H4" i="3"/>
  <c r="G7" i="3"/>
  <c r="H7" i="3" s="1"/>
  <c r="H5" i="3"/>
  <c r="J2" i="4"/>
  <c r="G7" i="4"/>
  <c r="I7" i="4" s="1"/>
  <c r="I3" i="4"/>
  <c r="I4" i="4"/>
  <c r="I4" i="3"/>
  <c r="D3" i="1"/>
  <c r="E3" i="1" s="1"/>
  <c r="I5" i="3" l="1"/>
  <c r="K4" i="3"/>
  <c r="K5" i="3" l="1"/>
  <c r="I6" i="3"/>
  <c r="L3" i="3" s="1"/>
  <c r="D10" i="3" s="1"/>
  <c r="H10" i="3" s="1"/>
  <c r="I10" i="3" s="1"/>
  <c r="K10" i="3" s="1"/>
  <c r="K6" i="3" l="1"/>
  <c r="I7" i="3"/>
  <c r="K7" i="3" s="1"/>
</calcChain>
</file>

<file path=xl/sharedStrings.xml><?xml version="1.0" encoding="utf-8"?>
<sst xmlns="http://schemas.openxmlformats.org/spreadsheetml/2006/main" count="122" uniqueCount="55">
  <si>
    <t>Tem - Jul</t>
  </si>
  <si>
    <t>Dia</t>
  </si>
  <si>
    <t>Ṫ jul</t>
  </si>
  <si>
    <t>NHF ≤ 7 °C</t>
  </si>
  <si>
    <t>NHF ≤ 13 °C</t>
  </si>
  <si>
    <t>Planilha de cálculo do número de horas de frio abaixo de 7°C e 13°C para o estado de São Paulo.</t>
  </si>
  <si>
    <t>Dias</t>
  </si>
  <si>
    <t>Mês</t>
  </si>
  <si>
    <t>N° de dias</t>
  </si>
  <si>
    <t>Ṫ</t>
  </si>
  <si>
    <t>Tb</t>
  </si>
  <si>
    <t xml:space="preserve">GDi </t>
  </si>
  <si>
    <t>∑ GDm</t>
  </si>
  <si>
    <t xml:space="preserve">∑ GDciclo </t>
  </si>
  <si>
    <t>T med</t>
  </si>
  <si>
    <t>Jan</t>
  </si>
  <si>
    <t>Fev</t>
  </si>
  <si>
    <t>Mar</t>
  </si>
  <si>
    <t>Abr</t>
  </si>
  <si>
    <t>Mai</t>
  </si>
  <si>
    <t>∑ GD CULT</t>
  </si>
  <si>
    <t>∑ GD Atingido</t>
  </si>
  <si>
    <t>Último mês</t>
  </si>
  <si>
    <t>Correção último Mês</t>
  </si>
  <si>
    <t>Tb (°C)</t>
  </si>
  <si>
    <t>Nov</t>
  </si>
  <si>
    <t>Dez</t>
  </si>
  <si>
    <t>T</t>
  </si>
  <si>
    <t>∑ GD TOTAL</t>
  </si>
  <si>
    <t>Latitude</t>
  </si>
  <si>
    <t>Longitude</t>
  </si>
  <si>
    <t>°C</t>
  </si>
  <si>
    <t>a</t>
  </si>
  <si>
    <t>h</t>
  </si>
  <si>
    <t>ф</t>
  </si>
  <si>
    <t>λ</t>
  </si>
  <si>
    <t>h ф</t>
  </si>
  <si>
    <t>h λ</t>
  </si>
  <si>
    <t>фλ</t>
  </si>
  <si>
    <t>ф^2</t>
  </si>
  <si>
    <t>λ^2</t>
  </si>
  <si>
    <t>Altitude</t>
  </si>
  <si>
    <t>Máx</t>
  </si>
  <si>
    <t>Mín</t>
  </si>
  <si>
    <t>Méd</t>
  </si>
  <si>
    <t xml:space="preserve">Gramado </t>
  </si>
  <si>
    <t>Jun</t>
  </si>
  <si>
    <t>Jul</t>
  </si>
  <si>
    <t>Ago</t>
  </si>
  <si>
    <t>Set</t>
  </si>
  <si>
    <t>Out</t>
  </si>
  <si>
    <t>Year</t>
  </si>
  <si>
    <t>Piedade</t>
  </si>
  <si>
    <t>∑ GD Gala</t>
  </si>
  <si>
    <t>∑ GD Fuji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</si>
</sst>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14" fontId="0" fillId="0" borderId="0" xfId="0" applyNumberFormat="1"/>
    <xf numFmtId="0" fontId="1" fillId="2" borderId="1" xfId="0" applyFont="1" applyFill="1" applyBorder="1"/>
    <xf numFmtId="0" fontId="0" fillId="2" borderId="1" xfId="0" applyFill="1" applyBorder="1"/>
    <xf numFmtId="2" fontId="0" fillId="0" borderId="0" xfId="0" applyNumberForma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2" borderId="2" xfId="0" applyFill="1" applyBorder="1"/>
    <xf numFmtId="14" fontId="0" fillId="2" borderId="0" xfId="0" applyNumberFormat="1" applyFill="1" applyBorder="1"/>
    <xf numFmtId="2" fontId="0" fillId="2" borderId="0" xfId="0" applyNumberFormat="1" applyFill="1" applyBorder="1"/>
    <xf numFmtId="2" fontId="1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14" fontId="0" fillId="2" borderId="3" xfId="0" applyNumberFormat="1" applyFill="1" applyBorder="1"/>
    <xf numFmtId="2" fontId="0" fillId="2" borderId="3" xfId="0" applyNumberFormat="1" applyFill="1" applyBorder="1"/>
    <xf numFmtId="0" fontId="0" fillId="2" borderId="3" xfId="0" applyFill="1" applyBorder="1"/>
    <xf numFmtId="2" fontId="3" fillId="2" borderId="4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2" borderId="0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3" borderId="0" xfId="0" applyNumberFormat="1" applyFill="1" applyAlignment="1">
      <alignment horizontal="center"/>
    </xf>
    <xf numFmtId="0" fontId="0" fillId="3" borderId="0" xfId="0" applyFill="1"/>
    <xf numFmtId="1" fontId="0" fillId="3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2" fontId="0" fillId="3" borderId="0" xfId="0" applyNumberFormat="1" applyFill="1"/>
    <xf numFmtId="0" fontId="0" fillId="3" borderId="0" xfId="0" applyFill="1" applyAlignment="1">
      <alignment horizontal="center"/>
    </xf>
    <xf numFmtId="0" fontId="0" fillId="0" borderId="0" xfId="0" quotePrefix="1"/>
    <xf numFmtId="0" fontId="1" fillId="4" borderId="0" xfId="0" applyFont="1" applyFill="1"/>
    <xf numFmtId="0" fontId="4" fillId="0" borderId="0" xfId="0" applyFont="1"/>
    <xf numFmtId="165" fontId="0" fillId="0" borderId="0" xfId="0" applyNumberFormat="1"/>
    <xf numFmtId="2" fontId="0" fillId="4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0" fillId="2" borderId="0" xfId="0" applyFill="1"/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A5" sqref="A5"/>
    </sheetView>
  </sheetViews>
  <sheetFormatPr defaultRowHeight="15" x14ac:dyDescent="0.25"/>
  <cols>
    <col min="1" max="1" width="10.7109375" bestFit="1" customWidth="1"/>
    <col min="2" max="2" width="8.85546875" bestFit="1" customWidth="1"/>
    <col min="4" max="5" width="9.85546875" bestFit="1" customWidth="1"/>
    <col min="7" max="7" width="10.85546875" bestFit="1" customWidth="1"/>
    <col min="8" max="8" width="10.85546875" customWidth="1"/>
  </cols>
  <sheetData>
    <row r="1" spans="1:9" x14ac:dyDescent="0.25">
      <c r="A1" s="4" t="s">
        <v>5</v>
      </c>
      <c r="B1" s="5"/>
      <c r="C1" s="5"/>
      <c r="D1" s="5"/>
      <c r="E1" s="5"/>
      <c r="F1" s="5"/>
      <c r="G1" s="5"/>
      <c r="H1" s="5"/>
      <c r="I1" s="5"/>
    </row>
    <row r="2" spans="1:9" x14ac:dyDescent="0.25">
      <c r="A2" s="7" t="s">
        <v>1</v>
      </c>
      <c r="B2" s="7" t="s">
        <v>0</v>
      </c>
      <c r="C2" s="8" t="s">
        <v>2</v>
      </c>
      <c r="D2" s="8" t="s">
        <v>3</v>
      </c>
      <c r="E2" s="8" t="s">
        <v>3</v>
      </c>
      <c r="F2" s="9"/>
      <c r="G2" s="8" t="s">
        <v>4</v>
      </c>
      <c r="H2" s="8" t="s">
        <v>4</v>
      </c>
      <c r="I2" s="9"/>
    </row>
    <row r="3" spans="1:9" x14ac:dyDescent="0.25">
      <c r="A3" s="10">
        <v>42186</v>
      </c>
      <c r="B3" s="11">
        <v>18.16</v>
      </c>
      <c r="C3" s="12">
        <f>AVERAGE(B3:B33)</f>
        <v>19.584516129032256</v>
      </c>
      <c r="D3" s="18">
        <f>401.9-(21.5*$C$3)</f>
        <v>-19.16709677419351</v>
      </c>
      <c r="E3" s="13" t="str">
        <f>IF(D3&gt;0,"SIM","NÃO")</f>
        <v>NÃO</v>
      </c>
      <c r="F3" s="14"/>
      <c r="G3" s="18">
        <f>4482.9-(231.2*$C$3)</f>
        <v>-45.040129032257937</v>
      </c>
      <c r="H3" s="13" t="str">
        <f>IF(G3&gt;0,"SIM","NÃO")</f>
        <v>NÃO</v>
      </c>
      <c r="I3" s="14"/>
    </row>
    <row r="4" spans="1:9" x14ac:dyDescent="0.25">
      <c r="A4" s="10">
        <v>42187</v>
      </c>
      <c r="B4" s="11">
        <v>19.27</v>
      </c>
      <c r="C4" s="14"/>
      <c r="D4" s="14"/>
      <c r="E4" s="14"/>
      <c r="F4" s="14"/>
      <c r="G4" s="14"/>
      <c r="H4" s="14"/>
      <c r="I4" s="14"/>
    </row>
    <row r="5" spans="1:9" x14ac:dyDescent="0.25">
      <c r="A5" s="10">
        <v>42188</v>
      </c>
      <c r="B5" s="11">
        <v>18.440000000000001</v>
      </c>
      <c r="C5" s="14"/>
      <c r="D5" s="14"/>
      <c r="E5" s="14"/>
      <c r="F5" s="14"/>
      <c r="G5" s="14"/>
      <c r="H5" s="14"/>
      <c r="I5" s="14"/>
    </row>
    <row r="6" spans="1:9" x14ac:dyDescent="0.25">
      <c r="A6" s="10">
        <v>42189</v>
      </c>
      <c r="B6" s="11">
        <v>19.47</v>
      </c>
      <c r="C6" s="14"/>
      <c r="D6" s="14"/>
      <c r="E6" s="14"/>
      <c r="F6" s="14"/>
      <c r="G6" s="14"/>
      <c r="H6" s="14"/>
      <c r="I6" s="14"/>
    </row>
    <row r="7" spans="1:9" x14ac:dyDescent="0.25">
      <c r="A7" s="10">
        <v>42190</v>
      </c>
      <c r="B7" s="11">
        <v>15.26</v>
      </c>
      <c r="C7" s="14"/>
      <c r="D7" s="14"/>
      <c r="E7" s="14"/>
      <c r="F7" s="14"/>
      <c r="G7" s="14"/>
      <c r="H7" s="14"/>
      <c r="I7" s="14"/>
    </row>
    <row r="8" spans="1:9" x14ac:dyDescent="0.25">
      <c r="A8" s="10">
        <v>42191</v>
      </c>
      <c r="B8" s="11">
        <v>19.059999999999999</v>
      </c>
      <c r="C8" s="14"/>
      <c r="D8" s="14"/>
      <c r="E8" s="14"/>
      <c r="F8" s="14"/>
      <c r="G8" s="14"/>
      <c r="H8" s="14"/>
      <c r="I8" s="14"/>
    </row>
    <row r="9" spans="1:9" x14ac:dyDescent="0.25">
      <c r="A9" s="10">
        <v>42192</v>
      </c>
      <c r="B9" s="11">
        <v>18.86</v>
      </c>
      <c r="C9" s="14"/>
      <c r="D9" s="14"/>
      <c r="E9" s="14"/>
      <c r="F9" s="14"/>
      <c r="G9" s="14"/>
      <c r="H9" s="14"/>
      <c r="I9" s="14"/>
    </row>
    <row r="10" spans="1:9" x14ac:dyDescent="0.25">
      <c r="A10" s="10">
        <v>42193</v>
      </c>
      <c r="B10" s="11">
        <v>19.149999999999999</v>
      </c>
      <c r="C10" s="14"/>
      <c r="D10" s="14"/>
      <c r="E10" s="14"/>
      <c r="F10" s="14"/>
      <c r="G10" s="14"/>
      <c r="H10" s="14"/>
      <c r="I10" s="14"/>
    </row>
    <row r="11" spans="1:9" x14ac:dyDescent="0.25">
      <c r="A11" s="10">
        <v>42194</v>
      </c>
      <c r="B11" s="11">
        <v>19.53</v>
      </c>
      <c r="C11" s="14"/>
      <c r="D11" s="14"/>
      <c r="E11" s="14"/>
      <c r="F11" s="14"/>
      <c r="G11" s="14"/>
      <c r="H11" s="14"/>
      <c r="I11" s="14"/>
    </row>
    <row r="12" spans="1:9" x14ac:dyDescent="0.25">
      <c r="A12" s="10">
        <v>42195</v>
      </c>
      <c r="B12" s="11">
        <v>21</v>
      </c>
      <c r="C12" s="14"/>
      <c r="D12" s="14"/>
      <c r="E12" s="14"/>
      <c r="F12" s="14"/>
      <c r="G12" s="14"/>
      <c r="H12" s="14"/>
      <c r="I12" s="14"/>
    </row>
    <row r="13" spans="1:9" x14ac:dyDescent="0.25">
      <c r="A13" s="10">
        <v>42196</v>
      </c>
      <c r="B13" s="11">
        <v>19.3</v>
      </c>
      <c r="C13" s="14"/>
      <c r="D13" s="14"/>
      <c r="E13" s="14"/>
      <c r="F13" s="14"/>
      <c r="G13" s="14"/>
      <c r="H13" s="14"/>
      <c r="I13" s="14"/>
    </row>
    <row r="14" spans="1:9" x14ac:dyDescent="0.25">
      <c r="A14" s="10">
        <v>42197</v>
      </c>
      <c r="B14" s="11">
        <v>22.71</v>
      </c>
      <c r="C14" s="14"/>
      <c r="D14" s="14"/>
      <c r="E14" s="14"/>
      <c r="F14" s="14"/>
      <c r="G14" s="14"/>
      <c r="H14" s="14"/>
      <c r="I14" s="14"/>
    </row>
    <row r="15" spans="1:9" x14ac:dyDescent="0.25">
      <c r="A15" s="10">
        <v>42198</v>
      </c>
      <c r="B15" s="11">
        <v>24.65</v>
      </c>
      <c r="C15" s="14"/>
      <c r="D15" s="14"/>
      <c r="E15" s="14"/>
      <c r="F15" s="14"/>
      <c r="G15" s="14"/>
      <c r="H15" s="14"/>
      <c r="I15" s="14"/>
    </row>
    <row r="16" spans="1:9" x14ac:dyDescent="0.25">
      <c r="A16" s="10">
        <v>42199</v>
      </c>
      <c r="B16" s="11">
        <v>24.12</v>
      </c>
      <c r="C16" s="14"/>
      <c r="D16" s="14"/>
      <c r="E16" s="14"/>
      <c r="F16" s="14"/>
      <c r="G16" s="14"/>
      <c r="H16" s="14"/>
      <c r="I16" s="14"/>
    </row>
    <row r="17" spans="1:9" x14ac:dyDescent="0.25">
      <c r="A17" s="10">
        <v>42200</v>
      </c>
      <c r="B17" s="11">
        <v>22.38</v>
      </c>
      <c r="C17" s="14"/>
      <c r="D17" s="14"/>
      <c r="E17" s="14"/>
      <c r="F17" s="14"/>
      <c r="G17" s="14"/>
      <c r="H17" s="14"/>
      <c r="I17" s="14"/>
    </row>
    <row r="18" spans="1:9" x14ac:dyDescent="0.25">
      <c r="A18" s="10">
        <v>42201</v>
      </c>
      <c r="B18" s="11">
        <v>21.69</v>
      </c>
      <c r="C18" s="14"/>
      <c r="D18" s="14"/>
      <c r="E18" s="14"/>
      <c r="F18" s="14"/>
      <c r="G18" s="14"/>
      <c r="H18" s="14"/>
      <c r="I18" s="14"/>
    </row>
    <row r="19" spans="1:9" x14ac:dyDescent="0.25">
      <c r="A19" s="10">
        <v>42202</v>
      </c>
      <c r="B19" s="11">
        <v>19.21</v>
      </c>
      <c r="C19" s="14"/>
      <c r="D19" s="14"/>
      <c r="E19" s="14"/>
      <c r="F19" s="14"/>
      <c r="G19" s="14"/>
      <c r="H19" s="14"/>
      <c r="I19" s="14"/>
    </row>
    <row r="20" spans="1:9" x14ac:dyDescent="0.25">
      <c r="A20" s="10">
        <v>42203</v>
      </c>
      <c r="B20" s="11">
        <v>19.36</v>
      </c>
      <c r="C20" s="14"/>
      <c r="D20" s="14"/>
      <c r="E20" s="14"/>
      <c r="F20" s="14"/>
      <c r="G20" s="14"/>
      <c r="H20" s="14"/>
      <c r="I20" s="14"/>
    </row>
    <row r="21" spans="1:9" x14ac:dyDescent="0.25">
      <c r="A21" s="10">
        <v>42204</v>
      </c>
      <c r="B21" s="11">
        <v>19.87</v>
      </c>
      <c r="C21" s="14"/>
      <c r="D21" s="14"/>
      <c r="E21" s="14"/>
      <c r="F21" s="14"/>
      <c r="G21" s="14"/>
      <c r="H21" s="14"/>
      <c r="I21" s="14"/>
    </row>
    <row r="22" spans="1:9" x14ac:dyDescent="0.25">
      <c r="A22" s="10">
        <v>42205</v>
      </c>
      <c r="B22" s="11">
        <v>20.420000000000002</v>
      </c>
      <c r="C22" s="14"/>
      <c r="D22" s="14"/>
      <c r="E22" s="14"/>
      <c r="F22" s="14"/>
      <c r="G22" s="14"/>
      <c r="H22" s="14"/>
      <c r="I22" s="14"/>
    </row>
    <row r="23" spans="1:9" x14ac:dyDescent="0.25">
      <c r="A23" s="10">
        <v>42206</v>
      </c>
      <c r="B23" s="11">
        <v>19.47</v>
      </c>
      <c r="C23" s="14"/>
      <c r="D23" s="14"/>
      <c r="E23" s="14"/>
      <c r="F23" s="14"/>
      <c r="G23" s="14"/>
      <c r="H23" s="14"/>
      <c r="I23" s="14"/>
    </row>
    <row r="24" spans="1:9" x14ac:dyDescent="0.25">
      <c r="A24" s="10">
        <v>42207</v>
      </c>
      <c r="B24" s="11">
        <v>17.34</v>
      </c>
      <c r="C24" s="14"/>
      <c r="D24" s="14"/>
      <c r="E24" s="14"/>
      <c r="F24" s="14"/>
      <c r="G24" s="14"/>
      <c r="H24" s="14"/>
      <c r="I24" s="14"/>
    </row>
    <row r="25" spans="1:9" x14ac:dyDescent="0.25">
      <c r="A25" s="10">
        <v>42208</v>
      </c>
      <c r="B25" s="11">
        <v>18.34</v>
      </c>
      <c r="C25" s="14"/>
      <c r="D25" s="14"/>
      <c r="E25" s="14"/>
      <c r="F25" s="14"/>
      <c r="G25" s="14"/>
      <c r="H25" s="14"/>
      <c r="I25" s="14"/>
    </row>
    <row r="26" spans="1:9" x14ac:dyDescent="0.25">
      <c r="A26" s="10">
        <v>42209</v>
      </c>
      <c r="B26" s="11">
        <v>20.3</v>
      </c>
      <c r="C26" s="14"/>
      <c r="D26" s="14"/>
      <c r="E26" s="14"/>
      <c r="F26" s="14"/>
      <c r="G26" s="14"/>
      <c r="H26" s="14"/>
      <c r="I26" s="14"/>
    </row>
    <row r="27" spans="1:9" x14ac:dyDescent="0.25">
      <c r="A27" s="10">
        <v>42210</v>
      </c>
      <c r="B27" s="11">
        <v>19.61</v>
      </c>
      <c r="C27" s="14"/>
      <c r="D27" s="14"/>
      <c r="E27" s="14"/>
      <c r="F27" s="14"/>
      <c r="G27" s="14"/>
      <c r="H27" s="14"/>
      <c r="I27" s="14"/>
    </row>
    <row r="28" spans="1:9" x14ac:dyDescent="0.25">
      <c r="A28" s="10">
        <v>42211</v>
      </c>
      <c r="B28" s="11">
        <v>18.670000000000002</v>
      </c>
      <c r="C28" s="14"/>
      <c r="D28" s="14"/>
      <c r="E28" s="14"/>
      <c r="F28" s="14"/>
      <c r="G28" s="14"/>
      <c r="H28" s="14"/>
      <c r="I28" s="14"/>
    </row>
    <row r="29" spans="1:9" x14ac:dyDescent="0.25">
      <c r="A29" s="10">
        <v>42212</v>
      </c>
      <c r="B29" s="11">
        <v>17.18</v>
      </c>
      <c r="C29" s="14"/>
      <c r="D29" s="14"/>
      <c r="E29" s="14"/>
      <c r="F29" s="14"/>
      <c r="G29" s="14"/>
      <c r="H29" s="14"/>
      <c r="I29" s="14"/>
    </row>
    <row r="30" spans="1:9" x14ac:dyDescent="0.25">
      <c r="A30" s="10">
        <v>42213</v>
      </c>
      <c r="B30" s="11">
        <v>17.57</v>
      </c>
      <c r="C30" s="14"/>
      <c r="D30" s="14"/>
      <c r="E30" s="14"/>
      <c r="F30" s="14"/>
      <c r="G30" s="14"/>
      <c r="H30" s="14"/>
      <c r="I30" s="14"/>
    </row>
    <row r="31" spans="1:9" x14ac:dyDescent="0.25">
      <c r="A31" s="10">
        <v>42214</v>
      </c>
      <c r="B31" s="11">
        <v>18.920000000000002</v>
      </c>
      <c r="C31" s="14"/>
      <c r="D31" s="14"/>
      <c r="E31" s="14"/>
      <c r="F31" s="14"/>
      <c r="G31" s="14"/>
      <c r="H31" s="14"/>
      <c r="I31" s="14"/>
    </row>
    <row r="32" spans="1:9" x14ac:dyDescent="0.25">
      <c r="A32" s="10">
        <v>42215</v>
      </c>
      <c r="B32" s="11">
        <v>18.5</v>
      </c>
      <c r="C32" s="14"/>
      <c r="D32" s="14"/>
      <c r="E32" s="14"/>
      <c r="F32" s="14"/>
      <c r="G32" s="14"/>
      <c r="H32" s="14"/>
      <c r="I32" s="14"/>
    </row>
    <row r="33" spans="1:9" x14ac:dyDescent="0.25">
      <c r="A33" s="15">
        <v>42216</v>
      </c>
      <c r="B33" s="16">
        <v>19.309999999999999</v>
      </c>
      <c r="C33" s="17"/>
      <c r="D33" s="17"/>
      <c r="E33" s="17"/>
      <c r="F33" s="17"/>
      <c r="G33" s="17"/>
      <c r="H33" s="17"/>
      <c r="I33" s="17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3"/>
  <sheetViews>
    <sheetView tabSelected="1" zoomScale="160" zoomScaleNormal="160" workbookViewId="0">
      <selection activeCell="D12" sqref="D12"/>
    </sheetView>
  </sheetViews>
  <sheetFormatPr defaultRowHeight="15" x14ac:dyDescent="0.25"/>
  <cols>
    <col min="1" max="1" width="11.28515625" bestFit="1" customWidth="1"/>
    <col min="4" max="4" width="9.85546875" bestFit="1" customWidth="1"/>
    <col min="10" max="10" width="10" bestFit="1" customWidth="1"/>
    <col min="11" max="11" width="13.42578125" bestFit="1" customWidth="1"/>
    <col min="12" max="12" width="11.28515625" bestFit="1" customWidth="1"/>
  </cols>
  <sheetData>
    <row r="1" spans="1:12" x14ac:dyDescent="0.25">
      <c r="A1" s="4"/>
    </row>
    <row r="2" spans="1:12" x14ac:dyDescent="0.25">
      <c r="A2" s="7" t="s">
        <v>6</v>
      </c>
      <c r="B2" s="7" t="s">
        <v>14</v>
      </c>
      <c r="C2" s="7" t="s">
        <v>7</v>
      </c>
      <c r="D2" s="7" t="s">
        <v>8</v>
      </c>
      <c r="E2" s="8" t="s">
        <v>9</v>
      </c>
      <c r="F2" s="7" t="s">
        <v>10</v>
      </c>
      <c r="G2" s="7" t="s">
        <v>11</v>
      </c>
      <c r="H2" s="7" t="s">
        <v>12</v>
      </c>
      <c r="I2" s="7" t="s">
        <v>13</v>
      </c>
      <c r="J2" s="7" t="s">
        <v>20</v>
      </c>
      <c r="K2" s="7" t="s">
        <v>21</v>
      </c>
      <c r="L2" s="20" t="s">
        <v>22</v>
      </c>
    </row>
    <row r="3" spans="1:12" x14ac:dyDescent="0.25">
      <c r="A3" s="3">
        <v>42292</v>
      </c>
      <c r="B3" s="6">
        <v>28.54</v>
      </c>
      <c r="C3" s="6" t="s">
        <v>15</v>
      </c>
      <c r="D3" s="1">
        <f>COUNT(B3:B33)</f>
        <v>31</v>
      </c>
      <c r="E3" s="6">
        <f>AVERAGE(B3:B33)</f>
        <v>27.60903225806452</v>
      </c>
      <c r="F3" s="19">
        <v>10</v>
      </c>
      <c r="G3" s="6">
        <f>E3-$F$3</f>
        <v>17.60903225806452</v>
      </c>
      <c r="H3" s="6">
        <f>G3*D3</f>
        <v>545.88000000000011</v>
      </c>
      <c r="I3" s="6">
        <f>H3</f>
        <v>545.88000000000011</v>
      </c>
      <c r="J3" s="6">
        <v>1990</v>
      </c>
      <c r="K3" s="1" t="str">
        <f>IF(I3&gt;=$J$3,"SIM","NÃO")</f>
        <v>NÃO</v>
      </c>
      <c r="L3" s="6">
        <f>(J3-I6)/G7</f>
        <v>13.044668231805215</v>
      </c>
    </row>
    <row r="4" spans="1:12" x14ac:dyDescent="0.25">
      <c r="A4" s="3">
        <v>42293</v>
      </c>
      <c r="B4" s="6">
        <v>27.69</v>
      </c>
      <c r="C4" s="6" t="s">
        <v>16</v>
      </c>
      <c r="D4" s="1">
        <f>COUNT(B34:B61)</f>
        <v>28</v>
      </c>
      <c r="E4" s="6">
        <f>AVERAGE(B34:B61)</f>
        <v>25.976428571428574</v>
      </c>
      <c r="F4" s="2"/>
      <c r="G4" s="6">
        <f t="shared" ref="G4:G7" si="0">E4-$F$3</f>
        <v>15.976428571428574</v>
      </c>
      <c r="H4" s="6">
        <f t="shared" ref="H4:H7" si="1">G4*D4</f>
        <v>447.34000000000009</v>
      </c>
      <c r="I4" s="6">
        <f>I3+H4</f>
        <v>993.22000000000025</v>
      </c>
      <c r="K4" s="1" t="str">
        <f t="shared" ref="K4:K6" si="2">IF(I4&gt;=$J$3,"SIM","NÃO")</f>
        <v>NÃO</v>
      </c>
    </row>
    <row r="5" spans="1:12" x14ac:dyDescent="0.25">
      <c r="A5" s="3">
        <v>42294</v>
      </c>
      <c r="B5" s="6">
        <v>28.57</v>
      </c>
      <c r="C5" s="6" t="s">
        <v>17</v>
      </c>
      <c r="D5" s="1">
        <f>COUNT(B62:B92)</f>
        <v>31</v>
      </c>
      <c r="E5" s="6">
        <f>AVERAGE(B62:B92)</f>
        <v>24.973225806451612</v>
      </c>
      <c r="F5" s="2"/>
      <c r="G5" s="6">
        <f t="shared" si="0"/>
        <v>14.973225806451612</v>
      </c>
      <c r="H5" s="6">
        <f t="shared" si="1"/>
        <v>464.16999999999996</v>
      </c>
      <c r="I5" s="6">
        <f>I4+H5</f>
        <v>1457.3900000000003</v>
      </c>
      <c r="K5" s="1" t="str">
        <f t="shared" si="2"/>
        <v>NÃO</v>
      </c>
    </row>
    <row r="6" spans="1:12" x14ac:dyDescent="0.25">
      <c r="A6" s="3">
        <v>42295</v>
      </c>
      <c r="B6" s="6">
        <v>26.54</v>
      </c>
      <c r="C6" s="6" t="s">
        <v>18</v>
      </c>
      <c r="D6" s="1">
        <f>COUNT(B93:B122)</f>
        <v>30</v>
      </c>
      <c r="E6" s="6">
        <f>AVERAGE(B93:B122)</f>
        <v>23.213000000000001</v>
      </c>
      <c r="F6" s="2"/>
      <c r="G6" s="6">
        <f t="shared" si="0"/>
        <v>13.213000000000001</v>
      </c>
      <c r="H6" s="6">
        <f t="shared" si="1"/>
        <v>396.39000000000004</v>
      </c>
      <c r="I6" s="6">
        <f>I5+H6</f>
        <v>1853.7800000000004</v>
      </c>
      <c r="K6" s="1" t="str">
        <f t="shared" si="2"/>
        <v>NÃO</v>
      </c>
    </row>
    <row r="7" spans="1:12" x14ac:dyDescent="0.25">
      <c r="A7" s="3">
        <v>42296</v>
      </c>
      <c r="B7" s="6">
        <v>27.24</v>
      </c>
      <c r="C7" s="6" t="s">
        <v>19</v>
      </c>
      <c r="D7" s="1">
        <f>COUNT(B123:B153)</f>
        <v>31</v>
      </c>
      <c r="E7" s="6">
        <f>AVERAGE(B123:B153)</f>
        <v>20.442580645161296</v>
      </c>
      <c r="F7" s="2"/>
      <c r="G7" s="6">
        <f t="shared" si="0"/>
        <v>10.442580645161296</v>
      </c>
      <c r="H7" s="6">
        <f t="shared" si="1"/>
        <v>323.7200000000002</v>
      </c>
      <c r="I7" s="6">
        <f>I6+H7</f>
        <v>2177.5000000000005</v>
      </c>
      <c r="K7" s="1" t="str">
        <f>IF(I7&gt;=$J$3,"SIM","NÃO")</f>
        <v>SIM</v>
      </c>
    </row>
    <row r="8" spans="1:12" x14ac:dyDescent="0.25">
      <c r="A8" s="3">
        <v>42297</v>
      </c>
      <c r="B8" s="6">
        <v>26.96</v>
      </c>
      <c r="C8" s="6"/>
    </row>
    <row r="9" spans="1:12" x14ac:dyDescent="0.25">
      <c r="A9" s="3">
        <v>42298</v>
      </c>
      <c r="B9" s="6">
        <v>28.82</v>
      </c>
      <c r="C9" s="6"/>
      <c r="G9" s="35" t="s">
        <v>23</v>
      </c>
      <c r="H9" s="35"/>
      <c r="I9" s="35"/>
    </row>
    <row r="10" spans="1:12" x14ac:dyDescent="0.25">
      <c r="A10" s="3">
        <v>42299</v>
      </c>
      <c r="B10" s="6">
        <v>28.23</v>
      </c>
      <c r="C10" s="6" t="s">
        <v>19</v>
      </c>
      <c r="D10" s="21">
        <f>ROUNDUP(L3,0)</f>
        <v>14</v>
      </c>
      <c r="E10" s="6">
        <f>E7</f>
        <v>20.442580645161296</v>
      </c>
      <c r="F10" s="2"/>
      <c r="G10" s="6">
        <f>E10-$F$3</f>
        <v>10.442580645161296</v>
      </c>
      <c r="H10" s="6">
        <f>G10*D10</f>
        <v>146.19612903225814</v>
      </c>
      <c r="I10" s="6">
        <f>I6+H10</f>
        <v>1999.9761290322585</v>
      </c>
      <c r="K10" s="1" t="str">
        <f>IF(I10&gt;=$J$3,"SIM","NÃO")</f>
        <v>SIM</v>
      </c>
    </row>
    <row r="11" spans="1:12" x14ac:dyDescent="0.25">
      <c r="A11" s="3">
        <v>42300</v>
      </c>
      <c r="B11" s="6">
        <v>27.92</v>
      </c>
      <c r="C11" s="6"/>
    </row>
    <row r="12" spans="1:12" x14ac:dyDescent="0.25">
      <c r="A12" s="3">
        <v>42301</v>
      </c>
      <c r="B12" s="6">
        <v>29.89</v>
      </c>
      <c r="C12" s="6"/>
    </row>
    <row r="13" spans="1:12" x14ac:dyDescent="0.25">
      <c r="A13" s="3">
        <v>42302</v>
      </c>
      <c r="B13" s="6">
        <v>29.31</v>
      </c>
      <c r="C13" s="6"/>
    </row>
    <row r="14" spans="1:12" x14ac:dyDescent="0.25">
      <c r="A14" s="3">
        <v>42303</v>
      </c>
      <c r="B14" s="6">
        <v>29.32</v>
      </c>
      <c r="C14" s="6"/>
    </row>
    <row r="15" spans="1:12" x14ac:dyDescent="0.25">
      <c r="A15" s="3">
        <v>42304</v>
      </c>
      <c r="B15" s="6">
        <v>29.64</v>
      </c>
      <c r="C15" s="6"/>
    </row>
    <row r="16" spans="1:12" x14ac:dyDescent="0.25">
      <c r="A16" s="3">
        <v>42305</v>
      </c>
      <c r="B16" s="6">
        <v>27.92</v>
      </c>
      <c r="C16" s="6"/>
    </row>
    <row r="17" spans="1:3" x14ac:dyDescent="0.25">
      <c r="A17" s="3">
        <v>42306</v>
      </c>
      <c r="B17" s="6">
        <v>28.16</v>
      </c>
      <c r="C17" s="6"/>
    </row>
    <row r="18" spans="1:3" x14ac:dyDescent="0.25">
      <c r="A18" s="3">
        <v>42307</v>
      </c>
      <c r="B18" s="6">
        <v>29.23</v>
      </c>
      <c r="C18" s="6"/>
    </row>
    <row r="19" spans="1:3" x14ac:dyDescent="0.25">
      <c r="A19" s="3">
        <v>42308</v>
      </c>
      <c r="B19" s="6">
        <v>29.78</v>
      </c>
      <c r="C19" s="6"/>
    </row>
    <row r="20" spans="1:3" x14ac:dyDescent="0.25">
      <c r="A20" s="3">
        <v>42309</v>
      </c>
      <c r="B20" s="6">
        <v>30.31</v>
      </c>
      <c r="C20" s="6"/>
    </row>
    <row r="21" spans="1:3" x14ac:dyDescent="0.25">
      <c r="A21" s="3">
        <v>42310</v>
      </c>
      <c r="B21" s="6">
        <v>30.33</v>
      </c>
      <c r="C21" s="6"/>
    </row>
    <row r="22" spans="1:3" x14ac:dyDescent="0.25">
      <c r="A22" s="3">
        <v>42311</v>
      </c>
      <c r="B22" s="6">
        <v>29.11</v>
      </c>
      <c r="C22" s="6"/>
    </row>
    <row r="23" spans="1:3" x14ac:dyDescent="0.25">
      <c r="A23" s="3">
        <v>42312</v>
      </c>
      <c r="B23" s="6">
        <v>26.38</v>
      </c>
      <c r="C23" s="6"/>
    </row>
    <row r="24" spans="1:3" x14ac:dyDescent="0.25">
      <c r="A24" s="3">
        <v>42313</v>
      </c>
      <c r="B24" s="6">
        <v>25.75</v>
      </c>
      <c r="C24" s="6"/>
    </row>
    <row r="25" spans="1:3" x14ac:dyDescent="0.25">
      <c r="A25" s="3">
        <v>42314</v>
      </c>
      <c r="B25" s="6">
        <v>24.17</v>
      </c>
      <c r="C25" s="6"/>
    </row>
    <row r="26" spans="1:3" x14ac:dyDescent="0.25">
      <c r="A26" s="3">
        <v>42315</v>
      </c>
      <c r="B26" s="6">
        <v>25.22</v>
      </c>
      <c r="C26" s="6"/>
    </row>
    <row r="27" spans="1:3" x14ac:dyDescent="0.25">
      <c r="A27" s="3">
        <v>42316</v>
      </c>
      <c r="B27" s="6">
        <v>25.1</v>
      </c>
      <c r="C27" s="6"/>
    </row>
    <row r="28" spans="1:3" x14ac:dyDescent="0.25">
      <c r="A28" s="3">
        <v>42317</v>
      </c>
      <c r="B28" s="6">
        <v>24.69</v>
      </c>
      <c r="C28" s="6"/>
    </row>
    <row r="29" spans="1:3" x14ac:dyDescent="0.25">
      <c r="A29" s="3">
        <v>42318</v>
      </c>
      <c r="B29" s="6">
        <v>25.64</v>
      </c>
      <c r="C29" s="6"/>
    </row>
    <row r="30" spans="1:3" x14ac:dyDescent="0.25">
      <c r="A30" s="3">
        <v>42319</v>
      </c>
      <c r="B30" s="6">
        <v>25.48</v>
      </c>
      <c r="C30" s="6"/>
    </row>
    <row r="31" spans="1:3" x14ac:dyDescent="0.25">
      <c r="A31" s="3">
        <v>42320</v>
      </c>
      <c r="B31" s="6">
        <v>26.34</v>
      </c>
      <c r="C31" s="6"/>
    </row>
    <row r="32" spans="1:3" x14ac:dyDescent="0.25">
      <c r="A32" s="3">
        <v>42321</v>
      </c>
      <c r="B32" s="6">
        <v>26.45</v>
      </c>
      <c r="C32" s="6"/>
    </row>
    <row r="33" spans="1:3" x14ac:dyDescent="0.25">
      <c r="A33" s="3">
        <v>42322</v>
      </c>
      <c r="B33" s="6">
        <v>27.15</v>
      </c>
      <c r="C33" s="6"/>
    </row>
    <row r="34" spans="1:3" x14ac:dyDescent="0.25">
      <c r="A34" s="3">
        <v>42323</v>
      </c>
      <c r="B34" s="6">
        <v>27.56</v>
      </c>
      <c r="C34" s="6"/>
    </row>
    <row r="35" spans="1:3" x14ac:dyDescent="0.25">
      <c r="A35" s="3">
        <v>42324</v>
      </c>
      <c r="B35" s="6">
        <v>25.18</v>
      </c>
      <c r="C35" s="6"/>
    </row>
    <row r="36" spans="1:3" x14ac:dyDescent="0.25">
      <c r="A36" s="3">
        <v>42325</v>
      </c>
      <c r="B36" s="6">
        <v>26.69</v>
      </c>
      <c r="C36" s="6"/>
    </row>
    <row r="37" spans="1:3" x14ac:dyDescent="0.25">
      <c r="A37" s="3">
        <v>42326</v>
      </c>
      <c r="B37" s="6">
        <v>24.53</v>
      </c>
      <c r="C37" s="6"/>
    </row>
    <row r="38" spans="1:3" x14ac:dyDescent="0.25">
      <c r="A38" s="3">
        <v>42327</v>
      </c>
      <c r="B38" s="6">
        <v>22.49</v>
      </c>
      <c r="C38" s="6"/>
    </row>
    <row r="39" spans="1:3" x14ac:dyDescent="0.25">
      <c r="A39" s="3">
        <v>42328</v>
      </c>
      <c r="B39" s="6">
        <v>23.12</v>
      </c>
      <c r="C39" s="6"/>
    </row>
    <row r="40" spans="1:3" x14ac:dyDescent="0.25">
      <c r="A40" s="3">
        <v>42329</v>
      </c>
      <c r="B40" s="6">
        <v>25.39</v>
      </c>
      <c r="C40" s="6"/>
    </row>
    <row r="41" spans="1:3" x14ac:dyDescent="0.25">
      <c r="A41" s="3">
        <v>42330</v>
      </c>
      <c r="B41" s="6">
        <v>26.19</v>
      </c>
      <c r="C41" s="6"/>
    </row>
    <row r="42" spans="1:3" x14ac:dyDescent="0.25">
      <c r="A42" s="3">
        <v>42331</v>
      </c>
      <c r="B42" s="6">
        <v>25.97</v>
      </c>
      <c r="C42" s="6"/>
    </row>
    <row r="43" spans="1:3" x14ac:dyDescent="0.25">
      <c r="A43" s="3">
        <v>42332</v>
      </c>
      <c r="B43" s="6">
        <v>24.7</v>
      </c>
      <c r="C43" s="6"/>
    </row>
    <row r="44" spans="1:3" x14ac:dyDescent="0.25">
      <c r="A44" s="3">
        <v>42333</v>
      </c>
      <c r="B44" s="6">
        <v>27.28</v>
      </c>
      <c r="C44" s="6"/>
    </row>
    <row r="45" spans="1:3" x14ac:dyDescent="0.25">
      <c r="A45" s="3">
        <v>42334</v>
      </c>
      <c r="B45" s="6">
        <v>28.05</v>
      </c>
      <c r="C45" s="6"/>
    </row>
    <row r="46" spans="1:3" x14ac:dyDescent="0.25">
      <c r="A46" s="3">
        <v>42335</v>
      </c>
      <c r="B46" s="6">
        <v>25.61</v>
      </c>
      <c r="C46" s="6"/>
    </row>
    <row r="47" spans="1:3" x14ac:dyDescent="0.25">
      <c r="A47" s="3">
        <v>42336</v>
      </c>
      <c r="B47" s="6">
        <v>25.76</v>
      </c>
      <c r="C47" s="6"/>
    </row>
    <row r="48" spans="1:3" x14ac:dyDescent="0.25">
      <c r="A48" s="3">
        <v>42337</v>
      </c>
      <c r="B48" s="6">
        <v>25.1</v>
      </c>
      <c r="C48" s="6"/>
    </row>
    <row r="49" spans="1:3" x14ac:dyDescent="0.25">
      <c r="A49" s="3">
        <v>42338</v>
      </c>
      <c r="B49" s="6">
        <v>24.63</v>
      </c>
      <c r="C49" s="6"/>
    </row>
    <row r="50" spans="1:3" x14ac:dyDescent="0.25">
      <c r="A50" s="3">
        <v>42339</v>
      </c>
      <c r="B50" s="6">
        <v>25.41</v>
      </c>
      <c r="C50" s="6"/>
    </row>
    <row r="51" spans="1:3" x14ac:dyDescent="0.25">
      <c r="A51" s="3">
        <v>42340</v>
      </c>
      <c r="B51" s="6">
        <v>25.14</v>
      </c>
      <c r="C51" s="6"/>
    </row>
    <row r="52" spans="1:3" x14ac:dyDescent="0.25">
      <c r="A52" s="3">
        <v>42341</v>
      </c>
      <c r="B52" s="6">
        <v>26.04</v>
      </c>
      <c r="C52" s="6"/>
    </row>
    <row r="53" spans="1:3" x14ac:dyDescent="0.25">
      <c r="A53" s="3">
        <v>42342</v>
      </c>
      <c r="B53" s="6">
        <v>27.16</v>
      </c>
      <c r="C53" s="6"/>
    </row>
    <row r="54" spans="1:3" x14ac:dyDescent="0.25">
      <c r="A54" s="3">
        <v>42343</v>
      </c>
      <c r="B54" s="6">
        <v>28.98</v>
      </c>
      <c r="C54" s="6"/>
    </row>
    <row r="55" spans="1:3" x14ac:dyDescent="0.25">
      <c r="A55" s="3">
        <v>42344</v>
      </c>
      <c r="B55" s="6">
        <v>27.84</v>
      </c>
      <c r="C55" s="6"/>
    </row>
    <row r="56" spans="1:3" x14ac:dyDescent="0.25">
      <c r="A56" s="3">
        <v>42345</v>
      </c>
      <c r="B56" s="6">
        <v>27.88</v>
      </c>
      <c r="C56" s="6"/>
    </row>
    <row r="57" spans="1:3" x14ac:dyDescent="0.25">
      <c r="A57" s="3">
        <v>42346</v>
      </c>
      <c r="B57" s="6">
        <v>28.04</v>
      </c>
      <c r="C57" s="6"/>
    </row>
    <row r="58" spans="1:3" x14ac:dyDescent="0.25">
      <c r="A58" s="3">
        <v>42347</v>
      </c>
      <c r="B58" s="6">
        <v>24.23</v>
      </c>
      <c r="C58" s="6"/>
    </row>
    <row r="59" spans="1:3" x14ac:dyDescent="0.25">
      <c r="A59" s="3">
        <v>42348</v>
      </c>
      <c r="B59" s="6">
        <v>27.07</v>
      </c>
      <c r="C59" s="6"/>
    </row>
    <row r="60" spans="1:3" x14ac:dyDescent="0.25">
      <c r="A60" s="3">
        <v>42349</v>
      </c>
      <c r="B60" s="6">
        <v>26.64</v>
      </c>
      <c r="C60" s="6"/>
    </row>
    <row r="61" spans="1:3" x14ac:dyDescent="0.25">
      <c r="A61" s="3">
        <v>42350</v>
      </c>
      <c r="B61" s="6">
        <v>24.66</v>
      </c>
      <c r="C61" s="6"/>
    </row>
    <row r="62" spans="1:3" x14ac:dyDescent="0.25">
      <c r="A62" s="3">
        <v>42351</v>
      </c>
      <c r="B62" s="6">
        <v>25.44</v>
      </c>
      <c r="C62" s="6"/>
    </row>
    <row r="63" spans="1:3" x14ac:dyDescent="0.25">
      <c r="A63" s="3">
        <v>42352</v>
      </c>
      <c r="B63" s="6">
        <v>25.71</v>
      </c>
      <c r="C63" s="6"/>
    </row>
    <row r="64" spans="1:3" x14ac:dyDescent="0.25">
      <c r="A64" s="3">
        <v>42353</v>
      </c>
      <c r="B64" s="6">
        <v>25.95</v>
      </c>
      <c r="C64" s="6"/>
    </row>
    <row r="65" spans="1:3" x14ac:dyDescent="0.25">
      <c r="A65" s="3">
        <v>42354</v>
      </c>
      <c r="B65" s="6">
        <v>26.77</v>
      </c>
      <c r="C65" s="6"/>
    </row>
    <row r="66" spans="1:3" x14ac:dyDescent="0.25">
      <c r="A66" s="3">
        <v>42355</v>
      </c>
      <c r="B66" s="6">
        <v>26.39</v>
      </c>
      <c r="C66" s="6"/>
    </row>
    <row r="67" spans="1:3" x14ac:dyDescent="0.25">
      <c r="A67" s="3">
        <v>42356</v>
      </c>
      <c r="B67" s="6">
        <v>24</v>
      </c>
      <c r="C67" s="6"/>
    </row>
    <row r="68" spans="1:3" x14ac:dyDescent="0.25">
      <c r="A68" s="3">
        <v>42357</v>
      </c>
      <c r="B68" s="6">
        <v>23.98</v>
      </c>
      <c r="C68" s="6"/>
    </row>
    <row r="69" spans="1:3" x14ac:dyDescent="0.25">
      <c r="A69" s="3">
        <v>42358</v>
      </c>
      <c r="B69" s="6">
        <v>24.09</v>
      </c>
      <c r="C69" s="6"/>
    </row>
    <row r="70" spans="1:3" x14ac:dyDescent="0.25">
      <c r="A70" s="3">
        <v>42359</v>
      </c>
      <c r="B70" s="6">
        <v>24.38</v>
      </c>
      <c r="C70" s="6"/>
    </row>
    <row r="71" spans="1:3" x14ac:dyDescent="0.25">
      <c r="A71" s="3">
        <v>42360</v>
      </c>
      <c r="B71" s="6">
        <v>24.92</v>
      </c>
      <c r="C71" s="6"/>
    </row>
    <row r="72" spans="1:3" x14ac:dyDescent="0.25">
      <c r="A72" s="3">
        <v>42361</v>
      </c>
      <c r="B72" s="6">
        <v>25.9</v>
      </c>
      <c r="C72" s="6"/>
    </row>
    <row r="73" spans="1:3" x14ac:dyDescent="0.25">
      <c r="A73" s="3">
        <v>42362</v>
      </c>
      <c r="B73" s="6">
        <v>24.44</v>
      </c>
      <c r="C73" s="6"/>
    </row>
    <row r="74" spans="1:3" x14ac:dyDescent="0.25">
      <c r="A74" s="3">
        <v>42363</v>
      </c>
      <c r="B74" s="6">
        <v>25.4</v>
      </c>
      <c r="C74" s="6"/>
    </row>
    <row r="75" spans="1:3" x14ac:dyDescent="0.25">
      <c r="A75" s="3">
        <v>42364</v>
      </c>
      <c r="B75" s="6">
        <v>24.03</v>
      </c>
      <c r="C75" s="6"/>
    </row>
    <row r="76" spans="1:3" x14ac:dyDescent="0.25">
      <c r="A76" s="3">
        <v>42365</v>
      </c>
      <c r="B76" s="6">
        <v>24.43</v>
      </c>
      <c r="C76" s="6"/>
    </row>
    <row r="77" spans="1:3" x14ac:dyDescent="0.25">
      <c r="A77" s="3">
        <v>42366</v>
      </c>
      <c r="B77" s="6">
        <v>26.23</v>
      </c>
      <c r="C77" s="6"/>
    </row>
    <row r="78" spans="1:3" x14ac:dyDescent="0.25">
      <c r="A78" s="3">
        <v>42367</v>
      </c>
      <c r="B78" s="6">
        <v>24.86</v>
      </c>
      <c r="C78" s="6"/>
    </row>
    <row r="79" spans="1:3" x14ac:dyDescent="0.25">
      <c r="A79" s="3">
        <v>42368</v>
      </c>
      <c r="B79" s="6">
        <v>23.46</v>
      </c>
      <c r="C79" s="6"/>
    </row>
    <row r="80" spans="1:3" x14ac:dyDescent="0.25">
      <c r="A80" s="3">
        <v>42369</v>
      </c>
      <c r="B80" s="6">
        <v>23.4</v>
      </c>
      <c r="C80" s="6"/>
    </row>
    <row r="81" spans="1:3" x14ac:dyDescent="0.25">
      <c r="A81" s="3">
        <v>42370</v>
      </c>
      <c r="B81" s="6">
        <v>24.09</v>
      </c>
      <c r="C81" s="6"/>
    </row>
    <row r="82" spans="1:3" x14ac:dyDescent="0.25">
      <c r="A82" s="3">
        <v>42371</v>
      </c>
      <c r="B82" s="6">
        <v>23.72</v>
      </c>
      <c r="C82" s="6"/>
    </row>
    <row r="83" spans="1:3" x14ac:dyDescent="0.25">
      <c r="A83" s="3">
        <v>42372</v>
      </c>
      <c r="B83" s="6">
        <v>23.75</v>
      </c>
      <c r="C83" s="6"/>
    </row>
    <row r="84" spans="1:3" x14ac:dyDescent="0.25">
      <c r="A84" s="3">
        <v>42373</v>
      </c>
      <c r="B84" s="6">
        <v>24.97</v>
      </c>
      <c r="C84" s="6"/>
    </row>
    <row r="85" spans="1:3" x14ac:dyDescent="0.25">
      <c r="A85" s="3">
        <v>42374</v>
      </c>
      <c r="B85" s="6">
        <v>24.71</v>
      </c>
      <c r="C85" s="6"/>
    </row>
    <row r="86" spans="1:3" x14ac:dyDescent="0.25">
      <c r="A86" s="3">
        <v>42375</v>
      </c>
      <c r="B86" s="6">
        <v>25.52</v>
      </c>
      <c r="C86" s="6"/>
    </row>
    <row r="87" spans="1:3" x14ac:dyDescent="0.25">
      <c r="A87" s="3">
        <v>42376</v>
      </c>
      <c r="B87" s="6">
        <v>25.2</v>
      </c>
      <c r="C87" s="6"/>
    </row>
    <row r="88" spans="1:3" x14ac:dyDescent="0.25">
      <c r="A88" s="3">
        <v>42377</v>
      </c>
      <c r="B88" s="6">
        <v>26.38</v>
      </c>
      <c r="C88" s="6"/>
    </row>
    <row r="89" spans="1:3" x14ac:dyDescent="0.25">
      <c r="A89" s="3">
        <v>42378</v>
      </c>
      <c r="B89" s="6">
        <v>25.92</v>
      </c>
      <c r="C89" s="6"/>
    </row>
    <row r="90" spans="1:3" x14ac:dyDescent="0.25">
      <c r="A90" s="3">
        <v>42379</v>
      </c>
      <c r="B90" s="6">
        <v>24.62</v>
      </c>
      <c r="C90" s="6"/>
    </row>
    <row r="91" spans="1:3" x14ac:dyDescent="0.25">
      <c r="A91" s="3">
        <v>42380</v>
      </c>
      <c r="B91" s="6">
        <v>24.88</v>
      </c>
      <c r="C91" s="6"/>
    </row>
    <row r="92" spans="1:3" x14ac:dyDescent="0.25">
      <c r="A92" s="3">
        <v>42381</v>
      </c>
      <c r="B92" s="6">
        <v>26.63</v>
      </c>
      <c r="C92" s="6"/>
    </row>
    <row r="93" spans="1:3" x14ac:dyDescent="0.25">
      <c r="A93" s="3">
        <v>42382</v>
      </c>
      <c r="B93" s="6">
        <v>25.38</v>
      </c>
      <c r="C93" s="6"/>
    </row>
    <row r="94" spans="1:3" x14ac:dyDescent="0.25">
      <c r="A94" s="3">
        <v>42383</v>
      </c>
      <c r="B94" s="6">
        <v>24.46</v>
      </c>
      <c r="C94" s="6"/>
    </row>
    <row r="95" spans="1:3" x14ac:dyDescent="0.25">
      <c r="A95" s="3">
        <v>42384</v>
      </c>
      <c r="B95" s="6">
        <v>22.59</v>
      </c>
      <c r="C95" s="6"/>
    </row>
    <row r="96" spans="1:3" x14ac:dyDescent="0.25">
      <c r="A96" s="3">
        <v>42385</v>
      </c>
      <c r="B96" s="6">
        <v>22.84</v>
      </c>
      <c r="C96" s="6"/>
    </row>
    <row r="97" spans="1:3" x14ac:dyDescent="0.25">
      <c r="A97" s="3">
        <v>42386</v>
      </c>
      <c r="B97" s="6">
        <v>23.66</v>
      </c>
      <c r="C97" s="6"/>
    </row>
    <row r="98" spans="1:3" x14ac:dyDescent="0.25">
      <c r="A98" s="3">
        <v>42387</v>
      </c>
      <c r="B98" s="6">
        <v>25.24</v>
      </c>
      <c r="C98" s="6"/>
    </row>
    <row r="99" spans="1:3" x14ac:dyDescent="0.25">
      <c r="A99" s="3">
        <v>42388</v>
      </c>
      <c r="B99" s="6">
        <v>21.42</v>
      </c>
      <c r="C99" s="6"/>
    </row>
    <row r="100" spans="1:3" x14ac:dyDescent="0.25">
      <c r="A100" s="3">
        <v>42389</v>
      </c>
      <c r="B100" s="6">
        <v>22.12</v>
      </c>
      <c r="C100" s="6"/>
    </row>
    <row r="101" spans="1:3" x14ac:dyDescent="0.25">
      <c r="A101" s="3">
        <v>42390</v>
      </c>
      <c r="B101" s="6">
        <v>22.55</v>
      </c>
      <c r="C101" s="6"/>
    </row>
    <row r="102" spans="1:3" x14ac:dyDescent="0.25">
      <c r="A102" s="3">
        <v>42391</v>
      </c>
      <c r="B102" s="6">
        <v>23.1</v>
      </c>
      <c r="C102" s="6"/>
    </row>
    <row r="103" spans="1:3" x14ac:dyDescent="0.25">
      <c r="A103" s="3">
        <v>42392</v>
      </c>
      <c r="B103" s="6">
        <v>22.8</v>
      </c>
      <c r="C103" s="6"/>
    </row>
    <row r="104" spans="1:3" x14ac:dyDescent="0.25">
      <c r="A104" s="3">
        <v>42393</v>
      </c>
      <c r="B104" s="6">
        <v>22.61</v>
      </c>
      <c r="C104" s="6"/>
    </row>
    <row r="105" spans="1:3" x14ac:dyDescent="0.25">
      <c r="A105" s="3">
        <v>42394</v>
      </c>
      <c r="B105" s="6">
        <v>22.43</v>
      </c>
      <c r="C105" s="6"/>
    </row>
    <row r="106" spans="1:3" x14ac:dyDescent="0.25">
      <c r="A106" s="3">
        <v>42395</v>
      </c>
      <c r="B106" s="6">
        <v>22.9</v>
      </c>
      <c r="C106" s="6"/>
    </row>
    <row r="107" spans="1:3" x14ac:dyDescent="0.25">
      <c r="A107" s="3">
        <v>42396</v>
      </c>
      <c r="B107" s="6">
        <v>23.26</v>
      </c>
      <c r="C107" s="6"/>
    </row>
    <row r="108" spans="1:3" x14ac:dyDescent="0.25">
      <c r="A108" s="3">
        <v>42397</v>
      </c>
      <c r="B108" s="6">
        <v>23.65</v>
      </c>
      <c r="C108" s="6"/>
    </row>
    <row r="109" spans="1:3" x14ac:dyDescent="0.25">
      <c r="A109" s="3">
        <v>42398</v>
      </c>
      <c r="B109" s="6">
        <v>23.96</v>
      </c>
      <c r="C109" s="6"/>
    </row>
    <row r="110" spans="1:3" x14ac:dyDescent="0.25">
      <c r="A110" s="3">
        <v>42399</v>
      </c>
      <c r="B110" s="6">
        <v>24.94</v>
      </c>
      <c r="C110" s="6"/>
    </row>
    <row r="111" spans="1:3" x14ac:dyDescent="0.25">
      <c r="A111" s="3">
        <v>42400</v>
      </c>
      <c r="B111" s="6">
        <v>23.79</v>
      </c>
      <c r="C111" s="6"/>
    </row>
    <row r="112" spans="1:3" x14ac:dyDescent="0.25">
      <c r="A112" s="3">
        <v>42401</v>
      </c>
      <c r="B112" s="6">
        <v>27.17</v>
      </c>
      <c r="C112" s="6"/>
    </row>
    <row r="113" spans="1:3" x14ac:dyDescent="0.25">
      <c r="A113" s="3">
        <v>42402</v>
      </c>
      <c r="B113" s="6">
        <v>26.54</v>
      </c>
      <c r="C113" s="6"/>
    </row>
    <row r="114" spans="1:3" x14ac:dyDescent="0.25">
      <c r="A114" s="3">
        <v>42403</v>
      </c>
      <c r="B114" s="6">
        <v>24.27</v>
      </c>
      <c r="C114" s="6"/>
    </row>
    <row r="115" spans="1:3" x14ac:dyDescent="0.25">
      <c r="A115" s="3">
        <v>42404</v>
      </c>
      <c r="B115" s="6">
        <v>24.61</v>
      </c>
      <c r="C115" s="6"/>
    </row>
    <row r="116" spans="1:3" x14ac:dyDescent="0.25">
      <c r="A116" s="3">
        <v>42405</v>
      </c>
      <c r="B116" s="6">
        <v>23.75</v>
      </c>
      <c r="C116" s="6"/>
    </row>
    <row r="117" spans="1:3" x14ac:dyDescent="0.25">
      <c r="A117" s="3">
        <v>42406</v>
      </c>
      <c r="B117" s="6">
        <v>22.31</v>
      </c>
      <c r="C117" s="6"/>
    </row>
    <row r="118" spans="1:3" x14ac:dyDescent="0.25">
      <c r="A118" s="3">
        <v>42407</v>
      </c>
      <c r="B118" s="6">
        <v>20.65</v>
      </c>
      <c r="C118" s="6"/>
    </row>
    <row r="119" spans="1:3" x14ac:dyDescent="0.25">
      <c r="A119" s="3">
        <v>42408</v>
      </c>
      <c r="B119" s="6">
        <v>21.51</v>
      </c>
      <c r="C119" s="6"/>
    </row>
    <row r="120" spans="1:3" x14ac:dyDescent="0.25">
      <c r="A120" s="3">
        <v>42409</v>
      </c>
      <c r="B120" s="6">
        <v>21.7</v>
      </c>
      <c r="C120" s="6"/>
    </row>
    <row r="121" spans="1:3" x14ac:dyDescent="0.25">
      <c r="A121" s="3">
        <v>42410</v>
      </c>
      <c r="B121" s="6">
        <v>20.66</v>
      </c>
      <c r="C121" s="6"/>
    </row>
    <row r="122" spans="1:3" x14ac:dyDescent="0.25">
      <c r="A122" s="3">
        <v>42411</v>
      </c>
      <c r="B122" s="6">
        <v>19.52</v>
      </c>
      <c r="C122" s="6"/>
    </row>
    <row r="123" spans="1:3" x14ac:dyDescent="0.25">
      <c r="A123" s="3">
        <v>42412</v>
      </c>
      <c r="B123" s="6">
        <v>19.36</v>
      </c>
      <c r="C123" s="6"/>
    </row>
    <row r="124" spans="1:3" x14ac:dyDescent="0.25">
      <c r="A124" s="3">
        <v>42413</v>
      </c>
      <c r="B124" s="6">
        <v>20.9</v>
      </c>
      <c r="C124" s="6"/>
    </row>
    <row r="125" spans="1:3" x14ac:dyDescent="0.25">
      <c r="A125" s="3">
        <v>42414</v>
      </c>
      <c r="B125" s="6">
        <v>22.45</v>
      </c>
      <c r="C125" s="6"/>
    </row>
    <row r="126" spans="1:3" x14ac:dyDescent="0.25">
      <c r="A126" s="3">
        <v>42415</v>
      </c>
      <c r="B126" s="6">
        <v>21.67</v>
      </c>
      <c r="C126" s="6"/>
    </row>
    <row r="127" spans="1:3" x14ac:dyDescent="0.25">
      <c r="A127" s="3">
        <v>42416</v>
      </c>
      <c r="B127" s="6">
        <v>23.36</v>
      </c>
      <c r="C127" s="6"/>
    </row>
    <row r="128" spans="1:3" x14ac:dyDescent="0.25">
      <c r="A128" s="3">
        <v>42417</v>
      </c>
      <c r="B128" s="6">
        <v>20.81</v>
      </c>
      <c r="C128" s="6"/>
    </row>
    <row r="129" spans="1:3" x14ac:dyDescent="0.25">
      <c r="A129" s="3">
        <v>42418</v>
      </c>
      <c r="B129" s="6">
        <v>19.18</v>
      </c>
      <c r="C129" s="6"/>
    </row>
    <row r="130" spans="1:3" x14ac:dyDescent="0.25">
      <c r="A130" s="3">
        <v>42419</v>
      </c>
      <c r="B130" s="6">
        <v>19.579999999999998</v>
      </c>
      <c r="C130" s="6"/>
    </row>
    <row r="131" spans="1:3" x14ac:dyDescent="0.25">
      <c r="A131" s="3">
        <v>42420</v>
      </c>
      <c r="B131" s="6">
        <v>19.670000000000002</v>
      </c>
      <c r="C131" s="6"/>
    </row>
    <row r="132" spans="1:3" x14ac:dyDescent="0.25">
      <c r="A132" s="3">
        <v>42421</v>
      </c>
      <c r="B132" s="6">
        <v>20.41</v>
      </c>
      <c r="C132" s="6"/>
    </row>
    <row r="133" spans="1:3" x14ac:dyDescent="0.25">
      <c r="A133" s="3">
        <v>42422</v>
      </c>
      <c r="B133" s="6">
        <v>20.170000000000002</v>
      </c>
      <c r="C133" s="6"/>
    </row>
    <row r="134" spans="1:3" x14ac:dyDescent="0.25">
      <c r="A134" s="3">
        <v>42423</v>
      </c>
      <c r="B134" s="6">
        <v>19.61</v>
      </c>
      <c r="C134" s="6"/>
    </row>
    <row r="135" spans="1:3" x14ac:dyDescent="0.25">
      <c r="A135" s="3">
        <v>42424</v>
      </c>
      <c r="B135" s="6">
        <v>19.87</v>
      </c>
      <c r="C135" s="6"/>
    </row>
    <row r="136" spans="1:3" x14ac:dyDescent="0.25">
      <c r="A136" s="3">
        <v>42425</v>
      </c>
      <c r="B136" s="6">
        <v>20.11</v>
      </c>
      <c r="C136" s="6"/>
    </row>
    <row r="137" spans="1:3" x14ac:dyDescent="0.25">
      <c r="A137" s="3">
        <v>42426</v>
      </c>
      <c r="B137" s="6">
        <v>18.98</v>
      </c>
      <c r="C137" s="6"/>
    </row>
    <row r="138" spans="1:3" x14ac:dyDescent="0.25">
      <c r="A138" s="3">
        <v>42427</v>
      </c>
      <c r="B138" s="6">
        <v>18.66</v>
      </c>
      <c r="C138" s="6"/>
    </row>
    <row r="139" spans="1:3" x14ac:dyDescent="0.25">
      <c r="A139" s="3">
        <v>42428</v>
      </c>
      <c r="B139" s="6">
        <v>18.82</v>
      </c>
      <c r="C139" s="6"/>
    </row>
    <row r="140" spans="1:3" x14ac:dyDescent="0.25">
      <c r="A140" s="3">
        <v>42429</v>
      </c>
      <c r="B140" s="6">
        <v>19.75</v>
      </c>
      <c r="C140" s="6"/>
    </row>
    <row r="141" spans="1:3" x14ac:dyDescent="0.25">
      <c r="A141" s="3">
        <v>42430</v>
      </c>
      <c r="B141" s="6">
        <v>20.7</v>
      </c>
      <c r="C141" s="6"/>
    </row>
    <row r="142" spans="1:3" x14ac:dyDescent="0.25">
      <c r="A142" s="3">
        <v>42431</v>
      </c>
      <c r="B142" s="6">
        <v>20.92</v>
      </c>
      <c r="C142" s="6"/>
    </row>
    <row r="143" spans="1:3" x14ac:dyDescent="0.25">
      <c r="A143" s="3">
        <v>42432</v>
      </c>
      <c r="B143" s="6">
        <v>21.55</v>
      </c>
      <c r="C143" s="6"/>
    </row>
    <row r="144" spans="1:3" x14ac:dyDescent="0.25">
      <c r="A144" s="3">
        <v>42433</v>
      </c>
      <c r="B144" s="6">
        <v>21.51</v>
      </c>
      <c r="C144" s="6"/>
    </row>
    <row r="145" spans="1:3" x14ac:dyDescent="0.25">
      <c r="A145" s="3">
        <v>42434</v>
      </c>
      <c r="B145" s="6">
        <v>20.260000000000002</v>
      </c>
      <c r="C145" s="6"/>
    </row>
    <row r="146" spans="1:3" x14ac:dyDescent="0.25">
      <c r="A146" s="3">
        <v>42435</v>
      </c>
      <c r="B146" s="6">
        <v>21.04</v>
      </c>
      <c r="C146" s="6"/>
    </row>
    <row r="147" spans="1:3" x14ac:dyDescent="0.25">
      <c r="A147" s="3">
        <v>42436</v>
      </c>
      <c r="B147" s="6">
        <v>23.11</v>
      </c>
      <c r="C147" s="6"/>
    </row>
    <row r="148" spans="1:3" x14ac:dyDescent="0.25">
      <c r="A148" s="3">
        <v>42437</v>
      </c>
      <c r="B148" s="6">
        <v>23.61</v>
      </c>
      <c r="C148" s="6"/>
    </row>
    <row r="149" spans="1:3" x14ac:dyDescent="0.25">
      <c r="A149" s="3">
        <v>42438</v>
      </c>
      <c r="B149" s="6">
        <v>23.39</v>
      </c>
      <c r="C149" s="6"/>
    </row>
    <row r="150" spans="1:3" x14ac:dyDescent="0.25">
      <c r="A150" s="3">
        <v>42439</v>
      </c>
      <c r="B150" s="6">
        <v>18.84</v>
      </c>
      <c r="C150" s="6"/>
    </row>
    <row r="151" spans="1:3" x14ac:dyDescent="0.25">
      <c r="A151" s="3">
        <v>42440</v>
      </c>
      <c r="B151" s="6">
        <v>19.97</v>
      </c>
      <c r="C151" s="6"/>
    </row>
    <row r="152" spans="1:3" x14ac:dyDescent="0.25">
      <c r="A152" s="3">
        <v>42441</v>
      </c>
      <c r="B152" s="6">
        <v>17.14</v>
      </c>
      <c r="C152" s="6"/>
    </row>
    <row r="153" spans="1:3" x14ac:dyDescent="0.25">
      <c r="A153" s="3">
        <v>42442</v>
      </c>
      <c r="B153" s="6">
        <v>18.32</v>
      </c>
      <c r="C153" s="6"/>
    </row>
  </sheetData>
  <mergeCells count="1">
    <mergeCell ref="G9:I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0"/>
  <sheetViews>
    <sheetView zoomScale="160" zoomScaleNormal="160" workbookViewId="0">
      <selection activeCell="B3" sqref="B3"/>
    </sheetView>
  </sheetViews>
  <sheetFormatPr defaultRowHeight="15" x14ac:dyDescent="0.25"/>
  <cols>
    <col min="1" max="1" width="11.28515625" bestFit="1" customWidth="1"/>
    <col min="3" max="3" width="9.85546875" bestFit="1" customWidth="1"/>
    <col min="7" max="7" width="10" bestFit="1" customWidth="1"/>
    <col min="8" max="8" width="13.42578125" bestFit="1" customWidth="1"/>
    <col min="9" max="9" width="9.7109375" bestFit="1" customWidth="1"/>
    <col min="10" max="10" width="13.42578125" bestFit="1" customWidth="1"/>
  </cols>
  <sheetData>
    <row r="1" spans="1:10" x14ac:dyDescent="0.25">
      <c r="A1" s="4"/>
      <c r="B1" s="34"/>
      <c r="C1" s="34"/>
      <c r="D1" s="34"/>
      <c r="E1" s="34"/>
      <c r="F1" s="34"/>
      <c r="G1" s="34"/>
      <c r="H1" s="34"/>
      <c r="I1" s="34"/>
      <c r="J1" s="34"/>
    </row>
    <row r="2" spans="1:10" x14ac:dyDescent="0.25">
      <c r="A2" s="7" t="s">
        <v>6</v>
      </c>
      <c r="B2" s="7" t="s">
        <v>14</v>
      </c>
      <c r="C2" s="7" t="s">
        <v>8</v>
      </c>
      <c r="D2" s="7" t="s">
        <v>10</v>
      </c>
      <c r="E2" s="7" t="s">
        <v>11</v>
      </c>
      <c r="F2" s="7" t="s">
        <v>13</v>
      </c>
      <c r="G2" s="7" t="s">
        <v>53</v>
      </c>
      <c r="H2" s="7" t="s">
        <v>21</v>
      </c>
      <c r="I2" s="7" t="s">
        <v>54</v>
      </c>
      <c r="J2" s="7" t="s">
        <v>21</v>
      </c>
    </row>
    <row r="3" spans="1:10" x14ac:dyDescent="0.25">
      <c r="A3" s="3">
        <v>42292</v>
      </c>
      <c r="B3" s="6">
        <v>28.54</v>
      </c>
      <c r="C3" s="1">
        <v>1</v>
      </c>
      <c r="D3" s="19">
        <v>4.5</v>
      </c>
      <c r="E3" s="6">
        <f>B3-$D$3</f>
        <v>24.04</v>
      </c>
      <c r="F3" s="6">
        <f>E3</f>
        <v>24.04</v>
      </c>
      <c r="G3" s="6">
        <v>2324</v>
      </c>
      <c r="H3" s="1" t="str">
        <f>IF(F3&gt;=$G$3,"SIM","NÃO")</f>
        <v>NÃO</v>
      </c>
      <c r="I3" s="6">
        <v>3351</v>
      </c>
      <c r="J3" s="1" t="str">
        <f>IF(F3&gt;=$I$3,"SIM","NÃO")</f>
        <v>NÃO</v>
      </c>
    </row>
    <row r="4" spans="1:10" x14ac:dyDescent="0.25">
      <c r="A4" s="3">
        <v>42293</v>
      </c>
      <c r="B4" s="6">
        <v>27.69</v>
      </c>
      <c r="C4" s="1">
        <v>1</v>
      </c>
      <c r="D4" s="2"/>
      <c r="E4" s="6">
        <f>B4-$D$3</f>
        <v>23.19</v>
      </c>
      <c r="F4" s="6">
        <f>E4+F3</f>
        <v>47.230000000000004</v>
      </c>
      <c r="H4" s="1" t="str">
        <f>IF(F4&gt;=$G$3,"SIM","NÃO")</f>
        <v>NÃO</v>
      </c>
      <c r="J4" s="1" t="str">
        <f>IF(F4&gt;=$I$3,"SIM","NÃO")</f>
        <v>NÃO</v>
      </c>
    </row>
    <row r="5" spans="1:10" x14ac:dyDescent="0.25">
      <c r="A5" s="3">
        <v>42294</v>
      </c>
      <c r="B5" s="6">
        <v>28.57</v>
      </c>
      <c r="C5" s="1">
        <v>1</v>
      </c>
      <c r="D5" s="2"/>
      <c r="E5" s="6">
        <f t="shared" ref="E5:E68" si="0">B5-$D$3</f>
        <v>24.07</v>
      </c>
      <c r="F5" s="6">
        <f t="shared" ref="F5:F68" si="1">E5+F4</f>
        <v>71.300000000000011</v>
      </c>
      <c r="H5" s="1" t="str">
        <f t="shared" ref="H5:H68" si="2">IF(F5&gt;=$G$3,"SIM","NÃO")</f>
        <v>NÃO</v>
      </c>
      <c r="J5" s="1" t="str">
        <f t="shared" ref="J5:J68" si="3">IF(F5&gt;=$I$3,"SIM","NÃO")</f>
        <v>NÃO</v>
      </c>
    </row>
    <row r="6" spans="1:10" x14ac:dyDescent="0.25">
      <c r="A6" s="3">
        <v>42295</v>
      </c>
      <c r="B6" s="6">
        <v>26.54</v>
      </c>
      <c r="C6" s="1">
        <v>1</v>
      </c>
      <c r="D6" s="2"/>
      <c r="E6" s="6">
        <f t="shared" si="0"/>
        <v>22.04</v>
      </c>
      <c r="F6" s="6">
        <f t="shared" si="1"/>
        <v>93.34</v>
      </c>
      <c r="H6" s="1" t="str">
        <f t="shared" si="2"/>
        <v>NÃO</v>
      </c>
      <c r="J6" s="1" t="str">
        <f t="shared" si="3"/>
        <v>NÃO</v>
      </c>
    </row>
    <row r="7" spans="1:10" x14ac:dyDescent="0.25">
      <c r="A7" s="3">
        <v>42296</v>
      </c>
      <c r="B7" s="6">
        <v>27.24</v>
      </c>
      <c r="C7" s="1">
        <v>1</v>
      </c>
      <c r="D7" s="2"/>
      <c r="E7" s="6">
        <f t="shared" si="0"/>
        <v>22.74</v>
      </c>
      <c r="F7" s="6">
        <f t="shared" si="1"/>
        <v>116.08</v>
      </c>
      <c r="H7" s="1" t="str">
        <f t="shared" si="2"/>
        <v>NÃO</v>
      </c>
      <c r="J7" s="1" t="str">
        <f t="shared" si="3"/>
        <v>NÃO</v>
      </c>
    </row>
    <row r="8" spans="1:10" x14ac:dyDescent="0.25">
      <c r="A8" s="3">
        <v>42297</v>
      </c>
      <c r="B8" s="6">
        <v>26.96</v>
      </c>
      <c r="C8" s="1">
        <v>1</v>
      </c>
      <c r="E8" s="6">
        <f t="shared" si="0"/>
        <v>22.46</v>
      </c>
      <c r="F8" s="6">
        <f t="shared" si="1"/>
        <v>138.54</v>
      </c>
      <c r="H8" s="1" t="str">
        <f t="shared" si="2"/>
        <v>NÃO</v>
      </c>
      <c r="J8" s="1" t="str">
        <f t="shared" si="3"/>
        <v>NÃO</v>
      </c>
    </row>
    <row r="9" spans="1:10" x14ac:dyDescent="0.25">
      <c r="A9" s="3">
        <v>42298</v>
      </c>
      <c r="B9" s="6">
        <v>28.82</v>
      </c>
      <c r="C9" s="1">
        <v>1</v>
      </c>
      <c r="E9" s="6">
        <f t="shared" si="0"/>
        <v>24.32</v>
      </c>
      <c r="F9" s="6">
        <f t="shared" si="1"/>
        <v>162.85999999999999</v>
      </c>
      <c r="H9" s="1" t="str">
        <f t="shared" si="2"/>
        <v>NÃO</v>
      </c>
      <c r="J9" s="1" t="str">
        <f t="shared" si="3"/>
        <v>NÃO</v>
      </c>
    </row>
    <row r="10" spans="1:10" x14ac:dyDescent="0.25">
      <c r="A10" s="3">
        <v>42299</v>
      </c>
      <c r="B10" s="6">
        <v>28.23</v>
      </c>
      <c r="C10" s="1">
        <v>1</v>
      </c>
      <c r="E10" s="6">
        <f t="shared" si="0"/>
        <v>23.73</v>
      </c>
      <c r="F10" s="6">
        <f t="shared" si="1"/>
        <v>186.58999999999997</v>
      </c>
      <c r="H10" s="1" t="str">
        <f t="shared" si="2"/>
        <v>NÃO</v>
      </c>
      <c r="J10" s="1" t="str">
        <f t="shared" si="3"/>
        <v>NÃO</v>
      </c>
    </row>
    <row r="11" spans="1:10" x14ac:dyDescent="0.25">
      <c r="A11" s="3">
        <v>42300</v>
      </c>
      <c r="B11" s="6">
        <v>27.92</v>
      </c>
      <c r="C11" s="1">
        <v>1</v>
      </c>
      <c r="E11" s="6">
        <f t="shared" si="0"/>
        <v>23.42</v>
      </c>
      <c r="F11" s="6">
        <f t="shared" si="1"/>
        <v>210.01</v>
      </c>
      <c r="H11" s="1" t="str">
        <f t="shared" si="2"/>
        <v>NÃO</v>
      </c>
      <c r="J11" s="1" t="str">
        <f t="shared" si="3"/>
        <v>NÃO</v>
      </c>
    </row>
    <row r="12" spans="1:10" x14ac:dyDescent="0.25">
      <c r="A12" s="3">
        <v>42301</v>
      </c>
      <c r="B12" s="6">
        <v>29.89</v>
      </c>
      <c r="C12" s="1">
        <v>1</v>
      </c>
      <c r="E12" s="6">
        <f t="shared" si="0"/>
        <v>25.39</v>
      </c>
      <c r="F12" s="6">
        <f t="shared" si="1"/>
        <v>235.39999999999998</v>
      </c>
      <c r="H12" s="1" t="str">
        <f t="shared" si="2"/>
        <v>NÃO</v>
      </c>
      <c r="J12" s="1" t="str">
        <f t="shared" si="3"/>
        <v>NÃO</v>
      </c>
    </row>
    <row r="13" spans="1:10" x14ac:dyDescent="0.25">
      <c r="A13" s="3">
        <v>42302</v>
      </c>
      <c r="B13" s="6">
        <v>29.31</v>
      </c>
      <c r="C13" s="1">
        <v>1</v>
      </c>
      <c r="E13" s="6">
        <f t="shared" si="0"/>
        <v>24.81</v>
      </c>
      <c r="F13" s="6">
        <f t="shared" si="1"/>
        <v>260.20999999999998</v>
      </c>
      <c r="H13" s="1" t="str">
        <f t="shared" si="2"/>
        <v>NÃO</v>
      </c>
      <c r="J13" s="1" t="str">
        <f t="shared" si="3"/>
        <v>NÃO</v>
      </c>
    </row>
    <row r="14" spans="1:10" x14ac:dyDescent="0.25">
      <c r="A14" s="3">
        <v>42303</v>
      </c>
      <c r="B14" s="6">
        <v>29.32</v>
      </c>
      <c r="C14" s="1">
        <v>1</v>
      </c>
      <c r="E14" s="6">
        <f t="shared" si="0"/>
        <v>24.82</v>
      </c>
      <c r="F14" s="6">
        <f t="shared" si="1"/>
        <v>285.02999999999997</v>
      </c>
      <c r="H14" s="1" t="str">
        <f t="shared" si="2"/>
        <v>NÃO</v>
      </c>
      <c r="J14" s="1" t="str">
        <f t="shared" si="3"/>
        <v>NÃO</v>
      </c>
    </row>
    <row r="15" spans="1:10" x14ac:dyDescent="0.25">
      <c r="A15" s="3">
        <v>42304</v>
      </c>
      <c r="B15" s="6">
        <v>29.64</v>
      </c>
      <c r="C15" s="1">
        <v>1</v>
      </c>
      <c r="E15" s="6">
        <f t="shared" si="0"/>
        <v>25.14</v>
      </c>
      <c r="F15" s="6">
        <f t="shared" si="1"/>
        <v>310.16999999999996</v>
      </c>
      <c r="H15" s="1" t="str">
        <f t="shared" si="2"/>
        <v>NÃO</v>
      </c>
      <c r="J15" s="1" t="str">
        <f t="shared" si="3"/>
        <v>NÃO</v>
      </c>
    </row>
    <row r="16" spans="1:10" x14ac:dyDescent="0.25">
      <c r="A16" s="3">
        <v>42305</v>
      </c>
      <c r="B16" s="6">
        <v>27.92</v>
      </c>
      <c r="C16" s="1">
        <v>1</v>
      </c>
      <c r="E16" s="6">
        <f t="shared" si="0"/>
        <v>23.42</v>
      </c>
      <c r="F16" s="6">
        <f t="shared" si="1"/>
        <v>333.59</v>
      </c>
      <c r="H16" s="1" t="str">
        <f t="shared" si="2"/>
        <v>NÃO</v>
      </c>
      <c r="J16" s="1" t="str">
        <f t="shared" si="3"/>
        <v>NÃO</v>
      </c>
    </row>
    <row r="17" spans="1:10" x14ac:dyDescent="0.25">
      <c r="A17" s="3">
        <v>42306</v>
      </c>
      <c r="B17" s="6">
        <v>28.16</v>
      </c>
      <c r="C17" s="1">
        <v>1</v>
      </c>
      <c r="E17" s="6">
        <f t="shared" si="0"/>
        <v>23.66</v>
      </c>
      <c r="F17" s="6">
        <f t="shared" si="1"/>
        <v>357.25</v>
      </c>
      <c r="H17" s="1" t="str">
        <f t="shared" si="2"/>
        <v>NÃO</v>
      </c>
      <c r="J17" s="1" t="str">
        <f t="shared" si="3"/>
        <v>NÃO</v>
      </c>
    </row>
    <row r="18" spans="1:10" x14ac:dyDescent="0.25">
      <c r="A18" s="3">
        <v>42307</v>
      </c>
      <c r="B18" s="6">
        <v>29.23</v>
      </c>
      <c r="C18" s="1">
        <v>1</v>
      </c>
      <c r="E18" s="6">
        <f t="shared" si="0"/>
        <v>24.73</v>
      </c>
      <c r="F18" s="6">
        <f t="shared" si="1"/>
        <v>381.98</v>
      </c>
      <c r="H18" s="1" t="str">
        <f t="shared" si="2"/>
        <v>NÃO</v>
      </c>
      <c r="J18" s="1" t="str">
        <f t="shared" si="3"/>
        <v>NÃO</v>
      </c>
    </row>
    <row r="19" spans="1:10" x14ac:dyDescent="0.25">
      <c r="A19" s="3">
        <v>42308</v>
      </c>
      <c r="B19" s="6">
        <v>29.78</v>
      </c>
      <c r="C19" s="1">
        <v>1</v>
      </c>
      <c r="E19" s="6">
        <f t="shared" si="0"/>
        <v>25.28</v>
      </c>
      <c r="F19" s="6">
        <f t="shared" si="1"/>
        <v>407.26</v>
      </c>
      <c r="H19" s="1" t="str">
        <f t="shared" si="2"/>
        <v>NÃO</v>
      </c>
      <c r="J19" s="1" t="str">
        <f t="shared" si="3"/>
        <v>NÃO</v>
      </c>
    </row>
    <row r="20" spans="1:10" x14ac:dyDescent="0.25">
      <c r="A20" s="3">
        <v>42309</v>
      </c>
      <c r="B20" s="6">
        <v>30.31</v>
      </c>
      <c r="C20" s="1">
        <v>1</v>
      </c>
      <c r="E20" s="6">
        <f t="shared" si="0"/>
        <v>25.81</v>
      </c>
      <c r="F20" s="6">
        <f t="shared" si="1"/>
        <v>433.07</v>
      </c>
      <c r="H20" s="1" t="str">
        <f t="shared" si="2"/>
        <v>NÃO</v>
      </c>
      <c r="J20" s="1" t="str">
        <f t="shared" si="3"/>
        <v>NÃO</v>
      </c>
    </row>
    <row r="21" spans="1:10" x14ac:dyDescent="0.25">
      <c r="A21" s="3">
        <v>42310</v>
      </c>
      <c r="B21" s="6">
        <v>30.33</v>
      </c>
      <c r="C21" s="1">
        <v>1</v>
      </c>
      <c r="E21" s="6">
        <f t="shared" si="0"/>
        <v>25.83</v>
      </c>
      <c r="F21" s="6">
        <f t="shared" si="1"/>
        <v>458.9</v>
      </c>
      <c r="H21" s="1" t="str">
        <f t="shared" si="2"/>
        <v>NÃO</v>
      </c>
      <c r="J21" s="1" t="str">
        <f t="shared" si="3"/>
        <v>NÃO</v>
      </c>
    </row>
    <row r="22" spans="1:10" x14ac:dyDescent="0.25">
      <c r="A22" s="3">
        <v>42311</v>
      </c>
      <c r="B22" s="6">
        <v>29.11</v>
      </c>
      <c r="C22" s="1">
        <v>1</v>
      </c>
      <c r="E22" s="6">
        <f t="shared" si="0"/>
        <v>24.61</v>
      </c>
      <c r="F22" s="6">
        <f t="shared" si="1"/>
        <v>483.51</v>
      </c>
      <c r="H22" s="1" t="str">
        <f t="shared" si="2"/>
        <v>NÃO</v>
      </c>
      <c r="J22" s="1" t="str">
        <f t="shared" si="3"/>
        <v>NÃO</v>
      </c>
    </row>
    <row r="23" spans="1:10" x14ac:dyDescent="0.25">
      <c r="A23" s="3">
        <v>42312</v>
      </c>
      <c r="B23" s="6">
        <v>26.38</v>
      </c>
      <c r="C23" s="1">
        <v>1</v>
      </c>
      <c r="E23" s="6">
        <f t="shared" si="0"/>
        <v>21.88</v>
      </c>
      <c r="F23" s="6">
        <f t="shared" si="1"/>
        <v>505.39</v>
      </c>
      <c r="H23" s="1" t="str">
        <f t="shared" si="2"/>
        <v>NÃO</v>
      </c>
      <c r="J23" s="1" t="str">
        <f t="shared" si="3"/>
        <v>NÃO</v>
      </c>
    </row>
    <row r="24" spans="1:10" x14ac:dyDescent="0.25">
      <c r="A24" s="3">
        <v>42313</v>
      </c>
      <c r="B24" s="6">
        <v>25.75</v>
      </c>
      <c r="C24" s="1">
        <v>1</v>
      </c>
      <c r="E24" s="6">
        <f t="shared" si="0"/>
        <v>21.25</v>
      </c>
      <c r="F24" s="6">
        <f t="shared" si="1"/>
        <v>526.64</v>
      </c>
      <c r="H24" s="1" t="str">
        <f t="shared" si="2"/>
        <v>NÃO</v>
      </c>
      <c r="J24" s="1" t="str">
        <f t="shared" si="3"/>
        <v>NÃO</v>
      </c>
    </row>
    <row r="25" spans="1:10" x14ac:dyDescent="0.25">
      <c r="A25" s="3">
        <v>42314</v>
      </c>
      <c r="B25" s="6">
        <v>24.17</v>
      </c>
      <c r="C25" s="1">
        <v>1</v>
      </c>
      <c r="E25" s="6">
        <f t="shared" si="0"/>
        <v>19.670000000000002</v>
      </c>
      <c r="F25" s="6">
        <f t="shared" si="1"/>
        <v>546.30999999999995</v>
      </c>
      <c r="H25" s="1" t="str">
        <f t="shared" si="2"/>
        <v>NÃO</v>
      </c>
      <c r="J25" s="1" t="str">
        <f t="shared" si="3"/>
        <v>NÃO</v>
      </c>
    </row>
    <row r="26" spans="1:10" x14ac:dyDescent="0.25">
      <c r="A26" s="3">
        <v>42315</v>
      </c>
      <c r="B26" s="6">
        <v>25.22</v>
      </c>
      <c r="C26" s="1">
        <v>1</v>
      </c>
      <c r="E26" s="6">
        <f t="shared" si="0"/>
        <v>20.72</v>
      </c>
      <c r="F26" s="6">
        <f t="shared" si="1"/>
        <v>567.03</v>
      </c>
      <c r="H26" s="1" t="str">
        <f t="shared" si="2"/>
        <v>NÃO</v>
      </c>
      <c r="J26" s="1" t="str">
        <f t="shared" si="3"/>
        <v>NÃO</v>
      </c>
    </row>
    <row r="27" spans="1:10" x14ac:dyDescent="0.25">
      <c r="A27" s="3">
        <v>42316</v>
      </c>
      <c r="B27" s="6">
        <v>25.1</v>
      </c>
      <c r="C27" s="1">
        <v>1</v>
      </c>
      <c r="E27" s="6">
        <f t="shared" si="0"/>
        <v>20.6</v>
      </c>
      <c r="F27" s="6">
        <f t="shared" si="1"/>
        <v>587.63</v>
      </c>
      <c r="H27" s="1" t="str">
        <f t="shared" si="2"/>
        <v>NÃO</v>
      </c>
      <c r="J27" s="1" t="str">
        <f t="shared" si="3"/>
        <v>NÃO</v>
      </c>
    </row>
    <row r="28" spans="1:10" x14ac:dyDescent="0.25">
      <c r="A28" s="3">
        <v>42317</v>
      </c>
      <c r="B28" s="6">
        <v>24.69</v>
      </c>
      <c r="C28" s="1">
        <v>1</v>
      </c>
      <c r="E28" s="6">
        <f t="shared" si="0"/>
        <v>20.190000000000001</v>
      </c>
      <c r="F28" s="6">
        <f t="shared" si="1"/>
        <v>607.82000000000005</v>
      </c>
      <c r="H28" s="1" t="str">
        <f t="shared" si="2"/>
        <v>NÃO</v>
      </c>
      <c r="J28" s="1" t="str">
        <f t="shared" si="3"/>
        <v>NÃO</v>
      </c>
    </row>
    <row r="29" spans="1:10" x14ac:dyDescent="0.25">
      <c r="A29" s="3">
        <v>42318</v>
      </c>
      <c r="B29" s="6">
        <v>25.64</v>
      </c>
      <c r="C29" s="1">
        <v>1</v>
      </c>
      <c r="E29" s="6">
        <f t="shared" si="0"/>
        <v>21.14</v>
      </c>
      <c r="F29" s="6">
        <f t="shared" si="1"/>
        <v>628.96</v>
      </c>
      <c r="H29" s="1" t="str">
        <f t="shared" si="2"/>
        <v>NÃO</v>
      </c>
      <c r="J29" s="1" t="str">
        <f t="shared" si="3"/>
        <v>NÃO</v>
      </c>
    </row>
    <row r="30" spans="1:10" x14ac:dyDescent="0.25">
      <c r="A30" s="3">
        <v>42319</v>
      </c>
      <c r="B30" s="6">
        <v>25.48</v>
      </c>
      <c r="C30" s="1">
        <v>1</v>
      </c>
      <c r="E30" s="6">
        <f t="shared" si="0"/>
        <v>20.98</v>
      </c>
      <c r="F30" s="6">
        <f t="shared" si="1"/>
        <v>649.94000000000005</v>
      </c>
      <c r="H30" s="1" t="str">
        <f t="shared" si="2"/>
        <v>NÃO</v>
      </c>
      <c r="J30" s="1" t="str">
        <f t="shared" si="3"/>
        <v>NÃO</v>
      </c>
    </row>
    <row r="31" spans="1:10" x14ac:dyDescent="0.25">
      <c r="A31" s="3">
        <v>42320</v>
      </c>
      <c r="B31" s="6">
        <v>26.34</v>
      </c>
      <c r="C31" s="1">
        <v>1</v>
      </c>
      <c r="E31" s="6">
        <f t="shared" si="0"/>
        <v>21.84</v>
      </c>
      <c r="F31" s="6">
        <f t="shared" si="1"/>
        <v>671.78000000000009</v>
      </c>
      <c r="H31" s="1" t="str">
        <f t="shared" si="2"/>
        <v>NÃO</v>
      </c>
      <c r="J31" s="1" t="str">
        <f t="shared" si="3"/>
        <v>NÃO</v>
      </c>
    </row>
    <row r="32" spans="1:10" x14ac:dyDescent="0.25">
      <c r="A32" s="3">
        <v>42321</v>
      </c>
      <c r="B32" s="6">
        <v>26.45</v>
      </c>
      <c r="C32" s="1">
        <v>1</v>
      </c>
      <c r="E32" s="6">
        <f t="shared" si="0"/>
        <v>21.95</v>
      </c>
      <c r="F32" s="6">
        <f t="shared" si="1"/>
        <v>693.73000000000013</v>
      </c>
      <c r="H32" s="1" t="str">
        <f t="shared" si="2"/>
        <v>NÃO</v>
      </c>
      <c r="J32" s="1" t="str">
        <f t="shared" si="3"/>
        <v>NÃO</v>
      </c>
    </row>
    <row r="33" spans="1:10" x14ac:dyDescent="0.25">
      <c r="A33" s="3">
        <v>42322</v>
      </c>
      <c r="B33" s="6">
        <v>27.15</v>
      </c>
      <c r="C33" s="1">
        <v>1</v>
      </c>
      <c r="E33" s="6">
        <f t="shared" si="0"/>
        <v>22.65</v>
      </c>
      <c r="F33" s="6">
        <f t="shared" si="1"/>
        <v>716.38000000000011</v>
      </c>
      <c r="H33" s="1" t="str">
        <f t="shared" si="2"/>
        <v>NÃO</v>
      </c>
      <c r="J33" s="1" t="str">
        <f t="shared" si="3"/>
        <v>NÃO</v>
      </c>
    </row>
    <row r="34" spans="1:10" x14ac:dyDescent="0.25">
      <c r="A34" s="3">
        <v>42323</v>
      </c>
      <c r="B34" s="6">
        <v>27.56</v>
      </c>
      <c r="C34" s="1">
        <v>1</v>
      </c>
      <c r="E34" s="6">
        <f t="shared" si="0"/>
        <v>23.06</v>
      </c>
      <c r="F34" s="6">
        <f t="shared" si="1"/>
        <v>739.44</v>
      </c>
      <c r="H34" s="1" t="str">
        <f t="shared" si="2"/>
        <v>NÃO</v>
      </c>
      <c r="J34" s="1" t="str">
        <f t="shared" si="3"/>
        <v>NÃO</v>
      </c>
    </row>
    <row r="35" spans="1:10" x14ac:dyDescent="0.25">
      <c r="A35" s="3">
        <v>42324</v>
      </c>
      <c r="B35" s="6">
        <v>25.18</v>
      </c>
      <c r="C35" s="1">
        <v>1</v>
      </c>
      <c r="E35" s="6">
        <f t="shared" si="0"/>
        <v>20.68</v>
      </c>
      <c r="F35" s="6">
        <f t="shared" si="1"/>
        <v>760.12</v>
      </c>
      <c r="H35" s="1" t="str">
        <f t="shared" si="2"/>
        <v>NÃO</v>
      </c>
      <c r="J35" s="1" t="str">
        <f t="shared" si="3"/>
        <v>NÃO</v>
      </c>
    </row>
    <row r="36" spans="1:10" x14ac:dyDescent="0.25">
      <c r="A36" s="3">
        <v>42325</v>
      </c>
      <c r="B36" s="6">
        <v>26.69</v>
      </c>
      <c r="C36" s="1">
        <v>1</v>
      </c>
      <c r="E36" s="6">
        <f t="shared" si="0"/>
        <v>22.19</v>
      </c>
      <c r="F36" s="6">
        <f t="shared" si="1"/>
        <v>782.31000000000006</v>
      </c>
      <c r="H36" s="1" t="str">
        <f t="shared" si="2"/>
        <v>NÃO</v>
      </c>
      <c r="J36" s="1" t="str">
        <f t="shared" si="3"/>
        <v>NÃO</v>
      </c>
    </row>
    <row r="37" spans="1:10" x14ac:dyDescent="0.25">
      <c r="A37" s="3">
        <v>42326</v>
      </c>
      <c r="B37" s="6">
        <v>24.53</v>
      </c>
      <c r="C37" s="1">
        <v>1</v>
      </c>
      <c r="E37" s="6">
        <f t="shared" si="0"/>
        <v>20.03</v>
      </c>
      <c r="F37" s="6">
        <f t="shared" si="1"/>
        <v>802.34</v>
      </c>
      <c r="H37" s="1" t="str">
        <f t="shared" si="2"/>
        <v>NÃO</v>
      </c>
      <c r="J37" s="1" t="str">
        <f t="shared" si="3"/>
        <v>NÃO</v>
      </c>
    </row>
    <row r="38" spans="1:10" x14ac:dyDescent="0.25">
      <c r="A38" s="3">
        <v>42327</v>
      </c>
      <c r="B38" s="6">
        <v>22.49</v>
      </c>
      <c r="C38" s="1">
        <v>1</v>
      </c>
      <c r="E38" s="6">
        <f t="shared" si="0"/>
        <v>17.989999999999998</v>
      </c>
      <c r="F38" s="6">
        <f t="shared" si="1"/>
        <v>820.33</v>
      </c>
      <c r="H38" s="1" t="str">
        <f t="shared" si="2"/>
        <v>NÃO</v>
      </c>
      <c r="J38" s="1" t="str">
        <f t="shared" si="3"/>
        <v>NÃO</v>
      </c>
    </row>
    <row r="39" spans="1:10" x14ac:dyDescent="0.25">
      <c r="A39" s="3">
        <v>42328</v>
      </c>
      <c r="B39" s="6">
        <v>23.12</v>
      </c>
      <c r="C39" s="1">
        <v>1</v>
      </c>
      <c r="E39" s="6">
        <f t="shared" si="0"/>
        <v>18.62</v>
      </c>
      <c r="F39" s="6">
        <f t="shared" si="1"/>
        <v>838.95</v>
      </c>
      <c r="H39" s="1" t="str">
        <f t="shared" si="2"/>
        <v>NÃO</v>
      </c>
      <c r="J39" s="1" t="str">
        <f t="shared" si="3"/>
        <v>NÃO</v>
      </c>
    </row>
    <row r="40" spans="1:10" x14ac:dyDescent="0.25">
      <c r="A40" s="3">
        <v>42329</v>
      </c>
      <c r="B40" s="6">
        <v>25.39</v>
      </c>
      <c r="C40" s="1">
        <v>1</v>
      </c>
      <c r="E40" s="6">
        <f t="shared" si="0"/>
        <v>20.89</v>
      </c>
      <c r="F40" s="6">
        <f t="shared" si="1"/>
        <v>859.84</v>
      </c>
      <c r="H40" s="1" t="str">
        <f t="shared" si="2"/>
        <v>NÃO</v>
      </c>
      <c r="J40" s="1" t="str">
        <f t="shared" si="3"/>
        <v>NÃO</v>
      </c>
    </row>
    <row r="41" spans="1:10" x14ac:dyDescent="0.25">
      <c r="A41" s="3">
        <v>42330</v>
      </c>
      <c r="B41" s="6">
        <v>26.19</v>
      </c>
      <c r="C41" s="1">
        <v>1</v>
      </c>
      <c r="E41" s="6">
        <f t="shared" si="0"/>
        <v>21.69</v>
      </c>
      <c r="F41" s="6">
        <f t="shared" si="1"/>
        <v>881.53000000000009</v>
      </c>
      <c r="H41" s="1" t="str">
        <f t="shared" si="2"/>
        <v>NÃO</v>
      </c>
      <c r="J41" s="1" t="str">
        <f t="shared" si="3"/>
        <v>NÃO</v>
      </c>
    </row>
    <row r="42" spans="1:10" x14ac:dyDescent="0.25">
      <c r="A42" s="3">
        <v>42331</v>
      </c>
      <c r="B42" s="6">
        <v>25.97</v>
      </c>
      <c r="C42" s="1">
        <v>1</v>
      </c>
      <c r="E42" s="6">
        <f t="shared" si="0"/>
        <v>21.47</v>
      </c>
      <c r="F42" s="6">
        <f t="shared" si="1"/>
        <v>903.00000000000011</v>
      </c>
      <c r="H42" s="1" t="str">
        <f t="shared" si="2"/>
        <v>NÃO</v>
      </c>
      <c r="J42" s="1" t="str">
        <f t="shared" si="3"/>
        <v>NÃO</v>
      </c>
    </row>
    <row r="43" spans="1:10" x14ac:dyDescent="0.25">
      <c r="A43" s="3">
        <v>42332</v>
      </c>
      <c r="B43" s="6">
        <v>24.7</v>
      </c>
      <c r="C43" s="1">
        <v>1</v>
      </c>
      <c r="E43" s="6">
        <f t="shared" si="0"/>
        <v>20.2</v>
      </c>
      <c r="F43" s="6">
        <f t="shared" si="1"/>
        <v>923.20000000000016</v>
      </c>
      <c r="H43" s="1" t="str">
        <f t="shared" si="2"/>
        <v>NÃO</v>
      </c>
      <c r="J43" s="1" t="str">
        <f t="shared" si="3"/>
        <v>NÃO</v>
      </c>
    </row>
    <row r="44" spans="1:10" x14ac:dyDescent="0.25">
      <c r="A44" s="3">
        <v>42333</v>
      </c>
      <c r="B44" s="6">
        <v>27.28</v>
      </c>
      <c r="C44" s="1">
        <v>1</v>
      </c>
      <c r="E44" s="6">
        <f t="shared" si="0"/>
        <v>22.78</v>
      </c>
      <c r="F44" s="6">
        <f t="shared" si="1"/>
        <v>945.98000000000013</v>
      </c>
      <c r="H44" s="1" t="str">
        <f t="shared" si="2"/>
        <v>NÃO</v>
      </c>
      <c r="J44" s="1" t="str">
        <f t="shared" si="3"/>
        <v>NÃO</v>
      </c>
    </row>
    <row r="45" spans="1:10" x14ac:dyDescent="0.25">
      <c r="A45" s="3">
        <v>42334</v>
      </c>
      <c r="B45" s="6">
        <v>28.05</v>
      </c>
      <c r="C45" s="1">
        <v>1</v>
      </c>
      <c r="E45" s="6">
        <f t="shared" si="0"/>
        <v>23.55</v>
      </c>
      <c r="F45" s="6">
        <f t="shared" si="1"/>
        <v>969.53000000000009</v>
      </c>
      <c r="H45" s="1" t="str">
        <f t="shared" si="2"/>
        <v>NÃO</v>
      </c>
      <c r="J45" s="1" t="str">
        <f t="shared" si="3"/>
        <v>NÃO</v>
      </c>
    </row>
    <row r="46" spans="1:10" x14ac:dyDescent="0.25">
      <c r="A46" s="3">
        <v>42335</v>
      </c>
      <c r="B46" s="6">
        <v>25.61</v>
      </c>
      <c r="C46" s="1">
        <v>1</v>
      </c>
      <c r="E46" s="6">
        <f t="shared" si="0"/>
        <v>21.11</v>
      </c>
      <c r="F46" s="6">
        <f t="shared" si="1"/>
        <v>990.6400000000001</v>
      </c>
      <c r="H46" s="1" t="str">
        <f t="shared" si="2"/>
        <v>NÃO</v>
      </c>
      <c r="J46" s="1" t="str">
        <f t="shared" si="3"/>
        <v>NÃO</v>
      </c>
    </row>
    <row r="47" spans="1:10" x14ac:dyDescent="0.25">
      <c r="A47" s="3">
        <v>42336</v>
      </c>
      <c r="B47" s="6">
        <v>25.76</v>
      </c>
      <c r="C47" s="1">
        <v>1</v>
      </c>
      <c r="E47" s="6">
        <f t="shared" si="0"/>
        <v>21.26</v>
      </c>
      <c r="F47" s="6">
        <f t="shared" si="1"/>
        <v>1011.9000000000001</v>
      </c>
      <c r="H47" s="1" t="str">
        <f t="shared" si="2"/>
        <v>NÃO</v>
      </c>
      <c r="J47" s="1" t="str">
        <f t="shared" si="3"/>
        <v>NÃO</v>
      </c>
    </row>
    <row r="48" spans="1:10" x14ac:dyDescent="0.25">
      <c r="A48" s="3">
        <v>42337</v>
      </c>
      <c r="B48" s="6">
        <v>25.1</v>
      </c>
      <c r="C48" s="1">
        <v>1</v>
      </c>
      <c r="E48" s="6">
        <f t="shared" si="0"/>
        <v>20.6</v>
      </c>
      <c r="F48" s="6">
        <f t="shared" si="1"/>
        <v>1032.5</v>
      </c>
      <c r="H48" s="1" t="str">
        <f t="shared" si="2"/>
        <v>NÃO</v>
      </c>
      <c r="J48" s="1" t="str">
        <f t="shared" si="3"/>
        <v>NÃO</v>
      </c>
    </row>
    <row r="49" spans="1:10" x14ac:dyDescent="0.25">
      <c r="A49" s="3">
        <v>42338</v>
      </c>
      <c r="B49" s="6">
        <v>24.63</v>
      </c>
      <c r="C49" s="1">
        <v>1</v>
      </c>
      <c r="E49" s="6">
        <f t="shared" si="0"/>
        <v>20.13</v>
      </c>
      <c r="F49" s="6">
        <f t="shared" si="1"/>
        <v>1052.6300000000001</v>
      </c>
      <c r="H49" s="1" t="str">
        <f t="shared" si="2"/>
        <v>NÃO</v>
      </c>
      <c r="J49" s="1" t="str">
        <f t="shared" si="3"/>
        <v>NÃO</v>
      </c>
    </row>
    <row r="50" spans="1:10" x14ac:dyDescent="0.25">
      <c r="A50" s="3">
        <v>42339</v>
      </c>
      <c r="B50" s="6">
        <v>25.41</v>
      </c>
      <c r="C50" s="1">
        <v>1</v>
      </c>
      <c r="E50" s="6">
        <f t="shared" si="0"/>
        <v>20.91</v>
      </c>
      <c r="F50" s="6">
        <f t="shared" si="1"/>
        <v>1073.5400000000002</v>
      </c>
      <c r="H50" s="1" t="str">
        <f t="shared" si="2"/>
        <v>NÃO</v>
      </c>
      <c r="J50" s="1" t="str">
        <f t="shared" si="3"/>
        <v>NÃO</v>
      </c>
    </row>
    <row r="51" spans="1:10" x14ac:dyDescent="0.25">
      <c r="A51" s="3">
        <v>42340</v>
      </c>
      <c r="B51" s="6">
        <v>25.14</v>
      </c>
      <c r="C51" s="1">
        <v>1</v>
      </c>
      <c r="E51" s="6">
        <f t="shared" si="0"/>
        <v>20.64</v>
      </c>
      <c r="F51" s="6">
        <f t="shared" si="1"/>
        <v>1094.1800000000003</v>
      </c>
      <c r="H51" s="1" t="str">
        <f t="shared" si="2"/>
        <v>NÃO</v>
      </c>
      <c r="J51" s="1" t="str">
        <f t="shared" si="3"/>
        <v>NÃO</v>
      </c>
    </row>
    <row r="52" spans="1:10" x14ac:dyDescent="0.25">
      <c r="A52" s="3">
        <v>42341</v>
      </c>
      <c r="B52" s="6">
        <v>26.04</v>
      </c>
      <c r="C52" s="1">
        <v>1</v>
      </c>
      <c r="E52" s="6">
        <f t="shared" si="0"/>
        <v>21.54</v>
      </c>
      <c r="F52" s="6">
        <f t="shared" si="1"/>
        <v>1115.7200000000003</v>
      </c>
      <c r="H52" s="1" t="str">
        <f t="shared" si="2"/>
        <v>NÃO</v>
      </c>
      <c r="J52" s="1" t="str">
        <f t="shared" si="3"/>
        <v>NÃO</v>
      </c>
    </row>
    <row r="53" spans="1:10" x14ac:dyDescent="0.25">
      <c r="A53" s="3">
        <v>42342</v>
      </c>
      <c r="B53" s="6">
        <v>27.16</v>
      </c>
      <c r="C53" s="1">
        <v>1</v>
      </c>
      <c r="E53" s="6">
        <f t="shared" si="0"/>
        <v>22.66</v>
      </c>
      <c r="F53" s="6">
        <f t="shared" si="1"/>
        <v>1138.3800000000003</v>
      </c>
      <c r="H53" s="1" t="str">
        <f t="shared" si="2"/>
        <v>NÃO</v>
      </c>
      <c r="J53" s="1" t="str">
        <f t="shared" si="3"/>
        <v>NÃO</v>
      </c>
    </row>
    <row r="54" spans="1:10" x14ac:dyDescent="0.25">
      <c r="A54" s="3">
        <v>42343</v>
      </c>
      <c r="B54" s="6">
        <v>28.98</v>
      </c>
      <c r="C54" s="1">
        <v>1</v>
      </c>
      <c r="E54" s="6">
        <f t="shared" si="0"/>
        <v>24.48</v>
      </c>
      <c r="F54" s="6">
        <f t="shared" si="1"/>
        <v>1162.8600000000004</v>
      </c>
      <c r="H54" s="1" t="str">
        <f t="shared" si="2"/>
        <v>NÃO</v>
      </c>
      <c r="J54" s="1" t="str">
        <f t="shared" si="3"/>
        <v>NÃO</v>
      </c>
    </row>
    <row r="55" spans="1:10" x14ac:dyDescent="0.25">
      <c r="A55" s="3">
        <v>42344</v>
      </c>
      <c r="B55" s="6">
        <v>27.84</v>
      </c>
      <c r="C55" s="1">
        <v>1</v>
      </c>
      <c r="E55" s="6">
        <f t="shared" si="0"/>
        <v>23.34</v>
      </c>
      <c r="F55" s="6">
        <f t="shared" si="1"/>
        <v>1186.2000000000003</v>
      </c>
      <c r="H55" s="1" t="str">
        <f t="shared" si="2"/>
        <v>NÃO</v>
      </c>
      <c r="J55" s="1" t="str">
        <f t="shared" si="3"/>
        <v>NÃO</v>
      </c>
    </row>
    <row r="56" spans="1:10" x14ac:dyDescent="0.25">
      <c r="A56" s="3">
        <v>42345</v>
      </c>
      <c r="B56" s="6">
        <v>27.88</v>
      </c>
      <c r="C56" s="1">
        <v>1</v>
      </c>
      <c r="E56" s="6">
        <f t="shared" si="0"/>
        <v>23.38</v>
      </c>
      <c r="F56" s="6">
        <f t="shared" si="1"/>
        <v>1209.5800000000004</v>
      </c>
      <c r="H56" s="1" t="str">
        <f t="shared" si="2"/>
        <v>NÃO</v>
      </c>
      <c r="J56" s="1" t="str">
        <f t="shared" si="3"/>
        <v>NÃO</v>
      </c>
    </row>
    <row r="57" spans="1:10" x14ac:dyDescent="0.25">
      <c r="A57" s="3">
        <v>42346</v>
      </c>
      <c r="B57" s="6">
        <v>28.04</v>
      </c>
      <c r="C57" s="1">
        <v>1</v>
      </c>
      <c r="E57" s="6">
        <f t="shared" si="0"/>
        <v>23.54</v>
      </c>
      <c r="F57" s="6">
        <f t="shared" si="1"/>
        <v>1233.1200000000003</v>
      </c>
      <c r="H57" s="1" t="str">
        <f t="shared" si="2"/>
        <v>NÃO</v>
      </c>
      <c r="J57" s="1" t="str">
        <f t="shared" si="3"/>
        <v>NÃO</v>
      </c>
    </row>
    <row r="58" spans="1:10" x14ac:dyDescent="0.25">
      <c r="A58" s="3">
        <v>42347</v>
      </c>
      <c r="B58" s="6">
        <v>24.23</v>
      </c>
      <c r="C58" s="1">
        <v>1</v>
      </c>
      <c r="E58" s="6">
        <f t="shared" si="0"/>
        <v>19.73</v>
      </c>
      <c r="F58" s="6">
        <f t="shared" si="1"/>
        <v>1252.8500000000004</v>
      </c>
      <c r="H58" s="1" t="str">
        <f t="shared" si="2"/>
        <v>NÃO</v>
      </c>
      <c r="J58" s="1" t="str">
        <f t="shared" si="3"/>
        <v>NÃO</v>
      </c>
    </row>
    <row r="59" spans="1:10" x14ac:dyDescent="0.25">
      <c r="A59" s="3">
        <v>42348</v>
      </c>
      <c r="B59" s="6">
        <v>27.07</v>
      </c>
      <c r="C59" s="1">
        <v>1</v>
      </c>
      <c r="E59" s="6">
        <f t="shared" si="0"/>
        <v>22.57</v>
      </c>
      <c r="F59" s="6">
        <f t="shared" si="1"/>
        <v>1275.4200000000003</v>
      </c>
      <c r="H59" s="1" t="str">
        <f t="shared" si="2"/>
        <v>NÃO</v>
      </c>
      <c r="J59" s="1" t="str">
        <f t="shared" si="3"/>
        <v>NÃO</v>
      </c>
    </row>
    <row r="60" spans="1:10" x14ac:dyDescent="0.25">
      <c r="A60" s="3">
        <v>42349</v>
      </c>
      <c r="B60" s="6">
        <v>26.64</v>
      </c>
      <c r="C60" s="1">
        <v>1</v>
      </c>
      <c r="E60" s="6">
        <f t="shared" si="0"/>
        <v>22.14</v>
      </c>
      <c r="F60" s="6">
        <f t="shared" si="1"/>
        <v>1297.5600000000004</v>
      </c>
      <c r="H60" s="1" t="str">
        <f t="shared" si="2"/>
        <v>NÃO</v>
      </c>
      <c r="J60" s="1" t="str">
        <f t="shared" si="3"/>
        <v>NÃO</v>
      </c>
    </row>
    <row r="61" spans="1:10" x14ac:dyDescent="0.25">
      <c r="A61" s="3">
        <v>42350</v>
      </c>
      <c r="B61" s="6">
        <v>24.66</v>
      </c>
      <c r="C61" s="1">
        <v>1</v>
      </c>
      <c r="E61" s="6">
        <f t="shared" si="0"/>
        <v>20.16</v>
      </c>
      <c r="F61" s="6">
        <f t="shared" si="1"/>
        <v>1317.7200000000005</v>
      </c>
      <c r="H61" s="1" t="str">
        <f t="shared" si="2"/>
        <v>NÃO</v>
      </c>
      <c r="J61" s="1" t="str">
        <f t="shared" si="3"/>
        <v>NÃO</v>
      </c>
    </row>
    <row r="62" spans="1:10" x14ac:dyDescent="0.25">
      <c r="A62" s="3">
        <v>42351</v>
      </c>
      <c r="B62" s="6">
        <v>25.44</v>
      </c>
      <c r="C62" s="1">
        <v>1</v>
      </c>
      <c r="E62" s="6">
        <f t="shared" si="0"/>
        <v>20.94</v>
      </c>
      <c r="F62" s="6">
        <f t="shared" si="1"/>
        <v>1338.6600000000005</v>
      </c>
      <c r="H62" s="1" t="str">
        <f t="shared" si="2"/>
        <v>NÃO</v>
      </c>
      <c r="J62" s="1" t="str">
        <f t="shared" si="3"/>
        <v>NÃO</v>
      </c>
    </row>
    <row r="63" spans="1:10" x14ac:dyDescent="0.25">
      <c r="A63" s="3">
        <v>42352</v>
      </c>
      <c r="B63" s="6">
        <v>25.71</v>
      </c>
      <c r="C63" s="1">
        <v>1</v>
      </c>
      <c r="E63" s="6">
        <f t="shared" si="0"/>
        <v>21.21</v>
      </c>
      <c r="F63" s="6">
        <f t="shared" si="1"/>
        <v>1359.8700000000006</v>
      </c>
      <c r="H63" s="1" t="str">
        <f t="shared" si="2"/>
        <v>NÃO</v>
      </c>
      <c r="J63" s="1" t="str">
        <f t="shared" si="3"/>
        <v>NÃO</v>
      </c>
    </row>
    <row r="64" spans="1:10" x14ac:dyDescent="0.25">
      <c r="A64" s="3">
        <v>42353</v>
      </c>
      <c r="B64" s="6">
        <v>25.95</v>
      </c>
      <c r="C64" s="1">
        <v>1</v>
      </c>
      <c r="E64" s="6">
        <f t="shared" si="0"/>
        <v>21.45</v>
      </c>
      <c r="F64" s="6">
        <f t="shared" si="1"/>
        <v>1381.3200000000006</v>
      </c>
      <c r="H64" s="1" t="str">
        <f t="shared" si="2"/>
        <v>NÃO</v>
      </c>
      <c r="J64" s="1" t="str">
        <f t="shared" si="3"/>
        <v>NÃO</v>
      </c>
    </row>
    <row r="65" spans="1:10" x14ac:dyDescent="0.25">
      <c r="A65" s="3">
        <v>42354</v>
      </c>
      <c r="B65" s="6">
        <v>26.77</v>
      </c>
      <c r="C65" s="1">
        <v>1</v>
      </c>
      <c r="E65" s="6">
        <f t="shared" si="0"/>
        <v>22.27</v>
      </c>
      <c r="F65" s="6">
        <f t="shared" si="1"/>
        <v>1403.5900000000006</v>
      </c>
      <c r="H65" s="1" t="str">
        <f t="shared" si="2"/>
        <v>NÃO</v>
      </c>
      <c r="J65" s="1" t="str">
        <f t="shared" si="3"/>
        <v>NÃO</v>
      </c>
    </row>
    <row r="66" spans="1:10" x14ac:dyDescent="0.25">
      <c r="A66" s="3">
        <v>42355</v>
      </c>
      <c r="B66" s="6">
        <v>26.39</v>
      </c>
      <c r="C66" s="1">
        <v>1</v>
      </c>
      <c r="E66" s="6">
        <f t="shared" si="0"/>
        <v>21.89</v>
      </c>
      <c r="F66" s="6">
        <f t="shared" si="1"/>
        <v>1425.4800000000007</v>
      </c>
      <c r="H66" s="1" t="str">
        <f t="shared" si="2"/>
        <v>NÃO</v>
      </c>
      <c r="J66" s="1" t="str">
        <f t="shared" si="3"/>
        <v>NÃO</v>
      </c>
    </row>
    <row r="67" spans="1:10" x14ac:dyDescent="0.25">
      <c r="A67" s="3">
        <v>42356</v>
      </c>
      <c r="B67" s="6">
        <v>24</v>
      </c>
      <c r="C67" s="1">
        <v>1</v>
      </c>
      <c r="E67" s="6">
        <f t="shared" si="0"/>
        <v>19.5</v>
      </c>
      <c r="F67" s="6">
        <f t="shared" si="1"/>
        <v>1444.9800000000007</v>
      </c>
      <c r="H67" s="1" t="str">
        <f t="shared" si="2"/>
        <v>NÃO</v>
      </c>
      <c r="J67" s="1" t="str">
        <f t="shared" si="3"/>
        <v>NÃO</v>
      </c>
    </row>
    <row r="68" spans="1:10" x14ac:dyDescent="0.25">
      <c r="A68" s="3">
        <v>42357</v>
      </c>
      <c r="B68" s="6">
        <v>23.98</v>
      </c>
      <c r="C68" s="1">
        <v>1</v>
      </c>
      <c r="E68" s="6">
        <f t="shared" si="0"/>
        <v>19.48</v>
      </c>
      <c r="F68" s="6">
        <f t="shared" si="1"/>
        <v>1464.4600000000007</v>
      </c>
      <c r="H68" s="1" t="str">
        <f t="shared" si="2"/>
        <v>NÃO</v>
      </c>
      <c r="J68" s="1" t="str">
        <f t="shared" si="3"/>
        <v>NÃO</v>
      </c>
    </row>
    <row r="69" spans="1:10" x14ac:dyDescent="0.25">
      <c r="A69" s="3">
        <v>42358</v>
      </c>
      <c r="B69" s="6">
        <v>24.09</v>
      </c>
      <c r="C69" s="1">
        <v>1</v>
      </c>
      <c r="E69" s="6">
        <f t="shared" ref="E69:E94" si="4">B69-$D$3</f>
        <v>19.59</v>
      </c>
      <c r="F69" s="6">
        <f t="shared" ref="F69:F94" si="5">E69+F68</f>
        <v>1484.0500000000006</v>
      </c>
      <c r="H69" s="1" t="str">
        <f t="shared" ref="H69:H111" si="6">IF(F69&gt;=$G$3,"SIM","NÃO")</f>
        <v>NÃO</v>
      </c>
      <c r="J69" s="1" t="str">
        <f t="shared" ref="J69:J132" si="7">IF(F69&gt;=$I$3,"SIM","NÃO")</f>
        <v>NÃO</v>
      </c>
    </row>
    <row r="70" spans="1:10" x14ac:dyDescent="0.25">
      <c r="A70" s="3">
        <v>42359</v>
      </c>
      <c r="B70" s="6">
        <v>24.38</v>
      </c>
      <c r="C70" s="1">
        <v>1</v>
      </c>
      <c r="E70" s="6">
        <f t="shared" si="4"/>
        <v>19.88</v>
      </c>
      <c r="F70" s="6">
        <f t="shared" si="5"/>
        <v>1503.9300000000007</v>
      </c>
      <c r="H70" s="1" t="str">
        <f t="shared" si="6"/>
        <v>NÃO</v>
      </c>
      <c r="J70" s="1" t="str">
        <f t="shared" si="7"/>
        <v>NÃO</v>
      </c>
    </row>
    <row r="71" spans="1:10" x14ac:dyDescent="0.25">
      <c r="A71" s="3">
        <v>42360</v>
      </c>
      <c r="B71" s="6">
        <v>24.92</v>
      </c>
      <c r="C71" s="1">
        <v>1</v>
      </c>
      <c r="E71" s="6">
        <f t="shared" si="4"/>
        <v>20.420000000000002</v>
      </c>
      <c r="F71" s="6">
        <f t="shared" si="5"/>
        <v>1524.3500000000008</v>
      </c>
      <c r="H71" s="1" t="str">
        <f t="shared" si="6"/>
        <v>NÃO</v>
      </c>
      <c r="J71" s="1" t="str">
        <f t="shared" si="7"/>
        <v>NÃO</v>
      </c>
    </row>
    <row r="72" spans="1:10" x14ac:dyDescent="0.25">
      <c r="A72" s="3">
        <v>42361</v>
      </c>
      <c r="B72" s="6">
        <v>25.9</v>
      </c>
      <c r="C72" s="1">
        <v>1</v>
      </c>
      <c r="E72" s="6">
        <f t="shared" si="4"/>
        <v>21.4</v>
      </c>
      <c r="F72" s="6">
        <f t="shared" si="5"/>
        <v>1545.7500000000009</v>
      </c>
      <c r="H72" s="1" t="str">
        <f t="shared" si="6"/>
        <v>NÃO</v>
      </c>
      <c r="J72" s="1" t="str">
        <f t="shared" si="7"/>
        <v>NÃO</v>
      </c>
    </row>
    <row r="73" spans="1:10" x14ac:dyDescent="0.25">
      <c r="A73" s="3">
        <v>42362</v>
      </c>
      <c r="B73" s="6">
        <v>24.44</v>
      </c>
      <c r="C73" s="1">
        <v>1</v>
      </c>
      <c r="E73" s="6">
        <f t="shared" si="4"/>
        <v>19.940000000000001</v>
      </c>
      <c r="F73" s="6">
        <f t="shared" si="5"/>
        <v>1565.690000000001</v>
      </c>
      <c r="H73" s="1" t="str">
        <f t="shared" si="6"/>
        <v>NÃO</v>
      </c>
      <c r="J73" s="1" t="str">
        <f t="shared" si="7"/>
        <v>NÃO</v>
      </c>
    </row>
    <row r="74" spans="1:10" x14ac:dyDescent="0.25">
      <c r="A74" s="3">
        <v>42363</v>
      </c>
      <c r="B74" s="6">
        <v>25.4</v>
      </c>
      <c r="C74" s="1">
        <v>1</v>
      </c>
      <c r="E74" s="6">
        <f t="shared" si="4"/>
        <v>20.9</v>
      </c>
      <c r="F74" s="6">
        <f t="shared" si="5"/>
        <v>1586.5900000000011</v>
      </c>
      <c r="H74" s="1" t="str">
        <f t="shared" si="6"/>
        <v>NÃO</v>
      </c>
      <c r="J74" s="1" t="str">
        <f t="shared" si="7"/>
        <v>NÃO</v>
      </c>
    </row>
    <row r="75" spans="1:10" x14ac:dyDescent="0.25">
      <c r="A75" s="3">
        <v>42364</v>
      </c>
      <c r="B75" s="6">
        <v>24.03</v>
      </c>
      <c r="C75" s="1">
        <v>1</v>
      </c>
      <c r="E75" s="6">
        <f t="shared" si="4"/>
        <v>19.53</v>
      </c>
      <c r="F75" s="6">
        <f t="shared" si="5"/>
        <v>1606.120000000001</v>
      </c>
      <c r="H75" s="1" t="str">
        <f t="shared" si="6"/>
        <v>NÃO</v>
      </c>
      <c r="J75" s="1" t="str">
        <f t="shared" si="7"/>
        <v>NÃO</v>
      </c>
    </row>
    <row r="76" spans="1:10" x14ac:dyDescent="0.25">
      <c r="A76" s="3">
        <v>42365</v>
      </c>
      <c r="B76" s="6">
        <v>24.43</v>
      </c>
      <c r="C76" s="1">
        <v>1</v>
      </c>
      <c r="E76" s="6">
        <f t="shared" si="4"/>
        <v>19.93</v>
      </c>
      <c r="F76" s="6">
        <f t="shared" si="5"/>
        <v>1626.0500000000011</v>
      </c>
      <c r="H76" s="1" t="str">
        <f t="shared" si="6"/>
        <v>NÃO</v>
      </c>
      <c r="J76" s="1" t="str">
        <f t="shared" si="7"/>
        <v>NÃO</v>
      </c>
    </row>
    <row r="77" spans="1:10" x14ac:dyDescent="0.25">
      <c r="A77" s="3">
        <v>42366</v>
      </c>
      <c r="B77" s="6">
        <v>26.23</v>
      </c>
      <c r="C77" s="1">
        <v>1</v>
      </c>
      <c r="E77" s="6">
        <f t="shared" si="4"/>
        <v>21.73</v>
      </c>
      <c r="F77" s="6">
        <f t="shared" si="5"/>
        <v>1647.7800000000011</v>
      </c>
      <c r="H77" s="1" t="str">
        <f t="shared" si="6"/>
        <v>NÃO</v>
      </c>
      <c r="J77" s="1" t="str">
        <f t="shared" si="7"/>
        <v>NÃO</v>
      </c>
    </row>
    <row r="78" spans="1:10" x14ac:dyDescent="0.25">
      <c r="A78" s="3">
        <v>42367</v>
      </c>
      <c r="B78" s="6">
        <v>24.86</v>
      </c>
      <c r="C78" s="1">
        <v>1</v>
      </c>
      <c r="E78" s="6">
        <f t="shared" si="4"/>
        <v>20.36</v>
      </c>
      <c r="F78" s="6">
        <f t="shared" si="5"/>
        <v>1668.140000000001</v>
      </c>
      <c r="H78" s="1" t="str">
        <f t="shared" si="6"/>
        <v>NÃO</v>
      </c>
      <c r="J78" s="1" t="str">
        <f t="shared" si="7"/>
        <v>NÃO</v>
      </c>
    </row>
    <row r="79" spans="1:10" x14ac:dyDescent="0.25">
      <c r="A79" s="3">
        <v>42368</v>
      </c>
      <c r="B79" s="6">
        <v>23.46</v>
      </c>
      <c r="C79" s="1">
        <v>1</v>
      </c>
      <c r="E79" s="6">
        <f t="shared" si="4"/>
        <v>18.96</v>
      </c>
      <c r="F79" s="6">
        <f t="shared" si="5"/>
        <v>1687.100000000001</v>
      </c>
      <c r="H79" s="1" t="str">
        <f t="shared" si="6"/>
        <v>NÃO</v>
      </c>
      <c r="J79" s="1" t="str">
        <f t="shared" si="7"/>
        <v>NÃO</v>
      </c>
    </row>
    <row r="80" spans="1:10" x14ac:dyDescent="0.25">
      <c r="A80" s="3">
        <v>42369</v>
      </c>
      <c r="B80" s="6">
        <v>23.4</v>
      </c>
      <c r="C80" s="1">
        <v>1</v>
      </c>
      <c r="E80" s="6">
        <f t="shared" si="4"/>
        <v>18.899999999999999</v>
      </c>
      <c r="F80" s="6">
        <f t="shared" si="5"/>
        <v>1706.0000000000011</v>
      </c>
      <c r="H80" s="1" t="str">
        <f t="shared" si="6"/>
        <v>NÃO</v>
      </c>
      <c r="J80" s="1" t="str">
        <f t="shared" si="7"/>
        <v>NÃO</v>
      </c>
    </row>
    <row r="81" spans="1:10" x14ac:dyDescent="0.25">
      <c r="A81" s="3">
        <v>42370</v>
      </c>
      <c r="B81" s="6">
        <v>24.09</v>
      </c>
      <c r="C81" s="1">
        <v>1</v>
      </c>
      <c r="E81" s="6">
        <f t="shared" si="4"/>
        <v>19.59</v>
      </c>
      <c r="F81" s="6">
        <f t="shared" si="5"/>
        <v>1725.5900000000011</v>
      </c>
      <c r="H81" s="1" t="str">
        <f t="shared" si="6"/>
        <v>NÃO</v>
      </c>
      <c r="J81" s="1" t="str">
        <f t="shared" si="7"/>
        <v>NÃO</v>
      </c>
    </row>
    <row r="82" spans="1:10" x14ac:dyDescent="0.25">
      <c r="A82" s="3">
        <v>42371</v>
      </c>
      <c r="B82" s="6">
        <v>23.72</v>
      </c>
      <c r="C82" s="1">
        <v>1</v>
      </c>
      <c r="E82" s="6">
        <f t="shared" si="4"/>
        <v>19.22</v>
      </c>
      <c r="F82" s="6">
        <f t="shared" si="5"/>
        <v>1744.8100000000011</v>
      </c>
      <c r="H82" s="1" t="str">
        <f t="shared" si="6"/>
        <v>NÃO</v>
      </c>
      <c r="J82" s="1" t="str">
        <f t="shared" si="7"/>
        <v>NÃO</v>
      </c>
    </row>
    <row r="83" spans="1:10" x14ac:dyDescent="0.25">
      <c r="A83" s="3">
        <v>42372</v>
      </c>
      <c r="B83" s="6">
        <v>23.75</v>
      </c>
      <c r="C83" s="1">
        <v>1</v>
      </c>
      <c r="E83" s="6">
        <f t="shared" si="4"/>
        <v>19.25</v>
      </c>
      <c r="F83" s="6">
        <f t="shared" si="5"/>
        <v>1764.0600000000011</v>
      </c>
      <c r="H83" s="1" t="str">
        <f t="shared" si="6"/>
        <v>NÃO</v>
      </c>
      <c r="J83" s="1" t="str">
        <f t="shared" si="7"/>
        <v>NÃO</v>
      </c>
    </row>
    <row r="84" spans="1:10" x14ac:dyDescent="0.25">
      <c r="A84" s="3">
        <v>42373</v>
      </c>
      <c r="B84" s="6">
        <v>24.97</v>
      </c>
      <c r="C84" s="1">
        <v>1</v>
      </c>
      <c r="E84" s="6">
        <f t="shared" si="4"/>
        <v>20.47</v>
      </c>
      <c r="F84" s="6">
        <f t="shared" si="5"/>
        <v>1784.5300000000011</v>
      </c>
      <c r="H84" s="1" t="str">
        <f t="shared" si="6"/>
        <v>NÃO</v>
      </c>
      <c r="J84" s="1" t="str">
        <f t="shared" si="7"/>
        <v>NÃO</v>
      </c>
    </row>
    <row r="85" spans="1:10" x14ac:dyDescent="0.25">
      <c r="A85" s="3">
        <v>42374</v>
      </c>
      <c r="B85" s="6">
        <v>24.71</v>
      </c>
      <c r="C85" s="1">
        <v>1</v>
      </c>
      <c r="E85" s="6">
        <f t="shared" si="4"/>
        <v>20.21</v>
      </c>
      <c r="F85" s="6">
        <f t="shared" si="5"/>
        <v>1804.7400000000011</v>
      </c>
      <c r="H85" s="1" t="str">
        <f t="shared" si="6"/>
        <v>NÃO</v>
      </c>
      <c r="J85" s="1" t="str">
        <f t="shared" si="7"/>
        <v>NÃO</v>
      </c>
    </row>
    <row r="86" spans="1:10" x14ac:dyDescent="0.25">
      <c r="A86" s="3">
        <v>42375</v>
      </c>
      <c r="B86" s="6">
        <v>25.52</v>
      </c>
      <c r="C86" s="1">
        <v>1</v>
      </c>
      <c r="E86" s="6">
        <f t="shared" si="4"/>
        <v>21.02</v>
      </c>
      <c r="F86" s="6">
        <f t="shared" si="5"/>
        <v>1825.7600000000011</v>
      </c>
      <c r="H86" s="1" t="str">
        <f t="shared" si="6"/>
        <v>NÃO</v>
      </c>
      <c r="J86" s="1" t="str">
        <f t="shared" si="7"/>
        <v>NÃO</v>
      </c>
    </row>
    <row r="87" spans="1:10" x14ac:dyDescent="0.25">
      <c r="A87" s="3">
        <v>42376</v>
      </c>
      <c r="B87" s="6">
        <v>25.2</v>
      </c>
      <c r="C87" s="1">
        <v>1</v>
      </c>
      <c r="E87" s="6">
        <f t="shared" si="4"/>
        <v>20.7</v>
      </c>
      <c r="F87" s="6">
        <f t="shared" si="5"/>
        <v>1846.4600000000012</v>
      </c>
      <c r="H87" s="1" t="str">
        <f t="shared" si="6"/>
        <v>NÃO</v>
      </c>
      <c r="J87" s="1" t="str">
        <f t="shared" si="7"/>
        <v>NÃO</v>
      </c>
    </row>
    <row r="88" spans="1:10" x14ac:dyDescent="0.25">
      <c r="A88" s="3">
        <v>42377</v>
      </c>
      <c r="B88" s="6">
        <v>26.38</v>
      </c>
      <c r="C88" s="1">
        <v>1</v>
      </c>
      <c r="E88" s="6">
        <f t="shared" si="4"/>
        <v>21.88</v>
      </c>
      <c r="F88" s="6">
        <f t="shared" si="5"/>
        <v>1868.3400000000013</v>
      </c>
      <c r="H88" s="1" t="str">
        <f t="shared" si="6"/>
        <v>NÃO</v>
      </c>
      <c r="J88" s="1" t="str">
        <f t="shared" si="7"/>
        <v>NÃO</v>
      </c>
    </row>
    <row r="89" spans="1:10" x14ac:dyDescent="0.25">
      <c r="A89" s="3">
        <v>42378</v>
      </c>
      <c r="B89" s="6">
        <v>25.92</v>
      </c>
      <c r="C89" s="1">
        <v>1</v>
      </c>
      <c r="E89" s="6">
        <f t="shared" si="4"/>
        <v>21.42</v>
      </c>
      <c r="F89" s="6">
        <f t="shared" si="5"/>
        <v>1889.7600000000014</v>
      </c>
      <c r="H89" s="1" t="str">
        <f t="shared" si="6"/>
        <v>NÃO</v>
      </c>
      <c r="J89" s="1" t="str">
        <f t="shared" si="7"/>
        <v>NÃO</v>
      </c>
    </row>
    <row r="90" spans="1:10" x14ac:dyDescent="0.25">
      <c r="A90" s="3">
        <v>42379</v>
      </c>
      <c r="B90" s="6">
        <v>24.62</v>
      </c>
      <c r="C90" s="1">
        <v>1</v>
      </c>
      <c r="E90" s="6">
        <f t="shared" si="4"/>
        <v>20.12</v>
      </c>
      <c r="F90" s="6">
        <f t="shared" si="5"/>
        <v>1909.8800000000012</v>
      </c>
      <c r="H90" s="1" t="str">
        <f t="shared" si="6"/>
        <v>NÃO</v>
      </c>
      <c r="J90" s="1" t="str">
        <f t="shared" si="7"/>
        <v>NÃO</v>
      </c>
    </row>
    <row r="91" spans="1:10" x14ac:dyDescent="0.25">
      <c r="A91" s="3">
        <v>42380</v>
      </c>
      <c r="B91" s="6">
        <v>24.88</v>
      </c>
      <c r="C91" s="1">
        <v>1</v>
      </c>
      <c r="E91" s="6">
        <f t="shared" si="4"/>
        <v>20.38</v>
      </c>
      <c r="F91" s="6">
        <f t="shared" si="5"/>
        <v>1930.2600000000014</v>
      </c>
      <c r="H91" s="1" t="str">
        <f t="shared" si="6"/>
        <v>NÃO</v>
      </c>
      <c r="J91" s="1" t="str">
        <f t="shared" si="7"/>
        <v>NÃO</v>
      </c>
    </row>
    <row r="92" spans="1:10" x14ac:dyDescent="0.25">
      <c r="A92" s="3">
        <v>42381</v>
      </c>
      <c r="B92" s="6">
        <v>26.63</v>
      </c>
      <c r="C92" s="1">
        <v>1</v>
      </c>
      <c r="E92" s="6">
        <f t="shared" si="4"/>
        <v>22.13</v>
      </c>
      <c r="F92" s="6">
        <f t="shared" si="5"/>
        <v>1952.3900000000015</v>
      </c>
      <c r="H92" s="1" t="str">
        <f t="shared" si="6"/>
        <v>NÃO</v>
      </c>
      <c r="J92" s="1" t="str">
        <f t="shared" si="7"/>
        <v>NÃO</v>
      </c>
    </row>
    <row r="93" spans="1:10" x14ac:dyDescent="0.25">
      <c r="A93" s="3">
        <v>42382</v>
      </c>
      <c r="B93" s="6">
        <v>25.38</v>
      </c>
      <c r="C93" s="1">
        <v>1</v>
      </c>
      <c r="E93" s="6">
        <f t="shared" si="4"/>
        <v>20.88</v>
      </c>
      <c r="F93" s="6">
        <f t="shared" si="5"/>
        <v>1973.2700000000016</v>
      </c>
      <c r="H93" s="1" t="str">
        <f t="shared" si="6"/>
        <v>NÃO</v>
      </c>
      <c r="J93" s="1" t="str">
        <f t="shared" si="7"/>
        <v>NÃO</v>
      </c>
    </row>
    <row r="94" spans="1:10" x14ac:dyDescent="0.25">
      <c r="A94" s="3">
        <v>42383</v>
      </c>
      <c r="B94" s="6">
        <v>24.46</v>
      </c>
      <c r="C94" s="1">
        <v>1</v>
      </c>
      <c r="E94" s="6">
        <f t="shared" si="4"/>
        <v>19.96</v>
      </c>
      <c r="F94" s="6">
        <f t="shared" si="5"/>
        <v>1993.2300000000016</v>
      </c>
      <c r="H94" s="1" t="str">
        <f t="shared" si="6"/>
        <v>NÃO</v>
      </c>
      <c r="J94" s="1" t="str">
        <f t="shared" si="7"/>
        <v>NÃO</v>
      </c>
    </row>
    <row r="95" spans="1:10" x14ac:dyDescent="0.25">
      <c r="A95" s="3">
        <v>42384</v>
      </c>
      <c r="B95" s="6">
        <v>22.59</v>
      </c>
      <c r="C95" s="1">
        <v>1</v>
      </c>
      <c r="E95" s="6">
        <f t="shared" ref="E95:E140" si="8">B95-$D$3</f>
        <v>18.09</v>
      </c>
      <c r="F95" s="6">
        <f t="shared" ref="F95:F140" si="9">E95+F94</f>
        <v>2011.3200000000015</v>
      </c>
      <c r="H95" s="1" t="str">
        <f t="shared" si="6"/>
        <v>NÃO</v>
      </c>
      <c r="J95" s="1" t="str">
        <f t="shared" si="7"/>
        <v>NÃO</v>
      </c>
    </row>
    <row r="96" spans="1:10" x14ac:dyDescent="0.25">
      <c r="A96" s="3">
        <v>42385</v>
      </c>
      <c r="B96" s="6">
        <v>22.84</v>
      </c>
      <c r="C96" s="1">
        <v>1</v>
      </c>
      <c r="E96" s="6">
        <f t="shared" si="8"/>
        <v>18.34</v>
      </c>
      <c r="F96" s="6">
        <f t="shared" si="9"/>
        <v>2029.6600000000014</v>
      </c>
      <c r="H96" s="1" t="str">
        <f t="shared" si="6"/>
        <v>NÃO</v>
      </c>
      <c r="J96" s="1" t="str">
        <f t="shared" si="7"/>
        <v>NÃO</v>
      </c>
    </row>
    <row r="97" spans="1:10" x14ac:dyDescent="0.25">
      <c r="A97" s="3">
        <v>42386</v>
      </c>
      <c r="B97" s="6">
        <v>23.66</v>
      </c>
      <c r="C97" s="1">
        <v>1</v>
      </c>
      <c r="E97" s="6">
        <f t="shared" si="8"/>
        <v>19.16</v>
      </c>
      <c r="F97" s="6">
        <f t="shared" si="9"/>
        <v>2048.8200000000015</v>
      </c>
      <c r="H97" s="1" t="str">
        <f t="shared" si="6"/>
        <v>NÃO</v>
      </c>
      <c r="J97" s="1" t="str">
        <f t="shared" si="7"/>
        <v>NÃO</v>
      </c>
    </row>
    <row r="98" spans="1:10" x14ac:dyDescent="0.25">
      <c r="A98" s="3">
        <v>42387</v>
      </c>
      <c r="B98" s="6">
        <v>25.24</v>
      </c>
      <c r="C98" s="1">
        <v>1</v>
      </c>
      <c r="E98" s="6">
        <f t="shared" si="8"/>
        <v>20.74</v>
      </c>
      <c r="F98" s="6">
        <f t="shared" si="9"/>
        <v>2069.5600000000013</v>
      </c>
      <c r="H98" s="1" t="str">
        <f t="shared" si="6"/>
        <v>NÃO</v>
      </c>
      <c r="J98" s="1" t="str">
        <f t="shared" si="7"/>
        <v>NÃO</v>
      </c>
    </row>
    <row r="99" spans="1:10" x14ac:dyDescent="0.25">
      <c r="A99" s="3">
        <v>42388</v>
      </c>
      <c r="B99" s="6">
        <v>21.42</v>
      </c>
      <c r="C99" s="1">
        <v>1</v>
      </c>
      <c r="E99" s="6">
        <f t="shared" si="8"/>
        <v>16.920000000000002</v>
      </c>
      <c r="F99" s="6">
        <f t="shared" si="9"/>
        <v>2086.4800000000014</v>
      </c>
      <c r="H99" s="1" t="str">
        <f t="shared" si="6"/>
        <v>NÃO</v>
      </c>
      <c r="J99" s="1" t="str">
        <f t="shared" si="7"/>
        <v>NÃO</v>
      </c>
    </row>
    <row r="100" spans="1:10" x14ac:dyDescent="0.25">
      <c r="A100" s="3">
        <v>42389</v>
      </c>
      <c r="B100" s="6">
        <v>22.12</v>
      </c>
      <c r="C100" s="1">
        <v>1</v>
      </c>
      <c r="E100" s="6">
        <f t="shared" si="8"/>
        <v>17.62</v>
      </c>
      <c r="F100" s="6">
        <f t="shared" si="9"/>
        <v>2104.1000000000013</v>
      </c>
      <c r="H100" s="1" t="str">
        <f t="shared" si="6"/>
        <v>NÃO</v>
      </c>
      <c r="J100" s="1" t="str">
        <f t="shared" si="7"/>
        <v>NÃO</v>
      </c>
    </row>
    <row r="101" spans="1:10" x14ac:dyDescent="0.25">
      <c r="A101" s="3">
        <v>42390</v>
      </c>
      <c r="B101" s="6">
        <v>22.55</v>
      </c>
      <c r="C101" s="1">
        <v>1</v>
      </c>
      <c r="E101" s="6">
        <f t="shared" si="8"/>
        <v>18.05</v>
      </c>
      <c r="F101" s="6">
        <f t="shared" si="9"/>
        <v>2122.1500000000015</v>
      </c>
      <c r="H101" s="1" t="str">
        <f t="shared" si="6"/>
        <v>NÃO</v>
      </c>
      <c r="J101" s="1" t="str">
        <f t="shared" si="7"/>
        <v>NÃO</v>
      </c>
    </row>
    <row r="102" spans="1:10" x14ac:dyDescent="0.25">
      <c r="A102" s="3">
        <v>42391</v>
      </c>
      <c r="B102" s="6">
        <v>23.1</v>
      </c>
      <c r="C102" s="1">
        <v>1</v>
      </c>
      <c r="E102" s="6">
        <f t="shared" si="8"/>
        <v>18.600000000000001</v>
      </c>
      <c r="F102" s="6">
        <f t="shared" si="9"/>
        <v>2140.7500000000014</v>
      </c>
      <c r="H102" s="1" t="str">
        <f t="shared" si="6"/>
        <v>NÃO</v>
      </c>
      <c r="J102" s="1" t="str">
        <f t="shared" si="7"/>
        <v>NÃO</v>
      </c>
    </row>
    <row r="103" spans="1:10" x14ac:dyDescent="0.25">
      <c r="A103" s="3">
        <v>42392</v>
      </c>
      <c r="B103" s="6">
        <v>22.8</v>
      </c>
      <c r="C103" s="1">
        <v>1</v>
      </c>
      <c r="E103" s="6">
        <f t="shared" si="8"/>
        <v>18.3</v>
      </c>
      <c r="F103" s="6">
        <f t="shared" si="9"/>
        <v>2159.0500000000015</v>
      </c>
      <c r="H103" s="1" t="str">
        <f t="shared" si="6"/>
        <v>NÃO</v>
      </c>
      <c r="J103" s="1" t="str">
        <f t="shared" si="7"/>
        <v>NÃO</v>
      </c>
    </row>
    <row r="104" spans="1:10" x14ac:dyDescent="0.25">
      <c r="A104" s="3">
        <v>42393</v>
      </c>
      <c r="B104" s="6">
        <v>22.61</v>
      </c>
      <c r="C104" s="1">
        <v>1</v>
      </c>
      <c r="E104" s="6">
        <f t="shared" si="8"/>
        <v>18.11</v>
      </c>
      <c r="F104" s="6">
        <f t="shared" si="9"/>
        <v>2177.1600000000017</v>
      </c>
      <c r="H104" s="1" t="str">
        <f t="shared" si="6"/>
        <v>NÃO</v>
      </c>
      <c r="J104" s="1" t="str">
        <f t="shared" si="7"/>
        <v>NÃO</v>
      </c>
    </row>
    <row r="105" spans="1:10" x14ac:dyDescent="0.25">
      <c r="A105" s="3">
        <v>42394</v>
      </c>
      <c r="B105" s="6">
        <v>22.43</v>
      </c>
      <c r="C105" s="1">
        <v>1</v>
      </c>
      <c r="E105" s="6">
        <f t="shared" si="8"/>
        <v>17.93</v>
      </c>
      <c r="F105" s="6">
        <f t="shared" si="9"/>
        <v>2195.0900000000015</v>
      </c>
      <c r="H105" s="1" t="str">
        <f t="shared" si="6"/>
        <v>NÃO</v>
      </c>
      <c r="J105" s="1" t="str">
        <f t="shared" si="7"/>
        <v>NÃO</v>
      </c>
    </row>
    <row r="106" spans="1:10" x14ac:dyDescent="0.25">
      <c r="A106" s="3">
        <v>42395</v>
      </c>
      <c r="B106" s="6">
        <v>22.9</v>
      </c>
      <c r="C106" s="1">
        <v>1</v>
      </c>
      <c r="E106" s="6">
        <f t="shared" si="8"/>
        <v>18.399999999999999</v>
      </c>
      <c r="F106" s="6">
        <f t="shared" si="9"/>
        <v>2213.4900000000016</v>
      </c>
      <c r="H106" s="1" t="str">
        <f t="shared" si="6"/>
        <v>NÃO</v>
      </c>
      <c r="J106" s="1" t="str">
        <f t="shared" si="7"/>
        <v>NÃO</v>
      </c>
    </row>
    <row r="107" spans="1:10" x14ac:dyDescent="0.25">
      <c r="A107" s="3">
        <v>42396</v>
      </c>
      <c r="B107" s="6">
        <v>23.26</v>
      </c>
      <c r="C107" s="1">
        <v>1</v>
      </c>
      <c r="E107" s="6">
        <f t="shared" si="8"/>
        <v>18.760000000000002</v>
      </c>
      <c r="F107" s="6">
        <f t="shared" si="9"/>
        <v>2232.2500000000018</v>
      </c>
      <c r="H107" s="1" t="str">
        <f t="shared" si="6"/>
        <v>NÃO</v>
      </c>
      <c r="J107" s="1" t="str">
        <f t="shared" si="7"/>
        <v>NÃO</v>
      </c>
    </row>
    <row r="108" spans="1:10" x14ac:dyDescent="0.25">
      <c r="A108" s="3">
        <v>42397</v>
      </c>
      <c r="B108" s="6">
        <v>23.65</v>
      </c>
      <c r="C108" s="1">
        <v>1</v>
      </c>
      <c r="E108" s="6">
        <f t="shared" si="8"/>
        <v>19.149999999999999</v>
      </c>
      <c r="F108" s="6">
        <f t="shared" si="9"/>
        <v>2251.4000000000019</v>
      </c>
      <c r="H108" s="1" t="str">
        <f t="shared" si="6"/>
        <v>NÃO</v>
      </c>
      <c r="J108" s="1" t="str">
        <f t="shared" si="7"/>
        <v>NÃO</v>
      </c>
    </row>
    <row r="109" spans="1:10" x14ac:dyDescent="0.25">
      <c r="A109" s="3">
        <v>42398</v>
      </c>
      <c r="B109" s="6">
        <v>23.96</v>
      </c>
      <c r="C109" s="1">
        <v>1</v>
      </c>
      <c r="E109" s="6">
        <f t="shared" si="8"/>
        <v>19.46</v>
      </c>
      <c r="F109" s="6">
        <f t="shared" si="9"/>
        <v>2270.8600000000019</v>
      </c>
      <c r="H109" s="1" t="str">
        <f t="shared" si="6"/>
        <v>NÃO</v>
      </c>
      <c r="J109" s="1" t="str">
        <f t="shared" si="7"/>
        <v>NÃO</v>
      </c>
    </row>
    <row r="110" spans="1:10" x14ac:dyDescent="0.25">
      <c r="A110" s="3">
        <v>42399</v>
      </c>
      <c r="B110" s="6">
        <v>24.94</v>
      </c>
      <c r="C110" s="1">
        <v>1</v>
      </c>
      <c r="E110" s="6">
        <f t="shared" si="8"/>
        <v>20.440000000000001</v>
      </c>
      <c r="F110" s="6">
        <f t="shared" si="9"/>
        <v>2291.300000000002</v>
      </c>
      <c r="H110" s="1" t="str">
        <f t="shared" si="6"/>
        <v>NÃO</v>
      </c>
      <c r="J110" s="1" t="str">
        <f t="shared" si="7"/>
        <v>NÃO</v>
      </c>
    </row>
    <row r="111" spans="1:10" x14ac:dyDescent="0.25">
      <c r="A111" s="3">
        <v>42400</v>
      </c>
      <c r="B111" s="6">
        <v>23.79</v>
      </c>
      <c r="C111" s="1">
        <v>1</v>
      </c>
      <c r="E111" s="6">
        <f t="shared" si="8"/>
        <v>19.29</v>
      </c>
      <c r="F111" s="6">
        <f t="shared" si="9"/>
        <v>2310.590000000002</v>
      </c>
      <c r="H111" s="1" t="str">
        <f t="shared" si="6"/>
        <v>NÃO</v>
      </c>
      <c r="J111" s="1" t="str">
        <f t="shared" si="7"/>
        <v>NÃO</v>
      </c>
    </row>
    <row r="112" spans="1:10" x14ac:dyDescent="0.25">
      <c r="A112" s="3">
        <v>42401</v>
      </c>
      <c r="B112" s="6">
        <v>27.17</v>
      </c>
      <c r="C112" s="1">
        <v>1</v>
      </c>
      <c r="E112" s="6">
        <f t="shared" si="8"/>
        <v>22.67</v>
      </c>
      <c r="F112" s="6">
        <f t="shared" si="9"/>
        <v>2333.260000000002</v>
      </c>
      <c r="H112" s="33" t="str">
        <f>IF(F112&gt;=$G$3,"SIM","NÃO")</f>
        <v>SIM</v>
      </c>
      <c r="J112" s="1" t="str">
        <f t="shared" si="7"/>
        <v>NÃO</v>
      </c>
    </row>
    <row r="113" spans="1:10" x14ac:dyDescent="0.25">
      <c r="A113" s="3">
        <v>42402</v>
      </c>
      <c r="B113" s="6">
        <v>26.54</v>
      </c>
      <c r="C113" s="1">
        <v>1</v>
      </c>
      <c r="E113" s="6">
        <f t="shared" si="8"/>
        <v>22.04</v>
      </c>
      <c r="F113" s="6">
        <f t="shared" si="9"/>
        <v>2355.300000000002</v>
      </c>
      <c r="J113" s="1" t="str">
        <f t="shared" si="7"/>
        <v>NÃO</v>
      </c>
    </row>
    <row r="114" spans="1:10" x14ac:dyDescent="0.25">
      <c r="A114" s="3">
        <v>42403</v>
      </c>
      <c r="B114" s="6">
        <v>24.27</v>
      </c>
      <c r="C114" s="1">
        <v>1</v>
      </c>
      <c r="E114" s="6">
        <f t="shared" si="8"/>
        <v>19.77</v>
      </c>
      <c r="F114" s="6">
        <f t="shared" si="9"/>
        <v>2375.070000000002</v>
      </c>
      <c r="J114" s="1" t="str">
        <f t="shared" si="7"/>
        <v>NÃO</v>
      </c>
    </row>
    <row r="115" spans="1:10" x14ac:dyDescent="0.25">
      <c r="A115" s="3">
        <v>42404</v>
      </c>
      <c r="B115" s="6">
        <v>24.61</v>
      </c>
      <c r="C115" s="1">
        <v>1</v>
      </c>
      <c r="E115" s="6">
        <f t="shared" si="8"/>
        <v>20.11</v>
      </c>
      <c r="F115" s="6">
        <f t="shared" si="9"/>
        <v>2395.1800000000021</v>
      </c>
      <c r="J115" s="1" t="str">
        <f t="shared" si="7"/>
        <v>NÃO</v>
      </c>
    </row>
    <row r="116" spans="1:10" x14ac:dyDescent="0.25">
      <c r="A116" s="3">
        <v>42405</v>
      </c>
      <c r="B116" s="6">
        <v>23.75</v>
      </c>
      <c r="C116" s="1">
        <v>1</v>
      </c>
      <c r="E116" s="6">
        <f t="shared" si="8"/>
        <v>19.25</v>
      </c>
      <c r="F116" s="6">
        <f t="shared" si="9"/>
        <v>2414.4300000000021</v>
      </c>
      <c r="J116" s="1" t="str">
        <f t="shared" si="7"/>
        <v>NÃO</v>
      </c>
    </row>
    <row r="117" spans="1:10" x14ac:dyDescent="0.25">
      <c r="A117" s="3">
        <v>42406</v>
      </c>
      <c r="B117" s="6">
        <v>22.31</v>
      </c>
      <c r="C117" s="1">
        <v>1</v>
      </c>
      <c r="E117" s="6">
        <f t="shared" si="8"/>
        <v>17.809999999999999</v>
      </c>
      <c r="F117" s="6">
        <f t="shared" si="9"/>
        <v>2432.2400000000021</v>
      </c>
      <c r="J117" s="1" t="str">
        <f t="shared" si="7"/>
        <v>NÃO</v>
      </c>
    </row>
    <row r="118" spans="1:10" x14ac:dyDescent="0.25">
      <c r="A118" s="3">
        <v>42407</v>
      </c>
      <c r="B118" s="6">
        <v>20.65</v>
      </c>
      <c r="C118" s="1">
        <v>1</v>
      </c>
      <c r="E118" s="6">
        <f t="shared" si="8"/>
        <v>16.149999999999999</v>
      </c>
      <c r="F118" s="6">
        <f t="shared" si="9"/>
        <v>2448.3900000000021</v>
      </c>
      <c r="J118" s="1" t="str">
        <f t="shared" si="7"/>
        <v>NÃO</v>
      </c>
    </row>
    <row r="119" spans="1:10" x14ac:dyDescent="0.25">
      <c r="A119" s="3">
        <v>42408</v>
      </c>
      <c r="B119" s="6">
        <v>21.51</v>
      </c>
      <c r="C119" s="1">
        <v>1</v>
      </c>
      <c r="E119" s="6">
        <f t="shared" si="8"/>
        <v>17.010000000000002</v>
      </c>
      <c r="F119" s="6">
        <f t="shared" si="9"/>
        <v>2465.4000000000024</v>
      </c>
      <c r="J119" s="1" t="str">
        <f t="shared" si="7"/>
        <v>NÃO</v>
      </c>
    </row>
    <row r="120" spans="1:10" x14ac:dyDescent="0.25">
      <c r="A120" s="3">
        <v>42409</v>
      </c>
      <c r="B120" s="6">
        <v>21.7</v>
      </c>
      <c r="C120" s="1">
        <v>1</v>
      </c>
      <c r="E120" s="6">
        <f t="shared" si="8"/>
        <v>17.2</v>
      </c>
      <c r="F120" s="6">
        <f t="shared" si="9"/>
        <v>2482.6000000000022</v>
      </c>
      <c r="J120" s="1" t="str">
        <f t="shared" si="7"/>
        <v>NÃO</v>
      </c>
    </row>
    <row r="121" spans="1:10" x14ac:dyDescent="0.25">
      <c r="A121" s="3">
        <v>42410</v>
      </c>
      <c r="B121" s="6">
        <v>20.66</v>
      </c>
      <c r="C121" s="1">
        <v>1</v>
      </c>
      <c r="E121" s="6">
        <f t="shared" si="8"/>
        <v>16.16</v>
      </c>
      <c r="F121" s="6">
        <f t="shared" si="9"/>
        <v>2498.760000000002</v>
      </c>
      <c r="J121" s="1" t="str">
        <f t="shared" si="7"/>
        <v>NÃO</v>
      </c>
    </row>
    <row r="122" spans="1:10" x14ac:dyDescent="0.25">
      <c r="A122" s="3">
        <v>42411</v>
      </c>
      <c r="B122" s="6">
        <v>19.52</v>
      </c>
      <c r="C122" s="1">
        <v>1</v>
      </c>
      <c r="E122" s="6">
        <f t="shared" si="8"/>
        <v>15.02</v>
      </c>
      <c r="F122" s="6">
        <f t="shared" si="9"/>
        <v>2513.780000000002</v>
      </c>
      <c r="J122" s="1" t="str">
        <f t="shared" si="7"/>
        <v>NÃO</v>
      </c>
    </row>
    <row r="123" spans="1:10" x14ac:dyDescent="0.25">
      <c r="A123" s="3">
        <v>42412</v>
      </c>
      <c r="B123" s="6">
        <v>19.36</v>
      </c>
      <c r="C123" s="1">
        <v>1</v>
      </c>
      <c r="E123" s="6">
        <f t="shared" si="8"/>
        <v>14.86</v>
      </c>
      <c r="F123" s="6">
        <f t="shared" si="9"/>
        <v>2528.6400000000021</v>
      </c>
      <c r="J123" s="1" t="str">
        <f t="shared" si="7"/>
        <v>NÃO</v>
      </c>
    </row>
    <row r="124" spans="1:10" x14ac:dyDescent="0.25">
      <c r="A124" s="3">
        <v>42413</v>
      </c>
      <c r="B124" s="6">
        <v>20.9</v>
      </c>
      <c r="C124" s="1">
        <v>1</v>
      </c>
      <c r="E124" s="6">
        <f t="shared" si="8"/>
        <v>16.399999999999999</v>
      </c>
      <c r="F124" s="6">
        <f t="shared" si="9"/>
        <v>2545.0400000000022</v>
      </c>
      <c r="J124" s="1" t="str">
        <f t="shared" si="7"/>
        <v>NÃO</v>
      </c>
    </row>
    <row r="125" spans="1:10" x14ac:dyDescent="0.25">
      <c r="A125" s="3">
        <v>42414</v>
      </c>
      <c r="B125" s="6">
        <v>22.45</v>
      </c>
      <c r="C125" s="1">
        <v>1</v>
      </c>
      <c r="E125" s="6">
        <f t="shared" si="8"/>
        <v>17.95</v>
      </c>
      <c r="F125" s="6">
        <f t="shared" si="9"/>
        <v>2562.9900000000021</v>
      </c>
      <c r="J125" s="1" t="str">
        <f t="shared" si="7"/>
        <v>NÃO</v>
      </c>
    </row>
    <row r="126" spans="1:10" x14ac:dyDescent="0.25">
      <c r="A126" s="3">
        <v>42415</v>
      </c>
      <c r="B126" s="6">
        <v>21.67</v>
      </c>
      <c r="C126" s="1">
        <v>1</v>
      </c>
      <c r="E126" s="6">
        <f t="shared" si="8"/>
        <v>17.170000000000002</v>
      </c>
      <c r="F126" s="6">
        <f t="shared" si="9"/>
        <v>2580.1600000000021</v>
      </c>
      <c r="J126" s="1" t="str">
        <f t="shared" si="7"/>
        <v>NÃO</v>
      </c>
    </row>
    <row r="127" spans="1:10" x14ac:dyDescent="0.25">
      <c r="A127" s="3">
        <v>42416</v>
      </c>
      <c r="B127" s="6">
        <v>23.36</v>
      </c>
      <c r="C127" s="1">
        <v>1</v>
      </c>
      <c r="E127" s="6">
        <f t="shared" si="8"/>
        <v>18.86</v>
      </c>
      <c r="F127" s="6">
        <f t="shared" si="9"/>
        <v>2599.0200000000023</v>
      </c>
      <c r="J127" s="1" t="str">
        <f t="shared" si="7"/>
        <v>NÃO</v>
      </c>
    </row>
    <row r="128" spans="1:10" x14ac:dyDescent="0.25">
      <c r="A128" s="3">
        <v>42417</v>
      </c>
      <c r="B128" s="6">
        <v>20.81</v>
      </c>
      <c r="C128" s="1">
        <v>1</v>
      </c>
      <c r="E128" s="6">
        <f t="shared" si="8"/>
        <v>16.309999999999999</v>
      </c>
      <c r="F128" s="6">
        <f t="shared" si="9"/>
        <v>2615.3300000000022</v>
      </c>
      <c r="J128" s="1" t="str">
        <f t="shared" si="7"/>
        <v>NÃO</v>
      </c>
    </row>
    <row r="129" spans="1:10" x14ac:dyDescent="0.25">
      <c r="A129" s="3">
        <v>42418</v>
      </c>
      <c r="B129" s="6">
        <v>19.18</v>
      </c>
      <c r="C129" s="1">
        <v>1</v>
      </c>
      <c r="E129" s="6">
        <f t="shared" si="8"/>
        <v>14.68</v>
      </c>
      <c r="F129" s="6">
        <f t="shared" si="9"/>
        <v>2630.010000000002</v>
      </c>
      <c r="J129" s="1" t="str">
        <f t="shared" si="7"/>
        <v>NÃO</v>
      </c>
    </row>
    <row r="130" spans="1:10" x14ac:dyDescent="0.25">
      <c r="A130" s="3">
        <v>42419</v>
      </c>
      <c r="B130" s="6">
        <v>19.579999999999998</v>
      </c>
      <c r="C130" s="1">
        <v>1</v>
      </c>
      <c r="E130" s="6">
        <f t="shared" si="8"/>
        <v>15.079999999999998</v>
      </c>
      <c r="F130" s="6">
        <f t="shared" si="9"/>
        <v>2645.090000000002</v>
      </c>
      <c r="J130" s="1" t="str">
        <f t="shared" si="7"/>
        <v>NÃO</v>
      </c>
    </row>
    <row r="131" spans="1:10" x14ac:dyDescent="0.25">
      <c r="A131" s="3">
        <v>42420</v>
      </c>
      <c r="B131" s="6">
        <v>19.670000000000002</v>
      </c>
      <c r="C131" s="1">
        <v>1</v>
      </c>
      <c r="E131" s="6">
        <f t="shared" si="8"/>
        <v>15.170000000000002</v>
      </c>
      <c r="F131" s="6">
        <f t="shared" si="9"/>
        <v>2660.260000000002</v>
      </c>
      <c r="J131" s="1" t="str">
        <f t="shared" si="7"/>
        <v>NÃO</v>
      </c>
    </row>
    <row r="132" spans="1:10" x14ac:dyDescent="0.25">
      <c r="A132" s="3">
        <v>42421</v>
      </c>
      <c r="B132" s="6">
        <v>20.41</v>
      </c>
      <c r="C132" s="1">
        <v>1</v>
      </c>
      <c r="E132" s="6">
        <f t="shared" si="8"/>
        <v>15.91</v>
      </c>
      <c r="F132" s="6">
        <f t="shared" si="9"/>
        <v>2676.1700000000019</v>
      </c>
      <c r="J132" s="1" t="str">
        <f t="shared" si="7"/>
        <v>NÃO</v>
      </c>
    </row>
    <row r="133" spans="1:10" x14ac:dyDescent="0.25">
      <c r="A133" s="3">
        <v>42422</v>
      </c>
      <c r="B133" s="6">
        <v>20.170000000000002</v>
      </c>
      <c r="C133" s="1">
        <v>1</v>
      </c>
      <c r="E133" s="6">
        <f t="shared" si="8"/>
        <v>15.670000000000002</v>
      </c>
      <c r="F133" s="6">
        <f t="shared" si="9"/>
        <v>2691.840000000002</v>
      </c>
      <c r="J133" s="1" t="str">
        <f t="shared" ref="J133:J175" si="10">IF(F133&gt;=$I$3,"SIM","NÃO")</f>
        <v>NÃO</v>
      </c>
    </row>
    <row r="134" spans="1:10" x14ac:dyDescent="0.25">
      <c r="A134" s="3">
        <v>42423</v>
      </c>
      <c r="B134" s="6">
        <v>19.61</v>
      </c>
      <c r="C134" s="1">
        <v>1</v>
      </c>
      <c r="E134" s="6">
        <f t="shared" si="8"/>
        <v>15.11</v>
      </c>
      <c r="F134" s="6">
        <f t="shared" si="9"/>
        <v>2706.9500000000021</v>
      </c>
      <c r="J134" s="1" t="str">
        <f t="shared" si="10"/>
        <v>NÃO</v>
      </c>
    </row>
    <row r="135" spans="1:10" x14ac:dyDescent="0.25">
      <c r="A135" s="3">
        <v>42424</v>
      </c>
      <c r="B135" s="6">
        <v>19.87</v>
      </c>
      <c r="C135" s="1">
        <v>1</v>
      </c>
      <c r="E135" s="6">
        <f t="shared" si="8"/>
        <v>15.370000000000001</v>
      </c>
      <c r="F135" s="6">
        <f t="shared" si="9"/>
        <v>2722.320000000002</v>
      </c>
      <c r="J135" s="1" t="str">
        <f t="shared" si="10"/>
        <v>NÃO</v>
      </c>
    </row>
    <row r="136" spans="1:10" x14ac:dyDescent="0.25">
      <c r="A136" s="3">
        <v>42425</v>
      </c>
      <c r="B136" s="6">
        <v>20.11</v>
      </c>
      <c r="C136" s="1">
        <v>1</v>
      </c>
      <c r="E136" s="6">
        <f t="shared" si="8"/>
        <v>15.61</v>
      </c>
      <c r="F136" s="6">
        <f t="shared" si="9"/>
        <v>2737.9300000000021</v>
      </c>
      <c r="J136" s="1" t="str">
        <f t="shared" si="10"/>
        <v>NÃO</v>
      </c>
    </row>
    <row r="137" spans="1:10" x14ac:dyDescent="0.25">
      <c r="A137" s="3">
        <v>42426</v>
      </c>
      <c r="B137" s="6">
        <v>18.98</v>
      </c>
      <c r="C137" s="1">
        <v>1</v>
      </c>
      <c r="E137" s="6">
        <f t="shared" si="8"/>
        <v>14.48</v>
      </c>
      <c r="F137" s="6">
        <f t="shared" si="9"/>
        <v>2752.4100000000021</v>
      </c>
      <c r="J137" s="1" t="str">
        <f t="shared" si="10"/>
        <v>NÃO</v>
      </c>
    </row>
    <row r="138" spans="1:10" x14ac:dyDescent="0.25">
      <c r="A138" s="3">
        <v>42427</v>
      </c>
      <c r="B138" s="6">
        <v>18.66</v>
      </c>
      <c r="C138" s="1">
        <v>1</v>
      </c>
      <c r="E138" s="6">
        <f t="shared" si="8"/>
        <v>14.16</v>
      </c>
      <c r="F138" s="6">
        <f t="shared" si="9"/>
        <v>2766.570000000002</v>
      </c>
      <c r="J138" s="1" t="str">
        <f t="shared" si="10"/>
        <v>NÃO</v>
      </c>
    </row>
    <row r="139" spans="1:10" x14ac:dyDescent="0.25">
      <c r="A139" s="3">
        <v>42428</v>
      </c>
      <c r="B139" s="6">
        <v>18.82</v>
      </c>
      <c r="C139" s="1">
        <v>1</v>
      </c>
      <c r="E139" s="6">
        <f t="shared" si="8"/>
        <v>14.32</v>
      </c>
      <c r="F139" s="6">
        <f t="shared" si="9"/>
        <v>2780.8900000000021</v>
      </c>
      <c r="J139" s="1" t="str">
        <f t="shared" si="10"/>
        <v>NÃO</v>
      </c>
    </row>
    <row r="140" spans="1:10" x14ac:dyDescent="0.25">
      <c r="A140" s="3">
        <v>42429</v>
      </c>
      <c r="B140" s="6">
        <v>19.75</v>
      </c>
      <c r="C140" s="1">
        <v>1</v>
      </c>
      <c r="E140" s="6">
        <f t="shared" si="8"/>
        <v>15.25</v>
      </c>
      <c r="F140" s="6">
        <f t="shared" si="9"/>
        <v>2796.1400000000021</v>
      </c>
      <c r="J140" s="1" t="str">
        <f t="shared" si="10"/>
        <v>NÃO</v>
      </c>
    </row>
    <row r="141" spans="1:10" x14ac:dyDescent="0.25">
      <c r="A141" s="3">
        <v>42430</v>
      </c>
      <c r="B141" s="6">
        <v>20.7</v>
      </c>
      <c r="C141" s="1">
        <v>1</v>
      </c>
      <c r="E141" s="6">
        <f t="shared" ref="E141:E153" si="11">B141-$D$3</f>
        <v>16.2</v>
      </c>
      <c r="F141" s="6">
        <f t="shared" ref="F141:F153" si="12">E141+F140</f>
        <v>2812.340000000002</v>
      </c>
      <c r="J141" s="1" t="str">
        <f t="shared" si="10"/>
        <v>NÃO</v>
      </c>
    </row>
    <row r="142" spans="1:10" x14ac:dyDescent="0.25">
      <c r="A142" s="3">
        <v>42431</v>
      </c>
      <c r="B142" s="6">
        <v>20.92</v>
      </c>
      <c r="C142" s="1">
        <v>1</v>
      </c>
      <c r="E142" s="6">
        <f t="shared" si="11"/>
        <v>16.420000000000002</v>
      </c>
      <c r="F142" s="6">
        <f t="shared" si="12"/>
        <v>2828.760000000002</v>
      </c>
      <c r="J142" s="1" t="str">
        <f t="shared" si="10"/>
        <v>NÃO</v>
      </c>
    </row>
    <row r="143" spans="1:10" x14ac:dyDescent="0.25">
      <c r="A143" s="3">
        <v>42432</v>
      </c>
      <c r="B143" s="6">
        <v>21.55</v>
      </c>
      <c r="C143" s="1">
        <v>1</v>
      </c>
      <c r="E143" s="6">
        <f t="shared" si="11"/>
        <v>17.05</v>
      </c>
      <c r="F143" s="6">
        <f t="shared" si="12"/>
        <v>2845.8100000000022</v>
      </c>
      <c r="J143" s="1" t="str">
        <f t="shared" si="10"/>
        <v>NÃO</v>
      </c>
    </row>
    <row r="144" spans="1:10" x14ac:dyDescent="0.25">
      <c r="A144" s="3">
        <v>42433</v>
      </c>
      <c r="B144" s="6">
        <v>21.51</v>
      </c>
      <c r="C144" s="1">
        <v>1</v>
      </c>
      <c r="E144" s="6">
        <f t="shared" si="11"/>
        <v>17.010000000000002</v>
      </c>
      <c r="F144" s="6">
        <f t="shared" si="12"/>
        <v>2862.8200000000024</v>
      </c>
      <c r="J144" s="1" t="str">
        <f t="shared" si="10"/>
        <v>NÃO</v>
      </c>
    </row>
    <row r="145" spans="1:10" x14ac:dyDescent="0.25">
      <c r="A145" s="3">
        <v>42434</v>
      </c>
      <c r="B145" s="6">
        <v>20.260000000000002</v>
      </c>
      <c r="C145" s="1">
        <v>1</v>
      </c>
      <c r="E145" s="6">
        <f t="shared" si="11"/>
        <v>15.760000000000002</v>
      </c>
      <c r="F145" s="6">
        <f t="shared" si="12"/>
        <v>2878.5800000000027</v>
      </c>
      <c r="J145" s="1" t="str">
        <f t="shared" si="10"/>
        <v>NÃO</v>
      </c>
    </row>
    <row r="146" spans="1:10" x14ac:dyDescent="0.25">
      <c r="A146" s="3">
        <v>42435</v>
      </c>
      <c r="B146" s="6">
        <v>21.04</v>
      </c>
      <c r="C146" s="1">
        <v>1</v>
      </c>
      <c r="E146" s="6">
        <f t="shared" si="11"/>
        <v>16.54</v>
      </c>
      <c r="F146" s="6">
        <f t="shared" si="12"/>
        <v>2895.1200000000026</v>
      </c>
      <c r="J146" s="1" t="str">
        <f t="shared" si="10"/>
        <v>NÃO</v>
      </c>
    </row>
    <row r="147" spans="1:10" x14ac:dyDescent="0.25">
      <c r="A147" s="3">
        <v>42436</v>
      </c>
      <c r="B147" s="6">
        <v>23.11</v>
      </c>
      <c r="C147" s="1">
        <v>1</v>
      </c>
      <c r="E147" s="6">
        <f t="shared" si="11"/>
        <v>18.61</v>
      </c>
      <c r="F147" s="6">
        <f t="shared" si="12"/>
        <v>2913.7300000000027</v>
      </c>
      <c r="J147" s="1" t="str">
        <f t="shared" si="10"/>
        <v>NÃO</v>
      </c>
    </row>
    <row r="148" spans="1:10" x14ac:dyDescent="0.25">
      <c r="A148" s="3">
        <v>42437</v>
      </c>
      <c r="B148" s="6">
        <v>23.61</v>
      </c>
      <c r="C148" s="1">
        <v>1</v>
      </c>
      <c r="E148" s="6">
        <f t="shared" si="11"/>
        <v>19.11</v>
      </c>
      <c r="F148" s="6">
        <f t="shared" si="12"/>
        <v>2932.8400000000029</v>
      </c>
      <c r="J148" s="1" t="str">
        <f t="shared" si="10"/>
        <v>NÃO</v>
      </c>
    </row>
    <row r="149" spans="1:10" x14ac:dyDescent="0.25">
      <c r="A149" s="3">
        <v>42438</v>
      </c>
      <c r="B149" s="6">
        <v>23.39</v>
      </c>
      <c r="C149" s="1">
        <v>1</v>
      </c>
      <c r="E149" s="6">
        <f t="shared" si="11"/>
        <v>18.89</v>
      </c>
      <c r="F149" s="6">
        <f t="shared" si="12"/>
        <v>2951.7300000000027</v>
      </c>
      <c r="J149" s="1" t="str">
        <f t="shared" si="10"/>
        <v>NÃO</v>
      </c>
    </row>
    <row r="150" spans="1:10" x14ac:dyDescent="0.25">
      <c r="A150" s="3">
        <v>42439</v>
      </c>
      <c r="B150" s="6">
        <v>18.84</v>
      </c>
      <c r="C150" s="1">
        <v>1</v>
      </c>
      <c r="E150" s="6">
        <f t="shared" si="11"/>
        <v>14.34</v>
      </c>
      <c r="F150" s="6">
        <f t="shared" si="12"/>
        <v>2966.0700000000029</v>
      </c>
      <c r="J150" s="1" t="str">
        <f t="shared" si="10"/>
        <v>NÃO</v>
      </c>
    </row>
    <row r="151" spans="1:10" x14ac:dyDescent="0.25">
      <c r="A151" s="3">
        <v>42440</v>
      </c>
      <c r="B151" s="6">
        <v>19.97</v>
      </c>
      <c r="C151" s="1">
        <v>1</v>
      </c>
      <c r="E151" s="6">
        <f t="shared" si="11"/>
        <v>15.469999999999999</v>
      </c>
      <c r="F151" s="6">
        <f t="shared" si="12"/>
        <v>2981.5400000000027</v>
      </c>
      <c r="J151" s="1" t="str">
        <f t="shared" si="10"/>
        <v>NÃO</v>
      </c>
    </row>
    <row r="152" spans="1:10" x14ac:dyDescent="0.25">
      <c r="A152" s="3">
        <v>42441</v>
      </c>
      <c r="B152" s="6">
        <v>17.14</v>
      </c>
      <c r="C152" s="1">
        <v>1</v>
      </c>
      <c r="E152" s="6">
        <f t="shared" si="11"/>
        <v>12.64</v>
      </c>
      <c r="F152" s="6">
        <f t="shared" si="12"/>
        <v>2994.1800000000026</v>
      </c>
      <c r="J152" s="1" t="str">
        <f t="shared" si="10"/>
        <v>NÃO</v>
      </c>
    </row>
    <row r="153" spans="1:10" x14ac:dyDescent="0.25">
      <c r="A153" s="3">
        <v>42442</v>
      </c>
      <c r="B153" s="6">
        <v>18.32</v>
      </c>
      <c r="C153" s="1">
        <v>1</v>
      </c>
      <c r="E153" s="6">
        <f t="shared" si="11"/>
        <v>13.82</v>
      </c>
      <c r="F153" s="6">
        <f t="shared" si="12"/>
        <v>3008.0000000000027</v>
      </c>
      <c r="J153" s="1" t="str">
        <f t="shared" si="10"/>
        <v>NÃO</v>
      </c>
    </row>
    <row r="154" spans="1:10" x14ac:dyDescent="0.25">
      <c r="A154" s="3">
        <v>42443</v>
      </c>
      <c r="B154" s="6">
        <v>20.7</v>
      </c>
      <c r="C154" s="1">
        <v>1</v>
      </c>
      <c r="E154" s="6">
        <f t="shared" ref="E154:E166" si="13">B154-$D$3</f>
        <v>16.2</v>
      </c>
      <c r="F154" s="6">
        <f t="shared" ref="F154:F166" si="14">E154+F153</f>
        <v>3024.2000000000025</v>
      </c>
      <c r="J154" s="1" t="str">
        <f t="shared" si="10"/>
        <v>NÃO</v>
      </c>
    </row>
    <row r="155" spans="1:10" x14ac:dyDescent="0.25">
      <c r="A155" s="3">
        <v>42444</v>
      </c>
      <c r="B155" s="6">
        <v>20.92</v>
      </c>
      <c r="C155" s="1">
        <v>1</v>
      </c>
      <c r="E155" s="6">
        <f t="shared" si="13"/>
        <v>16.420000000000002</v>
      </c>
      <c r="F155" s="6">
        <f t="shared" si="14"/>
        <v>3040.6200000000026</v>
      </c>
      <c r="J155" s="1" t="str">
        <f t="shared" si="10"/>
        <v>NÃO</v>
      </c>
    </row>
    <row r="156" spans="1:10" x14ac:dyDescent="0.25">
      <c r="A156" s="3">
        <v>42445</v>
      </c>
      <c r="B156" s="6">
        <v>21.55</v>
      </c>
      <c r="C156" s="1">
        <v>1</v>
      </c>
      <c r="E156" s="6">
        <f t="shared" si="13"/>
        <v>17.05</v>
      </c>
      <c r="F156" s="6">
        <f t="shared" si="14"/>
        <v>3057.6700000000028</v>
      </c>
      <c r="J156" s="1" t="str">
        <f t="shared" si="10"/>
        <v>NÃO</v>
      </c>
    </row>
    <row r="157" spans="1:10" x14ac:dyDescent="0.25">
      <c r="A157" s="3">
        <v>42446</v>
      </c>
      <c r="B157" s="6">
        <v>21.51</v>
      </c>
      <c r="C157" s="1">
        <v>1</v>
      </c>
      <c r="E157" s="6">
        <f t="shared" si="13"/>
        <v>17.010000000000002</v>
      </c>
      <c r="F157" s="6">
        <f t="shared" si="14"/>
        <v>3074.680000000003</v>
      </c>
      <c r="J157" s="1" t="str">
        <f t="shared" si="10"/>
        <v>NÃO</v>
      </c>
    </row>
    <row r="158" spans="1:10" x14ac:dyDescent="0.25">
      <c r="A158" s="3">
        <v>42447</v>
      </c>
      <c r="B158" s="6">
        <v>20.260000000000002</v>
      </c>
      <c r="C158" s="1">
        <v>1</v>
      </c>
      <c r="E158" s="6">
        <f t="shared" si="13"/>
        <v>15.760000000000002</v>
      </c>
      <c r="F158" s="6">
        <f t="shared" si="14"/>
        <v>3090.4400000000032</v>
      </c>
      <c r="J158" s="1" t="str">
        <f t="shared" si="10"/>
        <v>NÃO</v>
      </c>
    </row>
    <row r="159" spans="1:10" x14ac:dyDescent="0.25">
      <c r="A159" s="3">
        <v>42448</v>
      </c>
      <c r="B159" s="6">
        <v>21.04</v>
      </c>
      <c r="C159" s="1">
        <v>1</v>
      </c>
      <c r="E159" s="6">
        <f t="shared" si="13"/>
        <v>16.54</v>
      </c>
      <c r="F159" s="6">
        <f t="shared" si="14"/>
        <v>3106.9800000000032</v>
      </c>
      <c r="J159" s="1" t="str">
        <f t="shared" si="10"/>
        <v>NÃO</v>
      </c>
    </row>
    <row r="160" spans="1:10" x14ac:dyDescent="0.25">
      <c r="A160" s="3">
        <v>42449</v>
      </c>
      <c r="B160" s="6">
        <v>23.11</v>
      </c>
      <c r="C160" s="1">
        <v>1</v>
      </c>
      <c r="E160" s="6">
        <f t="shared" si="13"/>
        <v>18.61</v>
      </c>
      <c r="F160" s="6">
        <f t="shared" si="14"/>
        <v>3125.5900000000033</v>
      </c>
      <c r="J160" s="1" t="str">
        <f t="shared" si="10"/>
        <v>NÃO</v>
      </c>
    </row>
    <row r="161" spans="1:10" x14ac:dyDescent="0.25">
      <c r="A161" s="3">
        <v>42450</v>
      </c>
      <c r="B161" s="6">
        <v>23.61</v>
      </c>
      <c r="C161" s="1">
        <v>1</v>
      </c>
      <c r="E161" s="6">
        <f t="shared" si="13"/>
        <v>19.11</v>
      </c>
      <c r="F161" s="6">
        <f t="shared" si="14"/>
        <v>3144.7000000000035</v>
      </c>
      <c r="J161" s="1" t="str">
        <f t="shared" si="10"/>
        <v>NÃO</v>
      </c>
    </row>
    <row r="162" spans="1:10" x14ac:dyDescent="0.25">
      <c r="A162" s="3">
        <v>42451</v>
      </c>
      <c r="B162" s="6">
        <v>23.39</v>
      </c>
      <c r="C162" s="1">
        <v>1</v>
      </c>
      <c r="E162" s="6">
        <f t="shared" si="13"/>
        <v>18.89</v>
      </c>
      <c r="F162" s="6">
        <f t="shared" si="14"/>
        <v>3163.5900000000033</v>
      </c>
      <c r="J162" s="1" t="str">
        <f t="shared" si="10"/>
        <v>NÃO</v>
      </c>
    </row>
    <row r="163" spans="1:10" x14ac:dyDescent="0.25">
      <c r="A163" s="3">
        <v>42452</v>
      </c>
      <c r="B163" s="6">
        <v>18.84</v>
      </c>
      <c r="C163" s="1">
        <v>1</v>
      </c>
      <c r="E163" s="6">
        <f t="shared" si="13"/>
        <v>14.34</v>
      </c>
      <c r="F163" s="6">
        <f t="shared" si="14"/>
        <v>3177.9300000000035</v>
      </c>
      <c r="J163" s="1" t="str">
        <f t="shared" si="10"/>
        <v>NÃO</v>
      </c>
    </row>
    <row r="164" spans="1:10" x14ac:dyDescent="0.25">
      <c r="A164" s="3">
        <v>42453</v>
      </c>
      <c r="B164" s="6">
        <v>19.97</v>
      </c>
      <c r="C164" s="1">
        <v>1</v>
      </c>
      <c r="E164" s="6">
        <f t="shared" si="13"/>
        <v>15.469999999999999</v>
      </c>
      <c r="F164" s="6">
        <f t="shared" si="14"/>
        <v>3193.4000000000033</v>
      </c>
      <c r="J164" s="1" t="str">
        <f t="shared" si="10"/>
        <v>NÃO</v>
      </c>
    </row>
    <row r="165" spans="1:10" x14ac:dyDescent="0.25">
      <c r="A165" s="3">
        <v>42454</v>
      </c>
      <c r="B165" s="6">
        <v>17.14</v>
      </c>
      <c r="C165" s="1">
        <v>1</v>
      </c>
      <c r="E165" s="6">
        <f t="shared" si="13"/>
        <v>12.64</v>
      </c>
      <c r="F165" s="6">
        <f t="shared" si="14"/>
        <v>3206.0400000000031</v>
      </c>
      <c r="J165" s="1" t="str">
        <f t="shared" si="10"/>
        <v>NÃO</v>
      </c>
    </row>
    <row r="166" spans="1:10" x14ac:dyDescent="0.25">
      <c r="A166" s="3">
        <v>42455</v>
      </c>
      <c r="B166" s="6">
        <v>18.32</v>
      </c>
      <c r="C166" s="1">
        <v>1</v>
      </c>
      <c r="E166" s="6">
        <f t="shared" si="13"/>
        <v>13.82</v>
      </c>
      <c r="F166" s="6">
        <f t="shared" si="14"/>
        <v>3219.8600000000033</v>
      </c>
      <c r="J166" s="1" t="str">
        <f t="shared" si="10"/>
        <v>NÃO</v>
      </c>
    </row>
    <row r="167" spans="1:10" x14ac:dyDescent="0.25">
      <c r="A167" s="3">
        <v>42456</v>
      </c>
      <c r="B167" s="6">
        <v>18.98</v>
      </c>
      <c r="C167" s="1">
        <v>1</v>
      </c>
      <c r="E167" s="6">
        <f t="shared" ref="E167:E174" si="15">B167-$D$3</f>
        <v>14.48</v>
      </c>
      <c r="F167" s="6">
        <f t="shared" ref="F167:F174" si="16">E167+F166</f>
        <v>3234.3400000000033</v>
      </c>
      <c r="J167" s="1" t="str">
        <f t="shared" si="10"/>
        <v>NÃO</v>
      </c>
    </row>
    <row r="168" spans="1:10" x14ac:dyDescent="0.25">
      <c r="A168" s="3">
        <v>42457</v>
      </c>
      <c r="B168" s="6">
        <v>18.66</v>
      </c>
      <c r="C168" s="1">
        <v>1</v>
      </c>
      <c r="E168" s="6">
        <f t="shared" si="15"/>
        <v>14.16</v>
      </c>
      <c r="F168" s="6">
        <f t="shared" si="16"/>
        <v>3248.5000000000032</v>
      </c>
      <c r="J168" s="1" t="str">
        <f t="shared" si="10"/>
        <v>NÃO</v>
      </c>
    </row>
    <row r="169" spans="1:10" x14ac:dyDescent="0.25">
      <c r="A169" s="3">
        <v>42458</v>
      </c>
      <c r="B169" s="6">
        <v>18.82</v>
      </c>
      <c r="C169" s="1">
        <v>1</v>
      </c>
      <c r="E169" s="6">
        <f t="shared" si="15"/>
        <v>14.32</v>
      </c>
      <c r="F169" s="6">
        <f t="shared" si="16"/>
        <v>3262.8200000000033</v>
      </c>
      <c r="J169" s="1" t="str">
        <f t="shared" si="10"/>
        <v>NÃO</v>
      </c>
    </row>
    <row r="170" spans="1:10" x14ac:dyDescent="0.25">
      <c r="A170" s="3">
        <v>42459</v>
      </c>
      <c r="B170" s="6">
        <v>19.75</v>
      </c>
      <c r="C170" s="1">
        <v>1</v>
      </c>
      <c r="E170" s="6">
        <f t="shared" si="15"/>
        <v>15.25</v>
      </c>
      <c r="F170" s="6">
        <f t="shared" si="16"/>
        <v>3278.0700000000033</v>
      </c>
      <c r="J170" s="1" t="str">
        <f t="shared" si="10"/>
        <v>NÃO</v>
      </c>
    </row>
    <row r="171" spans="1:10" x14ac:dyDescent="0.25">
      <c r="A171" s="3">
        <v>42460</v>
      </c>
      <c r="B171" s="6">
        <v>20.7</v>
      </c>
      <c r="C171" s="1">
        <v>1</v>
      </c>
      <c r="E171" s="6">
        <f t="shared" si="15"/>
        <v>16.2</v>
      </c>
      <c r="F171" s="6">
        <f t="shared" si="16"/>
        <v>3294.2700000000032</v>
      </c>
      <c r="J171" s="1" t="str">
        <f t="shared" si="10"/>
        <v>NÃO</v>
      </c>
    </row>
    <row r="172" spans="1:10" x14ac:dyDescent="0.25">
      <c r="A172" s="3">
        <v>42461</v>
      </c>
      <c r="B172" s="6">
        <v>20.92</v>
      </c>
      <c r="C172" s="1">
        <v>1</v>
      </c>
      <c r="E172" s="6">
        <f t="shared" si="15"/>
        <v>16.420000000000002</v>
      </c>
      <c r="F172" s="6">
        <f t="shared" si="16"/>
        <v>3310.6900000000032</v>
      </c>
      <c r="J172" s="1" t="str">
        <f t="shared" si="10"/>
        <v>NÃO</v>
      </c>
    </row>
    <row r="173" spans="1:10" x14ac:dyDescent="0.25">
      <c r="A173" s="3">
        <v>42462</v>
      </c>
      <c r="B173" s="6">
        <v>21.55</v>
      </c>
      <c r="C173" s="1">
        <v>1</v>
      </c>
      <c r="E173" s="6">
        <f t="shared" si="15"/>
        <v>17.05</v>
      </c>
      <c r="F173" s="6">
        <f t="shared" si="16"/>
        <v>3327.7400000000034</v>
      </c>
      <c r="J173" s="1" t="str">
        <f t="shared" si="10"/>
        <v>NÃO</v>
      </c>
    </row>
    <row r="174" spans="1:10" x14ac:dyDescent="0.25">
      <c r="A174" s="3">
        <v>42463</v>
      </c>
      <c r="B174" s="6">
        <v>21.51</v>
      </c>
      <c r="C174" s="1">
        <v>1</v>
      </c>
      <c r="E174" s="6">
        <f t="shared" si="15"/>
        <v>17.010000000000002</v>
      </c>
      <c r="F174" s="6">
        <f t="shared" si="16"/>
        <v>3344.7500000000036</v>
      </c>
      <c r="J174" s="1" t="str">
        <f t="shared" si="10"/>
        <v>NÃO</v>
      </c>
    </row>
    <row r="175" spans="1:10" x14ac:dyDescent="0.25">
      <c r="A175" s="3">
        <v>42464</v>
      </c>
      <c r="B175" s="6">
        <v>17.14</v>
      </c>
      <c r="C175" s="1">
        <v>1</v>
      </c>
      <c r="E175" s="6">
        <f t="shared" ref="E175" si="17">B175-$D$3</f>
        <v>12.64</v>
      </c>
      <c r="F175" s="6">
        <f t="shared" ref="F175" si="18">E175+F174</f>
        <v>3357.3900000000035</v>
      </c>
      <c r="J175" s="33" t="str">
        <f t="shared" si="10"/>
        <v>SIM</v>
      </c>
    </row>
    <row r="176" spans="1:10" x14ac:dyDescent="0.25">
      <c r="A176" s="3"/>
      <c r="B176" s="6"/>
      <c r="C176" s="1"/>
      <c r="E176" s="6"/>
      <c r="F176" s="6"/>
    </row>
    <row r="177" spans="1:6" x14ac:dyDescent="0.25">
      <c r="A177" s="3"/>
      <c r="B177" s="6"/>
      <c r="C177" s="1"/>
      <c r="E177" s="6"/>
      <c r="F177" s="6"/>
    </row>
    <row r="178" spans="1:6" x14ac:dyDescent="0.25">
      <c r="A178" s="3"/>
      <c r="B178" s="6"/>
      <c r="C178" s="1"/>
      <c r="E178" s="6"/>
      <c r="F178" s="6"/>
    </row>
    <row r="179" spans="1:6" x14ac:dyDescent="0.25">
      <c r="A179" s="3"/>
      <c r="B179" s="6"/>
      <c r="C179" s="1"/>
      <c r="E179" s="6"/>
      <c r="F179" s="6"/>
    </row>
    <row r="180" spans="1:6" x14ac:dyDescent="0.25">
      <c r="A180" s="3"/>
      <c r="B180" s="6"/>
      <c r="C180" s="1"/>
      <c r="E180" s="6"/>
      <c r="F180" s="6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zoomScale="145" zoomScaleNormal="145" workbookViewId="0">
      <selection activeCell="B5" sqref="B5"/>
    </sheetView>
  </sheetViews>
  <sheetFormatPr defaultRowHeight="15" x14ac:dyDescent="0.25"/>
  <cols>
    <col min="1" max="2" width="10" customWidth="1"/>
    <col min="3" max="3" width="8.5703125" customWidth="1"/>
    <col min="4" max="4" width="8" customWidth="1"/>
    <col min="5" max="5" width="8.42578125" customWidth="1"/>
    <col min="6" max="6" width="9.28515625" customWidth="1"/>
    <col min="7" max="7" width="10" customWidth="1"/>
    <col min="8" max="8" width="12.42578125" bestFit="1" customWidth="1"/>
    <col min="9" max="9" width="13.42578125" bestFit="1" customWidth="1"/>
    <col min="10" max="10" width="11.28515625" bestFit="1" customWidth="1"/>
  </cols>
  <sheetData>
    <row r="1" spans="1:10" x14ac:dyDescent="0.25">
      <c r="A1" s="7" t="s">
        <v>7</v>
      </c>
      <c r="B1" s="7" t="s">
        <v>8</v>
      </c>
      <c r="C1" s="8" t="s">
        <v>27</v>
      </c>
      <c r="D1" s="7" t="s">
        <v>24</v>
      </c>
      <c r="E1" s="7" t="s">
        <v>11</v>
      </c>
      <c r="F1" s="7" t="s">
        <v>12</v>
      </c>
      <c r="G1" s="7" t="s">
        <v>13</v>
      </c>
      <c r="H1" s="7" t="s">
        <v>28</v>
      </c>
      <c r="I1" s="7" t="s">
        <v>21</v>
      </c>
      <c r="J1" s="20" t="s">
        <v>22</v>
      </c>
    </row>
    <row r="2" spans="1:10" x14ac:dyDescent="0.25">
      <c r="A2" s="1" t="s">
        <v>17</v>
      </c>
      <c r="B2" s="1">
        <v>15</v>
      </c>
      <c r="C2" s="1">
        <v>23.2</v>
      </c>
      <c r="D2" s="1">
        <v>6</v>
      </c>
      <c r="E2" s="1">
        <f>C2-$D$2</f>
        <v>17.2</v>
      </c>
      <c r="F2" s="1">
        <f>E2*B2</f>
        <v>258</v>
      </c>
      <c r="G2" s="1">
        <f>F2</f>
        <v>258</v>
      </c>
      <c r="H2" s="1">
        <v>1300</v>
      </c>
      <c r="I2" s="1" t="str">
        <f>IF(G2&gt;=$H$2,"SIM","NÃO")</f>
        <v>NÃO</v>
      </c>
      <c r="J2" s="6">
        <f>(H2-G3)/E4</f>
        <v>30.212290502793302</v>
      </c>
    </row>
    <row r="3" spans="1:10" x14ac:dyDescent="0.25">
      <c r="A3" s="1" t="s">
        <v>16</v>
      </c>
      <c r="B3" s="1">
        <v>28</v>
      </c>
      <c r="C3" s="1">
        <v>23.9</v>
      </c>
      <c r="E3" s="1">
        <f>C3-$D$2</f>
        <v>17.899999999999999</v>
      </c>
      <c r="F3" s="1">
        <f t="shared" ref="F3:F4" si="0">E3*B3</f>
        <v>501.19999999999993</v>
      </c>
      <c r="G3" s="1">
        <f>G2+F3</f>
        <v>759.19999999999993</v>
      </c>
      <c r="I3" s="1" t="str">
        <f t="shared" ref="I3:I4" si="1">IF(G3&gt;=$H$2,"SIM","NÃO")</f>
        <v>NÃO</v>
      </c>
    </row>
    <row r="4" spans="1:10" x14ac:dyDescent="0.25">
      <c r="A4" s="1" t="s">
        <v>15</v>
      </c>
      <c r="B4" s="1">
        <v>31</v>
      </c>
      <c r="C4" s="1">
        <v>23.9</v>
      </c>
      <c r="E4" s="1">
        <f t="shared" ref="E4" si="2">C4-$D$2</f>
        <v>17.899999999999999</v>
      </c>
      <c r="F4" s="1">
        <f t="shared" si="0"/>
        <v>554.9</v>
      </c>
      <c r="G4" s="1">
        <f>G3+F4</f>
        <v>1314.1</v>
      </c>
      <c r="I4" s="1" t="str">
        <f t="shared" si="1"/>
        <v>SIM</v>
      </c>
    </row>
    <row r="5" spans="1:10" x14ac:dyDescent="0.25">
      <c r="A5" s="1"/>
      <c r="B5" s="1"/>
      <c r="C5" s="1"/>
      <c r="E5" s="1"/>
      <c r="F5" s="1"/>
    </row>
    <row r="6" spans="1:10" x14ac:dyDescent="0.25">
      <c r="A6" s="22"/>
      <c r="B6" s="23"/>
      <c r="C6" s="23"/>
      <c r="D6" s="23"/>
      <c r="E6" s="36" t="s">
        <v>23</v>
      </c>
      <c r="F6" s="36"/>
      <c r="G6" s="36"/>
      <c r="H6" s="23"/>
      <c r="I6" s="23"/>
    </row>
    <row r="7" spans="1:10" x14ac:dyDescent="0.25">
      <c r="A7" s="22" t="s">
        <v>15</v>
      </c>
      <c r="B7" s="24">
        <v>31</v>
      </c>
      <c r="C7" s="25">
        <f>C4</f>
        <v>23.9</v>
      </c>
      <c r="D7" s="26"/>
      <c r="E7" s="22">
        <f>C7-$D$2</f>
        <v>17.899999999999999</v>
      </c>
      <c r="F7" s="22">
        <f>E7*B7</f>
        <v>554.9</v>
      </c>
      <c r="G7" s="22">
        <f>G3+F7</f>
        <v>1314.1</v>
      </c>
      <c r="H7" s="23"/>
      <c r="I7" s="27" t="str">
        <f>IF(G7&gt;=$L$3,"SIM","NÃO")</f>
        <v>SIM</v>
      </c>
    </row>
  </sheetData>
  <mergeCells count="1">
    <mergeCell ref="E6:G6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2"/>
  <sheetViews>
    <sheetView workbookViewId="0">
      <selection activeCell="C15" sqref="C15"/>
    </sheetView>
  </sheetViews>
  <sheetFormatPr defaultRowHeight="15" x14ac:dyDescent="0.25"/>
  <cols>
    <col min="2" max="2" width="11.85546875" customWidth="1"/>
    <col min="11" max="12" width="10.7109375" bestFit="1" customWidth="1"/>
  </cols>
  <sheetData>
    <row r="2" spans="1:15" x14ac:dyDescent="0.25">
      <c r="A2" t="s">
        <v>29</v>
      </c>
      <c r="B2" s="28">
        <v>-23.81</v>
      </c>
    </row>
    <row r="3" spans="1:15" x14ac:dyDescent="0.25">
      <c r="A3" t="s">
        <v>30</v>
      </c>
      <c r="B3" s="28">
        <v>-47.44</v>
      </c>
      <c r="F3" s="29" t="s">
        <v>31</v>
      </c>
      <c r="G3" t="s">
        <v>32</v>
      </c>
      <c r="H3" t="s">
        <v>33</v>
      </c>
      <c r="I3" s="30" t="s">
        <v>34</v>
      </c>
      <c r="J3" t="s">
        <v>35</v>
      </c>
      <c r="K3" s="30" t="s">
        <v>36</v>
      </c>
      <c r="L3" s="30" t="s">
        <v>37</v>
      </c>
      <c r="M3" s="30" t="s">
        <v>38</v>
      </c>
      <c r="N3" t="s">
        <v>39</v>
      </c>
      <c r="O3" t="s">
        <v>40</v>
      </c>
    </row>
    <row r="4" spans="1:15" x14ac:dyDescent="0.25">
      <c r="A4" t="s">
        <v>41</v>
      </c>
      <c r="B4">
        <v>1000</v>
      </c>
      <c r="D4" t="s">
        <v>15</v>
      </c>
      <c r="E4" t="s">
        <v>42</v>
      </c>
      <c r="F4" s="32">
        <f t="shared" ref="F4:F42" si="0">G4+(H4*$B$4)+(I4*$B$2)+(J4*$B$3)+((K4*($B$4*$B$2)+(L4*($B$4*$B$3))+((M4*($B$3*$B$2)+(N4*($B$2^2)+((O4*($B$3^2))))))))</f>
        <v>26.686870866000003</v>
      </c>
      <c r="G4">
        <v>29.22</v>
      </c>
      <c r="H4">
        <v>1.2200000000000001E-2</v>
      </c>
      <c r="I4">
        <v>0.65900000000000003</v>
      </c>
      <c r="J4">
        <v>-0.252</v>
      </c>
      <c r="K4">
        <v>-1.08E-4</v>
      </c>
      <c r="L4">
        <v>4.0200000000000001E-4</v>
      </c>
      <c r="M4">
        <v>1.9900000000000001E-2</v>
      </c>
      <c r="N4">
        <v>-1.47E-2</v>
      </c>
      <c r="O4">
        <v>-3.8400000000000001E-3</v>
      </c>
    </row>
    <row r="5" spans="1:15" x14ac:dyDescent="0.25">
      <c r="A5" t="s">
        <v>52</v>
      </c>
      <c r="E5" t="s">
        <v>43</v>
      </c>
      <c r="F5" s="32">
        <f t="shared" si="0"/>
        <v>15.525388872000002</v>
      </c>
      <c r="G5">
        <v>18.440000000000001</v>
      </c>
      <c r="I5">
        <v>0.3</v>
      </c>
      <c r="J5">
        <v>-0.245</v>
      </c>
      <c r="L5">
        <v>1.1900000000000001E-4</v>
      </c>
      <c r="M5">
        <v>4.13E-3</v>
      </c>
      <c r="O5">
        <v>-2.8500000000000001E-3</v>
      </c>
    </row>
    <row r="6" spans="1:15" x14ac:dyDescent="0.25">
      <c r="E6" t="s">
        <v>44</v>
      </c>
      <c r="F6" s="32">
        <f t="shared" si="0"/>
        <v>20.378861892000003</v>
      </c>
      <c r="G6">
        <v>20.170000000000002</v>
      </c>
      <c r="H6">
        <v>-5.5599999999999998E-3</v>
      </c>
      <c r="I6">
        <v>0.308</v>
      </c>
      <c r="J6">
        <v>-0.38500000000000001</v>
      </c>
      <c r="M6">
        <v>9.2300000000000004E-3</v>
      </c>
      <c r="N6">
        <v>-8.5199999999999998E-3</v>
      </c>
      <c r="O6">
        <v>-4.7800000000000004E-3</v>
      </c>
    </row>
    <row r="7" spans="1:15" x14ac:dyDescent="0.25">
      <c r="A7" t="s">
        <v>45</v>
      </c>
      <c r="D7" t="s">
        <v>16</v>
      </c>
      <c r="E7" t="s">
        <v>42</v>
      </c>
      <c r="F7" s="32">
        <f t="shared" si="0"/>
        <v>26.691853099999999</v>
      </c>
      <c r="G7">
        <v>43.21</v>
      </c>
      <c r="H7">
        <v>6.8799999999999998E-3</v>
      </c>
      <c r="I7">
        <v>0.85099999999999998</v>
      </c>
      <c r="J7">
        <v>0.23100000000000001</v>
      </c>
      <c r="K7">
        <v>-8.9699999999999998E-5</v>
      </c>
      <c r="L7">
        <v>2.7E-4</v>
      </c>
      <c r="M7">
        <v>2.3099999999999999E-2</v>
      </c>
      <c r="N7">
        <v>-1.34E-2</v>
      </c>
    </row>
    <row r="8" spans="1:15" x14ac:dyDescent="0.25">
      <c r="A8" t="s">
        <v>29</v>
      </c>
      <c r="B8" s="31">
        <v>-18.87</v>
      </c>
      <c r="E8" t="s">
        <v>43</v>
      </c>
      <c r="F8" s="32">
        <f t="shared" si="0"/>
        <v>16.214091189999998</v>
      </c>
      <c r="G8">
        <v>18.11</v>
      </c>
      <c r="H8">
        <v>-1.9599999999999999E-3</v>
      </c>
      <c r="I8">
        <v>0.14399999999999999</v>
      </c>
      <c r="J8">
        <v>-0.22800000000000001</v>
      </c>
      <c r="L8">
        <v>-7.7000000000000001E-5</v>
      </c>
      <c r="M8">
        <v>-2.82E-3</v>
      </c>
      <c r="N8">
        <v>-3.62E-3</v>
      </c>
      <c r="O8">
        <v>-2.5500000000000002E-3</v>
      </c>
    </row>
    <row r="9" spans="1:15" x14ac:dyDescent="0.25">
      <c r="A9" t="s">
        <v>30</v>
      </c>
      <c r="B9">
        <v>-48.29</v>
      </c>
      <c r="E9" t="s">
        <v>44</v>
      </c>
      <c r="F9" s="32">
        <f t="shared" si="0"/>
        <v>16.663167542</v>
      </c>
      <c r="G9">
        <v>23.06</v>
      </c>
      <c r="H9">
        <v>-7.45E-3</v>
      </c>
      <c r="I9">
        <v>8.8300000000000003E-2</v>
      </c>
      <c r="J9">
        <v>-0.214</v>
      </c>
      <c r="L9">
        <v>3.9900000000000001E-5</v>
      </c>
      <c r="M9">
        <v>6.43E-3</v>
      </c>
      <c r="N9">
        <v>-1.0500000000000001E-2</v>
      </c>
      <c r="O9">
        <v>-2.8500000000000001E-3</v>
      </c>
    </row>
    <row r="10" spans="1:15" x14ac:dyDescent="0.25">
      <c r="A10" t="s">
        <v>41</v>
      </c>
      <c r="B10">
        <v>825</v>
      </c>
      <c r="D10" t="s">
        <v>17</v>
      </c>
      <c r="E10" t="s">
        <v>42</v>
      </c>
      <c r="F10" s="32">
        <f t="shared" si="0"/>
        <v>26.057698240000001</v>
      </c>
      <c r="G10">
        <v>21.03</v>
      </c>
      <c r="H10">
        <v>1.04E-2</v>
      </c>
      <c r="I10">
        <v>-9.98E-2</v>
      </c>
      <c r="J10">
        <v>-0.38700000000000001</v>
      </c>
      <c r="K10">
        <v>-1.26E-4</v>
      </c>
      <c r="L10">
        <v>3.7500000000000001E-4</v>
      </c>
      <c r="M10">
        <v>1.12E-2</v>
      </c>
      <c r="N10">
        <v>-2.64E-2</v>
      </c>
      <c r="O10">
        <v>-4.0000000000000001E-3</v>
      </c>
    </row>
    <row r="11" spans="1:15" x14ac:dyDescent="0.25">
      <c r="E11" t="s">
        <v>43</v>
      </c>
      <c r="F11" s="32">
        <f t="shared" si="0"/>
        <v>14.096137394000003</v>
      </c>
      <c r="G11">
        <v>19.190000000000001</v>
      </c>
      <c r="H11">
        <v>1.23E-3</v>
      </c>
      <c r="I11">
        <v>-6.0900000000000003E-2</v>
      </c>
      <c r="J11">
        <v>-0.13500000000000001</v>
      </c>
      <c r="L11">
        <v>1.4899999999999999E-4</v>
      </c>
      <c r="N11">
        <v>-7.4200000000000004E-3</v>
      </c>
      <c r="O11">
        <v>-1.2899999999999999E-3</v>
      </c>
    </row>
    <row r="12" spans="1:15" x14ac:dyDescent="0.25">
      <c r="E12" t="s">
        <v>44</v>
      </c>
      <c r="F12" s="32">
        <f t="shared" si="0"/>
        <v>19.569412756000002</v>
      </c>
      <c r="G12">
        <v>21.45</v>
      </c>
      <c r="H12">
        <v>-5.77E-3</v>
      </c>
      <c r="I12">
        <v>-0.106</v>
      </c>
      <c r="J12">
        <v>-0.219</v>
      </c>
      <c r="M12">
        <v>4.7000000000000002E-3</v>
      </c>
      <c r="N12">
        <v>-1.4999999999999999E-2</v>
      </c>
      <c r="O12">
        <v>-2.5899999999999999E-3</v>
      </c>
    </row>
    <row r="13" spans="1:15" x14ac:dyDescent="0.25">
      <c r="D13" t="s">
        <v>18</v>
      </c>
      <c r="E13" t="s">
        <v>42</v>
      </c>
      <c r="F13" s="32">
        <f t="shared" si="0"/>
        <v>23.543758954000005</v>
      </c>
      <c r="G13">
        <v>15.02</v>
      </c>
      <c r="H13">
        <v>3.5699999999999998E-3</v>
      </c>
      <c r="J13">
        <v>-0.63700000000000001</v>
      </c>
      <c r="L13">
        <v>1.76E-4</v>
      </c>
      <c r="M13">
        <v>1.2999999999999999E-2</v>
      </c>
      <c r="N13">
        <v>-2.9499999999999998E-2</v>
      </c>
      <c r="O13">
        <v>-6.6100000000000004E-3</v>
      </c>
    </row>
    <row r="14" spans="1:15" x14ac:dyDescent="0.25">
      <c r="E14" t="s">
        <v>43</v>
      </c>
      <c r="F14" s="32">
        <f t="shared" si="0"/>
        <v>12.080956644</v>
      </c>
      <c r="G14">
        <v>25.27</v>
      </c>
      <c r="I14">
        <v>-0.23699999999999999</v>
      </c>
      <c r="J14">
        <v>0.14299999999999999</v>
      </c>
      <c r="L14">
        <v>1.1900000000000001E-4</v>
      </c>
      <c r="M14">
        <v>-4.5399999999999998E-3</v>
      </c>
      <c r="N14">
        <v>-8.6E-3</v>
      </c>
      <c r="O14">
        <v>1.6000000000000001E-3</v>
      </c>
    </row>
    <row r="15" spans="1:15" x14ac:dyDescent="0.25">
      <c r="E15" t="s">
        <v>44</v>
      </c>
      <c r="F15" s="32">
        <f t="shared" si="0"/>
        <v>17.511713512</v>
      </c>
      <c r="G15">
        <v>14.62</v>
      </c>
      <c r="H15">
        <v>-9.8700000000000003E-3</v>
      </c>
      <c r="I15">
        <v>-0.27500000000000002</v>
      </c>
      <c r="J15">
        <v>-0.48099999999999998</v>
      </c>
      <c r="K15">
        <v>3.3800000000000002E-5</v>
      </c>
      <c r="L15">
        <v>-1.0399999999999999E-4</v>
      </c>
      <c r="N15">
        <v>-1.72E-2</v>
      </c>
      <c r="O15">
        <v>-4.8799999999999998E-3</v>
      </c>
    </row>
    <row r="16" spans="1:15" x14ac:dyDescent="0.25">
      <c r="D16" t="s">
        <v>19</v>
      </c>
      <c r="E16" t="s">
        <v>42</v>
      </c>
      <c r="F16" s="32">
        <f t="shared" si="0"/>
        <v>21.444693000000001</v>
      </c>
      <c r="G16">
        <v>-6.98</v>
      </c>
      <c r="I16">
        <v>0.157</v>
      </c>
      <c r="J16">
        <v>-1.5940000000000001</v>
      </c>
      <c r="L16">
        <v>9.8599999999999998E-5</v>
      </c>
      <c r="M16">
        <v>1.14E-2</v>
      </c>
      <c r="N16">
        <v>-2.76E-2</v>
      </c>
      <c r="O16">
        <v>-1.6E-2</v>
      </c>
    </row>
    <row r="17" spans="4:15" x14ac:dyDescent="0.25">
      <c r="E17" t="s">
        <v>43</v>
      </c>
      <c r="F17" s="32">
        <f t="shared" si="0"/>
        <v>9.0939000429999961</v>
      </c>
      <c r="G17">
        <v>40.19</v>
      </c>
      <c r="I17">
        <v>-0.125</v>
      </c>
      <c r="J17">
        <v>0.75900000000000001</v>
      </c>
      <c r="K17">
        <v>5.5099999999999998E-5</v>
      </c>
      <c r="L17">
        <v>1.02E-4</v>
      </c>
      <c r="M17">
        <v>-5.0499999999999998E-3</v>
      </c>
      <c r="N17">
        <v>-5.4099999999999999E-3</v>
      </c>
      <c r="O17">
        <v>7.4900000000000001E-3</v>
      </c>
    </row>
    <row r="18" spans="4:15" x14ac:dyDescent="0.25">
      <c r="E18" t="s">
        <v>44</v>
      </c>
      <c r="F18" s="32">
        <f t="shared" si="0"/>
        <v>15.064281822000005</v>
      </c>
      <c r="G18">
        <v>10.08</v>
      </c>
      <c r="H18">
        <v>-1.23E-2</v>
      </c>
      <c r="I18">
        <v>-0.27900000000000003</v>
      </c>
      <c r="J18">
        <v>-0.67400000000000004</v>
      </c>
      <c r="K18">
        <v>5.4599999999999999E-5</v>
      </c>
      <c r="L18">
        <v>-1.6699999999999999E-4</v>
      </c>
      <c r="M18">
        <v>-3.62E-3</v>
      </c>
      <c r="N18">
        <v>-1.5699999999999999E-2</v>
      </c>
      <c r="O18">
        <v>-6.6499999999999997E-3</v>
      </c>
    </row>
    <row r="19" spans="4:15" x14ac:dyDescent="0.25">
      <c r="D19" t="s">
        <v>46</v>
      </c>
      <c r="E19" t="s">
        <v>42</v>
      </c>
      <c r="F19" s="32">
        <f t="shared" si="0"/>
        <v>19.888797500000024</v>
      </c>
      <c r="G19">
        <v>-23.67</v>
      </c>
      <c r="H19">
        <v>-4.5599999999999998E-3</v>
      </c>
      <c r="I19">
        <v>0.26600000000000001</v>
      </c>
      <c r="J19">
        <v>-2.3140000000000001</v>
      </c>
      <c r="M19">
        <v>1.12E-2</v>
      </c>
      <c r="N19">
        <v>-2.8199999999999999E-2</v>
      </c>
      <c r="O19">
        <v>-2.3099999999999999E-2</v>
      </c>
    </row>
    <row r="20" spans="4:15" x14ac:dyDescent="0.25">
      <c r="E20" t="s">
        <v>43</v>
      </c>
      <c r="F20" s="32">
        <f t="shared" si="0"/>
        <v>7.7987255490000003</v>
      </c>
      <c r="G20">
        <v>26.03</v>
      </c>
      <c r="H20">
        <v>-2.66E-3</v>
      </c>
      <c r="I20">
        <v>6.6100000000000006E-2</v>
      </c>
      <c r="J20">
        <v>0.127</v>
      </c>
      <c r="K20">
        <v>4.2899999999999999E-5</v>
      </c>
      <c r="L20">
        <v>5.94E-5</v>
      </c>
      <c r="M20">
        <v>-4.3099999999999996E-3</v>
      </c>
      <c r="N20">
        <v>-3.0699999999999998E-3</v>
      </c>
      <c r="O20">
        <v>1.1000000000000001E-3</v>
      </c>
    </row>
    <row r="21" spans="4:15" x14ac:dyDescent="0.25">
      <c r="E21" t="s">
        <v>44</v>
      </c>
      <c r="F21" s="32">
        <f t="shared" si="0"/>
        <v>13.615130061999992</v>
      </c>
      <c r="G21">
        <v>3.18</v>
      </c>
      <c r="H21">
        <v>-1.4800000000000001E-2</v>
      </c>
      <c r="I21">
        <v>-0.16700000000000001</v>
      </c>
      <c r="J21">
        <v>-0.97099999999999997</v>
      </c>
      <c r="K21">
        <v>5.5399999999999998E-5</v>
      </c>
      <c r="L21">
        <v>-2.2000000000000001E-4</v>
      </c>
      <c r="M21">
        <v>-4.5900000000000003E-3</v>
      </c>
      <c r="N21">
        <v>-1.29E-2</v>
      </c>
      <c r="O21">
        <v>-9.5200000000000007E-3</v>
      </c>
    </row>
    <row r="22" spans="4:15" x14ac:dyDescent="0.25">
      <c r="D22" t="s">
        <v>47</v>
      </c>
      <c r="E22" t="s">
        <v>42</v>
      </c>
      <c r="F22" s="32">
        <f t="shared" si="0"/>
        <v>20.438552070000007</v>
      </c>
      <c r="G22">
        <v>-26.04</v>
      </c>
      <c r="H22">
        <v>-7.9900000000000006E-3</v>
      </c>
      <c r="I22">
        <v>0.67700000000000005</v>
      </c>
      <c r="J22">
        <v>-2.4870000000000001</v>
      </c>
      <c r="L22">
        <v>-8.92E-5</v>
      </c>
      <c r="M22">
        <v>1.5599999999999999E-2</v>
      </c>
      <c r="N22">
        <v>-2.3300000000000001E-2</v>
      </c>
      <c r="O22">
        <v>-2.4899999999999999E-2</v>
      </c>
    </row>
    <row r="23" spans="4:15" x14ac:dyDescent="0.25">
      <c r="E23" t="s">
        <v>43</v>
      </c>
      <c r="F23" s="32">
        <f t="shared" si="0"/>
        <v>7.7714612959999974</v>
      </c>
      <c r="G23">
        <v>22.95</v>
      </c>
      <c r="H23">
        <v>-3.96E-3</v>
      </c>
      <c r="I23">
        <v>0.254</v>
      </c>
      <c r="L23">
        <v>4.0899999999999998E-5</v>
      </c>
      <c r="M23">
        <v>-2.8600000000000001E-3</v>
      </c>
    </row>
    <row r="24" spans="4:15" x14ac:dyDescent="0.25">
      <c r="E24" t="s">
        <v>44</v>
      </c>
      <c r="F24" s="32">
        <f t="shared" si="0"/>
        <v>13.511016772000005</v>
      </c>
      <c r="G24">
        <v>-2.36</v>
      </c>
      <c r="H24">
        <v>-1.3899999999999999E-2</v>
      </c>
      <c r="J24">
        <v>-1.2110000000000001</v>
      </c>
      <c r="L24">
        <v>-1.8100000000000001E-4</v>
      </c>
      <c r="M24">
        <v>-1.47E-3</v>
      </c>
      <c r="N24">
        <v>-1.38E-2</v>
      </c>
      <c r="O24">
        <v>-1.1900000000000001E-2</v>
      </c>
    </row>
    <row r="25" spans="4:15" x14ac:dyDescent="0.25">
      <c r="D25" t="s">
        <v>48</v>
      </c>
      <c r="E25" t="s">
        <v>42</v>
      </c>
      <c r="F25" s="32">
        <f t="shared" si="0"/>
        <v>21.971547139999984</v>
      </c>
      <c r="G25">
        <v>-32.46</v>
      </c>
      <c r="H25">
        <f>-7.94*10^-3</f>
        <v>-7.9400000000000009E-3</v>
      </c>
      <c r="I25">
        <v>0.89700000000000002</v>
      </c>
      <c r="J25">
        <v>-2.827</v>
      </c>
      <c r="L25">
        <f>-1.03*10^-4</f>
        <v>-1.0300000000000001E-4</v>
      </c>
      <c r="M25">
        <f>2.1*10^-2</f>
        <v>2.1000000000000001E-2</v>
      </c>
      <c r="N25">
        <f>-2.54*10^-2</f>
        <v>-2.5400000000000002E-2</v>
      </c>
      <c r="O25">
        <f>-2.87*10^-2</f>
        <v>-2.8700000000000003E-2</v>
      </c>
    </row>
    <row r="26" spans="4:15" x14ac:dyDescent="0.25">
      <c r="E26" t="s">
        <v>43</v>
      </c>
      <c r="F26" s="32">
        <f t="shared" si="0"/>
        <v>9.0984090590000015</v>
      </c>
      <c r="G26">
        <v>7.39</v>
      </c>
      <c r="H26">
        <f>-6.92*10^-3</f>
        <v>-6.9199999999999999E-3</v>
      </c>
      <c r="I26">
        <v>0.193</v>
      </c>
      <c r="J26">
        <v>-0.64</v>
      </c>
      <c r="K26">
        <f>-5.37*10^-5</f>
        <v>-5.3700000000000004E-5</v>
      </c>
      <c r="M26">
        <f>-2.24*10^-3</f>
        <v>-2.2400000000000002E-3</v>
      </c>
      <c r="N26">
        <f>-3.33*10^-3</f>
        <v>-3.3300000000000001E-3</v>
      </c>
      <c r="O26">
        <f>-6.22*10^-3</f>
        <v>-6.2199999999999998E-3</v>
      </c>
    </row>
    <row r="27" spans="4:15" x14ac:dyDescent="0.25">
      <c r="E27" t="s">
        <v>44</v>
      </c>
      <c r="F27" s="32">
        <f t="shared" si="0"/>
        <v>14.964315126000002</v>
      </c>
      <c r="G27">
        <v>-13.3</v>
      </c>
      <c r="H27">
        <f>-1.48*10^-2</f>
        <v>-1.4800000000000001E-2</v>
      </c>
      <c r="J27">
        <v>-1.66</v>
      </c>
      <c r="L27">
        <f>-2.09*10^-4</f>
        <v>-2.0899999999999998E-4</v>
      </c>
      <c r="M27">
        <f>1.19*10^-3</f>
        <v>1.1899999999999999E-3</v>
      </c>
      <c r="N27">
        <f>-1.81*10^-2</f>
        <v>-1.8100000000000002E-2</v>
      </c>
      <c r="O27">
        <f>-1.63*10^-2</f>
        <v>-1.6299999999999999E-2</v>
      </c>
    </row>
    <row r="28" spans="4:15" x14ac:dyDescent="0.25">
      <c r="D28" t="s">
        <v>49</v>
      </c>
      <c r="E28" t="s">
        <v>42</v>
      </c>
      <c r="F28" s="32">
        <f t="shared" si="0"/>
        <v>22.816709090000018</v>
      </c>
      <c r="G28">
        <v>-27.46</v>
      </c>
      <c r="H28">
        <f>-2.07*10^-3</f>
        <v>-2.0699999999999998E-3</v>
      </c>
      <c r="I28">
        <v>0.999</v>
      </c>
      <c r="J28">
        <v>-2.649</v>
      </c>
      <c r="K28">
        <f>4.99*10^-5</f>
        <v>4.9900000000000007E-5</v>
      </c>
      <c r="M28">
        <f>2.72*10^-2</f>
        <v>2.7200000000000002E-2</v>
      </c>
      <c r="N28">
        <f>-3.11*10^-2</f>
        <v>-3.1099999999999999E-2</v>
      </c>
      <c r="O28">
        <f>-2.73*10^-2</f>
        <v>-2.7300000000000001E-2</v>
      </c>
    </row>
    <row r="29" spans="4:15" x14ac:dyDescent="0.25">
      <c r="E29" t="s">
        <v>43</v>
      </c>
      <c r="F29" s="32">
        <f t="shared" si="0"/>
        <v>10.903739378000001</v>
      </c>
      <c r="G29">
        <v>-3.31</v>
      </c>
      <c r="H29">
        <f>-1.05*10^-2</f>
        <v>-1.0500000000000001E-2</v>
      </c>
      <c r="I29">
        <v>0.17</v>
      </c>
      <c r="J29">
        <v>-1.109</v>
      </c>
      <c r="L29">
        <f>-1.03*10^-4</f>
        <v>-1.0300000000000001E-4</v>
      </c>
      <c r="N29">
        <f>-7.02*10^-3</f>
        <v>-7.0199999999999993E-3</v>
      </c>
      <c r="O29">
        <f>-1.1*10^-2</f>
        <v>-1.1000000000000001E-2</v>
      </c>
    </row>
    <row r="30" spans="4:15" x14ac:dyDescent="0.25">
      <c r="E30" t="s">
        <v>44</v>
      </c>
      <c r="F30" s="32">
        <f t="shared" si="0"/>
        <v>16.50828511400001</v>
      </c>
      <c r="G30">
        <v>-15.17</v>
      </c>
      <c r="H30">
        <f>-1.13*10^-2</f>
        <v>-1.1299999999999999E-2</v>
      </c>
      <c r="J30">
        <v>-1.762</v>
      </c>
      <c r="L30">
        <f>-1.38*10^-4</f>
        <v>-1.3799999999999999E-4</v>
      </c>
      <c r="M30">
        <f>4.11*10^-3</f>
        <v>4.1100000000000008E-3</v>
      </c>
      <c r="N30">
        <f>-2.19*10^-2</f>
        <v>-2.1899999999999999E-2</v>
      </c>
      <c r="O30">
        <f>-1.75*10^-2</f>
        <v>-1.7500000000000002E-2</v>
      </c>
    </row>
    <row r="31" spans="4:15" x14ac:dyDescent="0.25">
      <c r="D31" t="s">
        <v>50</v>
      </c>
      <c r="E31" t="s">
        <v>42</v>
      </c>
      <c r="F31" s="32">
        <f t="shared" si="0"/>
        <v>23.249955739999976</v>
      </c>
      <c r="G31">
        <v>-19.07</v>
      </c>
      <c r="H31">
        <f>4.06*10^-3</f>
        <v>4.0599999999999994E-3</v>
      </c>
      <c r="I31">
        <v>0.98299999999999998</v>
      </c>
      <c r="J31">
        <v>-2.3479999999999999</v>
      </c>
      <c r="K31">
        <f>9.19*10^-5</f>
        <v>9.1899999999999998E-5</v>
      </c>
      <c r="L31">
        <f>1.36*10^-4</f>
        <v>1.3600000000000003E-4</v>
      </c>
      <c r="M31">
        <f>2.84*10^-2</f>
        <v>2.8399999999999998E-2</v>
      </c>
      <c r="N31">
        <f>-3.1*10^-2</f>
        <v>-3.1000000000000003E-2</v>
      </c>
      <c r="O31">
        <f>-2.47*10^-2</f>
        <v>-2.4700000000000003E-2</v>
      </c>
    </row>
    <row r="32" spans="4:15" x14ac:dyDescent="0.25">
      <c r="E32" t="s">
        <v>43</v>
      </c>
      <c r="F32" s="32">
        <f t="shared" si="0"/>
        <v>12.91275508</v>
      </c>
      <c r="G32">
        <v>-5.88</v>
      </c>
      <c r="H32">
        <f>-5.36*10^-3</f>
        <v>-5.3600000000000002E-3</v>
      </c>
      <c r="J32">
        <v>-1.179</v>
      </c>
      <c r="N32">
        <f>-1.08*10^-2</f>
        <v>-1.0800000000000001E-2</v>
      </c>
      <c r="O32">
        <f>-1.14*10^-2</f>
        <v>-1.1399999999999999E-2</v>
      </c>
    </row>
    <row r="33" spans="4:15" x14ac:dyDescent="0.25">
      <c r="E33" t="s">
        <v>44</v>
      </c>
      <c r="F33" s="32">
        <f t="shared" si="0"/>
        <v>17.810010605999992</v>
      </c>
      <c r="G33">
        <v>-6.09</v>
      </c>
      <c r="H33">
        <f>-1.02*10^-2</f>
        <v>-1.0200000000000001E-2</v>
      </c>
      <c r="J33">
        <v>-1.4019999999999999</v>
      </c>
      <c r="L33">
        <f>-1.12*10^-4</f>
        <v>-1.1200000000000001E-4</v>
      </c>
      <c r="M33">
        <f>6.39*10^-3</f>
        <v>6.3899999999999998E-3</v>
      </c>
      <c r="N33">
        <f>-2.33*10^-2</f>
        <v>-2.3300000000000001E-2</v>
      </c>
      <c r="O33">
        <f>-1.41*10^-2</f>
        <v>-1.41E-2</v>
      </c>
    </row>
    <row r="34" spans="4:15" x14ac:dyDescent="0.25">
      <c r="D34" t="s">
        <v>25</v>
      </c>
      <c r="E34" t="s">
        <v>42</v>
      </c>
      <c r="F34" s="32">
        <f t="shared" si="0"/>
        <v>24.512683019999997</v>
      </c>
      <c r="G34">
        <v>15.32</v>
      </c>
      <c r="H34">
        <f>1.36*10^-2</f>
        <v>1.3600000000000001E-2</v>
      </c>
      <c r="I34">
        <v>1.204</v>
      </c>
      <c r="J34">
        <v>-0.93500000000000005</v>
      </c>
      <c r="K34">
        <f>-9.17*10^-5</f>
        <v>-9.1700000000000006E-5</v>
      </c>
      <c r="L34">
        <f>4.23*10^-4</f>
        <v>4.2300000000000004E-4</v>
      </c>
      <c r="M34">
        <f>3.11*10^-2</f>
        <v>3.1099999999999999E-2</v>
      </c>
      <c r="N34">
        <f>-2.22*10^-2</f>
        <v>-2.2200000000000001E-2</v>
      </c>
      <c r="O34">
        <f>-1.1*10^-2</f>
        <v>-1.1000000000000001E-2</v>
      </c>
    </row>
    <row r="35" spans="4:15" x14ac:dyDescent="0.25">
      <c r="E35" t="s">
        <v>43</v>
      </c>
      <c r="F35" s="32">
        <f t="shared" si="0"/>
        <v>13.699692501999998</v>
      </c>
      <c r="G35">
        <v>1.96</v>
      </c>
      <c r="H35">
        <f>1.77*10^-3</f>
        <v>1.7700000000000001E-3</v>
      </c>
      <c r="I35">
        <f>7.56*10^-2</f>
        <v>7.5600000000000001E-2</v>
      </c>
      <c r="J35">
        <v>-0.86799999999999999</v>
      </c>
      <c r="L35">
        <f>1.66*10^-4</f>
        <v>1.66E-4</v>
      </c>
      <c r="M35">
        <f>2.9*10^-3</f>
        <v>2.8999999999999998E-3</v>
      </c>
      <c r="N35">
        <f>-9.7*10^-3</f>
        <v>-9.7000000000000003E-3</v>
      </c>
      <c r="O35">
        <f>-8.58*10^-3</f>
        <v>-8.5800000000000008E-3</v>
      </c>
    </row>
    <row r="36" spans="4:15" x14ac:dyDescent="0.25">
      <c r="E36" t="s">
        <v>44</v>
      </c>
      <c r="F36" s="32">
        <f t="shared" si="0"/>
        <v>18.650715132000009</v>
      </c>
      <c r="G36">
        <v>6.36</v>
      </c>
      <c r="H36">
        <f>-8.35*10^-3</f>
        <v>-8.3499999999999998E-3</v>
      </c>
      <c r="I36">
        <v>0.27700000000000002</v>
      </c>
      <c r="J36">
        <v>-0.94599999999999995</v>
      </c>
      <c r="L36">
        <f>-6.92*10^-5</f>
        <v>-6.9200000000000002E-5</v>
      </c>
      <c r="M36">
        <f>9.93*10^-3</f>
        <v>9.9299999999999996E-3</v>
      </c>
      <c r="N36">
        <f>-1.66*10^-2</f>
        <v>-1.66E-2</v>
      </c>
      <c r="O36">
        <f>-1.01*10^-2</f>
        <v>-1.01E-2</v>
      </c>
    </row>
    <row r="37" spans="4:15" x14ac:dyDescent="0.25">
      <c r="D37" t="s">
        <v>26</v>
      </c>
      <c r="E37" t="s">
        <v>42</v>
      </c>
      <c r="F37" s="32">
        <f t="shared" si="0"/>
        <v>25.488304674000002</v>
      </c>
      <c r="G37">
        <v>33.72</v>
      </c>
      <c r="H37">
        <f>1.37*10^-2</f>
        <v>1.3700000000000002E-2</v>
      </c>
      <c r="I37">
        <v>1.1890000000000001</v>
      </c>
      <c r="J37">
        <v>-0.18</v>
      </c>
      <c r="K37">
        <f>-8.36*10^-5</f>
        <v>-8.3599999999999999E-5</v>
      </c>
      <c r="L37">
        <f>4.24*10^-4</f>
        <v>4.2400000000000006E-4</v>
      </c>
      <c r="M37">
        <f>2.87*10^-2</f>
        <v>2.8700000000000003E-2</v>
      </c>
      <c r="N37">
        <f>-1.39*10^-2</f>
        <v>-1.3899999999999999E-2</v>
      </c>
      <c r="O37">
        <f>-3.81*10^-3</f>
        <v>-3.81E-3</v>
      </c>
    </row>
    <row r="38" spans="4:15" x14ac:dyDescent="0.25">
      <c r="E38" t="s">
        <v>43</v>
      </c>
      <c r="F38" s="32">
        <f t="shared" si="0"/>
        <v>13.792899589000001</v>
      </c>
      <c r="G38">
        <v>11.29</v>
      </c>
      <c r="I38">
        <v>0.11899999999999999</v>
      </c>
      <c r="J38">
        <v>-0.51800000000000002</v>
      </c>
      <c r="L38">
        <f>1.18*10^-4</f>
        <v>1.18E-4</v>
      </c>
      <c r="M38">
        <f>1.45*10^-3</f>
        <v>1.4499999999999999E-3</v>
      </c>
      <c r="N38">
        <f>-5.71*10^-3</f>
        <v>-5.7099999999999998E-3</v>
      </c>
      <c r="O38">
        <f>-5.35*10^-3</f>
        <v>-5.3499999999999997E-3</v>
      </c>
    </row>
    <row r="39" spans="4:15" x14ac:dyDescent="0.25">
      <c r="E39" t="s">
        <v>44</v>
      </c>
      <c r="F39" s="32">
        <f t="shared" si="0"/>
        <v>19.645480803999998</v>
      </c>
      <c r="G39">
        <v>17.579999999999998</v>
      </c>
      <c r="H39">
        <f>-7.89*10^-3</f>
        <v>-7.8899999999999994E-3</v>
      </c>
      <c r="I39">
        <v>0.39300000000000002</v>
      </c>
      <c r="J39">
        <v>-0.51400000000000001</v>
      </c>
      <c r="L39">
        <f>-5.25*10^-5</f>
        <v>-5.2500000000000002E-5</v>
      </c>
      <c r="M39">
        <f>1.1*10^-2</f>
        <v>1.1000000000000001E-2</v>
      </c>
      <c r="N39">
        <f>-1.1*10^-2</f>
        <v>-1.1000000000000001E-2</v>
      </c>
      <c r="O39">
        <f>-6.11*10^-3</f>
        <v>-6.1100000000000008E-3</v>
      </c>
    </row>
    <row r="40" spans="4:15" x14ac:dyDescent="0.25">
      <c r="D40" t="s">
        <v>51</v>
      </c>
      <c r="E40" t="s">
        <v>42</v>
      </c>
      <c r="F40" s="32">
        <f t="shared" si="0"/>
        <v>23.386894610000006</v>
      </c>
      <c r="G40">
        <v>3.22</v>
      </c>
      <c r="H40">
        <f>2.49*10^-3</f>
        <v>2.4900000000000005E-3</v>
      </c>
      <c r="I40">
        <v>0.64</v>
      </c>
      <c r="J40">
        <v>-1.3069999999999999</v>
      </c>
      <c r="L40">
        <f>1.42*10^-4</f>
        <v>1.4200000000000001E-4</v>
      </c>
      <c r="M40">
        <f>1.99*10^-2</f>
        <v>1.9900000000000001E-2</v>
      </c>
      <c r="N40">
        <f>-2.35*10^-2</f>
        <v>-2.35E-2</v>
      </c>
      <c r="O40">
        <f>-1.4*10^-2</f>
        <v>-1.3999999999999999E-2</v>
      </c>
    </row>
    <row r="41" spans="4:15" x14ac:dyDescent="0.25">
      <c r="E41" t="s">
        <v>43</v>
      </c>
      <c r="F41" s="32">
        <f t="shared" si="0"/>
        <v>11.835329215000002</v>
      </c>
      <c r="G41">
        <v>14.22</v>
      </c>
      <c r="H41">
        <f>-2.1*10^-3</f>
        <v>-2.1000000000000003E-3</v>
      </c>
      <c r="I41">
        <v>0.10299999999999999</v>
      </c>
      <c r="J41">
        <v>-0.371</v>
      </c>
      <c r="L41">
        <f>7.8*10^-5</f>
        <v>7.7999999999999999E-5</v>
      </c>
      <c r="N41">
        <f>-5.53*10^-3</f>
        <v>-5.5300000000000002E-3</v>
      </c>
      <c r="O41">
        <f>-3.82*10^-3</f>
        <v>-3.82E-3</v>
      </c>
    </row>
    <row r="42" spans="4:15" x14ac:dyDescent="0.25">
      <c r="E42" t="s">
        <v>44</v>
      </c>
      <c r="F42" s="32">
        <f t="shared" si="0"/>
        <v>17.311657730000004</v>
      </c>
      <c r="G42">
        <v>5.12</v>
      </c>
      <c r="H42">
        <f>-9.63*10^-3</f>
        <v>-9.6300000000000014E-3</v>
      </c>
      <c r="J42">
        <v>-0.93</v>
      </c>
      <c r="L42">
        <f>-8.97*10^-5</f>
        <v>-8.9700000000000012E-5</v>
      </c>
      <c r="M42">
        <f>3.2*10^-3</f>
        <v>3.2000000000000002E-3</v>
      </c>
      <c r="N42">
        <f>-1.55*10^-2</f>
        <v>-1.5500000000000002E-2</v>
      </c>
      <c r="O42">
        <f>-9.5*10^-3</f>
        <v>-9.4999999999999998E-3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NHF</vt:lpstr>
      <vt:lpstr>Graus Dia</vt:lpstr>
      <vt:lpstr>Diário</vt:lpstr>
      <vt:lpstr>Exemplo</vt:lpstr>
      <vt:lpstr>Estimativa Temp.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</dc:creator>
  <cp:lastModifiedBy>Rev</cp:lastModifiedBy>
  <dcterms:created xsi:type="dcterms:W3CDTF">2015-10-02T13:47:27Z</dcterms:created>
  <dcterms:modified xsi:type="dcterms:W3CDTF">2021-10-15T16:21:28Z</dcterms:modified>
</cp:coreProperties>
</file>