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English Units" sheetId="1" r:id="rId1"/>
    <sheet name="Metric Units" sheetId="2" r:id="rId2"/>
    <sheet name="Español - (unidades métricas)" sheetId="3" r:id="rId3"/>
  </sheets>
  <definedNames>
    <definedName name="_xlnm.Print_Area" localSheetId="2">'Español - (unidades métricas)'!$A$1:$H$5</definedName>
  </definedNames>
  <calcPr fullCalcOnLoad="1"/>
</workbook>
</file>

<file path=xl/sharedStrings.xml><?xml version="1.0" encoding="utf-8"?>
<sst xmlns="http://schemas.openxmlformats.org/spreadsheetml/2006/main" count="112" uniqueCount="83">
  <si>
    <t>Density greater than 14 lbs DM/cu ft is recommended</t>
  </si>
  <si>
    <t>Brian Holmes(1) and Richard Muck(2)</t>
  </si>
  <si>
    <t>Tractor Packing Time (% of Filling Time)</t>
  </si>
  <si>
    <t>Green cells are intermediate calculated values</t>
  </si>
  <si>
    <t>Est. Average Dry Matter Density (lbs DM/cu ft) =</t>
  </si>
  <si>
    <t>Bunker Silo Maximum Silage Height (meters) =</t>
  </si>
  <si>
    <t>Tractor Weight (Kg)</t>
  </si>
  <si>
    <t>Average Silage Height (meters) =</t>
  </si>
  <si>
    <t>Est. Average Dry Matter Density (Kg DM/cu m) =</t>
  </si>
  <si>
    <t>Silage Packing Layer Thickness (cm) =</t>
  </si>
  <si>
    <t>Density greater than 225 Kg DM/cu m is recommended</t>
  </si>
  <si>
    <t>Density greater than 450 Kg DM/cu m is unrealistic</t>
  </si>
  <si>
    <t xml:space="preserve">     Spreadsheet to Calculate Average</t>
  </si>
  <si>
    <t xml:space="preserve">     Silage Density in a Bunker Silo(Metric Units)</t>
  </si>
  <si>
    <t xml:space="preserve">     Silage Density in a Bunker Silo(English Units)</t>
  </si>
  <si>
    <t>Silage Dry Matter Content (decimal ie 0.35) =</t>
  </si>
  <si>
    <t>Silage Delivery Rate to Bunker (T AF/Hr) =</t>
  </si>
  <si>
    <t>Silage Delivery Rate to Bunker (tonne AF/Hr) =</t>
  </si>
  <si>
    <t>Recommended range of DM content = 0.3-0.4</t>
  </si>
  <si>
    <t>Typical values 15-200 T AF/hr</t>
  </si>
  <si>
    <t>Typical values 15-200 t AF/hr</t>
  </si>
  <si>
    <t>(2) US Dairy Forage Research Center</t>
  </si>
  <si>
    <t>(1) Biological Systems Engineering Dept. and</t>
  </si>
  <si>
    <t>Proportioned Total Tractor Weight (Kg) =</t>
  </si>
  <si>
    <t>Proportioned Average Tractor Weight (Kg) =</t>
  </si>
  <si>
    <t>Proportioned Total Tractor Weight (lbs) =</t>
  </si>
  <si>
    <t>Proportioned Average Tractor Weight (lbs)  =</t>
  </si>
  <si>
    <t>Maximum Achievable DM Density (lbs DM/cu ft)=</t>
  </si>
  <si>
    <t>Maximum Achievable DM Density (Kg DM/cu m)=</t>
  </si>
  <si>
    <t>Typical tractor weight is 10,000-60,000 lbs</t>
  </si>
  <si>
    <t>Proportioned Number of Packing Tractors =</t>
  </si>
  <si>
    <t>Recommended value is 15.24 cm or less</t>
  </si>
  <si>
    <t>Recommended value is 6 inches or less</t>
  </si>
  <si>
    <r>
      <t>Recomendacion: densidad mayor a 225 kg MS por m</t>
    </r>
    <r>
      <rPr>
        <vertAlign val="superscript"/>
        <sz val="10"/>
        <color indexed="10"/>
        <rFont val="Trebuchet MS"/>
        <family val="2"/>
      </rPr>
      <t xml:space="preserve">3 </t>
    </r>
    <r>
      <rPr>
        <sz val="10"/>
        <color indexed="10"/>
        <rFont val="Trebuchet MS"/>
        <family val="2"/>
      </rPr>
      <t>es deseable</t>
    </r>
    <r>
      <rPr>
        <vertAlign val="superscript"/>
        <sz val="10"/>
        <color indexed="10"/>
        <rFont val="Trebuchet MS"/>
        <family val="2"/>
      </rPr>
      <t xml:space="preserve">  </t>
    </r>
  </si>
  <si>
    <r>
      <t>Densidad mayor a 450 kg MS por m</t>
    </r>
    <r>
      <rPr>
        <vertAlign val="superscript"/>
        <sz val="10"/>
        <color indexed="10"/>
        <rFont val="Trebuchet MS"/>
        <family val="2"/>
      </rPr>
      <t>3</t>
    </r>
    <r>
      <rPr>
        <sz val="10"/>
        <color indexed="10"/>
        <rFont val="Trebuchet MS"/>
        <family val="2"/>
      </rPr>
      <t xml:space="preserve"> es irreal</t>
    </r>
  </si>
  <si>
    <t>Traducido por Arturo J. Gallegos (synBios SA de CV, Mexico) y Francisco E. Contreras-Govea (Universidad de Wisconsin)</t>
  </si>
  <si>
    <t>Universidad de Wisconsin - Madison</t>
  </si>
  <si>
    <t>=====================================================================================</t>
  </si>
  <si>
    <t>=======================================================================================</t>
  </si>
  <si>
    <t>Density greater than 28 lbs DM/cu ft is unrealistic</t>
  </si>
  <si>
    <t>Typical tractor weight is 4,500-27,000 Kg</t>
  </si>
  <si>
    <t>Bunker Silo Wall Height (feet)  (zero for silage pile) =</t>
  </si>
  <si>
    <t>Bunker Silo Wall Height (meters)  (zero for silage pile)=</t>
  </si>
  <si>
    <t>Datos a Ingresar</t>
  </si>
  <si>
    <t>Silo</t>
  </si>
  <si>
    <t>Altura del Muro (metros) =</t>
  </si>
  <si>
    <t>Cero para silos en montículo</t>
  </si>
  <si>
    <t>Altura Máxima del Silo (metros) =</t>
  </si>
  <si>
    <t>Tasa de Llenado (toneladas de forraje por hora) =</t>
  </si>
  <si>
    <t>Rango típico 15 a 200</t>
  </si>
  <si>
    <t>Contenido de MS del Forraje, (en decimales) =</t>
  </si>
  <si>
    <t>Rango recomendado 0.30 a 0.40</t>
  </si>
  <si>
    <t>Espesor de la Capa de Forraje (cm) =</t>
  </si>
  <si>
    <t>Espesor recomendado 15 cm o menos</t>
  </si>
  <si>
    <t>Maquinaria</t>
  </si>
  <si>
    <t>Rango de peso típico 4,500 - 27,000 kg</t>
  </si>
  <si>
    <t>Peso (kg)</t>
  </si>
  <si>
    <t>Tiempo sobre el forraje (%)</t>
  </si>
  <si>
    <t>Cálculos</t>
  </si>
  <si>
    <t>Peso total ponderado (kg) =</t>
  </si>
  <si>
    <t>Intermedios</t>
  </si>
  <si>
    <t>Altura Promedio del Silo (metros) =</t>
  </si>
  <si>
    <t>Resultados</t>
  </si>
  <si>
    <t>Factor  de Compactación =</t>
  </si>
  <si>
    <r>
      <t xml:space="preserve">Hoja de Cálculo para Estimar la Densidad Promedio en Silos Horizontales </t>
    </r>
    <r>
      <rPr>
        <i/>
        <sz val="10"/>
        <color indexed="12"/>
        <rFont val="Trebuchet MS"/>
        <family val="2"/>
      </rPr>
      <t>(unidades métricas)</t>
    </r>
  </si>
  <si>
    <r>
      <t>Brian Holmes,</t>
    </r>
    <r>
      <rPr>
        <sz val="12"/>
        <color indexed="57"/>
        <rFont val="Trebuchet MS"/>
        <family val="2"/>
      </rPr>
      <t xml:space="preserve"> Depto. de Ingeniería de Sistemas Biológicos y </t>
    </r>
  </si>
  <si>
    <r>
      <t>Richard Muck,</t>
    </r>
    <r>
      <rPr>
        <sz val="12"/>
        <color indexed="57"/>
        <rFont val="Trebuchet MS"/>
        <family val="2"/>
      </rPr>
      <t xml:space="preserve"> Centro de Investigacion en Forrajes para Ganado Lechero de los Estados Unidos de America</t>
    </r>
  </si>
  <si>
    <r>
      <t>Densidad Estimada Promedio de MS (kg MS por 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>) =</t>
    </r>
  </si>
  <si>
    <r>
      <t>Densidad Maxima de MS Alcanzable (kg MS por 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>) =</t>
    </r>
  </si>
  <si>
    <t>University of Wisconsin-Madison</t>
  </si>
  <si>
    <t>Silage Packing Layer Thickness (inches) =</t>
  </si>
  <si>
    <t>Tractor # 1</t>
  </si>
  <si>
    <t>Tractor # 2</t>
  </si>
  <si>
    <t>Tractor # 3</t>
  </si>
  <si>
    <t>Tractor # 4</t>
  </si>
  <si>
    <t>Packing Factor =</t>
  </si>
  <si>
    <t>Bunker Silo Maximum Silage Height (feet) =</t>
  </si>
  <si>
    <t>Average Silage Height (feet) =</t>
  </si>
  <si>
    <t>-------------------------------------------------------------------------------</t>
  </si>
  <si>
    <t>Values in yellow cells are user changeable</t>
  </si>
  <si>
    <t>Values in pink cells are results of calculations</t>
  </si>
  <si>
    <t>Tractor Weight (lbs)</t>
  </si>
  <si>
    <t>Packing Tractor  - Each Tractor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</si>
</sst>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E+00"/>
    <numFmt numFmtId="179" formatCode="0.0"/>
    <numFmt numFmtId="180" formatCode="0.0000"/>
    <numFmt numFmtId="181" formatCode="0.00000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(* #,##0.0_);_(* \(#,##0.0\);_(* &quot;-&quot;??_);_(@_)"/>
    <numFmt numFmtId="189" formatCode="_(* #,##0_);_(* \(#,##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0_);_(* \(#,##0.0000\);_(* &quot;-&quot;????_);_(@_)"/>
    <numFmt numFmtId="195" formatCode="0.000"/>
    <numFmt numFmtId="196" formatCode="0.000000"/>
    <numFmt numFmtId="197" formatCode="0.0000000"/>
    <numFmt numFmtId="198" formatCode="0.00000000"/>
    <numFmt numFmtId="199" formatCode="&quot;$&quot;#,##0.000_);[Red]\(&quot;$&quot;#,##0.000\)"/>
    <numFmt numFmtId="200" formatCode="&quot;$&quot;#,##0.0000_);[Red]\(&quot;$&quot;#,##0.0000\)"/>
    <numFmt numFmtId="201" formatCode="_(* #,##0.000_);_(* \(#,##0.000\);_(* &quot;-&quot;??_);_(@_)"/>
    <numFmt numFmtId="202" formatCode="_(* #,##0.0_);_(* \(#,##0.0\);_(* &quot;-&quot;?_);_(@_)"/>
    <numFmt numFmtId="203" formatCode="_(* #,##0_);_(* \(#,##0\);_(* &quot;-&quot;?_);_(@_)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_(* #,##0.00_);_(* \(#,##0.00\);_(* &quot;-&quot;?_);_(@_)"/>
    <numFmt numFmtId="207" formatCode="mmm\-yyyy"/>
  </numFmts>
  <fonts count="62">
    <font>
      <sz val="10"/>
      <name val="Arial"/>
      <family val="0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color indexed="12"/>
      <name val="Trebuchet MS"/>
      <family val="2"/>
    </font>
    <font>
      <b/>
      <sz val="14"/>
      <color indexed="12"/>
      <name val="Trebuchet MS"/>
      <family val="2"/>
    </font>
    <font>
      <sz val="10"/>
      <name val="Trebuchet MS"/>
      <family val="2"/>
    </font>
    <font>
      <sz val="12"/>
      <color indexed="57"/>
      <name val="Trebuchet MS"/>
      <family val="2"/>
    </font>
    <font>
      <b/>
      <sz val="14"/>
      <color indexed="57"/>
      <name val="Trebuchet MS"/>
      <family val="2"/>
    </font>
    <font>
      <sz val="10"/>
      <color indexed="57"/>
      <name val="Trebuchet MS"/>
      <family val="2"/>
    </font>
    <font>
      <sz val="10"/>
      <color indexed="55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vertAlign val="superscript"/>
      <sz val="10"/>
      <name val="Trebuchet MS"/>
      <family val="2"/>
    </font>
    <font>
      <b/>
      <sz val="12"/>
      <name val="Trebuchet MS"/>
      <family val="2"/>
    </font>
    <font>
      <vertAlign val="superscript"/>
      <sz val="10"/>
      <color indexed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5" fontId="1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/>
    </xf>
    <xf numFmtId="0" fontId="3" fillId="35" borderId="0" xfId="0" applyFont="1" applyFill="1" applyAlignment="1" applyProtection="1">
      <alignment/>
      <protection/>
    </xf>
    <xf numFmtId="2" fontId="3" fillId="35" borderId="0" xfId="0" applyNumberFormat="1" applyFont="1" applyFill="1" applyAlignment="1" applyProtection="1">
      <alignment/>
      <protection/>
    </xf>
    <xf numFmtId="1" fontId="3" fillId="35" borderId="0" xfId="0" applyNumberFormat="1" applyFont="1" applyFill="1" applyAlignment="1" applyProtection="1">
      <alignment/>
      <protection/>
    </xf>
    <xf numFmtId="179" fontId="3" fillId="35" borderId="0" xfId="0" applyNumberFormat="1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79" fontId="3" fillId="36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9" fontId="9" fillId="0" borderId="0" xfId="0" applyNumberFormat="1" applyFont="1" applyAlignment="1">
      <alignment/>
    </xf>
    <xf numFmtId="179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9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16" fillId="0" borderId="0" xfId="0" applyFont="1" applyAlignment="1">
      <alignment/>
    </xf>
    <xf numFmtId="15" fontId="19" fillId="0" borderId="0" xfId="0" applyNumberFormat="1" applyFont="1" applyAlignment="1" applyProtection="1">
      <alignment horizontal="left"/>
      <protection/>
    </xf>
    <xf numFmtId="189" fontId="20" fillId="0" borderId="0" xfId="62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21" fillId="37" borderId="10" xfId="0" applyFont="1" applyFill="1" applyBorder="1" applyAlignment="1">
      <alignment horizontal="center"/>
    </xf>
    <xf numFmtId="188" fontId="16" fillId="37" borderId="11" xfId="62" applyNumberFormat="1" applyFont="1" applyFill="1" applyBorder="1" applyAlignment="1" applyProtection="1">
      <alignment/>
      <protection locked="0"/>
    </xf>
    <xf numFmtId="188" fontId="16" fillId="37" borderId="12" xfId="62" applyNumberFormat="1" applyFont="1" applyFill="1" applyBorder="1" applyAlignment="1" applyProtection="1">
      <alignment/>
      <protection locked="0"/>
    </xf>
    <xf numFmtId="189" fontId="16" fillId="37" borderId="12" xfId="62" applyNumberFormat="1" applyFont="1" applyFill="1" applyBorder="1" applyAlignment="1" applyProtection="1">
      <alignment/>
      <protection locked="0"/>
    </xf>
    <xf numFmtId="171" fontId="16" fillId="37" borderId="12" xfId="62" applyNumberFormat="1" applyFont="1" applyFill="1" applyBorder="1" applyAlignment="1" applyProtection="1">
      <alignment/>
      <protection locked="0"/>
    </xf>
    <xf numFmtId="189" fontId="16" fillId="37" borderId="13" xfId="62" applyNumberFormat="1" applyFont="1" applyFill="1" applyBorder="1" applyAlignment="1" applyProtection="1">
      <alignment/>
      <protection locked="0"/>
    </xf>
    <xf numFmtId="0" fontId="16" fillId="0" borderId="14" xfId="0" applyFont="1" applyBorder="1" applyAlignment="1" applyProtection="1">
      <alignment horizontal="center" wrapText="1"/>
      <protection/>
    </xf>
    <xf numFmtId="189" fontId="16" fillId="37" borderId="15" xfId="62" applyNumberFormat="1" applyFont="1" applyFill="1" applyBorder="1" applyAlignment="1" applyProtection="1">
      <alignment/>
      <protection locked="0"/>
    </xf>
    <xf numFmtId="189" fontId="16" fillId="37" borderId="16" xfId="62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/>
    </xf>
    <xf numFmtId="189" fontId="16" fillId="37" borderId="17" xfId="62" applyNumberFormat="1" applyFont="1" applyFill="1" applyBorder="1" applyAlignment="1" applyProtection="1">
      <alignment/>
      <protection locked="0"/>
    </xf>
    <xf numFmtId="189" fontId="16" fillId="37" borderId="18" xfId="62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quotePrefix="1">
      <alignment/>
    </xf>
    <xf numFmtId="189" fontId="16" fillId="37" borderId="19" xfId="62" applyNumberFormat="1" applyFont="1" applyFill="1" applyBorder="1" applyAlignment="1" applyProtection="1">
      <alignment/>
      <protection locked="0"/>
    </xf>
    <xf numFmtId="189" fontId="16" fillId="37" borderId="20" xfId="62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189" fontId="16" fillId="0" borderId="0" xfId="62" applyNumberFormat="1" applyFont="1" applyFill="1" applyBorder="1" applyAlignment="1" applyProtection="1">
      <alignment/>
      <protection locked="0"/>
    </xf>
    <xf numFmtId="189" fontId="16" fillId="0" borderId="0" xfId="62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quotePrefix="1">
      <alignment/>
    </xf>
    <xf numFmtId="0" fontId="21" fillId="38" borderId="21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1" fillId="38" borderId="22" xfId="0" applyFont="1" applyFill="1" applyBorder="1" applyAlignment="1">
      <alignment horizontal="center"/>
    </xf>
    <xf numFmtId="0" fontId="16" fillId="0" borderId="0" xfId="0" applyFont="1" applyAlignment="1" applyProtection="1" quotePrefix="1">
      <alignment/>
      <protection/>
    </xf>
    <xf numFmtId="189" fontId="16" fillId="0" borderId="0" xfId="62" applyNumberFormat="1" applyFont="1" applyAlignment="1" applyProtection="1">
      <alignment/>
      <protection/>
    </xf>
    <xf numFmtId="0" fontId="21" fillId="39" borderId="10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/>
    </xf>
    <xf numFmtId="189" fontId="23" fillId="0" borderId="0" xfId="62" applyNumberFormat="1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89" fontId="16" fillId="0" borderId="0" xfId="62" applyNumberFormat="1" applyFont="1" applyAlignment="1">
      <alignment/>
    </xf>
    <xf numFmtId="189" fontId="16" fillId="36" borderId="14" xfId="62" applyNumberFormat="1" applyFont="1" applyFill="1" applyBorder="1" applyAlignment="1" applyProtection="1">
      <alignment/>
      <protection/>
    </xf>
    <xf numFmtId="189" fontId="26" fillId="36" borderId="10" xfId="62" applyNumberFormat="1" applyFont="1" applyFill="1" applyBorder="1" applyAlignment="1" applyProtection="1">
      <alignment/>
      <protection/>
    </xf>
    <xf numFmtId="189" fontId="16" fillId="36" borderId="23" xfId="62" applyNumberFormat="1" applyFont="1" applyFill="1" applyBorder="1" applyAlignment="1" applyProtection="1">
      <alignment/>
      <protection/>
    </xf>
    <xf numFmtId="189" fontId="16" fillId="35" borderId="23" xfId="62" applyNumberFormat="1" applyFont="1" applyFill="1" applyBorder="1" applyAlignment="1" applyProtection="1">
      <alignment/>
      <protection/>
    </xf>
    <xf numFmtId="188" fontId="16" fillId="35" borderId="23" xfId="62" applyNumberFormat="1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/>
      <protection/>
    </xf>
    <xf numFmtId="0" fontId="16" fillId="0" borderId="24" xfId="62" applyNumberFormat="1" applyFont="1" applyBorder="1" applyAlignment="1" applyProtection="1">
      <alignment horizontal="left"/>
      <protection/>
    </xf>
    <xf numFmtId="189" fontId="23" fillId="0" borderId="0" xfId="62" applyNumberFormat="1" applyFont="1" applyFill="1" applyBorder="1" applyAlignment="1" applyProtection="1">
      <alignment/>
      <protection/>
    </xf>
    <xf numFmtId="189" fontId="22" fillId="0" borderId="0" xfId="62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1" fillId="37" borderId="25" xfId="0" applyFont="1" applyFill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0" zoomScaleNormal="80" zoomScalePageLayoutView="0" workbookViewId="0" topLeftCell="A1">
      <selection activeCell="F32" sqref="F32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5" width="22.7109375" style="1" customWidth="1"/>
    <col min="6" max="6" width="9.140625" style="1" customWidth="1"/>
    <col min="7" max="7" width="4.7109375" style="1" customWidth="1"/>
    <col min="8" max="8" width="43.7109375" style="1" customWidth="1"/>
    <col min="9" max="9" width="24.8515625" style="1" customWidth="1"/>
    <col min="10" max="10" width="9.140625" style="1" customWidth="1"/>
    <col min="11" max="11" width="9.421875" style="1" bestFit="1" customWidth="1"/>
    <col min="12" max="16384" width="9.140625" style="1" customWidth="1"/>
  </cols>
  <sheetData>
    <row r="1" ht="15.75">
      <c r="H1" s="6" t="s">
        <v>12</v>
      </c>
    </row>
    <row r="2" ht="15.75">
      <c r="H2" s="6" t="s">
        <v>14</v>
      </c>
    </row>
    <row r="3" ht="12.75">
      <c r="H3" s="2" t="s">
        <v>1</v>
      </c>
    </row>
    <row r="4" ht="12.75">
      <c r="H4" s="2" t="s">
        <v>22</v>
      </c>
    </row>
    <row r="5" ht="12.75">
      <c r="H5" s="2" t="s">
        <v>21</v>
      </c>
    </row>
    <row r="6" ht="12.75">
      <c r="H6" s="2" t="s">
        <v>69</v>
      </c>
    </row>
    <row r="7" spans="1:8" ht="15.75">
      <c r="A7" s="7" t="s">
        <v>41</v>
      </c>
      <c r="B7" s="7"/>
      <c r="C7" s="7"/>
      <c r="D7" s="7"/>
      <c r="E7" s="7"/>
      <c r="F7" s="8">
        <v>8</v>
      </c>
      <c r="H7" s="3">
        <v>37004</v>
      </c>
    </row>
    <row r="8" spans="1:6" ht="15.75">
      <c r="A8" s="7"/>
      <c r="B8" s="7"/>
      <c r="C8" s="7"/>
      <c r="D8" s="7"/>
      <c r="E8" s="7"/>
      <c r="F8" s="7"/>
    </row>
    <row r="9" spans="1:8" ht="15.75">
      <c r="A9" s="7" t="s">
        <v>76</v>
      </c>
      <c r="B9" s="7"/>
      <c r="C9" s="7"/>
      <c r="D9" s="7"/>
      <c r="E9" s="7"/>
      <c r="F9" s="8">
        <v>10</v>
      </c>
      <c r="H9" s="1" t="s">
        <v>79</v>
      </c>
    </row>
    <row r="10" spans="1:6" ht="15.75">
      <c r="A10" s="7"/>
      <c r="B10" s="7"/>
      <c r="C10" s="7"/>
      <c r="D10" s="7"/>
      <c r="E10" s="7"/>
      <c r="F10" s="7"/>
    </row>
    <row r="11" spans="1:8" ht="15.75">
      <c r="A11" s="7" t="s">
        <v>16</v>
      </c>
      <c r="B11" s="7"/>
      <c r="C11" s="7"/>
      <c r="D11" s="7"/>
      <c r="E11" s="7"/>
      <c r="F11" s="8">
        <v>40</v>
      </c>
      <c r="H11" s="1" t="s">
        <v>19</v>
      </c>
    </row>
    <row r="12" spans="1:6" ht="15.75">
      <c r="A12" s="7"/>
      <c r="B12" s="7"/>
      <c r="C12" s="7"/>
      <c r="D12" s="7"/>
      <c r="E12" s="7"/>
      <c r="F12" s="7"/>
    </row>
    <row r="13" spans="1:8" ht="15.75">
      <c r="A13" s="7" t="s">
        <v>15</v>
      </c>
      <c r="B13" s="7"/>
      <c r="C13" s="7"/>
      <c r="D13" s="7"/>
      <c r="E13" s="7"/>
      <c r="F13" s="8">
        <v>0.35</v>
      </c>
      <c r="H13" s="19" t="s">
        <v>18</v>
      </c>
    </row>
    <row r="14" spans="2:6" ht="15.75">
      <c r="B14" s="7"/>
      <c r="C14" s="7"/>
      <c r="D14" s="7"/>
      <c r="E14" s="7"/>
      <c r="F14" s="20" t="str">
        <f>+IF(F13&gt;1,"F13 must be less than 1"," ")</f>
        <v> </v>
      </c>
    </row>
    <row r="15" spans="1:8" ht="15.75">
      <c r="A15" s="7" t="s">
        <v>70</v>
      </c>
      <c r="B15" s="7"/>
      <c r="C15" s="7"/>
      <c r="D15" s="7"/>
      <c r="E15" s="7"/>
      <c r="F15" s="8">
        <v>6</v>
      </c>
      <c r="H15" s="1" t="s">
        <v>32</v>
      </c>
    </row>
    <row r="16" spans="1:6" ht="15.75">
      <c r="A16" s="7"/>
      <c r="B16" s="7"/>
      <c r="C16" s="7"/>
      <c r="D16" s="7"/>
      <c r="E16" s="7"/>
      <c r="F16" s="20" t="str">
        <f>+IF(F15&gt;24,"Consider a thinner layer in cell F15"," ")</f>
        <v> </v>
      </c>
    </row>
    <row r="17" spans="1:8" ht="15.75">
      <c r="A17" s="7" t="s">
        <v>82</v>
      </c>
      <c r="B17" s="7"/>
      <c r="C17" s="7"/>
      <c r="D17" s="7"/>
      <c r="E17" s="7" t="s">
        <v>81</v>
      </c>
      <c r="F17" s="7"/>
      <c r="H17" s="7" t="s">
        <v>2</v>
      </c>
    </row>
    <row r="18" spans="1:9" ht="15.75">
      <c r="A18" s="9" t="s">
        <v>37</v>
      </c>
      <c r="B18" s="7"/>
      <c r="C18" s="7"/>
      <c r="D18" s="7"/>
      <c r="E18" s="7"/>
      <c r="F18" s="7"/>
      <c r="H18" s="7"/>
      <c r="I18" s="24"/>
    </row>
    <row r="19" spans="1:9" ht="15.75">
      <c r="A19" s="7" t="s">
        <v>71</v>
      </c>
      <c r="B19" s="7"/>
      <c r="C19" s="21" t="s">
        <v>29</v>
      </c>
      <c r="D19" s="7"/>
      <c r="E19" s="7"/>
      <c r="F19" s="8">
        <v>40000</v>
      </c>
      <c r="G19" s="26">
        <f>IF(F19&gt;0,H19,0)</f>
        <v>100</v>
      </c>
      <c r="H19" s="16">
        <v>100</v>
      </c>
      <c r="I19" s="81" t="str">
        <f>IF(AND(F19&gt;0,H19&lt;1),"Error in Cell F19 or H19",IF(AND(F19&lt;1,H19&gt;0),"Error in Cell F19 or H19"," "))</f>
        <v> </v>
      </c>
    </row>
    <row r="20" spans="1:9" ht="15.75">
      <c r="A20" s="7" t="s">
        <v>72</v>
      </c>
      <c r="B20" s="7"/>
      <c r="C20" s="21" t="s">
        <v>29</v>
      </c>
      <c r="D20" s="7"/>
      <c r="E20" s="7"/>
      <c r="F20" s="8">
        <v>20000</v>
      </c>
      <c r="G20" s="26">
        <f>IF(F20&gt;0,H20,0)</f>
        <v>50</v>
      </c>
      <c r="H20" s="16">
        <v>50</v>
      </c>
      <c r="I20" s="81" t="str">
        <f>IF(AND(F20&gt;0,H20&lt;1),"Error in Cell F20 or H20",IF(AND(F20&lt;1,H20&gt;0),"Error in Cell F20 or H20"," "))</f>
        <v> </v>
      </c>
    </row>
    <row r="21" spans="1:9" ht="15.75">
      <c r="A21" s="7" t="s">
        <v>73</v>
      </c>
      <c r="B21" s="7"/>
      <c r="C21" s="21" t="s">
        <v>29</v>
      </c>
      <c r="D21" s="7"/>
      <c r="E21" s="7"/>
      <c r="F21" s="8">
        <v>0</v>
      </c>
      <c r="G21" s="26">
        <f>IF(F21&gt;0,H21,0)</f>
        <v>0</v>
      </c>
      <c r="H21" s="16">
        <v>0</v>
      </c>
      <c r="I21" s="81" t="str">
        <f>IF(AND(F21&gt;0,H21&lt;1),"Error in Cell F21 or H21",IF(AND(F21&lt;1,H21&gt;0),"Error in Cell F21 or H21"," "))</f>
        <v> </v>
      </c>
    </row>
    <row r="22" spans="1:9" ht="15.75">
      <c r="A22" s="7" t="s">
        <v>74</v>
      </c>
      <c r="B22" s="7"/>
      <c r="C22" s="21" t="s">
        <v>29</v>
      </c>
      <c r="D22" s="7"/>
      <c r="E22" s="7"/>
      <c r="F22" s="8">
        <v>0</v>
      </c>
      <c r="G22" s="26">
        <f>IF(F22&gt;0,H22,0)</f>
        <v>0</v>
      </c>
      <c r="H22" s="16">
        <v>0</v>
      </c>
      <c r="I22" s="81" t="str">
        <f>IF(AND(F22&gt;0,H22&lt;1),"Error in Cell F22 or H22",IF(AND(F22&lt;1,H22&gt;0),"Error in Cell F22 or H22"," "))</f>
        <v> </v>
      </c>
    </row>
    <row r="23" spans="1:14" ht="15.75">
      <c r="A23" s="7" t="s">
        <v>25</v>
      </c>
      <c r="C23" s="7"/>
      <c r="D23" s="7"/>
      <c r="E23" s="7"/>
      <c r="F23" s="10">
        <f>+F19*H19/100+F20*H20/100+F21*H21/100+F22*H22/100</f>
        <v>50000</v>
      </c>
      <c r="I23" s="24"/>
      <c r="M23" s="23"/>
      <c r="N23" s="23"/>
    </row>
    <row r="24" spans="1:14" ht="15.75">
      <c r="A24" s="7" t="s">
        <v>30</v>
      </c>
      <c r="B24" s="7"/>
      <c r="C24" s="7"/>
      <c r="D24" s="7"/>
      <c r="E24" s="7"/>
      <c r="F24" s="11">
        <f>+SUM(G19:G22)/100</f>
        <v>1.5</v>
      </c>
      <c r="H24" s="30"/>
      <c r="M24" s="24"/>
      <c r="N24" s="23"/>
    </row>
    <row r="25" spans="1:14" ht="15.75">
      <c r="A25" s="7" t="s">
        <v>26</v>
      </c>
      <c r="B25" s="7"/>
      <c r="C25" s="7"/>
      <c r="D25" s="7"/>
      <c r="E25" s="7"/>
      <c r="F25" s="12">
        <f>+F23/F24</f>
        <v>33333.333333333336</v>
      </c>
      <c r="H25" s="1" t="s">
        <v>3</v>
      </c>
      <c r="I25" s="23"/>
      <c r="M25" s="24"/>
      <c r="N25" s="23"/>
    </row>
    <row r="26" spans="1:9" ht="15.75">
      <c r="A26" s="7" t="s">
        <v>77</v>
      </c>
      <c r="B26" s="7"/>
      <c r="C26" s="7"/>
      <c r="D26" s="7"/>
      <c r="E26" s="7"/>
      <c r="F26" s="13">
        <f>+(+F7+F9)/2</f>
        <v>9</v>
      </c>
      <c r="I26" s="27"/>
    </row>
    <row r="27" spans="1:6" ht="15.75">
      <c r="A27" s="9" t="s">
        <v>78</v>
      </c>
      <c r="B27" s="7"/>
      <c r="C27" s="7"/>
      <c r="D27" s="7"/>
      <c r="E27" s="7"/>
      <c r="F27" s="7"/>
    </row>
    <row r="28" spans="1:8" ht="15.75">
      <c r="A28" s="7"/>
      <c r="B28" s="7"/>
      <c r="C28" s="7"/>
      <c r="D28" s="14" t="s">
        <v>75</v>
      </c>
      <c r="E28" s="14"/>
      <c r="F28" s="15">
        <f>+MAX(K32:N35)</f>
        <v>636.4688465216444</v>
      </c>
      <c r="H28" s="1" t="s">
        <v>80</v>
      </c>
    </row>
    <row r="29" spans="1:8" ht="15.75">
      <c r="A29" s="14" t="s">
        <v>4</v>
      </c>
      <c r="B29" s="14"/>
      <c r="C29" s="14"/>
      <c r="D29" s="14"/>
      <c r="E29" s="14"/>
      <c r="F29" s="15">
        <f>+IF(F32&lt;F33,F32,F33)</f>
        <v>17.270697200668792</v>
      </c>
      <c r="H29" s="5" t="s">
        <v>0</v>
      </c>
    </row>
    <row r="30" spans="8:9" ht="12.75">
      <c r="H30" s="5" t="s">
        <v>39</v>
      </c>
      <c r="I30" s="2"/>
    </row>
    <row r="31" spans="1:18" ht="12.75">
      <c r="A31" s="17">
        <f>+IF(F29=F32,"Estimated DM Density controlled by Maximum Achievable Density","")</f>
      </c>
      <c r="J31" s="28"/>
      <c r="K31" s="28">
        <v>19</v>
      </c>
      <c r="L31" s="28">
        <v>20</v>
      </c>
      <c r="M31" s="28">
        <v>21</v>
      </c>
      <c r="N31" s="28">
        <v>22</v>
      </c>
      <c r="O31" s="31"/>
      <c r="P31" s="31"/>
      <c r="Q31" s="31"/>
      <c r="R31" s="31"/>
    </row>
    <row r="32" spans="1:18" ht="15.75">
      <c r="A32" s="14" t="s">
        <v>27</v>
      </c>
      <c r="B32" s="18"/>
      <c r="C32" s="18"/>
      <c r="D32" s="18"/>
      <c r="E32" s="18"/>
      <c r="F32" s="15">
        <f>+F13*(F13*93.6+(1-F13)*62.4)</f>
        <v>25.661999999999995</v>
      </c>
      <c r="J32" s="28">
        <v>19</v>
      </c>
      <c r="K32" s="29">
        <f>+($F$19/$F$15)*($F$13*$G$19/$F$11/100)^0.5</f>
        <v>623.6095644623236</v>
      </c>
      <c r="L32" s="29">
        <f>+(($F$19*$G$19+$F$20*$G$20)/IF($G$19+$G$20,$G$19+$G$20,1)/$F$15)*($F$13*SUM($G$19:$G$20)/$F$11/100)^0.5</f>
        <v>636.4688465216444</v>
      </c>
      <c r="M32" s="29">
        <f>+(($F$19*$G$19+$F$20*$G$20+$F$21*$G$21)/IF($G$19+$G$20+$G$21,$G$19+$G$20+$G$21,1)/$F$15)*($F$13*SUM($G$19:$G$21)/$F$11/100)^0.5</f>
        <v>636.4688465216444</v>
      </c>
      <c r="N32" s="29">
        <f>+(($F$19*$G$19+$F$20*$G$20+$F$21*$G$21+$F$22*$G$22)/IF(SUM($G$19:$G$22),SUM($G$19:$G$22),1)/$F$15)*($F$13*SUM($G$19:$G$22)/$F$11/100)^0.5</f>
        <v>636.4688465216444</v>
      </c>
      <c r="O32" s="31"/>
      <c r="P32" s="31"/>
      <c r="Q32" s="31"/>
      <c r="R32" s="31"/>
    </row>
    <row r="33" spans="6:18" ht="15.75">
      <c r="F33" s="80">
        <f>(+F28*0.0155+8.5)*(0.818+0.0136*F26)</f>
        <v>17.270697200668792</v>
      </c>
      <c r="J33" s="28">
        <v>20</v>
      </c>
      <c r="K33" s="29"/>
      <c r="L33" s="29">
        <f>+($F$20/$F$15)*($F$13*$G$20/$F$11/100)^0.5</f>
        <v>220.47927592204925</v>
      </c>
      <c r="M33" s="29">
        <f>+(($F$20*$G$20+$F$21*$G$21)/IF($G$20+$G$21,$G$20+$G$21,1)/$F$15)*($F$13*SUM($G$20:$G$21)/$F$11/100)^0.5</f>
        <v>220.47927592204925</v>
      </c>
      <c r="N33" s="29">
        <f>+(($F$20*$G$20+$F$21*$G$21+$F$22*$G$22)/IF(SUM($G$20:$G$22),SUM($G$20:$G$22),1)/$F$15)*($F$13*SUM($G$20:$G$22)/$F$11/100)^0.5</f>
        <v>220.47927592204925</v>
      </c>
      <c r="O33" s="31"/>
      <c r="P33" s="31"/>
      <c r="Q33" s="31"/>
      <c r="R33" s="31"/>
    </row>
    <row r="34" spans="10:18" ht="15.75">
      <c r="J34" s="28">
        <v>21</v>
      </c>
      <c r="K34" s="29">
        <f>+(($F$19*$G$19+$F$21*$G21)/IF($G$19+$G21,$G$19+$G21,1)/$F$15)*($F$13*SUM($G$19,$G21)/$F$11/100)^0.5</f>
        <v>623.6095644623236</v>
      </c>
      <c r="L34" s="29"/>
      <c r="M34" s="29">
        <f>+($F$21/$F$15)*(($F$13*$G$21)/$F$11/100)^0.5</f>
        <v>0</v>
      </c>
      <c r="N34" s="29">
        <f>+(($F$21*$G$21+$F$22*$G$22)/IF($G$21+$G$22,$G$21+$G$22,1)/$F$15)*($F$13*SUM($G$21:$G$22)/$F$11/100)^0.5</f>
        <v>0</v>
      </c>
      <c r="O34" s="31"/>
      <c r="P34" s="31"/>
      <c r="Q34" s="31"/>
      <c r="R34" s="31"/>
    </row>
    <row r="35" spans="10:18" ht="15.75">
      <c r="J35" s="28">
        <v>22</v>
      </c>
      <c r="K35" s="29">
        <f>+(($F$19*$G$19+$F$22*$G$22)/IF($G$19+$G$22,$G$19+$G$22,1)/$F$15)*($F$13*SUM($G$19,$G$22)/$F$11/100)^0.5</f>
        <v>623.6095644623236</v>
      </c>
      <c r="L35" s="29">
        <f>+(($F$20*$G$20+$F$22*$G$22)/IF($G$20+$G$22,$G$20+$G$22,1)/$F$15)*($F$13*SUM($G$20,$G$22)/$F$11/100)^0.5</f>
        <v>220.47927592204925</v>
      </c>
      <c r="M35" s="29">
        <f>+(($F$19*$G$19+$F$21*$G$21+$F$22*$G$22)/IF($G$19+$G$21+$G$22,$G$19+$G$21+$G$22,1)/$F$15)*($F$13*SUM($G$19,$G$21:$G$22)/$F$11/100)^0.5</f>
        <v>623.6095644623236</v>
      </c>
      <c r="N35" s="29">
        <f>+($F$22/$F$15)*($F$13*$G$22/$F$11/100)^0.5</f>
        <v>0</v>
      </c>
      <c r="O35" s="31"/>
      <c r="P35" s="31"/>
      <c r="Q35" s="31"/>
      <c r="R35" s="31"/>
    </row>
    <row r="36" spans="11:18" ht="12.75">
      <c r="K36" s="31"/>
      <c r="L36" s="31"/>
      <c r="M36" s="31"/>
      <c r="N36" s="31"/>
      <c r="O36" s="31"/>
      <c r="P36" s="31"/>
      <c r="Q36" s="31"/>
      <c r="R36" s="31"/>
    </row>
    <row r="37" spans="11:18" ht="12.75">
      <c r="K37" s="31"/>
      <c r="L37" s="31"/>
      <c r="M37" s="31"/>
      <c r="N37" s="31"/>
      <c r="O37" s="31"/>
      <c r="P37" s="31"/>
      <c r="Q37" s="31"/>
      <c r="R37" s="31"/>
    </row>
  </sheetData>
  <sheetProtection sheet="1" objects="1" scenarios="1"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80" zoomScaleNormal="80" zoomScalePageLayoutView="0" workbookViewId="0" topLeftCell="A4">
      <selection activeCell="F19" sqref="F19"/>
    </sheetView>
  </sheetViews>
  <sheetFormatPr defaultColWidth="8.8515625" defaultRowHeight="12.75"/>
  <cols>
    <col min="1" max="4" width="8.8515625" style="0" customWidth="1"/>
    <col min="5" max="5" width="22.7109375" style="0" customWidth="1"/>
    <col min="6" max="6" width="8.8515625" style="0" customWidth="1"/>
    <col min="7" max="7" width="3.7109375" style="0" customWidth="1"/>
    <col min="8" max="8" width="43.7109375" style="0" customWidth="1"/>
    <col min="9" max="9" width="24.7109375" style="0" customWidth="1"/>
    <col min="10" max="11" width="8.8515625" style="0" customWidth="1"/>
    <col min="12" max="12" width="9.421875" style="0" bestFit="1" customWidth="1"/>
  </cols>
  <sheetData>
    <row r="1" spans="1:9" ht="15.75">
      <c r="A1" s="1"/>
      <c r="B1" s="1"/>
      <c r="C1" s="1"/>
      <c r="D1" s="1"/>
      <c r="E1" s="1"/>
      <c r="F1" s="1"/>
      <c r="G1" s="1"/>
      <c r="H1" s="6" t="s">
        <v>12</v>
      </c>
      <c r="I1" s="1"/>
    </row>
    <row r="2" spans="1:9" ht="15.75">
      <c r="A2" s="1"/>
      <c r="B2" s="1"/>
      <c r="C2" s="1"/>
      <c r="D2" s="1"/>
      <c r="E2" s="1"/>
      <c r="F2" s="1"/>
      <c r="G2" s="1"/>
      <c r="H2" s="6" t="s">
        <v>13</v>
      </c>
      <c r="I2" s="1"/>
    </row>
    <row r="3" spans="1:9" ht="12.75">
      <c r="A3" s="1"/>
      <c r="B3" s="1"/>
      <c r="C3" s="1"/>
      <c r="D3" s="1"/>
      <c r="E3" s="1"/>
      <c r="F3" s="1"/>
      <c r="G3" s="1"/>
      <c r="H3" s="2" t="s">
        <v>1</v>
      </c>
      <c r="I3" s="1"/>
    </row>
    <row r="4" spans="1:9" ht="12.75">
      <c r="A4" s="1"/>
      <c r="B4" s="1"/>
      <c r="C4" s="1"/>
      <c r="D4" s="1"/>
      <c r="E4" s="1"/>
      <c r="F4" s="1"/>
      <c r="G4" s="1"/>
      <c r="H4" s="2" t="s">
        <v>22</v>
      </c>
      <c r="I4" s="1"/>
    </row>
    <row r="5" spans="1:9" ht="12.75">
      <c r="A5" s="1"/>
      <c r="B5" s="1"/>
      <c r="C5" s="1"/>
      <c r="D5" s="1"/>
      <c r="E5" s="1"/>
      <c r="F5" s="1"/>
      <c r="G5" s="1"/>
      <c r="H5" s="2" t="s">
        <v>21</v>
      </c>
      <c r="I5" s="1"/>
    </row>
    <row r="6" spans="1:9" ht="12.75">
      <c r="A6" s="1"/>
      <c r="B6" s="1"/>
      <c r="C6" s="1"/>
      <c r="D6" s="1"/>
      <c r="E6" s="1"/>
      <c r="F6" s="1"/>
      <c r="G6" s="1"/>
      <c r="H6" s="2" t="s">
        <v>69</v>
      </c>
      <c r="I6" s="1"/>
    </row>
    <row r="7" spans="1:9" ht="15.75">
      <c r="A7" s="7" t="s">
        <v>42</v>
      </c>
      <c r="B7" s="7"/>
      <c r="C7" s="7"/>
      <c r="D7" s="7"/>
      <c r="E7" s="7"/>
      <c r="F7" s="8">
        <v>2.5</v>
      </c>
      <c r="G7" s="1"/>
      <c r="H7" s="3">
        <v>37004</v>
      </c>
      <c r="I7" s="1"/>
    </row>
    <row r="8" spans="1:9" ht="15.75">
      <c r="A8" s="7"/>
      <c r="B8" s="7"/>
      <c r="C8" s="7"/>
      <c r="D8" s="7"/>
      <c r="E8" s="7"/>
      <c r="F8" s="7"/>
      <c r="G8" s="1"/>
      <c r="H8" s="1"/>
      <c r="I8" s="1"/>
    </row>
    <row r="9" spans="1:9" ht="15.75">
      <c r="A9" s="7" t="s">
        <v>5</v>
      </c>
      <c r="B9" s="7"/>
      <c r="C9" s="7"/>
      <c r="D9" s="7"/>
      <c r="E9" s="7"/>
      <c r="F9" s="8">
        <v>3</v>
      </c>
      <c r="G9" s="1"/>
      <c r="H9" s="1" t="s">
        <v>79</v>
      </c>
      <c r="I9" s="1"/>
    </row>
    <row r="10" spans="1:9" ht="15.75">
      <c r="A10" s="7"/>
      <c r="B10" s="7"/>
      <c r="C10" s="7"/>
      <c r="D10" s="7"/>
      <c r="E10" s="7"/>
      <c r="F10" s="7"/>
      <c r="G10" s="1"/>
      <c r="H10" s="1"/>
      <c r="I10" s="1"/>
    </row>
    <row r="11" spans="1:9" ht="15.75">
      <c r="A11" s="7" t="s">
        <v>17</v>
      </c>
      <c r="B11" s="7"/>
      <c r="C11" s="7"/>
      <c r="D11" s="7"/>
      <c r="E11" s="7"/>
      <c r="F11" s="8">
        <v>70</v>
      </c>
      <c r="G11" s="1"/>
      <c r="H11" s="1" t="s">
        <v>20</v>
      </c>
      <c r="I11" s="1"/>
    </row>
    <row r="12" spans="1:9" ht="15.75">
      <c r="A12" s="7"/>
      <c r="B12" s="7"/>
      <c r="C12" s="7"/>
      <c r="D12" s="7"/>
      <c r="E12" s="7"/>
      <c r="F12" s="7"/>
      <c r="G12" s="1"/>
      <c r="H12" s="1"/>
      <c r="I12" s="1"/>
    </row>
    <row r="13" spans="1:9" ht="15.75">
      <c r="A13" s="7" t="s">
        <v>15</v>
      </c>
      <c r="B13" s="7"/>
      <c r="C13" s="7"/>
      <c r="D13" s="7"/>
      <c r="E13" s="7"/>
      <c r="F13" s="8">
        <v>0.35</v>
      </c>
      <c r="G13" s="1"/>
      <c r="H13" s="19" t="s">
        <v>18</v>
      </c>
      <c r="I13" s="1"/>
    </row>
    <row r="14" spans="2:9" ht="15.75">
      <c r="B14" s="7"/>
      <c r="C14" s="7"/>
      <c r="D14" s="7"/>
      <c r="E14" s="7"/>
      <c r="F14" s="20" t="str">
        <f>+IF(F13&gt;1,"F13 must be less than 1"," ")</f>
        <v> </v>
      </c>
      <c r="G14" s="1"/>
      <c r="H14" s="1"/>
      <c r="I14" s="1"/>
    </row>
    <row r="15" spans="1:9" ht="15.75">
      <c r="A15" s="7" t="s">
        <v>9</v>
      </c>
      <c r="B15" s="7"/>
      <c r="C15" s="7"/>
      <c r="D15" s="7"/>
      <c r="E15" s="7"/>
      <c r="F15" s="8">
        <v>15</v>
      </c>
      <c r="G15" s="1"/>
      <c r="H15" s="1" t="s">
        <v>31</v>
      </c>
      <c r="I15" s="1"/>
    </row>
    <row r="16" spans="1:9" ht="15.75">
      <c r="A16" s="7"/>
      <c r="B16" s="7"/>
      <c r="C16" s="7"/>
      <c r="D16" s="7"/>
      <c r="E16" s="7"/>
      <c r="F16" s="20" t="str">
        <f>+IF(F15&gt;60,"Consider a thinner layer in cell F15"," ")</f>
        <v> </v>
      </c>
      <c r="G16" s="1"/>
      <c r="H16" s="1"/>
      <c r="I16" s="1"/>
    </row>
    <row r="17" spans="1:9" ht="15.75">
      <c r="A17" s="7" t="s">
        <v>82</v>
      </c>
      <c r="B17" s="7"/>
      <c r="C17" s="7"/>
      <c r="D17" s="7"/>
      <c r="E17" s="7" t="s">
        <v>6</v>
      </c>
      <c r="F17" s="7"/>
      <c r="G17" s="1"/>
      <c r="H17" s="7" t="s">
        <v>2</v>
      </c>
      <c r="I17" s="1"/>
    </row>
    <row r="18" spans="1:12" ht="15.75">
      <c r="A18" s="9" t="s">
        <v>38</v>
      </c>
      <c r="B18" s="7"/>
      <c r="C18" s="7"/>
      <c r="D18" s="7"/>
      <c r="E18" s="7"/>
      <c r="F18" s="7"/>
      <c r="G18" s="1"/>
      <c r="H18" s="7"/>
      <c r="I18" s="24"/>
      <c r="K18" s="25"/>
      <c r="L18" s="25"/>
    </row>
    <row r="19" spans="1:12" ht="15.75">
      <c r="A19" s="7" t="s">
        <v>71</v>
      </c>
      <c r="B19" s="7"/>
      <c r="C19" s="21" t="s">
        <v>40</v>
      </c>
      <c r="D19" s="7"/>
      <c r="E19" s="7"/>
      <c r="F19" s="8">
        <v>18182</v>
      </c>
      <c r="G19" s="26">
        <f>IF(F19&gt;0,H19,0)</f>
        <v>100</v>
      </c>
      <c r="H19" s="16">
        <v>100</v>
      </c>
      <c r="I19" s="81" t="str">
        <f>IF(AND(F19&gt;0,H19&lt;1),"Error in Cell F19 or H19",IF(AND(F19&lt;1,H19&gt;0),"Error in Cell F19 or H19"," "))</f>
        <v> </v>
      </c>
      <c r="J19" s="23"/>
      <c r="K19" s="23"/>
      <c r="L19" s="23"/>
    </row>
    <row r="20" spans="1:13" ht="15.75">
      <c r="A20" s="7" t="s">
        <v>72</v>
      </c>
      <c r="B20" s="7"/>
      <c r="C20" s="21" t="s">
        <v>40</v>
      </c>
      <c r="D20" s="7"/>
      <c r="E20" s="7"/>
      <c r="F20" s="8">
        <v>9091</v>
      </c>
      <c r="G20" s="26">
        <f>IF(F20&gt;0,H20,0)</f>
        <v>50</v>
      </c>
      <c r="H20" s="16">
        <v>50</v>
      </c>
      <c r="I20" s="81" t="str">
        <f>IF(AND(F20&gt;0,H20&lt;1),"Error in Cell F20 or H20",IF(AND(F20&lt;1,H20&gt;0),"Error in Cell F20 or H20"," "))</f>
        <v> </v>
      </c>
      <c r="J20" s="23"/>
      <c r="K20" s="23"/>
      <c r="L20" s="23"/>
      <c r="M20" s="25"/>
    </row>
    <row r="21" spans="1:13" ht="15.75">
      <c r="A21" s="7" t="s">
        <v>73</v>
      </c>
      <c r="B21" s="7"/>
      <c r="C21" s="21" t="s">
        <v>40</v>
      </c>
      <c r="D21" s="7"/>
      <c r="E21" s="7"/>
      <c r="F21" s="8"/>
      <c r="G21" s="26">
        <f>IF(F21&gt;0,H21,0)</f>
        <v>0</v>
      </c>
      <c r="H21" s="16">
        <v>0</v>
      </c>
      <c r="I21" s="81" t="str">
        <f>IF(AND(F21&gt;0,H21&lt;1),"Error in Cell F21 or H21",IF(AND(F21&lt;1,H21&gt;0),"Error in Cell F21 or H21"," "))</f>
        <v> </v>
      </c>
      <c r="J21" s="23"/>
      <c r="K21" s="23"/>
      <c r="L21" s="23"/>
      <c r="M21" s="25"/>
    </row>
    <row r="22" spans="1:13" ht="15.75">
      <c r="A22" s="7" t="s">
        <v>74</v>
      </c>
      <c r="B22" s="7"/>
      <c r="C22" s="21" t="s">
        <v>40</v>
      </c>
      <c r="D22" s="7"/>
      <c r="E22" s="7"/>
      <c r="F22" s="8"/>
      <c r="G22" s="26">
        <f>IF(F22&gt;0,H22,0)</f>
        <v>0</v>
      </c>
      <c r="H22" s="16">
        <v>0</v>
      </c>
      <c r="I22" s="81" t="str">
        <f>IF(AND(F22&gt;0,H22&lt;1),"Error in Cell F22 or H22",IF(AND(F22&lt;1,H22&gt;0),"Error in Cell F22 or H22"," "))</f>
        <v> </v>
      </c>
      <c r="J22" s="23"/>
      <c r="K22" s="23"/>
      <c r="L22" s="32"/>
      <c r="M22" s="25"/>
    </row>
    <row r="23" spans="1:13" ht="15.75">
      <c r="A23" s="7" t="s">
        <v>23</v>
      </c>
      <c r="C23" s="7"/>
      <c r="D23" s="7"/>
      <c r="E23" s="7"/>
      <c r="F23" s="10">
        <f>+F19*H19/100+F20*H20/100+F21*H21/100+F22*H22/100</f>
        <v>22727.5</v>
      </c>
      <c r="G23" s="1"/>
      <c r="H23" s="1"/>
      <c r="I23" s="24"/>
      <c r="J23" s="32"/>
      <c r="K23" s="23"/>
      <c r="L23" s="32"/>
      <c r="M23" s="25"/>
    </row>
    <row r="24" spans="1:13" ht="15.75">
      <c r="A24" s="7" t="s">
        <v>30</v>
      </c>
      <c r="B24" s="7"/>
      <c r="C24" s="7"/>
      <c r="D24" s="7"/>
      <c r="E24" s="7"/>
      <c r="F24" s="11">
        <f>+SUM(G19:G22)/100</f>
        <v>1.5</v>
      </c>
      <c r="G24" s="1"/>
      <c r="H24" s="4"/>
      <c r="I24" s="1"/>
      <c r="J24" s="32"/>
      <c r="K24" s="23"/>
      <c r="L24" s="32"/>
      <c r="M24" s="25"/>
    </row>
    <row r="25" spans="1:12" ht="15.75">
      <c r="A25" s="7" t="s">
        <v>24</v>
      </c>
      <c r="B25" s="7"/>
      <c r="C25" s="7"/>
      <c r="D25" s="7"/>
      <c r="E25" s="7"/>
      <c r="F25" s="12">
        <f>+F23/F24</f>
        <v>15151.666666666666</v>
      </c>
      <c r="G25" s="1"/>
      <c r="H25" s="1" t="s">
        <v>3</v>
      </c>
      <c r="I25" s="1"/>
      <c r="J25" s="32"/>
      <c r="K25" s="32"/>
      <c r="L25" s="32"/>
    </row>
    <row r="26" spans="1:9" ht="15.75">
      <c r="A26" s="7" t="s">
        <v>7</v>
      </c>
      <c r="B26" s="7"/>
      <c r="C26" s="7"/>
      <c r="D26" s="7"/>
      <c r="E26" s="7"/>
      <c r="F26" s="13">
        <f>+(+F7+F9)/2</f>
        <v>2.75</v>
      </c>
      <c r="G26" s="1"/>
      <c r="H26" s="1"/>
      <c r="I26" s="1"/>
    </row>
    <row r="27" spans="1:9" ht="15.75">
      <c r="A27" s="9" t="s">
        <v>78</v>
      </c>
      <c r="B27" s="7"/>
      <c r="C27" s="7"/>
      <c r="D27" s="7"/>
      <c r="E27" s="7"/>
      <c r="F27" s="7"/>
      <c r="G27" s="1"/>
      <c r="H27" s="1"/>
      <c r="I27" s="1"/>
    </row>
    <row r="28" spans="1:14" ht="15.75">
      <c r="A28" s="7"/>
      <c r="B28" s="7"/>
      <c r="C28" s="7"/>
      <c r="D28" s="14" t="s">
        <v>75</v>
      </c>
      <c r="E28" s="14"/>
      <c r="F28" s="15">
        <f>+MAX(K32:N35)</f>
        <v>2766.303205710814</v>
      </c>
      <c r="G28" s="1"/>
      <c r="H28" s="1" t="s">
        <v>80</v>
      </c>
      <c r="I28" s="1"/>
      <c r="K28" s="22"/>
      <c r="L28" s="32"/>
      <c r="M28" s="32"/>
      <c r="N28" s="32"/>
    </row>
    <row r="29" spans="1:12" ht="15.75">
      <c r="A29" s="14" t="s">
        <v>8</v>
      </c>
      <c r="B29" s="14"/>
      <c r="C29" s="14"/>
      <c r="D29" s="14"/>
      <c r="E29" s="14"/>
      <c r="F29" s="15">
        <f>+IF(F32&lt;F33,F32,F33)</f>
        <v>237.49976563897886</v>
      </c>
      <c r="G29" s="1"/>
      <c r="H29" s="5" t="s">
        <v>10</v>
      </c>
      <c r="I29" s="24"/>
      <c r="J29" s="32"/>
      <c r="K29" s="32"/>
      <c r="L29" s="32"/>
    </row>
    <row r="30" spans="1:12" ht="12.75">
      <c r="A30" s="1"/>
      <c r="B30" s="1"/>
      <c r="C30" s="1"/>
      <c r="D30" s="1"/>
      <c r="E30" s="1"/>
      <c r="F30" s="1"/>
      <c r="G30" s="1"/>
      <c r="H30" s="5" t="s">
        <v>11</v>
      </c>
      <c r="I30" s="33"/>
      <c r="J30" s="32"/>
      <c r="K30" s="32"/>
      <c r="L30" s="32"/>
    </row>
    <row r="31" spans="1:14" ht="12.75">
      <c r="A31" s="17">
        <f>+IF(F29=F32,"Estimated DM Density controlled by Maximum Achievable Density","")</f>
      </c>
      <c r="B31" s="1"/>
      <c r="C31" s="1"/>
      <c r="D31" s="1"/>
      <c r="E31" s="1"/>
      <c r="F31" s="1"/>
      <c r="G31" s="1"/>
      <c r="H31" s="1"/>
      <c r="I31" s="1"/>
      <c r="J31" s="28"/>
      <c r="K31" s="28">
        <v>19</v>
      </c>
      <c r="L31" s="28">
        <v>20</v>
      </c>
      <c r="M31" s="28">
        <v>21</v>
      </c>
      <c r="N31" s="28">
        <v>22</v>
      </c>
    </row>
    <row r="32" spans="1:14" ht="15.75">
      <c r="A32" s="14" t="s">
        <v>28</v>
      </c>
      <c r="B32" s="18"/>
      <c r="C32" s="18"/>
      <c r="D32" s="18"/>
      <c r="E32" s="18"/>
      <c r="F32" s="15">
        <f>+F13*(F13*1500+(1-F13)*1000)</f>
        <v>411.25</v>
      </c>
      <c r="G32" s="1"/>
      <c r="H32" s="1"/>
      <c r="I32" s="1"/>
      <c r="J32" s="28">
        <v>19</v>
      </c>
      <c r="K32" s="29">
        <f>+($F$19/$F$15)*($F$13*10*$G$19/$F$11)^0.5</f>
        <v>2710.4125311267453</v>
      </c>
      <c r="L32" s="29">
        <f>+(($F$19*$G$19+$F$20*$G$20)/IF($G$19+$G$20,$G$19+$G$20,1)/$F$15)*($F$13*10*SUM($G$19:$G$20)/$F$11)^0.5</f>
        <v>2766.303205710814</v>
      </c>
      <c r="M32" s="29">
        <f>+(($F$19*$G$19+$F$20*$G$20+$F$21*$G$21)/IF($G$19+$G$20+$G$21,$G$19+$G$20+$G$21,1)/$F$15)*($F$13*10*SUM($G$19:$G$21)/$F$11)^0.5</f>
        <v>2766.303205710814</v>
      </c>
      <c r="N32" s="29">
        <f>+(($F$19*$G$19+$F$20*$G$20+$F$21*$G$21+$F$22*$G$22)/IF(SUM($G$19:$G$22),SUM($G$19:$G$22),1)/$F$15)*($F$13*10*SUM($G$19:$G$22)/$F$11)^0.5</f>
        <v>2766.303205710814</v>
      </c>
    </row>
    <row r="33" spans="1:14" ht="15.75">
      <c r="A33" s="1"/>
      <c r="B33" s="1"/>
      <c r="C33" s="1"/>
      <c r="D33" s="1"/>
      <c r="E33" s="1"/>
      <c r="F33" s="29">
        <f>(+F28*0.042+136.3)*(0.818+0.0446*F26)</f>
        <v>237.49976563897886</v>
      </c>
      <c r="G33" s="1"/>
      <c r="H33" s="1"/>
      <c r="I33" s="1"/>
      <c r="J33" s="28">
        <v>20</v>
      </c>
      <c r="K33" s="29"/>
      <c r="L33" s="29">
        <f>+($F$20/$F$15)*($F$13*10*$G$20/$F$11)^0.5</f>
        <v>958.275540286358</v>
      </c>
      <c r="M33" s="29">
        <f>+(($F$20*$G$20+$F$21*$G$21)/IF($G$20+$G$21,$G$20+$G$21,1)/$F$15)*($F$13*10*SUM($G$20:$G$21)/$F$11)^0.5</f>
        <v>958.275540286358</v>
      </c>
      <c r="N33" s="29">
        <f>+(($F$20*$G$20+$F$21*$G$21+$F$22*$G$22)/IF(SUM($G$20:$G$22),SUM($G$20:$G$22),1)/$F$15)*($F$13*10*SUM($G$20:$G$22)/$F$11)^0.5</f>
        <v>958.275540286358</v>
      </c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28">
        <v>21</v>
      </c>
      <c r="K34" s="29">
        <f>+(($F$19*$G$19+$F$21*$G21)/IF($G$19+$G21,$G$19+$G21,1)/$F$15)*($F$13*10*SUM($G$19,$G21)/$F$11)^0.5</f>
        <v>2710.4125311267453</v>
      </c>
      <c r="L34" s="29"/>
      <c r="M34" s="29">
        <f>+($F$21/$F$15)*(($F$13*10*$G$21)/$F$11)^0.5</f>
        <v>0</v>
      </c>
      <c r="N34" s="29">
        <f>+(($F$21*$G$21+$F$22*$G$22)/IF($G$21+$G$22,$G$21+$G$22,1)/$F$15)*($F$13*10*SUM($G$21:$G$22)/$F$11)^0.5</f>
        <v>0</v>
      </c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28">
        <v>22</v>
      </c>
      <c r="K35" s="29">
        <f>+(($F$19*$G$19+$F$22*$G$22)/IF($G$19+$G$22,$G$19+$G$22,1)/$F$15)*($F$13*10*SUM($G$19,$G$22)/$F$11)^0.5</f>
        <v>2710.4125311267453</v>
      </c>
      <c r="L35" s="29">
        <f>+(($F$20*$G$20+$F$22*$G$22)/IF($G$20+$G$22,$G$20+$G$22,1)/$F$15)*($F$13*10*SUM($G$20,$G$22)/$F$11)^0.5</f>
        <v>958.275540286358</v>
      </c>
      <c r="M35" s="29">
        <f>+(($F$19*$G$19+$F$21*$G$21+$F$22*$G$22)/IF($G$19+$G$21+$G$22,$G$19+$G$21+$G$22,1)/$F$15)*($F$13*10*SUM($G$19,$G$21:$G$22)/$F$11)^0.5</f>
        <v>2710.4125311267453</v>
      </c>
      <c r="N35" s="29">
        <f>+($F$22/$F$15)*($F$13*10*$G$22/$F$11)^0.5</f>
        <v>0</v>
      </c>
    </row>
  </sheetData>
  <sheetProtection sheet="1" objects="1" scenarios="1"/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11.7109375" style="34" bestFit="1" customWidth="1"/>
    <col min="2" max="2" width="79.28125" style="34" customWidth="1"/>
    <col min="3" max="3" width="9.140625" style="36" bestFit="1" customWidth="1"/>
    <col min="4" max="4" width="13.140625" style="34" customWidth="1"/>
    <col min="5" max="6" width="10.7109375" style="34" customWidth="1"/>
    <col min="7" max="9" width="9.8515625" style="34" bestFit="1" customWidth="1"/>
    <col min="10" max="16384" width="9.140625" style="34" customWidth="1"/>
  </cols>
  <sheetData>
    <row r="1" spans="1:8" ht="18.75">
      <c r="A1" s="84" t="s">
        <v>64</v>
      </c>
      <c r="B1" s="84"/>
      <c r="C1" s="84"/>
      <c r="D1" s="84"/>
      <c r="E1" s="84"/>
      <c r="F1" s="84"/>
      <c r="G1" s="84"/>
      <c r="H1" s="84"/>
    </row>
    <row r="2" spans="1:8" ht="19.5">
      <c r="A2" s="85" t="s">
        <v>65</v>
      </c>
      <c r="B2" s="86"/>
      <c r="C2" s="86"/>
      <c r="D2" s="86"/>
      <c r="E2" s="86"/>
      <c r="F2" s="86"/>
      <c r="G2" s="86"/>
      <c r="H2" s="86"/>
    </row>
    <row r="3" spans="1:8" ht="19.5">
      <c r="A3" s="85" t="s">
        <v>66</v>
      </c>
      <c r="B3" s="86"/>
      <c r="C3" s="86"/>
      <c r="D3" s="86"/>
      <c r="E3" s="86"/>
      <c r="F3" s="86"/>
      <c r="G3" s="86"/>
      <c r="H3" s="86"/>
    </row>
    <row r="4" spans="1:8" ht="18">
      <c r="A4" s="86" t="s">
        <v>36</v>
      </c>
      <c r="B4" s="86"/>
      <c r="C4" s="86"/>
      <c r="D4" s="86"/>
      <c r="E4" s="86"/>
      <c r="F4" s="86"/>
      <c r="G4" s="86"/>
      <c r="H4" s="86"/>
    </row>
    <row r="5" spans="1:8" ht="18">
      <c r="A5" s="86" t="s">
        <v>35</v>
      </c>
      <c r="B5" s="86"/>
      <c r="C5" s="86"/>
      <c r="D5" s="86"/>
      <c r="E5" s="86"/>
      <c r="F5" s="86"/>
      <c r="G5" s="86"/>
      <c r="H5" s="86"/>
    </row>
    <row r="6" spans="2:7" ht="15.75" thickBot="1">
      <c r="B6" s="35"/>
      <c r="E6" s="37"/>
      <c r="G6" s="61"/>
    </row>
    <row r="7" spans="2:7" ht="15.75" thickBot="1">
      <c r="B7" s="35"/>
      <c r="C7" s="82" t="s">
        <v>43</v>
      </c>
      <c r="D7" s="83"/>
      <c r="E7" s="37"/>
      <c r="G7" s="61"/>
    </row>
    <row r="8" spans="1:7" ht="15.75" thickBot="1">
      <c r="A8" s="38" t="s">
        <v>44</v>
      </c>
      <c r="B8" s="37" t="s">
        <v>45</v>
      </c>
      <c r="C8" s="39">
        <v>2.5</v>
      </c>
      <c r="D8" s="34" t="s">
        <v>46</v>
      </c>
      <c r="G8" s="61"/>
    </row>
    <row r="9" spans="2:7" ht="15">
      <c r="B9" s="37" t="s">
        <v>47</v>
      </c>
      <c r="C9" s="40">
        <v>3</v>
      </c>
      <c r="G9" s="61"/>
    </row>
    <row r="10" spans="2:7" ht="15">
      <c r="B10" s="37" t="s">
        <v>48</v>
      </c>
      <c r="C10" s="41">
        <v>40</v>
      </c>
      <c r="D10" s="37" t="s">
        <v>49</v>
      </c>
      <c r="G10" s="61"/>
    </row>
    <row r="11" spans="2:7" ht="15">
      <c r="B11" s="37" t="s">
        <v>50</v>
      </c>
      <c r="C11" s="42">
        <v>0.35</v>
      </c>
      <c r="D11" s="37" t="s">
        <v>51</v>
      </c>
      <c r="G11" s="78" t="str">
        <f>IF(C11&gt;1,"C9 debe ser menor a 1"," ")</f>
        <v> </v>
      </c>
    </row>
    <row r="12" spans="2:7" ht="15.75" thickBot="1">
      <c r="B12" s="37" t="s">
        <v>52</v>
      </c>
      <c r="C12" s="43">
        <v>15</v>
      </c>
      <c r="D12" s="37" t="s">
        <v>53</v>
      </c>
      <c r="G12" s="78" t="str">
        <f>IF(C12&gt;60,"Considere una capa mas delgada"," ")</f>
        <v> </v>
      </c>
    </row>
    <row r="13" spans="1:7" ht="30.75" thickBot="1">
      <c r="A13" s="38" t="s">
        <v>54</v>
      </c>
      <c r="B13" s="37" t="s">
        <v>55</v>
      </c>
      <c r="C13" s="76" t="s">
        <v>56</v>
      </c>
      <c r="D13" s="44" t="s">
        <v>57</v>
      </c>
      <c r="G13" s="61"/>
    </row>
    <row r="14" spans="2:7" ht="15">
      <c r="B14" s="37" t="s">
        <v>71</v>
      </c>
      <c r="C14" s="45">
        <v>18182</v>
      </c>
      <c r="D14" s="46">
        <v>100</v>
      </c>
      <c r="E14" s="47">
        <f>IF(C14&gt;0,D14,0)</f>
        <v>100</v>
      </c>
      <c r="G14" s="79" t="str">
        <f>IF(AND(C14&gt;0,D14&lt;1),"Error en celda C13 ó D13",IF(AND(C14&lt;1,D14&gt;0),"Error en celda C13 ó D13"," "))</f>
        <v> </v>
      </c>
    </row>
    <row r="15" spans="2:8" ht="15">
      <c r="B15" s="37" t="s">
        <v>72</v>
      </c>
      <c r="C15" s="48">
        <v>9091</v>
      </c>
      <c r="D15" s="49">
        <v>50</v>
      </c>
      <c r="E15" s="47">
        <f>IF(C15&gt;0,D15,0)</f>
        <v>50</v>
      </c>
      <c r="G15" s="79" t="str">
        <f>IF(AND(C15&gt;0,D15&lt;1),"Error en celda C14 ó D14",IF(AND(C15&lt;1,D15&gt;0),"Error en celda C14 ó D14"," "))</f>
        <v> </v>
      </c>
      <c r="H15" s="50"/>
    </row>
    <row r="16" spans="2:8" ht="15">
      <c r="B16" s="37" t="s">
        <v>73</v>
      </c>
      <c r="C16" s="48">
        <v>0</v>
      </c>
      <c r="D16" s="49">
        <v>0</v>
      </c>
      <c r="E16" s="47">
        <f>IF(C16&gt;0,D16,0)</f>
        <v>0</v>
      </c>
      <c r="G16" s="79" t="str">
        <f>IF(AND(C16&gt;0,D16&lt;1),"Error en celda C15 ó D15",IF(AND(C16&lt;1,D16&gt;0),"Error en celda C15 ó D15"," "))</f>
        <v> </v>
      </c>
      <c r="H16" s="50"/>
    </row>
    <row r="17" spans="2:8" ht="15.75" thickBot="1">
      <c r="B17" s="37" t="s">
        <v>74</v>
      </c>
      <c r="C17" s="51">
        <v>0</v>
      </c>
      <c r="D17" s="52">
        <v>0</v>
      </c>
      <c r="E17" s="47">
        <f>IF(C17&gt;0,D17,0)</f>
        <v>0</v>
      </c>
      <c r="G17" s="79" t="str">
        <f>IF(AND(C17&gt;0,D17&lt;1),"Error en celda C16 ó D16",IF(AND(C17&lt;1,D17&gt;0),"Error en celda C16 ó D16"," "))</f>
        <v> </v>
      </c>
      <c r="H17" s="50"/>
    </row>
    <row r="18" spans="2:8" s="53" customFormat="1" ht="15.75" thickBot="1">
      <c r="B18" s="54"/>
      <c r="C18" s="55"/>
      <c r="D18" s="56"/>
      <c r="E18" s="57"/>
      <c r="F18" s="58"/>
      <c r="H18" s="59"/>
    </row>
    <row r="19" spans="1:8" ht="15">
      <c r="A19" s="60" t="s">
        <v>58</v>
      </c>
      <c r="B19" s="37" t="s">
        <v>59</v>
      </c>
      <c r="C19" s="73">
        <f>+C14*D14/100+C15*D15/100+C16*D16/100+C17*D17/100</f>
        <v>22727.5</v>
      </c>
      <c r="D19" s="37"/>
      <c r="E19" s="37"/>
      <c r="F19" s="61"/>
      <c r="G19" s="61"/>
      <c r="H19" s="50"/>
    </row>
    <row r="20" spans="1:8" ht="15.75" thickBot="1">
      <c r="A20" s="62" t="s">
        <v>60</v>
      </c>
      <c r="B20" s="37" t="s">
        <v>61</v>
      </c>
      <c r="C20" s="74">
        <f>+(+C8+C9)/2</f>
        <v>2.75</v>
      </c>
      <c r="E20" s="37"/>
      <c r="F20" s="61"/>
      <c r="G20" s="61"/>
      <c r="H20" s="50"/>
    </row>
    <row r="21" spans="2:4" ht="15.75" thickBot="1">
      <c r="B21" s="63"/>
      <c r="C21" s="64"/>
      <c r="D21" s="37"/>
    </row>
    <row r="22" spans="1:3" ht="15.75" thickBot="1">
      <c r="A22" s="65" t="s">
        <v>62</v>
      </c>
      <c r="B22" s="75" t="s">
        <v>63</v>
      </c>
      <c r="C22" s="70">
        <f>+MAX(E27:H30)</f>
        <v>3659.4751666557827</v>
      </c>
    </row>
    <row r="23" spans="2:4" ht="18.75" thickBot="1">
      <c r="B23" s="75" t="s">
        <v>67</v>
      </c>
      <c r="C23" s="71">
        <f>+IF(C24&lt;C25,C24,C25)</f>
        <v>272.78657825162</v>
      </c>
      <c r="D23" s="66" t="s">
        <v>33</v>
      </c>
    </row>
    <row r="24" spans="2:4" ht="17.25">
      <c r="B24" s="75" t="s">
        <v>68</v>
      </c>
      <c r="C24" s="72">
        <f>C11*(C11*1500+(1-C11)*1000)</f>
        <v>411.25</v>
      </c>
      <c r="D24" s="66" t="s">
        <v>34</v>
      </c>
    </row>
    <row r="25" spans="3:8" ht="15">
      <c r="C25" s="67">
        <f>(C22*0.042+136.3)*(0.818+0.0446*C20)</f>
        <v>272.78657825162</v>
      </c>
      <c r="D25" s="68">
        <f>+IF(C23=C24,"Estimado de Densidad de MS está controlado por la Maxima Densidad Alcanzable","")</f>
      </c>
      <c r="E25" s="61"/>
      <c r="F25" s="61"/>
      <c r="G25" s="61"/>
      <c r="H25" s="61"/>
    </row>
    <row r="26" spans="1:8" ht="15">
      <c r="A26"/>
      <c r="B26"/>
      <c r="C26" s="64"/>
      <c r="D26" s="77"/>
      <c r="E26" s="77">
        <v>19</v>
      </c>
      <c r="F26" s="77">
        <v>20</v>
      </c>
      <c r="G26" s="77">
        <v>21</v>
      </c>
      <c r="H26" s="77">
        <v>22</v>
      </c>
    </row>
    <row r="27" spans="1:8" ht="15">
      <c r="A27"/>
      <c r="B27"/>
      <c r="C27" s="64"/>
      <c r="D27" s="77">
        <v>19</v>
      </c>
      <c r="E27" s="77">
        <f>+($C$14/$C$12)*($C$11*10*$E$14/$C$10)^0.5</f>
        <v>3585.538753877241</v>
      </c>
      <c r="F27" s="77">
        <f>+(($C$14*$E$14+$C$15*$E$15)/IF($E$14+$E$15,$E$14+$E$15,1)/$C$12)*($C$11*10*SUM($E$14:$E$15)/$C$10)^0.5</f>
        <v>3659.4751666557827</v>
      </c>
      <c r="G27" s="77">
        <f>+(($C$14*$E$14+$C$15*$E$15+$C$16*$E$16)/IF($E$14+$E$15+$E$16,$E$14+$E$15+$E$16,1)/$C$12)*($C$11*10*SUM($E$14:$E$16)/$C$10)^0.5</f>
        <v>3659.4751666557827</v>
      </c>
      <c r="H27" s="77">
        <f>+(($C$14*$E$14+$C$15*$E$15+$C$16*$E$16+$C$17*$E$17)/IF(SUM($E$14:$E$17),SUM($E$14:$E$17),1)/$C$12)*($C$11*10*SUM($E$14:$E$17)/$C$10)^0.5</f>
        <v>3659.4751666557827</v>
      </c>
    </row>
    <row r="28" spans="1:8" ht="15">
      <c r="A28"/>
      <c r="B28"/>
      <c r="C28" s="64"/>
      <c r="D28" s="77">
        <v>20</v>
      </c>
      <c r="E28" s="77"/>
      <c r="F28" s="77">
        <f>+($C$15/$C$12)*($C$11*10*$E$15/$C$10)^0.5</f>
        <v>1267.6793835368803</v>
      </c>
      <c r="G28" s="77">
        <f>+(($C$15*$E$15+$C$16*$E$16)/IF($E$15+$E$16,$E$15+$E$16,1)/$C$12)*($C$11*10*SUM($E$15:$E$16)/$C$10)^0.5</f>
        <v>1267.6793835368803</v>
      </c>
      <c r="H28" s="77">
        <f>+(($C$15*$E$15+$C$16*$E$16+$C$17*$E$17)/IF(SUM($E$15:$E$17),SUM($E$15:$E$17),1)/$C$12)*($C$11*10*SUM($E$15:$E$17)/$C$10)^0.5</f>
        <v>1267.6793835368803</v>
      </c>
    </row>
    <row r="29" spans="3:8" ht="15">
      <c r="C29" s="69"/>
      <c r="D29" s="77">
        <v>21</v>
      </c>
      <c r="E29" s="77">
        <f>+(($C$14*$E$14+$C$16*$E16)/IF($E$14+$E16,$E$14+$E16,1)/$C$12)*($C$11*10*SUM($E$14,$E16)/$C$10)^0.5</f>
        <v>3585.538753877241</v>
      </c>
      <c r="F29" s="77"/>
      <c r="G29" s="77">
        <f>+($C$16/$C$12)*(($C$11*10*$E$16)/$C$10)^0.5</f>
        <v>0</v>
      </c>
      <c r="H29" s="77">
        <f>+(($C$16*$E$16+$C$17*$E$17)/IF($E$16+$E$17,$E$16+$E$17,1)/$C$12)*($C$11*10*SUM($E$16:$E$17)/$C$10)^0.5</f>
        <v>0</v>
      </c>
    </row>
    <row r="30" spans="4:8" ht="15">
      <c r="D30" s="77">
        <v>22</v>
      </c>
      <c r="E30" s="77">
        <f>+(($C$14*$E$14+$C$17*$E$17)/IF($E$14+$E$17,$E$14+$E$17,1)/$C$12)*($C$11*10*SUM($E$14,$E$17)/$C$10)^0.5</f>
        <v>3585.538753877241</v>
      </c>
      <c r="F30" s="77">
        <f>+(($C$15*$E$15+$C$17*$E$17)/IF($E$15+$E$17,$E$15+$E$17,1)/$C$12)*($C$11*10*SUM($E$15,$E$17)/$C$10)^0.5</f>
        <v>1267.6793835368803</v>
      </c>
      <c r="G30" s="77">
        <f>+(($C$14*$E$14+$C$16*$E$16+$C$17*$E$17)/IF($E$14+$E$16+$E$17,$E$14+$E$16+$E$17,1)/$C$12)*($C$11*10*SUM($E$14,$E$16:$E$17)/$C$10)^0.5</f>
        <v>3585.538753877241</v>
      </c>
      <c r="H30" s="77">
        <f>+($C$17/$C$12)*($C$11*10*$E$17/$C$10)^0.5</f>
        <v>0</v>
      </c>
    </row>
    <row r="31" spans="4:8" ht="15">
      <c r="D31" s="61"/>
      <c r="E31" s="61"/>
      <c r="F31" s="61"/>
      <c r="G31" s="61"/>
      <c r="H31" s="61"/>
    </row>
  </sheetData>
  <sheetProtection sheet="1" objects="1" scenarios="1"/>
  <mergeCells count="6">
    <mergeCell ref="C7:D7"/>
    <mergeCell ref="A1:H1"/>
    <mergeCell ref="A2:H2"/>
    <mergeCell ref="A3:H3"/>
    <mergeCell ref="A4:H4"/>
    <mergeCell ref="A5:H5"/>
  </mergeCells>
  <printOptions/>
  <pageMargins left="0.787401575" right="0.787401575" top="0.984251969" bottom="0.984251969" header="0.5" footer="0.5"/>
  <pageSetup fitToHeight="1" fitToWidth="1" horizontalDpi="204" verticalDpi="204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subject/>
  <dc:creator>Brian J. Holmes</dc:creator>
  <cp:keywords/>
  <dc:description/>
  <cp:lastModifiedBy>Nussio</cp:lastModifiedBy>
  <cp:lastPrinted>2005-04-21T20:22:41Z</cp:lastPrinted>
  <dcterms:created xsi:type="dcterms:W3CDTF">1999-04-02T15:53:20Z</dcterms:created>
  <dcterms:modified xsi:type="dcterms:W3CDTF">2020-08-27T19:15:43Z</dcterms:modified>
  <cp:category/>
  <cp:version/>
  <cp:contentType/>
  <cp:contentStatus/>
</cp:coreProperties>
</file>