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5"/>
  </bookViews>
  <sheets>
    <sheet name="Dividendos Constantes" sheetId="1" r:id="rId1"/>
    <sheet name="Modelo de Gordon" sheetId="2" r:id="rId2"/>
    <sheet name="2 estágios ex teorico" sheetId="3" r:id="rId3"/>
    <sheet name="2 estagios Alpargatas' " sheetId="4" r:id="rId4"/>
    <sheet name="exercicio 3 estagios Arezzo" sheetId="5" r:id="rId5"/>
    <sheet name="exercicio 3 estagios Tenda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<sst xmlns="http://schemas.openxmlformats.org/spreadsheetml/2006/main" count="107" uniqueCount="64">
  <si>
    <t>ROE</t>
  </si>
  <si>
    <t>Ke:</t>
  </si>
  <si>
    <t>Período</t>
  </si>
  <si>
    <t>Tx Reinv</t>
  </si>
  <si>
    <t>g</t>
  </si>
  <si>
    <t>LL</t>
  </si>
  <si>
    <t>Div</t>
  </si>
  <si>
    <t>Perpetuidade</t>
  </si>
  <si>
    <t>Perpetuidade:</t>
  </si>
  <si>
    <t>1o Estágio</t>
  </si>
  <si>
    <t>PROJEÇÃO</t>
  </si>
  <si>
    <t>Div por ação</t>
  </si>
  <si>
    <t>ROE</t>
  </si>
  <si>
    <t>Ke</t>
  </si>
  <si>
    <t>PayOut</t>
  </si>
  <si>
    <t>TRANSIÇÃO</t>
  </si>
  <si>
    <t>ALTO CRESCIMENTO</t>
  </si>
  <si>
    <t>PERPETUIDADE</t>
  </si>
  <si>
    <t>D0</t>
  </si>
  <si>
    <t>LL por ação</t>
  </si>
  <si>
    <t>g</t>
  </si>
  <si>
    <t>Fator Desconto</t>
  </si>
  <si>
    <t>Fluxo de Caixa a Descontar</t>
  </si>
  <si>
    <t>Dividendos por ação</t>
  </si>
  <si>
    <t>Payout Ratio</t>
  </si>
  <si>
    <t>Beta:</t>
  </si>
  <si>
    <t>RF</t>
  </si>
  <si>
    <t>Rm-RF</t>
  </si>
  <si>
    <t>Inf USA</t>
  </si>
  <si>
    <t>Ke real</t>
  </si>
  <si>
    <t>Premio Br</t>
  </si>
  <si>
    <t>Estimativa Preço por ação</t>
  </si>
  <si>
    <t>Projeção LL</t>
  </si>
  <si>
    <t>Projeção Dividendos</t>
  </si>
  <si>
    <t>2o Estágio</t>
  </si>
  <si>
    <t>Lucro Líquido por ação</t>
  </si>
  <si>
    <t>Qtde ações</t>
  </si>
  <si>
    <t>Fluxo de Dividendos</t>
  </si>
  <si>
    <t>Capital Próprio</t>
  </si>
  <si>
    <t>Quantidade ações (milhões)</t>
  </si>
  <si>
    <t>Taxa de Reinvestimento</t>
  </si>
  <si>
    <t>Projeção LL-Perpetuidade</t>
  </si>
  <si>
    <t>Projeção Dividendos Perpetuidade</t>
  </si>
  <si>
    <t>Valor Dividendos Perpetuidade</t>
  </si>
  <si>
    <t>Target Price</t>
  </si>
  <si>
    <t>Lucro Por Ação (LPA)</t>
  </si>
  <si>
    <t>Dividendo por Acao</t>
  </si>
  <si>
    <t>ROE X Tx de Reinvestimento</t>
  </si>
  <si>
    <t>LPA</t>
  </si>
  <si>
    <t>Div por acao</t>
  </si>
  <si>
    <t>VP=Target Price</t>
  </si>
  <si>
    <t>g (ROE* Tx Reinv)</t>
  </si>
  <si>
    <t>VP dos Dividendos</t>
  </si>
  <si>
    <t>Lucro Líquido-Estimativa 2021 (milhões)</t>
  </si>
  <si>
    <t>Quantidade ações (milhares)</t>
  </si>
  <si>
    <t>Empresa: Companhia de Saneamento de Minas Gerais (CSMG3)</t>
  </si>
  <si>
    <t>Lucro Líquido 2020 (milhões)</t>
  </si>
  <si>
    <t>Empresa: B3</t>
  </si>
  <si>
    <t>APLICAÇÃO DESCONTO DE DIVIDENDOS EM 3 ESTÁGIOS: Arezzo</t>
  </si>
  <si>
    <t>Alpargatas</t>
  </si>
  <si>
    <t>APLICAÇÃO DESCONTO DE DIVIDENDOS EM 3 ESTÁGIOS: Tenda</t>
  </si>
  <si>
    <t>Ke Nominal</t>
  </si>
  <si>
    <t>Inf Brasil</t>
  </si>
  <si>
    <t xml:space="preserve">VP=Target Price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</si>
</sst>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0.000"/>
    <numFmt numFmtId="191" formatCode="0.0000"/>
    <numFmt numFmtId="192" formatCode="0.0%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"/>
    <numFmt numFmtId="200" formatCode="#,##0.0"/>
    <numFmt numFmtId="201" formatCode="#,##0.000"/>
    <numFmt numFmtId="202" formatCode="_(* #,##0.000_);_(* \(#,##0.000\);_(* &quot;-&quot;??_);_(@_)"/>
    <numFmt numFmtId="203" formatCode="_(* #,##0.0_);_(* \(#,##0.0\);_(* &quot;-&quot;??_);_(@_)"/>
    <numFmt numFmtId="204" formatCode="_-* #,##0.0_-;\-* #,##0.0_-;_-* &quot;-&quot;?_-;_-@_-"/>
    <numFmt numFmtId="205" formatCode="0.00000000000"/>
    <numFmt numFmtId="206" formatCode="_(&quot;R$ &quot;* #,##0.0_);_(&quot;R$ &quot;* \(#,##0.0\);_(&quot;R$ &quot;* &quot;-&quot;??_);_(@_)"/>
    <numFmt numFmtId="207" formatCode="_(&quot;R$ &quot;* #,##0_);_(&quot;R$ &quot;* \(#,##0\);_(&quot;R$ &quot;* &quot;-&quot;??_);_(@_)"/>
    <numFmt numFmtId="208" formatCode="0.000000000000000%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7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7" fontId="3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0" fontId="7" fillId="0" borderId="15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2" fillId="0" borderId="16" xfId="0" applyFont="1" applyBorder="1" applyAlignment="1">
      <alignment/>
    </xf>
    <xf numFmtId="191" fontId="7" fillId="0" borderId="16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2" fillId="0" borderId="0" xfId="59" applyFont="1" applyAlignment="1">
      <alignment/>
    </xf>
    <xf numFmtId="1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3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9" fontId="7" fillId="0" borderId="15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9" fontId="7" fillId="0" borderId="16" xfId="0" applyNumberFormat="1" applyFont="1" applyFill="1" applyBorder="1" applyAlignment="1">
      <alignment/>
    </xf>
    <xf numFmtId="10" fontId="7" fillId="0" borderId="16" xfId="0" applyNumberFormat="1" applyFont="1" applyBorder="1" applyAlignment="1">
      <alignment/>
    </xf>
    <xf numFmtId="9" fontId="7" fillId="0" borderId="16" xfId="59" applyFont="1" applyBorder="1" applyAlignment="1">
      <alignment/>
    </xf>
    <xf numFmtId="9" fontId="7" fillId="0" borderId="18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203" fontId="2" fillId="0" borderId="0" xfId="42" applyNumberFormat="1" applyFont="1" applyAlignment="1">
      <alignment/>
    </xf>
    <xf numFmtId="204" fontId="2" fillId="0" borderId="0" xfId="0" applyNumberFormat="1" applyFont="1" applyAlignment="1">
      <alignment/>
    </xf>
    <xf numFmtId="9" fontId="7" fillId="0" borderId="1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0" fontId="2" fillId="0" borderId="0" xfId="59" applyNumberFormat="1" applyFont="1" applyAlignment="1">
      <alignment/>
    </xf>
    <xf numFmtId="3" fontId="2" fillId="4" borderId="16" xfId="0" applyNumberFormat="1" applyFont="1" applyFill="1" applyBorder="1" applyAlignment="1">
      <alignment/>
    </xf>
    <xf numFmtId="2" fontId="2" fillId="4" borderId="0" xfId="0" applyNumberFormat="1" applyFont="1" applyFill="1" applyAlignment="1">
      <alignment/>
    </xf>
    <xf numFmtId="0" fontId="2" fillId="4" borderId="0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9" fontId="7" fillId="4" borderId="16" xfId="59" applyFont="1" applyFill="1" applyBorder="1" applyAlignment="1">
      <alignment/>
    </xf>
    <xf numFmtId="10" fontId="7" fillId="4" borderId="17" xfId="0" applyNumberFormat="1" applyFont="1" applyFill="1" applyBorder="1" applyAlignment="1">
      <alignment/>
    </xf>
    <xf numFmtId="2" fontId="4" fillId="4" borderId="16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99" fontId="2" fillId="34" borderId="0" xfId="0" applyNumberFormat="1" applyFont="1" applyFill="1" applyAlignment="1">
      <alignment/>
    </xf>
    <xf numFmtId="2" fontId="2" fillId="4" borderId="0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00" fontId="2" fillId="4" borderId="16" xfId="0" applyNumberFormat="1" applyFont="1" applyFill="1" applyBorder="1" applyAlignment="1">
      <alignment/>
    </xf>
    <xf numFmtId="4" fontId="2" fillId="4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189" fontId="2" fillId="0" borderId="0" xfId="44" applyNumberFormat="1" applyFont="1" applyAlignment="1">
      <alignment/>
    </xf>
    <xf numFmtId="2" fontId="7" fillId="0" borderId="15" xfId="0" applyNumberFormat="1" applyFont="1" applyBorder="1" applyAlignment="1">
      <alignment/>
    </xf>
    <xf numFmtId="2" fontId="7" fillId="4" borderId="16" xfId="0" applyNumberFormat="1" applyFont="1" applyFill="1" applyBorder="1" applyAlignment="1">
      <alignment/>
    </xf>
    <xf numFmtId="2" fontId="7" fillId="4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9" fontId="7" fillId="0" borderId="15" xfId="59" applyFont="1" applyBorder="1" applyAlignment="1">
      <alignment/>
    </xf>
    <xf numFmtId="2" fontId="7" fillId="0" borderId="16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0" fontId="7" fillId="0" borderId="27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0" borderId="21" xfId="0" applyNumberFormat="1" applyFont="1" applyBorder="1" applyAlignment="1">
      <alignment horizontal="center"/>
    </xf>
    <xf numFmtId="10" fontId="7" fillId="4" borderId="27" xfId="0" applyNumberFormat="1" applyFont="1" applyFill="1" applyBorder="1" applyAlignment="1">
      <alignment horizontal="center"/>
    </xf>
    <xf numFmtId="10" fontId="7" fillId="4" borderId="28" xfId="0" applyNumberFormat="1" applyFont="1" applyFill="1" applyBorder="1" applyAlignment="1">
      <alignment horizontal="center"/>
    </xf>
    <xf numFmtId="10" fontId="7" fillId="4" borderId="2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0" fontId="7" fillId="34" borderId="27" xfId="0" applyNumberFormat="1" applyFont="1" applyFill="1" applyBorder="1" applyAlignment="1">
      <alignment horizontal="center"/>
    </xf>
    <xf numFmtId="10" fontId="7" fillId="34" borderId="28" xfId="0" applyNumberFormat="1" applyFont="1" applyFill="1" applyBorder="1" applyAlignment="1">
      <alignment horizontal="center"/>
    </xf>
    <xf numFmtId="10" fontId="7" fillId="34" borderId="21" xfId="0" applyNumberFormat="1" applyFont="1" applyFill="1" applyBorder="1" applyAlignment="1">
      <alignment horizontal="center"/>
    </xf>
    <xf numFmtId="9" fontId="7" fillId="34" borderId="18" xfId="0" applyNumberFormat="1" applyFont="1" applyFill="1" applyBorder="1" applyAlignment="1">
      <alignment/>
    </xf>
    <xf numFmtId="9" fontId="7" fillId="34" borderId="16" xfId="0" applyNumberFormat="1" applyFont="1" applyFill="1" applyBorder="1" applyAlignment="1">
      <alignment/>
    </xf>
    <xf numFmtId="10" fontId="7" fillId="34" borderId="11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9" fontId="7" fillId="34" borderId="15" xfId="0" applyNumberFormat="1" applyFont="1" applyFill="1" applyBorder="1" applyAlignment="1">
      <alignment/>
    </xf>
    <xf numFmtId="10" fontId="7" fillId="34" borderId="15" xfId="0" applyNumberFormat="1" applyFont="1" applyFill="1" applyBorder="1" applyAlignment="1">
      <alignment/>
    </xf>
    <xf numFmtId="189" fontId="7" fillId="34" borderId="15" xfId="44" applyFont="1" applyFill="1" applyBorder="1" applyAlignment="1">
      <alignment/>
    </xf>
    <xf numFmtId="189" fontId="7" fillId="0" borderId="15" xfId="44" applyFont="1" applyBorder="1" applyAlignment="1">
      <alignment/>
    </xf>
    <xf numFmtId="189" fontId="7" fillId="0" borderId="16" xfId="44" applyFont="1" applyBorder="1" applyAlignment="1">
      <alignment/>
    </xf>
    <xf numFmtId="189" fontId="7" fillId="0" borderId="21" xfId="44" applyFont="1" applyBorder="1" applyAlignment="1">
      <alignment/>
    </xf>
    <xf numFmtId="189" fontId="7" fillId="0" borderId="22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D9" sqref="D9"/>
    </sheetView>
  </sheetViews>
  <sheetFormatPr defaultColWidth="8.8515625" defaultRowHeight="12.75"/>
  <cols>
    <col min="1" max="1" width="29.421875" style="1" customWidth="1"/>
    <col min="2" max="3" width="8.8515625" style="1" customWidth="1"/>
    <col min="4" max="4" width="17.8515625" style="1" customWidth="1"/>
    <col min="5" max="5" width="9.421875" style="1" bestFit="1" customWidth="1"/>
    <col min="6" max="16384" width="8.8515625" style="1" customWidth="1"/>
  </cols>
  <sheetData>
    <row r="1" ht="18">
      <c r="A1" s="2" t="s">
        <v>55</v>
      </c>
    </row>
    <row r="3" spans="1:5" ht="17.25">
      <c r="A3" s="1" t="s">
        <v>54</v>
      </c>
      <c r="D3" s="47">
        <v>379.2</v>
      </c>
      <c r="E3" s="48"/>
    </row>
    <row r="4" spans="1:4" ht="17.25">
      <c r="A4" s="1" t="s">
        <v>53</v>
      </c>
      <c r="D4" s="47">
        <v>800</v>
      </c>
    </row>
    <row r="5" spans="1:4" ht="17.25">
      <c r="A5" s="1" t="s">
        <v>40</v>
      </c>
      <c r="D5" s="1">
        <v>0</v>
      </c>
    </row>
    <row r="6" spans="1:4" ht="17.25">
      <c r="A6" s="1" t="s">
        <v>24</v>
      </c>
      <c r="D6" s="26">
        <v>1</v>
      </c>
    </row>
    <row r="7" spans="1:4" ht="17.25">
      <c r="A7" s="1" t="s">
        <v>25</v>
      </c>
      <c r="D7" s="1">
        <v>0.6</v>
      </c>
    </row>
    <row r="8" spans="1:4" ht="17.25">
      <c r="A8" s="1" t="s">
        <v>29</v>
      </c>
      <c r="D8" s="4">
        <f>(D9+D7*D10+D11+1)/(1+D12)-1</f>
        <v>0.08965517241379328</v>
      </c>
    </row>
    <row r="9" spans="1:4" ht="17.25">
      <c r="A9" s="1" t="s">
        <v>26</v>
      </c>
      <c r="D9" s="4">
        <v>0.035</v>
      </c>
    </row>
    <row r="10" spans="1:4" ht="17.25">
      <c r="A10" s="1" t="s">
        <v>27</v>
      </c>
      <c r="D10" s="4">
        <v>0.06</v>
      </c>
    </row>
    <row r="11" spans="1:4" ht="17.25">
      <c r="A11" s="1" t="s">
        <v>30</v>
      </c>
      <c r="D11" s="4">
        <v>0.035</v>
      </c>
    </row>
    <row r="12" spans="1:4" ht="17.25">
      <c r="A12" s="1" t="s">
        <v>28</v>
      </c>
      <c r="D12" s="4">
        <v>0.015</v>
      </c>
    </row>
    <row r="14" spans="1:4" ht="17.25">
      <c r="A14" s="1" t="s">
        <v>31</v>
      </c>
      <c r="D14" s="53">
        <f>D16/D8</f>
        <v>23.531320999675383</v>
      </c>
    </row>
    <row r="15" spans="1:4" ht="17.25">
      <c r="A15" s="1" t="s">
        <v>45</v>
      </c>
      <c r="D15" s="1">
        <f>D4/D3</f>
        <v>2.109704641350211</v>
      </c>
    </row>
    <row r="16" spans="1:4" ht="17.25">
      <c r="A16" s="1" t="s">
        <v>46</v>
      </c>
      <c r="D16" s="1">
        <f>D6*D15</f>
        <v>2.109704641350211</v>
      </c>
    </row>
  </sheetData>
  <sheetProtection/>
  <printOptions/>
  <pageMargins left="0.7900000000000001" right="0.7900000000000001" top="0.98" bottom="0.98" header="0.49" footer="0.49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D13" sqref="D13"/>
    </sheetView>
  </sheetViews>
  <sheetFormatPr defaultColWidth="8.8515625" defaultRowHeight="12.75"/>
  <cols>
    <col min="1" max="1" width="22.57421875" style="1" customWidth="1"/>
    <col min="2" max="3" width="8.8515625" style="1" customWidth="1"/>
    <col min="4" max="4" width="17.421875" style="1" customWidth="1"/>
    <col min="5" max="16384" width="8.8515625" style="1" customWidth="1"/>
  </cols>
  <sheetData>
    <row r="1" ht="18">
      <c r="A1" s="2" t="s">
        <v>57</v>
      </c>
    </row>
    <row r="3" spans="1:4" ht="17.25">
      <c r="A3" s="1" t="s">
        <v>39</v>
      </c>
      <c r="D3" s="47">
        <v>6098.2</v>
      </c>
    </row>
    <row r="4" spans="1:4" ht="17.25">
      <c r="A4" s="1" t="s">
        <v>56</v>
      </c>
      <c r="D4" s="47">
        <v>5500</v>
      </c>
    </row>
    <row r="5" spans="1:4" ht="17.25">
      <c r="A5" s="1" t="s">
        <v>40</v>
      </c>
      <c r="D5" s="26">
        <v>0.2</v>
      </c>
    </row>
    <row r="6" spans="1:4" ht="17.25">
      <c r="A6" s="1" t="s">
        <v>0</v>
      </c>
      <c r="D6" s="26">
        <v>0.2</v>
      </c>
    </row>
    <row r="7" spans="1:4" ht="17.25">
      <c r="A7" s="1" t="s">
        <v>24</v>
      </c>
      <c r="D7" s="26">
        <v>0.8</v>
      </c>
    </row>
    <row r="8" spans="1:5" ht="17.25">
      <c r="A8" s="1" t="s">
        <v>4</v>
      </c>
      <c r="D8" s="4">
        <f>D6*D5</f>
        <v>0.04000000000000001</v>
      </c>
      <c r="E8" s="1" t="s">
        <v>47</v>
      </c>
    </row>
    <row r="9" spans="1:4" ht="17.25">
      <c r="A9" s="1" t="s">
        <v>25</v>
      </c>
      <c r="D9" s="1">
        <v>0.8</v>
      </c>
    </row>
    <row r="10" spans="1:4" ht="17.25">
      <c r="A10" s="1" t="s">
        <v>29</v>
      </c>
      <c r="D10" s="4">
        <f>(D11+D9*D12+D13+1)/(1+D14)-1</f>
        <v>0.10147783251231557</v>
      </c>
    </row>
    <row r="11" spans="1:4" ht="17.25">
      <c r="A11" s="1" t="s">
        <v>26</v>
      </c>
      <c r="D11" s="4">
        <v>0.035</v>
      </c>
    </row>
    <row r="12" spans="1:4" ht="17.25">
      <c r="A12" s="1" t="s">
        <v>27</v>
      </c>
      <c r="D12" s="4">
        <v>0.06</v>
      </c>
    </row>
    <row r="13" spans="1:4" ht="17.25">
      <c r="A13" s="1" t="s">
        <v>30</v>
      </c>
      <c r="D13" s="4">
        <v>0.035</v>
      </c>
    </row>
    <row r="14" spans="1:4" ht="17.25">
      <c r="A14" s="1" t="s">
        <v>28</v>
      </c>
      <c r="D14" s="4">
        <v>0.015</v>
      </c>
    </row>
    <row r="16" spans="1:4" ht="17.25">
      <c r="A16" s="59" t="s">
        <v>31</v>
      </c>
      <c r="B16" s="59"/>
      <c r="C16" s="59"/>
      <c r="D16" s="60">
        <f>D18*(1+D8)/(D10-D8)</f>
        <v>12.205787500136596</v>
      </c>
    </row>
    <row r="17" spans="1:4" ht="17.25">
      <c r="A17" s="1" t="s">
        <v>48</v>
      </c>
      <c r="D17" s="1">
        <f>D4/D3</f>
        <v>0.901905480305664</v>
      </c>
    </row>
    <row r="18" spans="1:4" ht="17.25">
      <c r="A18" s="1" t="s">
        <v>49</v>
      </c>
      <c r="D18" s="1">
        <f>D7*D17</f>
        <v>0.7215243842445312</v>
      </c>
    </row>
  </sheetData>
  <sheetProtection/>
  <printOptions/>
  <pageMargins left="0.7900000000000001" right="0.7900000000000001" top="0.98" bottom="0.98" header="0.49" footer="0.49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7" sqref="E7"/>
    </sheetView>
  </sheetViews>
  <sheetFormatPr defaultColWidth="8.8515625" defaultRowHeight="12.75"/>
  <cols>
    <col min="1" max="1" width="22.421875" style="1" customWidth="1"/>
    <col min="2" max="2" width="17.140625" style="1" customWidth="1"/>
    <col min="3" max="3" width="10.421875" style="1" customWidth="1"/>
    <col min="4" max="4" width="20.57421875" style="1" customWidth="1"/>
    <col min="5" max="5" width="13.421875" style="1" bestFit="1" customWidth="1"/>
    <col min="6" max="16384" width="8.8515625" style="1" customWidth="1"/>
  </cols>
  <sheetData>
    <row r="1" spans="2:4" ht="18">
      <c r="B1" s="2" t="s">
        <v>9</v>
      </c>
      <c r="D1" s="2" t="s">
        <v>7</v>
      </c>
    </row>
    <row r="2" spans="1:4" ht="18">
      <c r="A2" s="3" t="s">
        <v>0</v>
      </c>
      <c r="B2" s="4">
        <v>0.15</v>
      </c>
      <c r="D2" s="4">
        <v>0.125</v>
      </c>
    </row>
    <row r="3" spans="1:4" ht="18">
      <c r="A3" s="5" t="s">
        <v>1</v>
      </c>
      <c r="B3" s="4">
        <v>0.125</v>
      </c>
      <c r="C3" s="6"/>
      <c r="D3" s="4">
        <v>0.12</v>
      </c>
    </row>
    <row r="4" spans="1:4" ht="18">
      <c r="A4" s="5" t="s">
        <v>3</v>
      </c>
      <c r="B4" s="4">
        <v>0.25</v>
      </c>
      <c r="C4" s="6"/>
      <c r="D4" s="4">
        <v>0.25</v>
      </c>
    </row>
    <row r="5" spans="1:4" ht="18" thickBot="1">
      <c r="A5" s="5" t="s">
        <v>4</v>
      </c>
      <c r="B5" s="4">
        <f>B4*B2</f>
        <v>0.0375</v>
      </c>
      <c r="C5" s="6"/>
      <c r="D5" s="4">
        <f>D4*D2</f>
        <v>0.03125</v>
      </c>
    </row>
    <row r="6" spans="1:5" ht="18">
      <c r="A6" s="73" t="s">
        <v>10</v>
      </c>
      <c r="B6" s="74"/>
      <c r="C6" s="74"/>
      <c r="D6" s="74"/>
      <c r="E6" s="75"/>
    </row>
    <row r="7" spans="1:5" ht="18">
      <c r="A7" s="7"/>
      <c r="B7" s="8" t="s">
        <v>2</v>
      </c>
      <c r="C7" s="9" t="s">
        <v>5</v>
      </c>
      <c r="D7" s="10" t="s">
        <v>6</v>
      </c>
      <c r="E7" s="11">
        <f>NPV(B3,D8:D12)</f>
        <v>42.28468081485919</v>
      </c>
    </row>
    <row r="8" spans="1:5" ht="17.25">
      <c r="A8" s="7"/>
      <c r="B8" s="12">
        <v>1</v>
      </c>
      <c r="C8" s="12">
        <v>5</v>
      </c>
      <c r="D8" s="12">
        <f>C8*(1-$B$4)</f>
        <v>3.75</v>
      </c>
      <c r="E8" s="13"/>
    </row>
    <row r="9" spans="1:5" ht="17.25">
      <c r="A9" s="7"/>
      <c r="B9" s="12">
        <v>2</v>
      </c>
      <c r="C9" s="54">
        <f>C8*(1+$B$5)</f>
        <v>5.1875</v>
      </c>
      <c r="D9" s="61">
        <f>C9*(1-$B$4)</f>
        <v>3.890625</v>
      </c>
      <c r="E9" s="13"/>
    </row>
    <row r="10" spans="1:5" ht="17.25">
      <c r="A10" s="7"/>
      <c r="B10" s="12">
        <v>3</v>
      </c>
      <c r="C10" s="54">
        <f>C9*(1+$B$5)</f>
        <v>5.382031250000001</v>
      </c>
      <c r="D10" s="61">
        <f>C10*(1-$B$4)</f>
        <v>4.0365234375000005</v>
      </c>
      <c r="E10" s="13"/>
    </row>
    <row r="11" spans="1:5" ht="17.25">
      <c r="A11" s="7"/>
      <c r="B11" s="12">
        <v>4</v>
      </c>
      <c r="C11" s="54">
        <f>C10*(1+$B$5)</f>
        <v>5.583857421875001</v>
      </c>
      <c r="D11" s="61">
        <f>C11*(1-$B$4)</f>
        <v>4.18789306640625</v>
      </c>
      <c r="E11" s="13"/>
    </row>
    <row r="12" spans="1:5" ht="17.25">
      <c r="A12" s="7"/>
      <c r="B12" s="12">
        <v>5</v>
      </c>
      <c r="C12" s="54">
        <f>C11*(1+$B$5)</f>
        <v>5.793252075195314</v>
      </c>
      <c r="D12" s="61">
        <f>C12*(1-$B$4)+(D13/(D3-D5))</f>
        <v>54.83190696522889</v>
      </c>
      <c r="E12" s="13"/>
    </row>
    <row r="13" spans="1:5" ht="18" thickBot="1">
      <c r="A13" s="14" t="s">
        <v>8</v>
      </c>
      <c r="B13" s="15">
        <v>6</v>
      </c>
      <c r="C13" s="15">
        <f>C12*(1+D5)</f>
        <v>5.974291202545167</v>
      </c>
      <c r="D13" s="62">
        <f>C13*(1-$B$4)</f>
        <v>4.4807184019088755</v>
      </c>
      <c r="E13" s="16"/>
    </row>
  </sheetData>
  <sheetProtection/>
  <mergeCells count="1">
    <mergeCell ref="A6:E6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E11" sqref="E11"/>
    </sheetView>
  </sheetViews>
  <sheetFormatPr defaultColWidth="8.8515625" defaultRowHeight="12.75"/>
  <cols>
    <col min="1" max="1" width="26.421875" style="1" customWidth="1"/>
    <col min="2" max="2" width="13.8515625" style="1" customWidth="1"/>
    <col min="3" max="3" width="16.421875" style="1" customWidth="1"/>
    <col min="4" max="4" width="12.421875" style="1" customWidth="1"/>
    <col min="5" max="5" width="11.421875" style="1" customWidth="1"/>
    <col min="6" max="6" width="8.8515625" style="1" customWidth="1"/>
    <col min="7" max="7" width="11.421875" style="1" customWidth="1"/>
    <col min="8" max="16384" width="8.8515625" style="1" customWidth="1"/>
  </cols>
  <sheetData>
    <row r="1" ht="18">
      <c r="A1" s="2" t="s">
        <v>59</v>
      </c>
    </row>
    <row r="2" spans="2:3" ht="18">
      <c r="B2" s="29" t="s">
        <v>9</v>
      </c>
      <c r="C2" s="29" t="s">
        <v>34</v>
      </c>
    </row>
    <row r="3" spans="1:3" ht="18">
      <c r="A3" s="1" t="s">
        <v>35</v>
      </c>
      <c r="B3" s="30">
        <v>0.6</v>
      </c>
      <c r="C3" s="29"/>
    </row>
    <row r="4" spans="1:8" ht="17.25">
      <c r="A4" s="1" t="s">
        <v>23</v>
      </c>
      <c r="B4" s="50">
        <f>B5*B3</f>
        <v>0.12</v>
      </c>
      <c r="H4" s="1">
        <v>2.07</v>
      </c>
    </row>
    <row r="5" spans="1:8" ht="17.25">
      <c r="A5" s="1" t="s">
        <v>24</v>
      </c>
      <c r="B5" s="26">
        <v>0.2</v>
      </c>
      <c r="C5" s="26">
        <v>0.7</v>
      </c>
      <c r="H5" s="1">
        <v>2.73</v>
      </c>
    </row>
    <row r="6" spans="1:8" ht="17.25">
      <c r="A6" s="1" t="s">
        <v>0</v>
      </c>
      <c r="B6" s="26">
        <v>0.1</v>
      </c>
      <c r="C6" s="26">
        <v>0.15</v>
      </c>
      <c r="H6" s="1">
        <f>H5/H4</f>
        <v>1.318840579710145</v>
      </c>
    </row>
    <row r="7" spans="1:3" ht="17.25">
      <c r="A7" s="1" t="s">
        <v>25</v>
      </c>
      <c r="B7" s="1">
        <v>0.6</v>
      </c>
      <c r="C7" s="1">
        <v>0.6</v>
      </c>
    </row>
    <row r="8" spans="1:3" ht="17.25">
      <c r="A8" s="1" t="s">
        <v>29</v>
      </c>
      <c r="B8" s="4">
        <f>(B9+B7*B10+B11+1)/(1+B12)-1</f>
        <v>0.07858546168958758</v>
      </c>
      <c r="C8" s="4">
        <f>(C9+C7*C10+C11+1)/(1+C12)-1</f>
        <v>0.06876227897838905</v>
      </c>
    </row>
    <row r="9" spans="1:3" ht="17.25">
      <c r="A9" s="1" t="s">
        <v>26</v>
      </c>
      <c r="B9" s="4">
        <v>0.035</v>
      </c>
      <c r="C9" s="4">
        <v>0.035</v>
      </c>
    </row>
    <row r="10" spans="1:3" ht="17.25">
      <c r="A10" s="1" t="s">
        <v>27</v>
      </c>
      <c r="B10" s="4">
        <v>0.055</v>
      </c>
      <c r="C10" s="4">
        <v>0.055</v>
      </c>
    </row>
    <row r="11" spans="1:3" ht="17.25">
      <c r="A11" s="1" t="s">
        <v>30</v>
      </c>
      <c r="B11" s="4">
        <v>0.03</v>
      </c>
      <c r="C11" s="4">
        <v>0.02</v>
      </c>
    </row>
    <row r="12" spans="1:3" ht="17.25">
      <c r="A12" s="1" t="s">
        <v>28</v>
      </c>
      <c r="B12" s="4">
        <v>0.018</v>
      </c>
      <c r="C12" s="4">
        <v>0.018</v>
      </c>
    </row>
    <row r="13" spans="1:3" ht="17.25">
      <c r="A13" s="1" t="s">
        <v>4</v>
      </c>
      <c r="B13" s="27">
        <f>B6*(1-B5)</f>
        <v>0.08000000000000002</v>
      </c>
      <c r="C13" s="51">
        <f>C6*(1-C5)</f>
        <v>0.045000000000000005</v>
      </c>
    </row>
    <row r="14" spans="1:3" ht="15" customHeight="1">
      <c r="A14" s="1" t="s">
        <v>36</v>
      </c>
      <c r="B14" s="1">
        <v>578.9</v>
      </c>
      <c r="C14" s="1">
        <v>578.9</v>
      </c>
    </row>
    <row r="15" ht="15" customHeight="1"/>
    <row r="16" spans="1:8" s="31" customFormat="1" ht="18">
      <c r="A16" s="32"/>
      <c r="B16" s="32">
        <v>0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</row>
    <row r="17" spans="1:8" s="28" customFormat="1" ht="17.25">
      <c r="A17" s="33" t="s">
        <v>32</v>
      </c>
      <c r="B17" s="52"/>
      <c r="C17" s="64">
        <f>B3*(1+B13)</f>
        <v>0.648</v>
      </c>
      <c r="D17" s="64">
        <f>$B$3*(1+$B$13)^D16</f>
        <v>0.69984</v>
      </c>
      <c r="E17" s="64">
        <f>$B$3*(1+$B$13)^E16</f>
        <v>0.7558272</v>
      </c>
      <c r="F17" s="64">
        <f>$B$3*(1+$B$13)^F16</f>
        <v>0.8162933760000002</v>
      </c>
      <c r="G17" s="64">
        <f>$B$3*(1+$B$13)^G16</f>
        <v>0.8815968460800002</v>
      </c>
      <c r="H17" s="34"/>
    </row>
    <row r="18" spans="1:8" s="28" customFormat="1" ht="17.25">
      <c r="A18" s="33" t="s">
        <v>33</v>
      </c>
      <c r="B18" s="34"/>
      <c r="C18" s="64">
        <f>C17*$B$5</f>
        <v>0.12960000000000002</v>
      </c>
      <c r="D18" s="64">
        <f>D17*$B$5</f>
        <v>0.139968</v>
      </c>
      <c r="E18" s="64">
        <f>E17*$B$5</f>
        <v>0.15116544</v>
      </c>
      <c r="F18" s="64">
        <f>F17*$B$5</f>
        <v>0.16325867520000004</v>
      </c>
      <c r="G18" s="64">
        <f>G17*$B$5</f>
        <v>0.17631936921600005</v>
      </c>
      <c r="H18" s="34"/>
    </row>
    <row r="19" spans="1:8" s="28" customFormat="1" ht="17.25">
      <c r="A19" s="33" t="s">
        <v>41</v>
      </c>
      <c r="B19" s="34"/>
      <c r="C19" s="34"/>
      <c r="D19" s="34"/>
      <c r="E19" s="34"/>
      <c r="F19" s="34"/>
      <c r="G19" s="34"/>
      <c r="H19" s="64">
        <f>G17*(1+C13)</f>
        <v>0.9212687041536002</v>
      </c>
    </row>
    <row r="20" spans="1:8" s="28" customFormat="1" ht="17.25">
      <c r="A20" s="33" t="s">
        <v>42</v>
      </c>
      <c r="B20" s="34"/>
      <c r="C20" s="34"/>
      <c r="D20" s="34"/>
      <c r="E20" s="34"/>
      <c r="F20" s="34"/>
      <c r="G20" s="34"/>
      <c r="H20" s="64">
        <f>H19*C5</f>
        <v>0.6448880929075201</v>
      </c>
    </row>
    <row r="21" spans="1:8" s="28" customFormat="1" ht="17.25">
      <c r="A21" s="33" t="s">
        <v>43</v>
      </c>
      <c r="B21" s="34"/>
      <c r="C21" s="34"/>
      <c r="D21" s="34"/>
      <c r="E21" s="34"/>
      <c r="F21" s="34"/>
      <c r="G21" s="64">
        <f>H20/(C8-C13)</f>
        <v>27.139151656876987</v>
      </c>
      <c r="H21" s="34"/>
    </row>
    <row r="22" spans="1:8" s="28" customFormat="1" ht="17.25">
      <c r="A22" s="33" t="s">
        <v>37</v>
      </c>
      <c r="B22" s="34"/>
      <c r="C22" s="64">
        <f>C18</f>
        <v>0.12960000000000002</v>
      </c>
      <c r="D22" s="64">
        <f>D18</f>
        <v>0.139968</v>
      </c>
      <c r="E22" s="64">
        <f>E18</f>
        <v>0.15116544</v>
      </c>
      <c r="F22" s="64">
        <f>F18</f>
        <v>0.16325867520000004</v>
      </c>
      <c r="G22" s="64">
        <f>G18+G21</f>
        <v>27.315471026092986</v>
      </c>
      <c r="H22" s="34"/>
    </row>
    <row r="23" spans="1:8" s="28" customFormat="1" ht="17.25">
      <c r="A23" s="33" t="s">
        <v>44</v>
      </c>
      <c r="B23" s="63">
        <f>NPV(B8,C22:G22)</f>
        <v>19.19425119869664</v>
      </c>
      <c r="C23" s="65">
        <f>C22/(1+$B$8)^C16</f>
        <v>0.12015737704918034</v>
      </c>
      <c r="D23" s="65">
        <f>D22/(1+$B$8)^D16</f>
        <v>0.1203149604944907</v>
      </c>
      <c r="E23" s="65">
        <f>E22/(1+$B$8)^E16</f>
        <v>0.12047275060661461</v>
      </c>
      <c r="F23" s="65">
        <f>F22/(1+$B$8)^F16</f>
        <v>0.12063074765659049</v>
      </c>
      <c r="G23" s="65">
        <f>G22/(1+$B$8)^G16</f>
        <v>18.71267536288976</v>
      </c>
      <c r="H23" s="34"/>
    </row>
    <row r="24" ht="17.25">
      <c r="B24" s="66">
        <f>SUM(C23:G23)</f>
        <v>19.194251198696637</v>
      </c>
    </row>
  </sheetData>
  <sheetProtection/>
  <printOptions/>
  <pageMargins left="0.7900000000000001" right="0.7900000000000001" top="0.98" bottom="0.98" header="0.49" footer="0.49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M8" sqref="M8"/>
    </sheetView>
  </sheetViews>
  <sheetFormatPr defaultColWidth="8.8515625" defaultRowHeight="12.75"/>
  <cols>
    <col min="1" max="1" width="29.57421875" style="1" customWidth="1"/>
    <col min="2" max="2" width="21.140625" style="18" customWidth="1"/>
    <col min="3" max="3" width="10.57421875" style="18" customWidth="1"/>
    <col min="4" max="7" width="8.8515625" style="18" customWidth="1"/>
    <col min="8" max="8" width="9.57421875" style="18" bestFit="1" customWidth="1"/>
    <col min="9" max="12" width="8.8515625" style="18" customWidth="1"/>
    <col min="13" max="13" width="20.421875" style="18" customWidth="1"/>
    <col min="14" max="14" width="8.8515625" style="18" customWidth="1"/>
  </cols>
  <sheetData>
    <row r="1" spans="1:13" ht="30.75" customHeight="1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" customFormat="1" ht="18">
      <c r="A2" s="23"/>
      <c r="B2" s="23"/>
      <c r="C2" s="85" t="s">
        <v>16</v>
      </c>
      <c r="D2" s="85"/>
      <c r="E2" s="85"/>
      <c r="F2" s="85"/>
      <c r="G2" s="85"/>
      <c r="H2" s="85" t="s">
        <v>15</v>
      </c>
      <c r="I2" s="85"/>
      <c r="J2" s="85"/>
      <c r="K2" s="85"/>
      <c r="L2" s="85"/>
      <c r="M2" s="46" t="s">
        <v>17</v>
      </c>
    </row>
    <row r="3" spans="1:13" s="17" customFormat="1" ht="18">
      <c r="A3" s="43" t="s">
        <v>18</v>
      </c>
      <c r="B3" s="44">
        <v>0</v>
      </c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>
        <v>9</v>
      </c>
      <c r="L3" s="44">
        <v>10</v>
      </c>
      <c r="M3" s="45">
        <v>11</v>
      </c>
    </row>
    <row r="4" spans="1:13" ht="17.25">
      <c r="A4" s="7" t="s">
        <v>19</v>
      </c>
      <c r="B4" s="19">
        <v>3</v>
      </c>
      <c r="C4" s="68">
        <f>$B$4*(1+$C$9)^C3</f>
        <v>3.5999999999999996</v>
      </c>
      <c r="D4" s="68">
        <f>$B$4*(1+$C$9)^D3</f>
        <v>4.32</v>
      </c>
      <c r="E4" s="68">
        <f>$B$4*(1+$C$9)^E3</f>
        <v>5.184</v>
      </c>
      <c r="F4" s="68">
        <f>$B$4*(1+$C$9)^F3</f>
        <v>6.2208</v>
      </c>
      <c r="G4" s="68">
        <f>$B$4*(1+$C$9)^G3</f>
        <v>7.46496</v>
      </c>
      <c r="H4" s="69">
        <f aca="true" t="shared" si="0" ref="H4:M4">G4*(1+H9)</f>
        <v>8.211456</v>
      </c>
      <c r="I4" s="69">
        <f t="shared" si="0"/>
        <v>9.032601600000001</v>
      </c>
      <c r="J4" s="69">
        <f t="shared" si="0"/>
        <v>9.935861760000002</v>
      </c>
      <c r="K4" s="69">
        <f t="shared" si="0"/>
        <v>10.929447936000003</v>
      </c>
      <c r="L4" s="69">
        <f t="shared" si="0"/>
        <v>12.022392729600003</v>
      </c>
      <c r="M4" s="70">
        <f t="shared" si="0"/>
        <v>12.563400402432002</v>
      </c>
    </row>
    <row r="5" spans="1:13" ht="17.25">
      <c r="A5" s="7" t="s">
        <v>11</v>
      </c>
      <c r="B5" s="67">
        <v>1.14</v>
      </c>
      <c r="C5" s="68">
        <f>C4*$C$8</f>
        <v>0.72</v>
      </c>
      <c r="D5" s="68">
        <f>D4*$C$8</f>
        <v>0.8640000000000001</v>
      </c>
      <c r="E5" s="68">
        <f>E4*$C$8</f>
        <v>1.0368000000000002</v>
      </c>
      <c r="F5" s="68">
        <f>F4*$C$8</f>
        <v>1.24416</v>
      </c>
      <c r="G5" s="68">
        <f>G4*$C$8</f>
        <v>1.492992</v>
      </c>
      <c r="H5" s="69">
        <f aca="true" t="shared" si="1" ref="H5:M5">H4*H8</f>
        <v>4.105728</v>
      </c>
      <c r="I5" s="69">
        <f t="shared" si="1"/>
        <v>4.516300800000001</v>
      </c>
      <c r="J5" s="69">
        <f t="shared" si="1"/>
        <v>4.967930880000001</v>
      </c>
      <c r="K5" s="69">
        <f t="shared" si="1"/>
        <v>5.464723968000001</v>
      </c>
      <c r="L5" s="69">
        <f t="shared" si="1"/>
        <v>6.011196364800002</v>
      </c>
      <c r="M5" s="70">
        <f t="shared" si="1"/>
        <v>8.7943802817024</v>
      </c>
    </row>
    <row r="6" spans="1:13" ht="17.25">
      <c r="A6" s="7" t="s">
        <v>12</v>
      </c>
      <c r="B6" s="21">
        <v>0.25</v>
      </c>
      <c r="C6" s="49">
        <v>0.25</v>
      </c>
      <c r="D6" s="49">
        <v>0.25</v>
      </c>
      <c r="E6" s="49">
        <f>D6</f>
        <v>0.25</v>
      </c>
      <c r="F6" s="49">
        <f>E6</f>
        <v>0.25</v>
      </c>
      <c r="G6" s="49">
        <f>F6</f>
        <v>0.25</v>
      </c>
      <c r="H6" s="37">
        <v>0.2</v>
      </c>
      <c r="I6" s="37">
        <v>0.2</v>
      </c>
      <c r="J6" s="37">
        <v>0.2</v>
      </c>
      <c r="K6" s="37">
        <v>0.2</v>
      </c>
      <c r="L6" s="37">
        <v>0.2</v>
      </c>
      <c r="M6" s="22">
        <v>0.15</v>
      </c>
    </row>
    <row r="7" spans="1:13" ht="17.25">
      <c r="A7" s="7" t="s">
        <v>13</v>
      </c>
      <c r="B7" s="21"/>
      <c r="C7" s="76">
        <f>C16</f>
        <v>0.10990196078431369</v>
      </c>
      <c r="D7" s="77"/>
      <c r="E7" s="77"/>
      <c r="F7" s="77"/>
      <c r="G7" s="78"/>
      <c r="H7" s="38">
        <f>$H$16</f>
        <v>0.10612745098039222</v>
      </c>
      <c r="I7" s="38">
        <f>$H$16</f>
        <v>0.10612745098039222</v>
      </c>
      <c r="J7" s="38">
        <f>$H$16</f>
        <v>0.10612745098039222</v>
      </c>
      <c r="K7" s="38">
        <f>$H$16</f>
        <v>0.10612745098039222</v>
      </c>
      <c r="L7" s="38">
        <f>$H$16</f>
        <v>0.10612745098039222</v>
      </c>
      <c r="M7" s="22">
        <f>M16</f>
        <v>0.10073529411764692</v>
      </c>
    </row>
    <row r="8" spans="1:13" ht="17.25">
      <c r="A8" s="7" t="s">
        <v>14</v>
      </c>
      <c r="B8" s="35">
        <v>0.2</v>
      </c>
      <c r="C8" s="79">
        <v>0.2</v>
      </c>
      <c r="D8" s="80"/>
      <c r="E8" s="80"/>
      <c r="F8" s="80"/>
      <c r="G8" s="81"/>
      <c r="H8" s="38">
        <v>0.5</v>
      </c>
      <c r="I8" s="38">
        <f>H8</f>
        <v>0.5</v>
      </c>
      <c r="J8" s="38">
        <f>I8</f>
        <v>0.5</v>
      </c>
      <c r="K8" s="38">
        <f>J8</f>
        <v>0.5</v>
      </c>
      <c r="L8" s="38">
        <f>K8</f>
        <v>0.5</v>
      </c>
      <c r="M8" s="22">
        <v>0.7</v>
      </c>
    </row>
    <row r="9" spans="1:13" ht="17.25">
      <c r="A9" s="7" t="s">
        <v>20</v>
      </c>
      <c r="B9" s="19"/>
      <c r="C9" s="82">
        <f>C6*(1-C8)</f>
        <v>0.2</v>
      </c>
      <c r="D9" s="83"/>
      <c r="E9" s="83"/>
      <c r="F9" s="83"/>
      <c r="G9" s="84"/>
      <c r="H9" s="56">
        <f aca="true" t="shared" si="2" ref="H9:M9">H6*(1-H8)</f>
        <v>0.1</v>
      </c>
      <c r="I9" s="56">
        <f t="shared" si="2"/>
        <v>0.1</v>
      </c>
      <c r="J9" s="56">
        <f t="shared" si="2"/>
        <v>0.1</v>
      </c>
      <c r="K9" s="56">
        <f t="shared" si="2"/>
        <v>0.1</v>
      </c>
      <c r="L9" s="56">
        <f t="shared" si="2"/>
        <v>0.1</v>
      </c>
      <c r="M9" s="57">
        <f t="shared" si="2"/>
        <v>0.045000000000000005</v>
      </c>
    </row>
    <row r="10" spans="1:13" ht="17.25">
      <c r="A10" s="23" t="s">
        <v>21</v>
      </c>
      <c r="B10" s="20"/>
      <c r="C10" s="24">
        <f>1+C7</f>
        <v>1.1099019607843137</v>
      </c>
      <c r="D10" s="24">
        <f>(1+$C$7)^D3</f>
        <v>1.231882362552864</v>
      </c>
      <c r="E10" s="24">
        <f>(1+$C$7)^E3</f>
        <v>1.3672686496530366</v>
      </c>
      <c r="F10" s="24">
        <f>(1+$C$7)^F3</f>
        <v>1.5175341551688262</v>
      </c>
      <c r="G10" s="24">
        <f>(1+$C$7)^G3</f>
        <v>1.684314134379047</v>
      </c>
      <c r="H10" s="24">
        <f>G10*(1+H7)</f>
        <v>1.8630661001109412</v>
      </c>
      <c r="I10" s="24">
        <f>H10*(1+I7)</f>
        <v>2.0607885563236956</v>
      </c>
      <c r="J10" s="24">
        <f>I10*(1+J7)</f>
        <v>2.2794947928158917</v>
      </c>
      <c r="K10" s="24">
        <f>J10*(1+K7)</f>
        <v>2.5214117647005194</v>
      </c>
      <c r="L10" s="24">
        <f>K10*(1+L7)</f>
        <v>2.789002768160158</v>
      </c>
      <c r="M10" s="24"/>
    </row>
    <row r="11" spans="1:13" ht="17.25">
      <c r="A11" s="23" t="s">
        <v>22</v>
      </c>
      <c r="B11" s="20"/>
      <c r="C11" s="68">
        <f aca="true" t="shared" si="3" ref="C11:K11">C5</f>
        <v>0.72</v>
      </c>
      <c r="D11" s="68">
        <f t="shared" si="3"/>
        <v>0.8640000000000001</v>
      </c>
      <c r="E11" s="68">
        <f t="shared" si="3"/>
        <v>1.0368000000000002</v>
      </c>
      <c r="F11" s="68">
        <f t="shared" si="3"/>
        <v>1.24416</v>
      </c>
      <c r="G11" s="68">
        <f t="shared" si="3"/>
        <v>1.492992</v>
      </c>
      <c r="H11" s="68">
        <f t="shared" si="3"/>
        <v>4.105728</v>
      </c>
      <c r="I11" s="68">
        <f t="shared" si="3"/>
        <v>4.516300800000001</v>
      </c>
      <c r="J11" s="68">
        <f t="shared" si="3"/>
        <v>4.967930880000001</v>
      </c>
      <c r="K11" s="68">
        <f t="shared" si="3"/>
        <v>5.464723968000001</v>
      </c>
      <c r="L11" s="68">
        <f>L5+(M5/(M7-M9))</f>
        <v>163.7995497040519</v>
      </c>
      <c r="M11" s="55"/>
    </row>
    <row r="12" spans="1:13" ht="17.25">
      <c r="A12" s="23" t="s">
        <v>50</v>
      </c>
      <c r="B12" s="58">
        <f>SUM(C12:L12)</f>
        <v>71.28716072873056</v>
      </c>
      <c r="C12" s="55">
        <f>C11/C10</f>
        <v>0.6487059447045314</v>
      </c>
      <c r="D12" s="55">
        <f aca="true" t="shared" si="4" ref="D12:L12">D11/D10</f>
        <v>0.7013656711583311</v>
      </c>
      <c r="E12" s="55">
        <f t="shared" si="4"/>
        <v>0.7583001338201549</v>
      </c>
      <c r="F12" s="55">
        <f t="shared" si="4"/>
        <v>0.8198563411322934</v>
      </c>
      <c r="G12" s="55">
        <f t="shared" si="4"/>
        <v>0.8864094704937084</v>
      </c>
      <c r="H12" s="55">
        <f t="shared" si="4"/>
        <v>2.2037478969508992</v>
      </c>
      <c r="I12" s="55">
        <f t="shared" si="4"/>
        <v>2.1915401199901696</v>
      </c>
      <c r="J12" s="55">
        <f t="shared" si="4"/>
        <v>2.1793999686496526</v>
      </c>
      <c r="K12" s="55">
        <f t="shared" si="4"/>
        <v>2.1673270683136807</v>
      </c>
      <c r="L12" s="55">
        <f t="shared" si="4"/>
        <v>58.73050811351713</v>
      </c>
      <c r="M12" s="55"/>
    </row>
    <row r="13" ht="17.25">
      <c r="H13" s="25"/>
    </row>
    <row r="14" ht="18">
      <c r="A14" s="2" t="s">
        <v>38</v>
      </c>
    </row>
    <row r="15" spans="1:13" ht="17.25">
      <c r="A15" s="23" t="s">
        <v>25</v>
      </c>
      <c r="B15" s="23"/>
      <c r="C15" s="23">
        <v>1.22</v>
      </c>
      <c r="D15" s="20"/>
      <c r="E15" s="20"/>
      <c r="F15" s="20"/>
      <c r="G15" s="20"/>
      <c r="H15" s="23">
        <v>1.15</v>
      </c>
      <c r="I15" s="20"/>
      <c r="J15" s="20"/>
      <c r="K15" s="20"/>
      <c r="L15" s="20"/>
      <c r="M15" s="23">
        <v>1.05</v>
      </c>
    </row>
    <row r="16" spans="1:13" ht="17.25">
      <c r="A16" s="23" t="s">
        <v>29</v>
      </c>
      <c r="B16" s="41"/>
      <c r="C16" s="41">
        <f>(C17+C15*C18+C19+1)/(1+C20)-1</f>
        <v>0.10990196078431369</v>
      </c>
      <c r="D16" s="20"/>
      <c r="E16" s="20"/>
      <c r="F16" s="20"/>
      <c r="G16" s="20"/>
      <c r="H16" s="41">
        <f>(H17+H15*H18+H19+1)/(1+H20)-1</f>
        <v>0.10612745098039222</v>
      </c>
      <c r="I16" s="20"/>
      <c r="J16" s="20"/>
      <c r="K16" s="20"/>
      <c r="L16" s="20"/>
      <c r="M16" s="41">
        <f>(M17+M15*M18+M19+1)/(1+M20)-1</f>
        <v>0.10073529411764692</v>
      </c>
    </row>
    <row r="17" spans="1:13" ht="17.25">
      <c r="A17" s="23" t="s">
        <v>26</v>
      </c>
      <c r="B17" s="41"/>
      <c r="C17" s="41">
        <v>0.035</v>
      </c>
      <c r="D17" s="20"/>
      <c r="E17" s="20"/>
      <c r="F17" s="20"/>
      <c r="G17" s="20"/>
      <c r="H17" s="41">
        <v>0.035</v>
      </c>
      <c r="I17" s="20"/>
      <c r="J17" s="20"/>
      <c r="K17" s="20"/>
      <c r="L17" s="20"/>
      <c r="M17" s="41">
        <v>0.035</v>
      </c>
    </row>
    <row r="18" spans="1:13" ht="17.25">
      <c r="A18" s="23" t="s">
        <v>27</v>
      </c>
      <c r="B18" s="41"/>
      <c r="C18" s="41">
        <v>0.055</v>
      </c>
      <c r="D18" s="20"/>
      <c r="E18" s="20"/>
      <c r="F18" s="20"/>
      <c r="G18" s="20"/>
      <c r="H18" s="41">
        <v>0.055</v>
      </c>
      <c r="I18" s="20"/>
      <c r="J18" s="20"/>
      <c r="K18" s="20"/>
      <c r="L18" s="20"/>
      <c r="M18" s="41">
        <v>0.055</v>
      </c>
    </row>
    <row r="19" spans="1:13" ht="17.25">
      <c r="A19" s="23" t="s">
        <v>30</v>
      </c>
      <c r="B19" s="41"/>
      <c r="C19" s="41">
        <v>0.03</v>
      </c>
      <c r="D19" s="20"/>
      <c r="E19" s="20"/>
      <c r="F19" s="20"/>
      <c r="G19" s="20"/>
      <c r="H19" s="41">
        <v>0.03</v>
      </c>
      <c r="I19" s="20"/>
      <c r="J19" s="20"/>
      <c r="K19" s="20"/>
      <c r="L19" s="20"/>
      <c r="M19" s="41">
        <v>0.03</v>
      </c>
    </row>
    <row r="20" spans="1:13" ht="17.25">
      <c r="A20" s="23" t="s">
        <v>28</v>
      </c>
      <c r="B20" s="41"/>
      <c r="C20" s="41">
        <v>0.02</v>
      </c>
      <c r="D20" s="20"/>
      <c r="E20" s="20"/>
      <c r="F20" s="20"/>
      <c r="G20" s="20"/>
      <c r="H20" s="41">
        <v>0.02</v>
      </c>
      <c r="I20" s="20"/>
      <c r="J20" s="20"/>
      <c r="K20" s="20"/>
      <c r="L20" s="20"/>
      <c r="M20" s="41">
        <v>0.02</v>
      </c>
    </row>
  </sheetData>
  <sheetProtection/>
  <mergeCells count="6">
    <mergeCell ref="C7:G7"/>
    <mergeCell ref="C8:G8"/>
    <mergeCell ref="C9:G9"/>
    <mergeCell ref="C2:G2"/>
    <mergeCell ref="H2:L2"/>
    <mergeCell ref="A1:M1"/>
  </mergeCells>
  <printOptions/>
  <pageMargins left="0.7900000000000001" right="0.7900000000000001" top="0.98" bottom="0.98" header="0.49" footer="0.49"/>
  <pageSetup fitToHeight="1" fitToWidth="1" orientation="landscape" paperSize="10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H5" sqref="H5"/>
    </sheetView>
  </sheetViews>
  <sheetFormatPr defaultColWidth="8.8515625" defaultRowHeight="12.75"/>
  <cols>
    <col min="1" max="1" width="29.57421875" style="1" customWidth="1"/>
    <col min="2" max="2" width="18.421875" style="18" customWidth="1"/>
    <col min="3" max="3" width="11.421875" style="18" customWidth="1"/>
    <col min="4" max="7" width="12.421875" style="18" bestFit="1" customWidth="1"/>
    <col min="8" max="12" width="10.00390625" style="18" bestFit="1" customWidth="1"/>
    <col min="13" max="13" width="20.421875" style="18" customWidth="1"/>
    <col min="14" max="14" width="8.8515625" style="18" customWidth="1"/>
  </cols>
  <sheetData>
    <row r="1" spans="1:13" ht="30.75" customHeight="1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" customFormat="1" ht="18">
      <c r="A2" s="23"/>
      <c r="B2" s="23"/>
      <c r="C2" s="85" t="s">
        <v>16</v>
      </c>
      <c r="D2" s="85"/>
      <c r="E2" s="85"/>
      <c r="F2" s="85"/>
      <c r="G2" s="85"/>
      <c r="H2" s="85" t="s">
        <v>15</v>
      </c>
      <c r="I2" s="85"/>
      <c r="J2" s="85"/>
      <c r="K2" s="85"/>
      <c r="L2" s="85"/>
      <c r="M2" s="46" t="s">
        <v>17</v>
      </c>
    </row>
    <row r="3" spans="1:13" s="17" customFormat="1" ht="18">
      <c r="A3" s="43" t="s">
        <v>18</v>
      </c>
      <c r="B3" s="44">
        <v>2019</v>
      </c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>
        <v>9</v>
      </c>
      <c r="L3" s="44">
        <v>10</v>
      </c>
      <c r="M3" s="45">
        <v>11</v>
      </c>
    </row>
    <row r="4" spans="1:13" ht="17.25">
      <c r="A4" s="7" t="s">
        <v>19</v>
      </c>
      <c r="B4" s="96">
        <v>1.9</v>
      </c>
      <c r="C4" s="98">
        <f>B4*(1+$C$9)</f>
        <v>2.2249</v>
      </c>
      <c r="D4" s="98">
        <f>C4*(1+$C$9)</f>
        <v>2.6053579</v>
      </c>
      <c r="E4" s="98">
        <f>D4*(1+$C$9)</f>
        <v>3.0508741009</v>
      </c>
      <c r="F4" s="98">
        <f>E4*(1+$C$9)</f>
        <v>3.5725735721539005</v>
      </c>
      <c r="G4" s="98">
        <f>F4*(1+$C$9)</f>
        <v>4.1834836529922175</v>
      </c>
      <c r="H4" s="99">
        <f aca="true" t="shared" si="0" ref="H4:M4">G4*(1+H9)</f>
        <v>4.769171364411127</v>
      </c>
      <c r="I4" s="99">
        <f t="shared" si="0"/>
        <v>5.436855355428684</v>
      </c>
      <c r="J4" s="99">
        <f t="shared" si="0"/>
        <v>6.198015105188699</v>
      </c>
      <c r="K4" s="99">
        <f t="shared" si="0"/>
        <v>7.065737219915117</v>
      </c>
      <c r="L4" s="99">
        <f t="shared" si="0"/>
        <v>8.054940430703232</v>
      </c>
      <c r="M4" s="100">
        <f t="shared" si="0"/>
        <v>8.586566499129646</v>
      </c>
    </row>
    <row r="5" spans="1:13" ht="17.25">
      <c r="A5" s="7" t="s">
        <v>11</v>
      </c>
      <c r="B5" s="97">
        <f>B8*B4</f>
        <v>0.475</v>
      </c>
      <c r="C5" s="98">
        <f>$C$8*C4</f>
        <v>0.111245</v>
      </c>
      <c r="D5" s="98">
        <f>$C$8*D4</f>
        <v>0.130267895</v>
      </c>
      <c r="E5" s="98">
        <f>$C$8*E4</f>
        <v>0.15254370504500003</v>
      </c>
      <c r="F5" s="98">
        <f>$C$8*F4</f>
        <v>0.17862867860769505</v>
      </c>
      <c r="G5" s="98">
        <f>$C$8*G4</f>
        <v>0.20917418264961088</v>
      </c>
      <c r="H5" s="99">
        <f aca="true" t="shared" si="1" ref="H5:M5">H4*H8</f>
        <v>1.430751409323338</v>
      </c>
      <c r="I5" s="99">
        <f t="shared" si="1"/>
        <v>1.6310566066286052</v>
      </c>
      <c r="J5" s="99">
        <f t="shared" si="1"/>
        <v>1.8594045315566097</v>
      </c>
      <c r="K5" s="99">
        <f t="shared" si="1"/>
        <v>2.1197211659745347</v>
      </c>
      <c r="L5" s="99">
        <f t="shared" si="1"/>
        <v>2.4164821292109693</v>
      </c>
      <c r="M5" s="100">
        <f t="shared" si="1"/>
        <v>6.010596549390751</v>
      </c>
    </row>
    <row r="6" spans="1:13" ht="17.25">
      <c r="A6" s="7" t="s">
        <v>12</v>
      </c>
      <c r="B6" s="95">
        <v>0.14</v>
      </c>
      <c r="C6" s="90">
        <v>0.18</v>
      </c>
      <c r="D6" s="40">
        <f>C6</f>
        <v>0.18</v>
      </c>
      <c r="E6" s="40">
        <f>C6</f>
        <v>0.18</v>
      </c>
      <c r="F6" s="40">
        <f>C6</f>
        <v>0.18</v>
      </c>
      <c r="G6" s="40">
        <f>C6</f>
        <v>0.18</v>
      </c>
      <c r="H6" s="91">
        <v>0.2</v>
      </c>
      <c r="I6" s="37">
        <f>H6</f>
        <v>0.2</v>
      </c>
      <c r="J6" s="37">
        <f>H6</f>
        <v>0.2</v>
      </c>
      <c r="K6" s="37">
        <f>H6</f>
        <v>0.2</v>
      </c>
      <c r="L6" s="37">
        <f>H6</f>
        <v>0.2</v>
      </c>
      <c r="M6" s="92">
        <v>0.22</v>
      </c>
    </row>
    <row r="7" spans="1:13" ht="17.25">
      <c r="A7" s="7" t="s">
        <v>13</v>
      </c>
      <c r="B7" s="21"/>
      <c r="C7" s="76">
        <f>C16</f>
        <v>0.12749999999999995</v>
      </c>
      <c r="D7" s="77"/>
      <c r="E7" s="77"/>
      <c r="F7" s="77"/>
      <c r="G7" s="78"/>
      <c r="H7" s="38">
        <f>$H$16</f>
        <v>0.12191831683168286</v>
      </c>
      <c r="I7" s="38">
        <f>$H$16</f>
        <v>0.12191831683168286</v>
      </c>
      <c r="J7" s="38">
        <f>$H$16</f>
        <v>0.12191831683168286</v>
      </c>
      <c r="K7" s="38">
        <f>$H$16</f>
        <v>0.12191831683168286</v>
      </c>
      <c r="L7" s="38">
        <f>$H$16</f>
        <v>0.12191831683168286</v>
      </c>
      <c r="M7" s="22">
        <f>M16</f>
        <v>0.11912747524752465</v>
      </c>
    </row>
    <row r="8" spans="1:13" ht="17.25">
      <c r="A8" s="7" t="s">
        <v>14</v>
      </c>
      <c r="B8" s="94">
        <v>0.25</v>
      </c>
      <c r="C8" s="87">
        <v>0.05</v>
      </c>
      <c r="D8" s="88"/>
      <c r="E8" s="88"/>
      <c r="F8" s="88"/>
      <c r="G8" s="89"/>
      <c r="H8" s="38">
        <v>0.3</v>
      </c>
      <c r="I8" s="38">
        <f>H8</f>
        <v>0.3</v>
      </c>
      <c r="J8" s="38">
        <f>I8</f>
        <v>0.3</v>
      </c>
      <c r="K8" s="38">
        <f>J8</f>
        <v>0.3</v>
      </c>
      <c r="L8" s="38">
        <f>K8</f>
        <v>0.3</v>
      </c>
      <c r="M8" s="22">
        <v>0.7</v>
      </c>
    </row>
    <row r="9" spans="1:13" ht="17.25">
      <c r="A9" s="7" t="s">
        <v>51</v>
      </c>
      <c r="B9" s="71"/>
      <c r="C9" s="79">
        <f>(1-C8)*C6</f>
        <v>0.17099999999999999</v>
      </c>
      <c r="D9" s="80"/>
      <c r="E9" s="80"/>
      <c r="F9" s="80"/>
      <c r="G9" s="81"/>
      <c r="H9" s="39">
        <f>(1-H8)*H6</f>
        <v>0.13999999999999999</v>
      </c>
      <c r="I9" s="39">
        <f>(1-I8)*I6</f>
        <v>0.13999999999999999</v>
      </c>
      <c r="J9" s="39">
        <f>(1-J8)*J6</f>
        <v>0.13999999999999999</v>
      </c>
      <c r="K9" s="39">
        <f>(1-K8)*K6</f>
        <v>0.13999999999999999</v>
      </c>
      <c r="L9" s="39">
        <f>(1-L8)*L6</f>
        <v>0.13999999999999999</v>
      </c>
      <c r="M9" s="36">
        <f>(1-M8)*M6</f>
        <v>0.06600000000000002</v>
      </c>
    </row>
    <row r="10" spans="1:13" ht="17.25">
      <c r="A10" s="23" t="s">
        <v>21</v>
      </c>
      <c r="B10" s="20"/>
      <c r="C10" s="24">
        <f>(1+$C$7)^C3</f>
        <v>1.1275</v>
      </c>
      <c r="D10" s="24">
        <f>(1+$C$7)^D3</f>
        <v>1.27125625</v>
      </c>
      <c r="E10" s="24">
        <f>(1+$C$7)^E3</f>
        <v>1.4333414218749998</v>
      </c>
      <c r="F10" s="24">
        <f>(1+$C$7)^F3</f>
        <v>1.6160924531640624</v>
      </c>
      <c r="G10" s="24">
        <f>(1+$C$7)^G3</f>
        <v>1.8221442409424802</v>
      </c>
      <c r="H10" s="24">
        <f>G10*(1+$H$7)^(H3-$G$3)</f>
        <v>2.044296999822732</v>
      </c>
      <c r="I10" s="24">
        <f>H10*(1+$H$7)^(I3-$G$3)</f>
        <v>2.573158084396776</v>
      </c>
      <c r="J10" s="24">
        <f>I10*(1+$H$7)^(J3-$G$3)</f>
        <v>3.633709329109855</v>
      </c>
      <c r="K10" s="24">
        <f>J10*(1+$H$7)^(K3-$G$3)</f>
        <v>5.756985531557328</v>
      </c>
      <c r="L10" s="24">
        <f>K10*(1+$H$7)^(L3-$G$3)</f>
        <v>10.232961274895134</v>
      </c>
      <c r="M10" s="24"/>
    </row>
    <row r="11" spans="1:13" ht="17.25">
      <c r="A11" s="23" t="s">
        <v>52</v>
      </c>
      <c r="B11" s="20"/>
      <c r="C11" s="72">
        <f aca="true" t="shared" si="2" ref="C11:K11">C5/C10</f>
        <v>0.09866518847006651</v>
      </c>
      <c r="D11" s="72">
        <f t="shared" si="2"/>
        <v>0.10247178332456576</v>
      </c>
      <c r="E11" s="72">
        <f t="shared" si="2"/>
        <v>0.10642524015349583</v>
      </c>
      <c r="F11" s="72">
        <f t="shared" si="2"/>
        <v>0.11053122502859744</v>
      </c>
      <c r="G11" s="72">
        <f t="shared" si="2"/>
        <v>0.11479562262393579</v>
      </c>
      <c r="H11" s="72">
        <f t="shared" si="2"/>
        <v>0.6998745336159098</v>
      </c>
      <c r="I11" s="72">
        <f t="shared" si="2"/>
        <v>0.6338734555482909</v>
      </c>
      <c r="J11" s="72">
        <f t="shared" si="2"/>
        <v>0.5117097607837844</v>
      </c>
      <c r="K11" s="72">
        <f t="shared" si="2"/>
        <v>0.3681998424965864</v>
      </c>
      <c r="L11" s="72">
        <f>((L5)+(M5/(M7-M9)))/L10</f>
        <v>11.292122451206383</v>
      </c>
      <c r="M11" s="20"/>
    </row>
    <row r="12" spans="1:13" ht="17.25">
      <c r="A12" s="23" t="s">
        <v>63</v>
      </c>
      <c r="B12" s="42">
        <f>SUM(C11:L11)</f>
        <v>14.038669103251616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ht="17.25">
      <c r="H13" s="25"/>
    </row>
    <row r="14" ht="18">
      <c r="A14" s="2" t="s">
        <v>38</v>
      </c>
    </row>
    <row r="15" spans="1:13" ht="17.25">
      <c r="A15" s="23" t="s">
        <v>25</v>
      </c>
      <c r="B15" s="23"/>
      <c r="C15" s="93">
        <v>1.2</v>
      </c>
      <c r="D15" s="20"/>
      <c r="E15" s="20"/>
      <c r="F15" s="20"/>
      <c r="G15" s="20"/>
      <c r="H15" s="93">
        <v>1.1</v>
      </c>
      <c r="I15" s="20"/>
      <c r="J15" s="20"/>
      <c r="K15" s="20"/>
      <c r="L15" s="20"/>
      <c r="M15" s="93">
        <v>1.05</v>
      </c>
    </row>
    <row r="16" spans="1:13" ht="17.25">
      <c r="A16" s="23" t="s">
        <v>61</v>
      </c>
      <c r="B16" s="41"/>
      <c r="C16" s="41">
        <f>((C17+C15*C18+C19+1)/(1+C20))*(1+C21)-1</f>
        <v>0.12749999999999995</v>
      </c>
      <c r="D16" s="20"/>
      <c r="E16" s="20"/>
      <c r="F16" s="20"/>
      <c r="G16" s="20"/>
      <c r="H16" s="41">
        <f>((H17+H15*H18+H19+1)/(1+H20))*(1+H21)-1</f>
        <v>0.12191831683168286</v>
      </c>
      <c r="I16" s="20"/>
      <c r="J16" s="20"/>
      <c r="K16" s="20"/>
      <c r="L16" s="20"/>
      <c r="M16" s="41">
        <f>((M17+M15*M18+M19+1)/(1+M20))*(1+M21)-1</f>
        <v>0.11912747524752465</v>
      </c>
    </row>
    <row r="17" spans="1:13" ht="17.25">
      <c r="A17" s="23" t="s">
        <v>26</v>
      </c>
      <c r="B17" s="41"/>
      <c r="C17" s="41">
        <v>0.025</v>
      </c>
      <c r="D17" s="20"/>
      <c r="E17" s="20"/>
      <c r="F17" s="20"/>
      <c r="G17" s="20"/>
      <c r="H17" s="41">
        <f>C17</f>
        <v>0.025</v>
      </c>
      <c r="I17" s="20"/>
      <c r="J17" s="20"/>
      <c r="K17" s="20"/>
      <c r="L17" s="20"/>
      <c r="M17" s="41">
        <f>H17</f>
        <v>0.025</v>
      </c>
    </row>
    <row r="18" spans="1:13" ht="17.25">
      <c r="A18" s="23" t="s">
        <v>27</v>
      </c>
      <c r="B18" s="41"/>
      <c r="C18" s="41">
        <v>0.055</v>
      </c>
      <c r="D18" s="20"/>
      <c r="E18" s="20"/>
      <c r="F18" s="20"/>
      <c r="G18" s="20"/>
      <c r="H18" s="41">
        <v>0.055</v>
      </c>
      <c r="I18" s="20"/>
      <c r="J18" s="20"/>
      <c r="K18" s="20"/>
      <c r="L18" s="20"/>
      <c r="M18" s="41">
        <f>H18</f>
        <v>0.055</v>
      </c>
    </row>
    <row r="19" spans="1:13" ht="17.25">
      <c r="A19" s="23" t="s">
        <v>30</v>
      </c>
      <c r="B19" s="41"/>
      <c r="C19" s="41">
        <v>0.02</v>
      </c>
      <c r="D19" s="20"/>
      <c r="E19" s="20"/>
      <c r="F19" s="20"/>
      <c r="G19" s="20"/>
      <c r="H19" s="41">
        <f>C19</f>
        <v>0.02</v>
      </c>
      <c r="I19" s="20"/>
      <c r="J19" s="20"/>
      <c r="K19" s="20"/>
      <c r="L19" s="20"/>
      <c r="M19" s="41">
        <f>H19</f>
        <v>0.02</v>
      </c>
    </row>
    <row r="20" spans="1:13" ht="17.25">
      <c r="A20" s="23" t="s">
        <v>28</v>
      </c>
      <c r="B20" s="41"/>
      <c r="C20" s="41">
        <v>0.01</v>
      </c>
      <c r="D20" s="20"/>
      <c r="E20" s="20"/>
      <c r="F20" s="20"/>
      <c r="G20" s="20"/>
      <c r="H20" s="41">
        <f>C20</f>
        <v>0.01</v>
      </c>
      <c r="I20" s="20"/>
      <c r="J20" s="20"/>
      <c r="K20" s="20"/>
      <c r="L20" s="20"/>
      <c r="M20" s="41">
        <f>H20</f>
        <v>0.01</v>
      </c>
    </row>
    <row r="21" spans="1:13" ht="17.25">
      <c r="A21" s="23" t="s">
        <v>62</v>
      </c>
      <c r="B21" s="20"/>
      <c r="C21" s="38">
        <v>0.025</v>
      </c>
      <c r="D21" s="38"/>
      <c r="E21" s="38"/>
      <c r="F21" s="38"/>
      <c r="G21" s="38"/>
      <c r="H21" s="38">
        <f>C21</f>
        <v>0.025</v>
      </c>
      <c r="I21" s="38"/>
      <c r="J21" s="38"/>
      <c r="K21" s="38"/>
      <c r="L21" s="38"/>
      <c r="M21" s="38">
        <f>H21</f>
        <v>0.025</v>
      </c>
    </row>
  </sheetData>
  <sheetProtection/>
  <mergeCells count="6">
    <mergeCell ref="A1:M1"/>
    <mergeCell ref="C2:G2"/>
    <mergeCell ref="H2:L2"/>
    <mergeCell ref="C7:G7"/>
    <mergeCell ref="C8:G8"/>
    <mergeCell ref="C9:G9"/>
  </mergeCells>
  <printOptions/>
  <pageMargins left="0.7900000000000001" right="0.7900000000000001" top="0.98" bottom="0.98" header="0.49" footer="0.49"/>
  <pageSetup fitToHeight="1" fitToWidth="1" orientation="landscape" paperSize="10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Fundação Instituto de Administração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XXXX</cp:lastModifiedBy>
  <cp:lastPrinted>2013-05-27T23:56:52Z</cp:lastPrinted>
  <dcterms:created xsi:type="dcterms:W3CDTF">2010-05-07T14:26:19Z</dcterms:created>
  <dcterms:modified xsi:type="dcterms:W3CDTF">2021-06-27T16:17:31Z</dcterms:modified>
  <cp:category/>
  <cp:version/>
  <cp:contentType/>
  <cp:contentStatus/>
</cp:coreProperties>
</file>