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40" windowWidth="25360" windowHeight="14200" activeTab="0"/>
  </bookViews>
  <sheets>
    <sheet name="Fl Cx Descontado" sheetId="1" r:id="rId1"/>
    <sheet name="Sheet1" sheetId="2" r:id="rId2"/>
    <sheet name="Checagem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<sst xmlns="http://schemas.openxmlformats.org/spreadsheetml/2006/main" count="93" uniqueCount="85">
  <si>
    <t>Anos</t>
  </si>
  <si>
    <t>CPV</t>
  </si>
  <si>
    <t>(=) Lajir</t>
  </si>
  <si>
    <t>(-) IR</t>
  </si>
  <si>
    <t>+ Depreciação</t>
  </si>
  <si>
    <t>(-) Inv Cap Giro</t>
  </si>
  <si>
    <t>(=) Fl. Caixa</t>
  </si>
  <si>
    <t>(-) Invest. Capital</t>
  </si>
  <si>
    <t>(=) Lucro Bruto</t>
  </si>
  <si>
    <t>(-) Despesas Operacionais</t>
  </si>
  <si>
    <t>CAPEX</t>
  </si>
  <si>
    <t>Ativo de Longo Prazo no ínicio do período</t>
  </si>
  <si>
    <t>CAPITAL DE GIRO OPERACIONAL</t>
  </si>
  <si>
    <t>CONTAS A RECEBER</t>
  </si>
  <si>
    <t>CONTAS A PAGAR</t>
  </si>
  <si>
    <t>ESTOQUES</t>
  </si>
  <si>
    <t>PMR</t>
  </si>
  <si>
    <t>PMP</t>
  </si>
  <si>
    <t>PME</t>
  </si>
  <si>
    <t>Margem Bruta</t>
  </si>
  <si>
    <t>Margem Operacional</t>
  </si>
  <si>
    <t>Margem Líquida</t>
  </si>
  <si>
    <t>Taxa de Crescimento Annual:</t>
  </si>
  <si>
    <t>Perpetuidade</t>
  </si>
  <si>
    <t>Valor Presente=Enterprise Value</t>
  </si>
  <si>
    <t>Dívida Líquida</t>
  </si>
  <si>
    <t>PL A mercado</t>
  </si>
  <si>
    <t>Quantidade de Ações</t>
  </si>
  <si>
    <t>Preço-Alvo</t>
  </si>
  <si>
    <t>(=) Lucro Líquido Não Alavancado</t>
  </si>
  <si>
    <t>DRE (Em Milhoes de R$)</t>
  </si>
  <si>
    <t>Fl Caixa Livre + Perpetuidade</t>
  </si>
  <si>
    <t>Receita Líquida</t>
  </si>
  <si>
    <t>Projeção Depreciação, CAPEX e Investimento em Capital de Giro</t>
  </si>
  <si>
    <t>Fl Caixa Empresarial</t>
  </si>
  <si>
    <t>Fl Caixa Acionista Descontado</t>
  </si>
  <si>
    <t>(-) Juros Líq IR</t>
  </si>
  <si>
    <t>(+/-)  Contratação / Amortização Dívida</t>
  </si>
  <si>
    <t>Fluxo de Caixa do Acionista</t>
  </si>
  <si>
    <t>PL a Mercado</t>
  </si>
  <si>
    <t>DEPRECIAÇÃO ANUAL</t>
  </si>
  <si>
    <t>AMORTIZAÇÃO ANUAL</t>
  </si>
  <si>
    <t>ATIVO LÍQUIDO INTANGÍVEL</t>
  </si>
  <si>
    <t>ATIVO LÍQUIDO IMOBILIZADO</t>
  </si>
  <si>
    <t>Projeção Endividamento</t>
  </si>
  <si>
    <t>Valor Econômico</t>
  </si>
  <si>
    <t>Empréstimos + Financiamento CP</t>
  </si>
  <si>
    <t>Empréstimos + Financiamento LP</t>
  </si>
  <si>
    <t>Projeção Despesa de Juros</t>
  </si>
  <si>
    <t>Contratação/Amortização de Dívidas</t>
  </si>
  <si>
    <t>Projeção de Lucro Líquido</t>
  </si>
  <si>
    <t>LAJIR</t>
  </si>
  <si>
    <t>(-) Despesa de Juros</t>
  </si>
  <si>
    <t>(=) LAIR</t>
  </si>
  <si>
    <t>(=)Lucro Líquido</t>
  </si>
  <si>
    <t>Projeção Conta Caixa</t>
  </si>
  <si>
    <t>Caixa Inicial</t>
  </si>
  <si>
    <t>Lucro líquido</t>
  </si>
  <si>
    <t>(+) Depreciação</t>
  </si>
  <si>
    <t>(-) CAPEX</t>
  </si>
  <si>
    <t>(-) Investimento em Capital de Giro</t>
  </si>
  <si>
    <t>(+/-) Contratação/Amortização de Dívidas</t>
  </si>
  <si>
    <t>(=) CAIXA Final do Período</t>
  </si>
  <si>
    <t>Balanço Patrimonial</t>
  </si>
  <si>
    <t>Ativo</t>
  </si>
  <si>
    <t>Ativo Circulante</t>
  </si>
  <si>
    <t>Caixa</t>
  </si>
  <si>
    <t>Contas a Receber</t>
  </si>
  <si>
    <t>Ativo Não Circulante</t>
  </si>
  <si>
    <t>Imobilizado Líquido</t>
  </si>
  <si>
    <t>PASSIVO</t>
  </si>
  <si>
    <t>Passivo Circulante</t>
  </si>
  <si>
    <t>Contas a Pagar</t>
  </si>
  <si>
    <t>Empréstimos + Financiamentos</t>
  </si>
  <si>
    <t>Passivo Não Circulante</t>
  </si>
  <si>
    <t>Patrimônio Líquido</t>
  </si>
  <si>
    <t>Capital</t>
  </si>
  <si>
    <t>Lucros Acumulados</t>
  </si>
  <si>
    <t>CONSISTENCIA TAXA DE CRESCIMENTO DA PERPETUIDADE</t>
  </si>
  <si>
    <t>CAPITAL INVESTIDO NA EMPRESA</t>
  </si>
  <si>
    <t>ROC</t>
  </si>
  <si>
    <t>Tx Reinv Liq</t>
  </si>
  <si>
    <t>g</t>
  </si>
  <si>
    <t>Estoque de Imoveis</t>
  </si>
  <si>
    <t>Estoque: imóveis a venda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</si>
</sst>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\-&quot;R$&quot;#,##0"/>
    <numFmt numFmtId="179" formatCode="&quot;R$&quot;#,##0;[Red]\-&quot;R$&quot;#,##0"/>
    <numFmt numFmtId="180" formatCode="&quot;R$&quot;#,##0.00;\-&quot;R$&quot;#,##0.00"/>
    <numFmt numFmtId="181" formatCode="&quot;R$&quot;#,##0.00;[Red]\-&quot;R$&quot;#,##0.00"/>
    <numFmt numFmtId="182" formatCode="_-&quot;R$&quot;* #,##0_-;\-&quot;R$&quot;* #,##0_-;_-&quot;R$&quot;* &quot;-&quot;_-;_-@_-"/>
    <numFmt numFmtId="183" formatCode="_-&quot;R$&quot;* #,##0.00_-;\-&quot;R$&quot;* #,##0.00_-;_-&quot;R$&quot;* &quot;-&quot;??_-;_-@_-"/>
    <numFmt numFmtId="184" formatCode="&quot;R$ &quot;#,##0_);\(&quot;R$ &quot;#,##0\)"/>
    <numFmt numFmtId="185" formatCode="&quot;R$ &quot;#,##0_);[Red]\(&quot;R$ &quot;#,##0\)"/>
    <numFmt numFmtId="186" formatCode="&quot;R$ &quot;#,##0.00_);\(&quot;R$ &quot;#,##0.00\)"/>
    <numFmt numFmtId="187" formatCode="&quot;R$ &quot;#,##0.00_);[Red]\(&quot;R$ &quot;#,##0.00\)"/>
    <numFmt numFmtId="188" formatCode="_(&quot;R$ &quot;* #,##0_);_(&quot;R$ &quot;* \(#,##0\);_(&quot;R$ &quot;* &quot;-&quot;_);_(@_)"/>
    <numFmt numFmtId="189" formatCode="_(&quot;R$ &quot;* #,##0.00_);_(&quot;R$ &quot;* \(#,##0.00\);_(&quot;R$ &quot;* &quot;-&quot;??_);_(@_)"/>
    <numFmt numFmtId="190" formatCode="#,##0.00;[Red]\(#,##0.00\)"/>
    <numFmt numFmtId="191" formatCode="#,##0.00_ ;[Red]\-#,##0.00\ "/>
    <numFmt numFmtId="192" formatCode="#,##0.00;[Red]#,##0.00"/>
    <numFmt numFmtId="193" formatCode="#,##0;[Red]#,##0"/>
    <numFmt numFmtId="194" formatCode="#,##0_ ;[Red]\-#,##0\ "/>
    <numFmt numFmtId="195" formatCode="#,##0.0;[Red]#,##0.0"/>
    <numFmt numFmtId="196" formatCode="#,##0.0_ ;[Red]\-#,##0.0\ "/>
    <numFmt numFmtId="197" formatCode="#,##0.0"/>
    <numFmt numFmtId="198" formatCode="#,##0.000"/>
    <numFmt numFmtId="199" formatCode="#,##0.0000"/>
    <numFmt numFmtId="200" formatCode="0.0000%"/>
    <numFmt numFmtId="201" formatCode="00000"/>
    <numFmt numFmtId="202" formatCode="0.0"/>
    <numFmt numFmtId="203" formatCode="0.0%"/>
    <numFmt numFmtId="204" formatCode="&quot;R$&quot;\ #,##0.00;[Red]&quot;R$&quot;\ #,##0.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_-&quot;R$&quot;\ * #,##0.0_-;\-&quot;R$&quot;\ * #,##0.0_-;_-&quot;R$&quot;\ * &quot;-&quot;??_-;_-@_-"/>
    <numFmt numFmtId="211" formatCode="_-&quot;R$&quot;\ * #,##0_-;\-&quot;R$&quot;\ * #,##0_-;_-&quot;R$&quot;\ * &quot;-&quot;??_-;_-@_-"/>
    <numFmt numFmtId="212" formatCode="_-* #,##0.0_-;\-* #,##0.0_-;_-* &quot;-&quot;??_-;_-@_-"/>
    <numFmt numFmtId="213" formatCode="_-* #,##0_-;\-* #,##0_-;_-* &quot;-&quot;??_-;_-@_-"/>
    <numFmt numFmtId="214" formatCode="_(* #,##0.0_);_(* \(#,##0.0\);_(* &quot;-&quot;?_);_(@_)"/>
    <numFmt numFmtId="215" formatCode="0.0000000000000000%"/>
    <numFmt numFmtId="216" formatCode="_-* #,##0.000_-;\-* #,##0.000_-;_-* &quot;-&quot;??_-;_-@_-"/>
    <numFmt numFmtId="217" formatCode="_-* #,##0.0000_-;\-* #,##0.0000_-;_-* &quot;-&quot;??_-;_-@_-"/>
    <numFmt numFmtId="218" formatCode="_-* #,##0.00000_-;\-* #,##0.00000_-;_-* &quot;-&quot;??_-;_-@_-"/>
    <numFmt numFmtId="219" formatCode="_-* #,##0.000000_-;\-* #,##0.000000_-;_-* &quot;-&quot;??_-;_-@_-"/>
    <numFmt numFmtId="220" formatCode="_-* #,##0.0000000_-;\-* #,##0.0000000_-;_-* &quot;-&quot;??_-;_-@_-"/>
    <numFmt numFmtId="221" formatCode="_-* #,##0.00000000_-;\-* #,##0.00000000_-;_-* &quot;-&quot;??_-;_-@_-"/>
    <numFmt numFmtId="222" formatCode="0.000%"/>
    <numFmt numFmtId="223" formatCode="0.0000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1" fillId="29" borderId="7" applyNumberFormat="0" applyFont="0" applyAlignment="0" applyProtection="0"/>
    <xf numFmtId="0" fontId="34" fillId="2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0" applyFont="1" applyAlignment="1">
      <alignment/>
    </xf>
    <xf numFmtId="192" fontId="0" fillId="0" borderId="0" xfId="0" applyNumberFormat="1" applyAlignment="1">
      <alignment/>
    </xf>
    <xf numFmtId="190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0" fontId="4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194" fontId="3" fillId="0" borderId="15" xfId="0" applyNumberFormat="1" applyFont="1" applyBorder="1" applyAlignment="1">
      <alignment/>
    </xf>
    <xf numFmtId="190" fontId="3" fillId="0" borderId="15" xfId="0" applyNumberFormat="1" applyFont="1" applyBorder="1" applyAlignment="1">
      <alignment horizontal="center"/>
    </xf>
    <xf numFmtId="190" fontId="3" fillId="0" borderId="15" xfId="0" applyNumberFormat="1" applyFont="1" applyBorder="1" applyAlignment="1">
      <alignment/>
    </xf>
    <xf numFmtId="190" fontId="3" fillId="0" borderId="16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37" fillId="0" borderId="0" xfId="0" applyFont="1" applyAlignment="1">
      <alignment/>
    </xf>
    <xf numFmtId="190" fontId="8" fillId="0" borderId="0" xfId="0" applyNumberFormat="1" applyFont="1" applyFill="1" applyBorder="1" applyAlignment="1">
      <alignment horizontal="center"/>
    </xf>
    <xf numFmtId="9" fontId="8" fillId="0" borderId="0" xfId="59" applyFont="1" applyFill="1" applyBorder="1" applyAlignment="1">
      <alignment horizontal="center"/>
    </xf>
    <xf numFmtId="9" fontId="37" fillId="0" borderId="0" xfId="59" applyFont="1" applyAlignment="1">
      <alignment/>
    </xf>
    <xf numFmtId="9" fontId="3" fillId="0" borderId="10" xfId="0" applyNumberFormat="1" applyFont="1" applyBorder="1" applyAlignment="1">
      <alignment horizontal="center"/>
    </xf>
    <xf numFmtId="9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9" fontId="8" fillId="0" borderId="12" xfId="59" applyFont="1" applyBorder="1" applyAlignment="1">
      <alignment/>
    </xf>
    <xf numFmtId="49" fontId="4" fillId="0" borderId="12" xfId="0" applyNumberFormat="1" applyFont="1" applyBorder="1" applyAlignment="1">
      <alignment/>
    </xf>
    <xf numFmtId="190" fontId="4" fillId="0" borderId="17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0" fontId="4" fillId="0" borderId="0" xfId="0" applyFont="1" applyFill="1" applyBorder="1" applyAlignment="1">
      <alignment/>
    </xf>
    <xf numFmtId="212" fontId="35" fillId="0" borderId="10" xfId="42" applyNumberFormat="1" applyFont="1" applyBorder="1" applyAlignment="1">
      <alignment/>
    </xf>
    <xf numFmtId="212" fontId="0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212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/>
    </xf>
    <xf numFmtId="212" fontId="35" fillId="0" borderId="13" xfId="42" applyNumberFormat="1" applyFont="1" applyBorder="1" applyAlignment="1">
      <alignment/>
    </xf>
    <xf numFmtId="0" fontId="0" fillId="0" borderId="12" xfId="0" applyBorder="1" applyAlignment="1">
      <alignment/>
    </xf>
    <xf numFmtId="0" fontId="35" fillId="0" borderId="12" xfId="0" applyFont="1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left" indent="2"/>
    </xf>
    <xf numFmtId="0" fontId="0" fillId="0" borderId="14" xfId="0" applyBorder="1" applyAlignment="1">
      <alignment horizontal="left" indent="2"/>
    </xf>
    <xf numFmtId="0" fontId="3" fillId="0" borderId="18" xfId="0" applyFont="1" applyFill="1" applyBorder="1" applyAlignment="1">
      <alignment/>
    </xf>
    <xf numFmtId="3" fontId="35" fillId="0" borderId="18" xfId="0" applyNumberFormat="1" applyFont="1" applyBorder="1" applyAlignment="1">
      <alignment/>
    </xf>
    <xf numFmtId="212" fontId="35" fillId="0" borderId="18" xfId="42" applyNumberFormat="1" applyFont="1" applyBorder="1" applyAlignment="1">
      <alignment/>
    </xf>
    <xf numFmtId="0" fontId="3" fillId="30" borderId="19" xfId="0" applyFont="1" applyFill="1" applyBorder="1" applyAlignment="1">
      <alignment/>
    </xf>
    <xf numFmtId="0" fontId="3" fillId="30" borderId="20" xfId="0" applyFont="1" applyFill="1" applyBorder="1" applyAlignment="1">
      <alignment/>
    </xf>
    <xf numFmtId="3" fontId="35" fillId="30" borderId="21" xfId="0" applyNumberFormat="1" applyFont="1" applyFill="1" applyBorder="1" applyAlignment="1">
      <alignment/>
    </xf>
    <xf numFmtId="0" fontId="35" fillId="30" borderId="21" xfId="0" applyFont="1" applyFill="1" applyBorder="1" applyAlignment="1">
      <alignment/>
    </xf>
    <xf numFmtId="0" fontId="35" fillId="3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212" fontId="0" fillId="0" borderId="23" xfId="42" applyNumberFormat="1" applyFont="1" applyBorder="1" applyAlignment="1">
      <alignment/>
    </xf>
    <xf numFmtId="3" fontId="35" fillId="0" borderId="24" xfId="0" applyNumberFormat="1" applyFont="1" applyBorder="1" applyAlignment="1">
      <alignment/>
    </xf>
    <xf numFmtId="212" fontId="35" fillId="0" borderId="24" xfId="42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30" borderId="2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35" fillId="0" borderId="15" xfId="0" applyNumberFormat="1" applyFont="1" applyBorder="1" applyAlignment="1">
      <alignment/>
    </xf>
    <xf numFmtId="212" fontId="35" fillId="0" borderId="15" xfId="42" applyNumberFormat="1" applyFont="1" applyBorder="1" applyAlignment="1">
      <alignment/>
    </xf>
    <xf numFmtId="10" fontId="4" fillId="0" borderId="12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30" borderId="28" xfId="0" applyFont="1" applyFill="1" applyBorder="1" applyAlignment="1">
      <alignment horizontal="left" wrapText="1"/>
    </xf>
    <xf numFmtId="212" fontId="4" fillId="0" borderId="10" xfId="42" applyNumberFormat="1" applyFont="1" applyBorder="1" applyAlignment="1">
      <alignment horizontal="center"/>
    </xf>
    <xf numFmtId="212" fontId="4" fillId="0" borderId="13" xfId="42" applyNumberFormat="1" applyFont="1" applyBorder="1" applyAlignment="1">
      <alignment horizontal="center"/>
    </xf>
    <xf numFmtId="212" fontId="8" fillId="0" borderId="10" xfId="42" applyNumberFormat="1" applyFont="1" applyBorder="1" applyAlignment="1">
      <alignment horizontal="center"/>
    </xf>
    <xf numFmtId="212" fontId="3" fillId="0" borderId="10" xfId="42" applyNumberFormat="1" applyFont="1" applyBorder="1" applyAlignment="1">
      <alignment horizontal="center"/>
    </xf>
    <xf numFmtId="212" fontId="3" fillId="0" borderId="13" xfId="42" applyNumberFormat="1" applyFont="1" applyBorder="1" applyAlignment="1">
      <alignment horizontal="center"/>
    </xf>
    <xf numFmtId="212" fontId="4" fillId="0" borderId="10" xfId="42" applyNumberFormat="1" applyFont="1" applyBorder="1" applyAlignment="1">
      <alignment/>
    </xf>
    <xf numFmtId="212" fontId="3" fillId="0" borderId="10" xfId="42" applyNumberFormat="1" applyFont="1" applyBorder="1" applyAlignment="1">
      <alignment horizontal="left"/>
    </xf>
    <xf numFmtId="212" fontId="2" fillId="0" borderId="10" xfId="42" applyNumberFormat="1" applyFont="1" applyBorder="1" applyAlignment="1">
      <alignment/>
    </xf>
    <xf numFmtId="212" fontId="1" fillId="0" borderId="10" xfId="42" applyNumberFormat="1" applyFont="1" applyBorder="1" applyAlignment="1">
      <alignment/>
    </xf>
    <xf numFmtId="212" fontId="1" fillId="0" borderId="13" xfId="42" applyNumberFormat="1" applyFont="1" applyBorder="1" applyAlignment="1">
      <alignment/>
    </xf>
    <xf numFmtId="212" fontId="0" fillId="0" borderId="10" xfId="42" applyNumberFormat="1" applyFont="1" applyBorder="1" applyAlignment="1">
      <alignment/>
    </xf>
    <xf numFmtId="212" fontId="0" fillId="0" borderId="13" xfId="42" applyNumberFormat="1" applyFont="1" applyBorder="1" applyAlignment="1">
      <alignment/>
    </xf>
    <xf numFmtId="212" fontId="0" fillId="0" borderId="15" xfId="42" applyNumberFormat="1" applyFont="1" applyBorder="1" applyAlignment="1">
      <alignment/>
    </xf>
    <xf numFmtId="212" fontId="0" fillId="0" borderId="16" xfId="42" applyNumberFormat="1" applyFont="1" applyBorder="1" applyAlignment="1">
      <alignment/>
    </xf>
    <xf numFmtId="10" fontId="0" fillId="0" borderId="10" xfId="59" applyNumberFormat="1" applyFont="1" applyBorder="1" applyAlignment="1">
      <alignment/>
    </xf>
    <xf numFmtId="0" fontId="3" fillId="0" borderId="0" xfId="0" applyFont="1" applyAlignment="1">
      <alignment/>
    </xf>
    <xf numFmtId="10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35" fillId="31" borderId="29" xfId="0" applyFont="1" applyFill="1" applyBorder="1" applyAlignment="1">
      <alignment horizontal="right"/>
    </xf>
    <xf numFmtId="0" fontId="35" fillId="31" borderId="29" xfId="0" applyFont="1" applyFill="1" applyBorder="1" applyAlignment="1">
      <alignment horizontal="right" wrapText="1"/>
    </xf>
    <xf numFmtId="190" fontId="0" fillId="0" borderId="27" xfId="0" applyNumberFormat="1" applyBorder="1" applyAlignment="1">
      <alignment/>
    </xf>
    <xf numFmtId="190" fontId="0" fillId="0" borderId="30" xfId="0" applyNumberFormat="1" applyBorder="1" applyAlignment="1">
      <alignment/>
    </xf>
    <xf numFmtId="10" fontId="0" fillId="0" borderId="27" xfId="59" applyNumberFormat="1" applyFont="1" applyBorder="1" applyAlignment="1">
      <alignment/>
    </xf>
    <xf numFmtId="0" fontId="38" fillId="0" borderId="0" xfId="0" applyFont="1" applyAlignment="1">
      <alignment horizontal="center"/>
    </xf>
    <xf numFmtId="10" fontId="0" fillId="0" borderId="30" xfId="59" applyNumberFormat="1" applyFont="1" applyBorder="1" applyAlignment="1">
      <alignment/>
    </xf>
    <xf numFmtId="0" fontId="38" fillId="0" borderId="0" xfId="0" applyFont="1" applyAlignment="1">
      <alignment horizontal="center"/>
    </xf>
    <xf numFmtId="209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30" borderId="0" xfId="0" applyFont="1" applyFill="1" applyAlignment="1">
      <alignment wrapText="1"/>
    </xf>
    <xf numFmtId="212" fontId="0" fillId="0" borderId="0" xfId="42" applyNumberFormat="1" applyFont="1" applyAlignment="1">
      <alignment/>
    </xf>
    <xf numFmtId="8" fontId="0" fillId="0" borderId="0" xfId="0" applyNumberFormat="1" applyAlignment="1">
      <alignment/>
    </xf>
    <xf numFmtId="212" fontId="35" fillId="0" borderId="0" xfId="42" applyNumberFormat="1" applyFont="1" applyAlignment="1">
      <alignment/>
    </xf>
    <xf numFmtId="10" fontId="8" fillId="0" borderId="10" xfId="59" applyNumberFormat="1" applyFont="1" applyBorder="1" applyAlignment="1">
      <alignment horizontal="center"/>
    </xf>
    <xf numFmtId="10" fontId="8" fillId="0" borderId="13" xfId="59" applyNumberFormat="1" applyFont="1" applyBorder="1" applyAlignment="1">
      <alignment horizontal="center"/>
    </xf>
    <xf numFmtId="10" fontId="8" fillId="0" borderId="10" xfId="59" applyNumberFormat="1" applyFont="1" applyBorder="1" applyAlignment="1">
      <alignment horizontal="right"/>
    </xf>
    <xf numFmtId="10" fontId="8" fillId="0" borderId="13" xfId="59" applyNumberFormat="1" applyFont="1" applyBorder="1" applyAlignment="1">
      <alignment horizontal="right"/>
    </xf>
    <xf numFmtId="3" fontId="35" fillId="0" borderId="0" xfId="0" applyNumberFormat="1" applyFont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0" fillId="0" borderId="23" xfId="0" applyNumberFormat="1" applyBorder="1" applyAlignment="1">
      <alignment/>
    </xf>
    <xf numFmtId="0" fontId="3" fillId="0" borderId="31" xfId="0" applyFont="1" applyBorder="1" applyAlignment="1">
      <alignment/>
    </xf>
    <xf numFmtId="213" fontId="35" fillId="0" borderId="10" xfId="42" applyNumberFormat="1" applyFont="1" applyBorder="1" applyAlignment="1">
      <alignment/>
    </xf>
    <xf numFmtId="0" fontId="4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 indent="2"/>
    </xf>
    <xf numFmtId="0" fontId="4" fillId="0" borderId="12" xfId="0" applyFont="1" applyFill="1" applyBorder="1" applyAlignment="1">
      <alignment horizontal="left" indent="2"/>
    </xf>
    <xf numFmtId="212" fontId="0" fillId="0" borderId="10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left" indent="1"/>
    </xf>
    <xf numFmtId="212" fontId="0" fillId="0" borderId="10" xfId="42" applyNumberFormat="1" applyFont="1" applyFill="1" applyBorder="1" applyAlignment="1">
      <alignment/>
    </xf>
    <xf numFmtId="0" fontId="0" fillId="0" borderId="0" xfId="0" applyFill="1" applyAlignment="1">
      <alignment horizontal="left" indent="1"/>
    </xf>
    <xf numFmtId="0" fontId="0" fillId="0" borderId="12" xfId="0" applyFill="1" applyBorder="1" applyAlignment="1">
      <alignment horizontal="left" indent="2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2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3"/>
  <sheetViews>
    <sheetView tabSelected="1" zoomScale="120" zoomScaleNormal="120" zoomScalePageLayoutView="0" workbookViewId="0" topLeftCell="A37">
      <selection activeCell="B49" sqref="B49"/>
    </sheetView>
  </sheetViews>
  <sheetFormatPr defaultColWidth="8.8515625" defaultRowHeight="15"/>
  <cols>
    <col min="1" max="1" width="39.421875" style="0" customWidth="1"/>
    <col min="2" max="6" width="15.421875" style="0" customWidth="1"/>
    <col min="7" max="8" width="14.421875" style="0" customWidth="1"/>
  </cols>
  <sheetData>
    <row r="1" ht="15" thickBot="1"/>
    <row r="2" spans="1:7" ht="14.25">
      <c r="A2" s="129" t="s">
        <v>30</v>
      </c>
      <c r="B2" s="131" t="s">
        <v>0</v>
      </c>
      <c r="C2" s="132"/>
      <c r="D2" s="132"/>
      <c r="E2" s="132"/>
      <c r="F2" s="132"/>
      <c r="G2" s="133"/>
    </row>
    <row r="3" spans="1:7" ht="14.25">
      <c r="A3" s="130"/>
      <c r="B3" s="11">
        <v>0</v>
      </c>
      <c r="C3" s="11">
        <v>1</v>
      </c>
      <c r="D3" s="11">
        <v>2</v>
      </c>
      <c r="E3" s="11">
        <v>3</v>
      </c>
      <c r="F3" s="11">
        <v>4</v>
      </c>
      <c r="G3" s="12">
        <v>5</v>
      </c>
    </row>
    <row r="4" spans="1:8" ht="14.25">
      <c r="A4" s="28" t="s">
        <v>22</v>
      </c>
      <c r="B4" s="11"/>
      <c r="C4" s="26">
        <v>0.13</v>
      </c>
      <c r="D4" s="26">
        <v>0.11</v>
      </c>
      <c r="E4" s="26">
        <v>0.09</v>
      </c>
      <c r="F4" s="26">
        <v>0.07</v>
      </c>
      <c r="G4" s="27">
        <v>0.05</v>
      </c>
      <c r="H4" s="7">
        <v>0.04</v>
      </c>
    </row>
    <row r="5" spans="1:8" ht="14.25">
      <c r="A5" s="29" t="s">
        <v>32</v>
      </c>
      <c r="B5" s="76">
        <v>2383</v>
      </c>
      <c r="C5" s="76">
        <f aca="true" t="shared" si="0" ref="C5:H5">B5*(1+C4)</f>
        <v>2692.79</v>
      </c>
      <c r="D5" s="76">
        <f t="shared" si="0"/>
        <v>2988.9969</v>
      </c>
      <c r="E5" s="76">
        <f t="shared" si="0"/>
        <v>3258.0066210000005</v>
      </c>
      <c r="F5" s="76">
        <f t="shared" si="0"/>
        <v>3486.0670844700007</v>
      </c>
      <c r="G5" s="77">
        <f t="shared" si="0"/>
        <v>3660.370438693501</v>
      </c>
      <c r="H5" s="33">
        <f t="shared" si="0"/>
        <v>3806.7852562412413</v>
      </c>
    </row>
    <row r="6" spans="1:7" ht="14.25">
      <c r="A6" s="29" t="s">
        <v>1</v>
      </c>
      <c r="B6" s="76"/>
      <c r="C6" s="76">
        <f>-70%*C5</f>
        <v>-1884.9529999999997</v>
      </c>
      <c r="D6" s="76">
        <f>-70%*D5</f>
        <v>-2092.29783</v>
      </c>
      <c r="E6" s="76">
        <f>-70%*E5</f>
        <v>-2280.6046347</v>
      </c>
      <c r="F6" s="76">
        <f>-70%*F5</f>
        <v>-2440.2469591290005</v>
      </c>
      <c r="G6" s="76">
        <f>-70%*G5</f>
        <v>-2562.2593070854505</v>
      </c>
    </row>
    <row r="7" spans="1:7" ht="14.25">
      <c r="A7" s="29" t="s">
        <v>8</v>
      </c>
      <c r="B7" s="76"/>
      <c r="C7" s="76">
        <f>C5+C6</f>
        <v>807.8370000000002</v>
      </c>
      <c r="D7" s="76">
        <f>D5+D6</f>
        <v>896.6990700000001</v>
      </c>
      <c r="E7" s="76">
        <f>E5+E6</f>
        <v>977.4019863000003</v>
      </c>
      <c r="F7" s="76">
        <f>F5+F6</f>
        <v>1045.8201253410002</v>
      </c>
      <c r="G7" s="77">
        <f>G5+G6</f>
        <v>1098.1111316080505</v>
      </c>
    </row>
    <row r="8" spans="1:7" s="22" customFormat="1" ht="10.5">
      <c r="A8" s="30" t="s">
        <v>19</v>
      </c>
      <c r="B8" s="78"/>
      <c r="C8" s="108">
        <f>C7/C5</f>
        <v>0.3000000000000001</v>
      </c>
      <c r="D8" s="108">
        <f>D7/D5</f>
        <v>0.30000000000000004</v>
      </c>
      <c r="E8" s="108">
        <f>E7/E5</f>
        <v>0.30000000000000004</v>
      </c>
      <c r="F8" s="108">
        <f>F7/F5</f>
        <v>0.3</v>
      </c>
      <c r="G8" s="109">
        <f>G7/G5</f>
        <v>0.30000000000000004</v>
      </c>
    </row>
    <row r="9" spans="1:7" ht="14.25">
      <c r="A9" s="29" t="s">
        <v>9</v>
      </c>
      <c r="B9" s="76"/>
      <c r="C9" s="76">
        <f>-C5*15%</f>
        <v>-403.9185</v>
      </c>
      <c r="D9" s="76">
        <f>-D5*15%</f>
        <v>-448.349535</v>
      </c>
      <c r="E9" s="76">
        <f>-E5*15%</f>
        <v>-488.70099315000004</v>
      </c>
      <c r="F9" s="76">
        <f>-F5*15%</f>
        <v>-522.9100626705001</v>
      </c>
      <c r="G9" s="76">
        <f>-G5*15%</f>
        <v>-549.0555658040252</v>
      </c>
    </row>
    <row r="10" spans="1:11" ht="14.25">
      <c r="A10" s="10" t="s">
        <v>2</v>
      </c>
      <c r="B10" s="79"/>
      <c r="C10" s="79">
        <f>C7+C9</f>
        <v>403.9185000000002</v>
      </c>
      <c r="D10" s="79">
        <f>D7+D9</f>
        <v>448.3495350000001</v>
      </c>
      <c r="E10" s="79">
        <f>E7+E9</f>
        <v>488.7009931500003</v>
      </c>
      <c r="F10" s="79">
        <f>F7+F9</f>
        <v>522.9100626705001</v>
      </c>
      <c r="G10" s="80">
        <f>G7+G9</f>
        <v>549.0555658040254</v>
      </c>
      <c r="H10" s="3"/>
      <c r="I10" s="3"/>
      <c r="J10" s="3"/>
      <c r="K10" s="3"/>
    </row>
    <row r="11" spans="1:11" s="25" customFormat="1" ht="10.5">
      <c r="A11" s="31" t="s">
        <v>20</v>
      </c>
      <c r="B11" s="78"/>
      <c r="C11" s="110">
        <f>C10/C5</f>
        <v>0.15000000000000008</v>
      </c>
      <c r="D11" s="110">
        <f>D10/D5</f>
        <v>0.15000000000000002</v>
      </c>
      <c r="E11" s="110">
        <f>E10/E5</f>
        <v>0.15000000000000005</v>
      </c>
      <c r="F11" s="110">
        <f>F10/F5</f>
        <v>0.15</v>
      </c>
      <c r="G11" s="111">
        <f>G10/G5</f>
        <v>0.15000000000000005</v>
      </c>
      <c r="H11" s="24"/>
      <c r="I11" s="24"/>
      <c r="J11" s="24"/>
      <c r="K11" s="24"/>
    </row>
    <row r="12" spans="1:7" ht="14.25">
      <c r="A12" s="29" t="s">
        <v>3</v>
      </c>
      <c r="B12" s="76"/>
      <c r="C12" s="76">
        <f>-C10*25%</f>
        <v>-100.97962500000006</v>
      </c>
      <c r="D12" s="76">
        <f>-D10*25%</f>
        <v>-112.08738375000003</v>
      </c>
      <c r="E12" s="76">
        <f>-E10*25%</f>
        <v>-122.17524828750007</v>
      </c>
      <c r="F12" s="76">
        <f>-F10*25%</f>
        <v>-130.72751566762503</v>
      </c>
      <c r="G12" s="76">
        <f>-G10*25%</f>
        <v>-137.26389145100634</v>
      </c>
    </row>
    <row r="13" spans="1:10" ht="14.25">
      <c r="A13" s="10" t="s">
        <v>29</v>
      </c>
      <c r="B13" s="79"/>
      <c r="C13" s="79">
        <f>C10+C12</f>
        <v>302.93887500000017</v>
      </c>
      <c r="D13" s="79">
        <f>D10+D12</f>
        <v>336.2621512500001</v>
      </c>
      <c r="E13" s="79">
        <f>E10+E12</f>
        <v>366.52574486250023</v>
      </c>
      <c r="F13" s="79">
        <f>F10+F12</f>
        <v>392.1825470028751</v>
      </c>
      <c r="G13" s="80">
        <f>G10+G12</f>
        <v>411.79167435301906</v>
      </c>
      <c r="H13" s="3"/>
      <c r="I13" s="3"/>
      <c r="J13" s="3"/>
    </row>
    <row r="14" spans="1:10" s="22" customFormat="1" ht="10.5">
      <c r="A14" s="30" t="s">
        <v>21</v>
      </c>
      <c r="B14" s="78"/>
      <c r="C14" s="108">
        <f>C13/C5</f>
        <v>0.11250000000000006</v>
      </c>
      <c r="D14" s="108">
        <f>D13/D5</f>
        <v>0.11250000000000003</v>
      </c>
      <c r="E14" s="108">
        <f>E13/E5</f>
        <v>0.11250000000000006</v>
      </c>
      <c r="F14" s="108">
        <f>F13/F5</f>
        <v>0.1125</v>
      </c>
      <c r="G14" s="109">
        <f>G13/G5</f>
        <v>0.11250000000000006</v>
      </c>
      <c r="H14" s="23"/>
      <c r="I14" s="23"/>
      <c r="J14" s="23"/>
    </row>
    <row r="15" spans="1:10" ht="14.25">
      <c r="A15" s="32" t="s">
        <v>4</v>
      </c>
      <c r="B15" s="76"/>
      <c r="C15" s="76">
        <f>-C30-C31</f>
        <v>14.319999999999999</v>
      </c>
      <c r="D15" s="76">
        <f>-D30-D31</f>
        <v>12.888</v>
      </c>
      <c r="E15" s="76">
        <f>-E30-E31</f>
        <v>11.5992</v>
      </c>
      <c r="F15" s="76">
        <f>-F30-F31</f>
        <v>11.620223614900002</v>
      </c>
      <c r="G15" s="76">
        <f>-G30-G31</f>
        <v>12.201234795645004</v>
      </c>
      <c r="H15" s="5"/>
      <c r="I15" s="5"/>
      <c r="J15" s="5"/>
    </row>
    <row r="16" spans="1:7" ht="14.25">
      <c r="A16" s="29" t="s">
        <v>7</v>
      </c>
      <c r="B16" s="76"/>
      <c r="C16" s="76">
        <f>C34</f>
        <v>0</v>
      </c>
      <c r="D16" s="76">
        <f>D34</f>
        <v>0</v>
      </c>
      <c r="E16" s="76">
        <f>E34</f>
        <v>-11.809436149000035</v>
      </c>
      <c r="F16" s="76">
        <f>F34</f>
        <v>-17.430335422349998</v>
      </c>
      <c r="G16" s="76">
        <f>G34</f>
        <v>-17.08172871390302</v>
      </c>
    </row>
    <row r="17" spans="1:7" ht="14.25">
      <c r="A17" s="10" t="s">
        <v>5</v>
      </c>
      <c r="B17" s="79"/>
      <c r="C17" s="79">
        <f>-(C36-B36)</f>
        <v>-27.07585802469066</v>
      </c>
      <c r="D17" s="79">
        <f>-(D36-C36)</f>
        <v>-143.61420858024735</v>
      </c>
      <c r="E17" s="79">
        <f>-(E36-D36)</f>
        <v>-159.45788161172868</v>
      </c>
      <c r="F17" s="79">
        <f>-(F36-E36)</f>
        <v>-135.3781273103516</v>
      </c>
      <c r="G17" s="79">
        <f>-(G36-F36)</f>
        <v>-103.71019409570317</v>
      </c>
    </row>
    <row r="18" spans="1:10" ht="14.25">
      <c r="A18" s="10" t="s">
        <v>6</v>
      </c>
      <c r="B18" s="79"/>
      <c r="C18" s="79">
        <f>C13+C15+C16+C17</f>
        <v>290.1830169753095</v>
      </c>
      <c r="D18" s="79">
        <f>D13+D15+D16+D17</f>
        <v>205.53594266975273</v>
      </c>
      <c r="E18" s="79">
        <f>E13+E15+E16+E17</f>
        <v>206.85762710177153</v>
      </c>
      <c r="F18" s="79">
        <f>F13+F15+F16+F17</f>
        <v>250.99430788507345</v>
      </c>
      <c r="G18" s="79">
        <f>G13+G15+G16+G17</f>
        <v>303.20098633905786</v>
      </c>
      <c r="H18" s="3"/>
      <c r="I18" s="3"/>
      <c r="J18" s="3"/>
    </row>
    <row r="19" spans="1:7" ht="14.25">
      <c r="A19" s="10" t="s">
        <v>23</v>
      </c>
      <c r="B19" s="81"/>
      <c r="C19" s="81"/>
      <c r="D19" s="81"/>
      <c r="E19" s="81"/>
      <c r="F19" s="79"/>
      <c r="G19" s="80">
        <f>(G18*(1+H4))/(0.125-H4)</f>
        <v>3709.7532446190617</v>
      </c>
    </row>
    <row r="20" spans="1:7" s="34" customFormat="1" ht="14.25">
      <c r="A20" s="10" t="s">
        <v>31</v>
      </c>
      <c r="B20" s="79"/>
      <c r="C20" s="79">
        <f>C18</f>
        <v>290.1830169753095</v>
      </c>
      <c r="D20" s="79">
        <f>D18</f>
        <v>205.53594266975273</v>
      </c>
      <c r="E20" s="79">
        <f>E18</f>
        <v>206.85762710177153</v>
      </c>
      <c r="F20" s="79">
        <f>F18</f>
        <v>250.99430788507345</v>
      </c>
      <c r="G20" s="79">
        <f>G18+G19</f>
        <v>4012.9542309581193</v>
      </c>
    </row>
    <row r="21" spans="1:7" ht="14.25">
      <c r="A21" s="10" t="s">
        <v>24</v>
      </c>
      <c r="B21" s="81">
        <f>NPV(0.125,$C$20:$G$20)</f>
        <v>2949.2209699279533</v>
      </c>
      <c r="C21" s="81">
        <f>NPV(0.125,$D$20:$G$20)</f>
        <v>3027.6905741936375</v>
      </c>
      <c r="D21" s="81">
        <f>NPV(0.125,$E$20:$G$20)</f>
        <v>3200.6159532980896</v>
      </c>
      <c r="E21" s="81">
        <f>NPV(0.125,$F$20:$G$20)</f>
        <v>3393.8353203585793</v>
      </c>
      <c r="F21" s="81">
        <f>NPV(0.125,$G$20:$G$20)</f>
        <v>3567.0704275183284</v>
      </c>
      <c r="G21" s="81">
        <f>G19</f>
        <v>3709.7532446190617</v>
      </c>
    </row>
    <row r="22" spans="1:10" ht="14.25">
      <c r="A22" s="10" t="s">
        <v>25</v>
      </c>
      <c r="B22" s="81">
        <f>B82+B85-B70</f>
        <v>220.0000000000001</v>
      </c>
      <c r="C22" s="82"/>
      <c r="D22" s="79"/>
      <c r="E22" s="79"/>
      <c r="F22" s="79"/>
      <c r="G22" s="80"/>
      <c r="H22" s="1"/>
      <c r="I22" s="1"/>
      <c r="J22" s="1"/>
    </row>
    <row r="23" spans="1:10" ht="14.25">
      <c r="A23" s="9" t="s">
        <v>26</v>
      </c>
      <c r="B23" s="81">
        <f>B21-B22</f>
        <v>2729.2209699279533</v>
      </c>
      <c r="C23" s="79"/>
      <c r="D23" s="79"/>
      <c r="E23" s="79"/>
      <c r="F23" s="79"/>
      <c r="G23" s="80"/>
      <c r="H23" s="1"/>
      <c r="I23" s="1"/>
      <c r="J23" s="1"/>
    </row>
    <row r="24" spans="1:10" ht="14.25">
      <c r="A24" s="9" t="s">
        <v>27</v>
      </c>
      <c r="B24" s="81">
        <v>98.4</v>
      </c>
      <c r="C24" s="79"/>
      <c r="D24" s="79"/>
      <c r="E24" s="79"/>
      <c r="F24" s="79"/>
      <c r="G24" s="80"/>
      <c r="H24" s="7"/>
      <c r="I24" s="7"/>
      <c r="J24" s="7"/>
    </row>
    <row r="25" spans="1:7" ht="14.25">
      <c r="A25" s="9" t="s">
        <v>28</v>
      </c>
      <c r="B25" s="81">
        <f>B23/B24</f>
        <v>27.73598546674749</v>
      </c>
      <c r="C25" s="79"/>
      <c r="D25" s="79"/>
      <c r="E25" s="79"/>
      <c r="F25" s="79"/>
      <c r="G25" s="80"/>
    </row>
    <row r="26" spans="1:7" ht="15" thickBot="1">
      <c r="A26" s="13"/>
      <c r="B26" s="14"/>
      <c r="C26" s="15"/>
      <c r="D26" s="16"/>
      <c r="E26" s="16"/>
      <c r="F26" s="16"/>
      <c r="G26" s="17"/>
    </row>
    <row r="27" spans="1:7" ht="15" thickBot="1">
      <c r="A27" s="4"/>
      <c r="B27" s="8"/>
      <c r="C27" s="2"/>
      <c r="D27" s="7"/>
      <c r="E27" s="7"/>
      <c r="F27" s="7"/>
      <c r="G27" s="7"/>
    </row>
    <row r="28" spans="1:7" s="1" customFormat="1" ht="26.25">
      <c r="A28" s="75" t="s">
        <v>33</v>
      </c>
      <c r="B28" s="58">
        <v>0</v>
      </c>
      <c r="C28" s="59">
        <v>1</v>
      </c>
      <c r="D28" s="59">
        <v>2</v>
      </c>
      <c r="E28" s="59">
        <v>3</v>
      </c>
      <c r="F28" s="59">
        <v>4</v>
      </c>
      <c r="G28" s="60">
        <v>5</v>
      </c>
    </row>
    <row r="29" spans="1:7" s="1" customFormat="1" ht="14.25">
      <c r="A29" s="46" t="s">
        <v>11</v>
      </c>
      <c r="B29" s="83"/>
      <c r="C29" s="83">
        <f>B32+B33</f>
        <v>143.2</v>
      </c>
      <c r="D29" s="83">
        <f>C32+C33</f>
        <v>128.88</v>
      </c>
      <c r="E29" s="83">
        <f>D32+D33</f>
        <v>115.99199999999999</v>
      </c>
      <c r="F29" s="83">
        <f>E32+E33</f>
        <v>116.20223614900003</v>
      </c>
      <c r="G29" s="83">
        <f>F32+F33</f>
        <v>122.01234795645003</v>
      </c>
    </row>
    <row r="30" spans="1:7" s="19" customFormat="1" ht="14.25">
      <c r="A30" s="70" t="s">
        <v>40</v>
      </c>
      <c r="B30" s="84"/>
      <c r="C30" s="84">
        <f>-B33/10</f>
        <v>-14.319999999999999</v>
      </c>
      <c r="D30" s="84">
        <f>-C33/10</f>
        <v>-12.888</v>
      </c>
      <c r="E30" s="84">
        <f>-D33/10</f>
        <v>-11.5992</v>
      </c>
      <c r="F30" s="84">
        <f>-E33/10</f>
        <v>-11.620223614900002</v>
      </c>
      <c r="G30" s="84">
        <f>-F33/10</f>
        <v>-12.201234795645004</v>
      </c>
    </row>
    <row r="31" spans="1:7" s="19" customFormat="1" ht="14.25">
      <c r="A31" s="70" t="s">
        <v>41</v>
      </c>
      <c r="B31" s="84"/>
      <c r="C31" s="84"/>
      <c r="D31" s="84"/>
      <c r="E31" s="84"/>
      <c r="F31" s="84"/>
      <c r="G31" s="84"/>
    </row>
    <row r="32" spans="1:7" s="19" customFormat="1" ht="14.25">
      <c r="A32" s="70" t="s">
        <v>42</v>
      </c>
      <c r="B32" s="84"/>
      <c r="C32" s="84"/>
      <c r="D32" s="84"/>
      <c r="E32" s="84"/>
      <c r="F32" s="84"/>
      <c r="G32" s="84"/>
    </row>
    <row r="33" spans="1:7" s="19" customFormat="1" ht="14.25">
      <c r="A33" s="70" t="s">
        <v>43</v>
      </c>
      <c r="B33" s="84">
        <f>B75</f>
        <v>143.2</v>
      </c>
      <c r="C33" s="84">
        <f>C29+C30</f>
        <v>128.88</v>
      </c>
      <c r="D33" s="84">
        <f>D29+D30</f>
        <v>115.99199999999999</v>
      </c>
      <c r="E33" s="84">
        <f>F5/30</f>
        <v>116.20223614900003</v>
      </c>
      <c r="F33" s="84">
        <f>G5/30</f>
        <v>122.01234795645003</v>
      </c>
      <c r="G33" s="84">
        <f>H5/30</f>
        <v>126.89284187470804</v>
      </c>
    </row>
    <row r="34" spans="1:8" s="19" customFormat="1" ht="14.25">
      <c r="A34" s="70" t="s">
        <v>10</v>
      </c>
      <c r="B34" s="84"/>
      <c r="C34" s="84">
        <v>0</v>
      </c>
      <c r="D34" s="84">
        <f>D29+D30-D33</f>
        <v>0</v>
      </c>
      <c r="E34" s="84">
        <f>E29+E30-E33</f>
        <v>-11.809436149000035</v>
      </c>
      <c r="F34" s="84">
        <f>F29+F30-F33</f>
        <v>-17.430335422349998</v>
      </c>
      <c r="G34" s="84">
        <f>G29+G30-G33</f>
        <v>-17.08172871390302</v>
      </c>
      <c r="H34" s="20"/>
    </row>
    <row r="35" spans="1:8" s="19" customFormat="1" ht="14.25">
      <c r="A35" s="70"/>
      <c r="B35" s="84"/>
      <c r="C35" s="84"/>
      <c r="D35" s="84"/>
      <c r="E35" s="84"/>
      <c r="F35" s="84"/>
      <c r="G35" s="85"/>
      <c r="H35" s="20"/>
    </row>
    <row r="36" spans="1:7" ht="14.25">
      <c r="A36" s="46" t="s">
        <v>12</v>
      </c>
      <c r="B36" s="36">
        <f aca="true" t="shared" si="1" ref="B36:G36">B37+B38-B39</f>
        <v>1594.6000000000004</v>
      </c>
      <c r="C36" s="36">
        <f t="shared" si="1"/>
        <v>1621.675858024691</v>
      </c>
      <c r="D36" s="36">
        <f t="shared" si="1"/>
        <v>1765.2900666049384</v>
      </c>
      <c r="E36" s="36">
        <f t="shared" si="1"/>
        <v>1924.747948216667</v>
      </c>
      <c r="F36" s="36">
        <f t="shared" si="1"/>
        <v>2060.1260755270187</v>
      </c>
      <c r="G36" s="47">
        <f t="shared" si="1"/>
        <v>2163.836269622722</v>
      </c>
    </row>
    <row r="37" spans="1:11" ht="14.25">
      <c r="A37" s="70" t="s">
        <v>13</v>
      </c>
      <c r="B37" s="86">
        <f>B71+B77</f>
        <v>1043.4</v>
      </c>
      <c r="C37" s="86">
        <f>C5/360*B40</f>
        <v>598.3977777777777</v>
      </c>
      <c r="D37" s="86">
        <f>D5/360*C40</f>
        <v>664.2215333333334</v>
      </c>
      <c r="E37" s="86">
        <f>E5/360*D40</f>
        <v>724.0014713333335</v>
      </c>
      <c r="F37" s="86">
        <f>F5/360*E40</f>
        <v>774.6815743266668</v>
      </c>
      <c r="G37" s="87">
        <f>G5/360*F40</f>
        <v>813.4156530430002</v>
      </c>
      <c r="K37" s="7"/>
    </row>
    <row r="38" spans="1:7" s="7" customFormat="1" ht="14.25">
      <c r="A38" s="73" t="s">
        <v>15</v>
      </c>
      <c r="B38" s="86">
        <f>B72+B76</f>
        <v>2071.1000000000004</v>
      </c>
      <c r="C38" s="86">
        <f>-C6/360*C42</f>
        <v>1047.196111111111</v>
      </c>
      <c r="D38" s="86">
        <f>-C42*(D6/360)</f>
        <v>1162.3876833333334</v>
      </c>
      <c r="E38" s="86">
        <f>-D42*(E6/360)</f>
        <v>1267.0025748333335</v>
      </c>
      <c r="F38" s="86">
        <f>-E42*(F6/360)</f>
        <v>1355.6927550716669</v>
      </c>
      <c r="G38" s="87">
        <f>-F42*(G6/360)</f>
        <v>1423.4773928252503</v>
      </c>
    </row>
    <row r="39" spans="1:11" ht="14.25">
      <c r="A39" s="70" t="s">
        <v>14</v>
      </c>
      <c r="B39" s="86">
        <f>B81+B86</f>
        <v>1519.9</v>
      </c>
      <c r="C39" s="86">
        <f>(-C6+C38-B38)/360*C41</f>
        <v>23.91803086419751</v>
      </c>
      <c r="D39" s="86">
        <f>(-D6-C38+D38)/360*C41</f>
        <v>61.3191500617284</v>
      </c>
      <c r="E39" s="86">
        <f>(-E6-D38+E38)/360*D41</f>
        <v>66.25609795000001</v>
      </c>
      <c r="F39" s="86">
        <f>(-F6-E38+F38)/360*E41</f>
        <v>70.24825387131483</v>
      </c>
      <c r="G39" s="87">
        <f>(-G6-F38+G38)/360*F41</f>
        <v>73.05677624552872</v>
      </c>
      <c r="K39" s="7"/>
    </row>
    <row r="40" spans="1:7" ht="14.25">
      <c r="A40" s="70" t="s">
        <v>16</v>
      </c>
      <c r="B40" s="86">
        <v>80</v>
      </c>
      <c r="C40" s="86">
        <f>B40</f>
        <v>80</v>
      </c>
      <c r="D40" s="86">
        <f aca="true" t="shared" si="2" ref="C40:G42">C40</f>
        <v>80</v>
      </c>
      <c r="E40" s="86">
        <f t="shared" si="2"/>
        <v>80</v>
      </c>
      <c r="F40" s="86">
        <f t="shared" si="2"/>
        <v>80</v>
      </c>
      <c r="G40" s="87">
        <f t="shared" si="2"/>
        <v>80</v>
      </c>
    </row>
    <row r="41" spans="1:7" ht="14.25">
      <c r="A41" s="70" t="s">
        <v>17</v>
      </c>
      <c r="B41" s="86">
        <v>10</v>
      </c>
      <c r="C41" s="86">
        <f t="shared" si="2"/>
        <v>10</v>
      </c>
      <c r="D41" s="86">
        <f t="shared" si="2"/>
        <v>10</v>
      </c>
      <c r="E41" s="86">
        <f t="shared" si="2"/>
        <v>10</v>
      </c>
      <c r="F41" s="86">
        <f t="shared" si="2"/>
        <v>10</v>
      </c>
      <c r="G41" s="87">
        <f t="shared" si="2"/>
        <v>10</v>
      </c>
    </row>
    <row r="42" spans="1:7" ht="15" thickBot="1">
      <c r="A42" s="74" t="s">
        <v>18</v>
      </c>
      <c r="B42" s="88">
        <v>200</v>
      </c>
      <c r="C42" s="88">
        <f t="shared" si="2"/>
        <v>200</v>
      </c>
      <c r="D42" s="88">
        <f t="shared" si="2"/>
        <v>200</v>
      </c>
      <c r="E42" s="88">
        <f t="shared" si="2"/>
        <v>200</v>
      </c>
      <c r="F42" s="88">
        <f t="shared" si="2"/>
        <v>200</v>
      </c>
      <c r="G42" s="89">
        <f t="shared" si="2"/>
        <v>200</v>
      </c>
    </row>
    <row r="43" spans="1:7" ht="15" thickBot="1">
      <c r="A43" s="35"/>
      <c r="B43" s="39"/>
      <c r="C43" s="39"/>
      <c r="D43" s="39"/>
      <c r="E43" s="39"/>
      <c r="F43" s="39"/>
      <c r="G43" s="39"/>
    </row>
    <row r="44" spans="1:8" ht="14.25">
      <c r="A44" s="69" t="s">
        <v>44</v>
      </c>
      <c r="B44" s="58">
        <v>0</v>
      </c>
      <c r="C44" s="59">
        <v>1</v>
      </c>
      <c r="D44" s="59">
        <v>2</v>
      </c>
      <c r="E44" s="59">
        <v>3</v>
      </c>
      <c r="F44" s="59">
        <v>4</v>
      </c>
      <c r="G44" s="60">
        <v>5</v>
      </c>
      <c r="H44" s="66"/>
    </row>
    <row r="45" spans="1:8" ht="14.25">
      <c r="A45" s="10" t="s">
        <v>45</v>
      </c>
      <c r="B45" s="81">
        <f>NPV(12.5%,$C$20:$G$20)</f>
        <v>2949.2209699279533</v>
      </c>
      <c r="C45" s="81"/>
      <c r="D45" s="81"/>
      <c r="E45" s="81"/>
      <c r="F45" s="81"/>
      <c r="G45" s="81"/>
      <c r="H45" s="67"/>
    </row>
    <row r="46" spans="1:8" ht="14.25">
      <c r="A46" s="10" t="s">
        <v>46</v>
      </c>
      <c r="B46" s="86">
        <f>B82</f>
        <v>605.3000000000001</v>
      </c>
      <c r="C46" s="86"/>
      <c r="D46" s="86"/>
      <c r="E46" s="86"/>
      <c r="F46" s="86"/>
      <c r="G46" s="86"/>
      <c r="H46" s="67"/>
    </row>
    <row r="47" spans="1:8" ht="14.25">
      <c r="A47" s="10" t="s">
        <v>47</v>
      </c>
      <c r="B47" s="86">
        <f>B85</f>
        <v>593.6</v>
      </c>
      <c r="C47" s="86"/>
      <c r="D47" s="86"/>
      <c r="E47" s="86"/>
      <c r="F47" s="86"/>
      <c r="G47" s="86"/>
      <c r="H47" s="67"/>
    </row>
    <row r="48" spans="1:8" ht="14.25">
      <c r="A48" s="10" t="s">
        <v>48</v>
      </c>
      <c r="B48" s="90"/>
      <c r="C48" s="86"/>
      <c r="D48" s="86"/>
      <c r="E48" s="86"/>
      <c r="F48" s="86"/>
      <c r="G48" s="86"/>
      <c r="H48" s="67"/>
    </row>
    <row r="49" spans="1:8" ht="15" thickBot="1">
      <c r="A49" s="13" t="s">
        <v>49</v>
      </c>
      <c r="B49" s="88"/>
      <c r="C49" s="88"/>
      <c r="D49" s="88"/>
      <c r="E49" s="88"/>
      <c r="F49" s="88"/>
      <c r="G49" s="88"/>
      <c r="H49" s="68"/>
    </row>
    <row r="50" spans="1:7" ht="15" thickBot="1">
      <c r="A50" s="91"/>
      <c r="B50" s="8"/>
      <c r="C50" s="40"/>
      <c r="D50" s="40"/>
      <c r="E50" s="40"/>
      <c r="F50" s="40"/>
      <c r="G50" s="40"/>
    </row>
    <row r="51" spans="1:7" ht="14.25">
      <c r="A51" s="69" t="s">
        <v>50</v>
      </c>
      <c r="B51" s="58">
        <v>0</v>
      </c>
      <c r="C51" s="59">
        <v>1</v>
      </c>
      <c r="D51" s="59">
        <v>2</v>
      </c>
      <c r="E51" s="59">
        <v>3</v>
      </c>
      <c r="F51" s="59">
        <v>4</v>
      </c>
      <c r="G51" s="60">
        <v>5</v>
      </c>
    </row>
    <row r="52" spans="1:7" s="41" customFormat="1" ht="14.25">
      <c r="A52" s="29" t="s">
        <v>51</v>
      </c>
      <c r="B52" s="21"/>
      <c r="C52" s="86"/>
      <c r="D52" s="86"/>
      <c r="E52" s="86"/>
      <c r="F52" s="86"/>
      <c r="G52" s="86"/>
    </row>
    <row r="53" spans="1:7" s="41" customFormat="1" ht="14.25">
      <c r="A53" s="29" t="s">
        <v>52</v>
      </c>
      <c r="B53" s="21"/>
      <c r="C53" s="86"/>
      <c r="D53" s="86"/>
      <c r="E53" s="86"/>
      <c r="F53" s="86"/>
      <c r="G53" s="86"/>
    </row>
    <row r="54" spans="1:7" s="41" customFormat="1" ht="14.25">
      <c r="A54" s="29" t="s">
        <v>53</v>
      </c>
      <c r="B54" s="21"/>
      <c r="C54" s="86"/>
      <c r="D54" s="86"/>
      <c r="E54" s="86"/>
      <c r="F54" s="86"/>
      <c r="G54" s="86"/>
    </row>
    <row r="55" spans="1:7" s="41" customFormat="1" ht="14.25">
      <c r="A55" s="29" t="s">
        <v>3</v>
      </c>
      <c r="B55" s="21"/>
      <c r="C55" s="86"/>
      <c r="D55" s="86"/>
      <c r="E55" s="86"/>
      <c r="F55" s="86"/>
      <c r="G55" s="86"/>
    </row>
    <row r="56" spans="1:7" s="34" customFormat="1" ht="15" thickBot="1">
      <c r="A56" s="13" t="s">
        <v>54</v>
      </c>
      <c r="B56" s="71"/>
      <c r="C56" s="72"/>
      <c r="D56" s="72"/>
      <c r="E56" s="72"/>
      <c r="F56" s="72"/>
      <c r="G56" s="72"/>
    </row>
    <row r="57" spans="1:7" s="34" customFormat="1" ht="15" thickBot="1">
      <c r="A57" s="91"/>
      <c r="B57" s="112"/>
      <c r="C57" s="112"/>
      <c r="D57" s="112"/>
      <c r="E57" s="112"/>
      <c r="F57" s="112"/>
      <c r="G57" s="112"/>
    </row>
    <row r="58" spans="1:7" s="34" customFormat="1" ht="15" thickBot="1">
      <c r="A58" s="56" t="s">
        <v>55</v>
      </c>
      <c r="B58" s="58">
        <v>0</v>
      </c>
      <c r="C58" s="59">
        <v>1</v>
      </c>
      <c r="D58" s="59">
        <v>2</v>
      </c>
      <c r="E58" s="59">
        <v>3</v>
      </c>
      <c r="F58" s="59">
        <v>4</v>
      </c>
      <c r="G58" s="60">
        <v>5</v>
      </c>
    </row>
    <row r="59" spans="1:7" s="34" customFormat="1" ht="14.25">
      <c r="A59" s="113" t="s">
        <v>56</v>
      </c>
      <c r="B59" s="54"/>
      <c r="C59" s="55"/>
      <c r="D59" s="55"/>
      <c r="E59" s="55"/>
      <c r="F59" s="55"/>
      <c r="G59" s="55"/>
    </row>
    <row r="60" spans="1:7" s="34" customFormat="1" ht="14.25">
      <c r="A60" s="114" t="s">
        <v>57</v>
      </c>
      <c r="B60" s="43"/>
      <c r="C60" s="36"/>
      <c r="D60" s="36"/>
      <c r="E60" s="36"/>
      <c r="F60" s="36"/>
      <c r="G60" s="36"/>
    </row>
    <row r="61" spans="1:7" s="41" customFormat="1" ht="14.25">
      <c r="A61" s="115" t="s">
        <v>58</v>
      </c>
      <c r="B61" s="21"/>
      <c r="C61" s="86"/>
      <c r="D61" s="86"/>
      <c r="E61" s="86"/>
      <c r="F61" s="86"/>
      <c r="G61" s="86"/>
    </row>
    <row r="62" spans="1:7" s="41" customFormat="1" ht="14.25">
      <c r="A62" s="6" t="s">
        <v>59</v>
      </c>
      <c r="B62" s="21"/>
      <c r="C62" s="86"/>
      <c r="D62" s="86"/>
      <c r="E62" s="86"/>
      <c r="F62" s="86"/>
      <c r="G62" s="86"/>
    </row>
    <row r="63" spans="1:7" s="41" customFormat="1" ht="14.25">
      <c r="A63" s="6" t="s">
        <v>60</v>
      </c>
      <c r="B63" s="21"/>
      <c r="C63" s="86"/>
      <c r="D63" s="86"/>
      <c r="E63" s="86"/>
      <c r="F63" s="86"/>
      <c r="G63" s="86"/>
    </row>
    <row r="64" spans="1:7" s="41" customFormat="1" ht="15" thickBot="1">
      <c r="A64" s="116" t="s">
        <v>61</v>
      </c>
      <c r="B64" s="117"/>
      <c r="C64" s="63"/>
      <c r="D64" s="63"/>
      <c r="E64" s="63"/>
      <c r="F64" s="63"/>
      <c r="G64" s="63"/>
    </row>
    <row r="65" spans="1:7" s="34" customFormat="1" ht="15" thickBot="1">
      <c r="A65" s="118" t="s">
        <v>62</v>
      </c>
      <c r="B65" s="64">
        <f>B70</f>
        <v>978.9</v>
      </c>
      <c r="C65" s="65"/>
      <c r="D65" s="65"/>
      <c r="E65" s="65"/>
      <c r="F65" s="65"/>
      <c r="G65" s="65"/>
    </row>
    <row r="66" spans="2:7" ht="15" thickBot="1">
      <c r="B66" s="45"/>
      <c r="C66" s="45"/>
      <c r="D66" s="45"/>
      <c r="E66" s="45"/>
      <c r="F66" s="45"/>
      <c r="G66" s="45"/>
    </row>
    <row r="67" spans="1:7" s="34" customFormat="1" ht="14.25">
      <c r="A67" s="57" t="s">
        <v>63</v>
      </c>
      <c r="B67" s="58">
        <v>0</v>
      </c>
      <c r="C67" s="59">
        <v>1</v>
      </c>
      <c r="D67" s="59">
        <v>2</v>
      </c>
      <c r="E67" s="59">
        <v>3</v>
      </c>
      <c r="F67" s="59">
        <v>4</v>
      </c>
      <c r="G67" s="60">
        <v>5</v>
      </c>
    </row>
    <row r="68" spans="1:7" s="34" customFormat="1" ht="14.25">
      <c r="A68" s="10" t="s">
        <v>64</v>
      </c>
      <c r="B68" s="36">
        <f>B69+B74</f>
        <v>4236.6</v>
      </c>
      <c r="C68" s="119"/>
      <c r="D68" s="119"/>
      <c r="E68" s="119"/>
      <c r="F68" s="119"/>
      <c r="G68" s="119"/>
    </row>
    <row r="69" spans="1:7" ht="14.25">
      <c r="A69" s="120" t="s">
        <v>65</v>
      </c>
      <c r="B69" s="86">
        <f>B70+B71+B72</f>
        <v>2758.9</v>
      </c>
      <c r="C69" s="86"/>
      <c r="D69" s="86"/>
      <c r="E69" s="86"/>
      <c r="F69" s="86"/>
      <c r="G69" s="86"/>
    </row>
    <row r="70" spans="1:7" ht="14.25">
      <c r="A70" s="121" t="s">
        <v>66</v>
      </c>
      <c r="B70" s="123">
        <v>978.9</v>
      </c>
      <c r="C70" s="86"/>
      <c r="D70" s="86"/>
      <c r="E70" s="86"/>
      <c r="F70" s="86"/>
      <c r="G70" s="86"/>
    </row>
    <row r="71" spans="1:7" s="124" customFormat="1" ht="14.25">
      <c r="A71" s="122" t="s">
        <v>67</v>
      </c>
      <c r="B71" s="123">
        <v>656.6</v>
      </c>
      <c r="C71" s="123"/>
      <c r="D71" s="123"/>
      <c r="E71" s="123"/>
      <c r="F71" s="123"/>
      <c r="G71" s="123"/>
    </row>
    <row r="72" spans="1:7" s="124" customFormat="1" ht="14.25">
      <c r="A72" s="122" t="s">
        <v>84</v>
      </c>
      <c r="B72" s="123">
        <f>777.7+345.7</f>
        <v>1123.4</v>
      </c>
      <c r="C72" s="123"/>
      <c r="D72" s="123"/>
      <c r="E72" s="123"/>
      <c r="F72" s="123"/>
      <c r="G72" s="123"/>
    </row>
    <row r="73" spans="1:7" ht="14.25">
      <c r="A73" s="48"/>
      <c r="B73" s="86"/>
      <c r="C73" s="86"/>
      <c r="D73" s="86"/>
      <c r="E73" s="86"/>
      <c r="F73" s="86"/>
      <c r="G73" s="87"/>
    </row>
    <row r="74" spans="1:7" s="127" customFormat="1" ht="14.25">
      <c r="A74" s="125" t="s">
        <v>68</v>
      </c>
      <c r="B74" s="126">
        <f>B75+B76+B77</f>
        <v>1477.7</v>
      </c>
      <c r="C74" s="126"/>
      <c r="D74" s="126"/>
      <c r="E74" s="126"/>
      <c r="F74" s="126"/>
      <c r="G74" s="126"/>
    </row>
    <row r="75" spans="1:7" ht="14.25">
      <c r="A75" s="121" t="s">
        <v>69</v>
      </c>
      <c r="B75" s="86">
        <f>21.2+122</f>
        <v>143.2</v>
      </c>
      <c r="C75" s="86"/>
      <c r="D75" s="86"/>
      <c r="E75" s="86"/>
      <c r="F75" s="86"/>
      <c r="G75" s="86"/>
    </row>
    <row r="76" spans="1:7" ht="14.25">
      <c r="A76" s="121" t="s">
        <v>83</v>
      </c>
      <c r="B76" s="86">
        <f>905.7+42</f>
        <v>947.7</v>
      </c>
      <c r="C76" s="86"/>
      <c r="D76" s="86"/>
      <c r="E76" s="86"/>
      <c r="F76" s="86"/>
      <c r="G76" s="86"/>
    </row>
    <row r="77" spans="1:7" ht="14.25">
      <c r="A77" s="121" t="s">
        <v>67</v>
      </c>
      <c r="B77" s="86">
        <f>348.8+38</f>
        <v>386.8</v>
      </c>
      <c r="C77" s="86"/>
      <c r="D77" s="86"/>
      <c r="E77" s="86"/>
      <c r="F77" s="86"/>
      <c r="G77" s="86"/>
    </row>
    <row r="78" spans="1:7" ht="14.25">
      <c r="A78" s="48"/>
      <c r="B78" s="86"/>
      <c r="C78" s="86"/>
      <c r="D78" s="86"/>
      <c r="E78" s="86"/>
      <c r="F78" s="86"/>
      <c r="G78" s="87"/>
    </row>
    <row r="79" spans="1:7" s="34" customFormat="1" ht="14.25">
      <c r="A79" s="49" t="s">
        <v>70</v>
      </c>
      <c r="B79" s="36">
        <f>B80+B84+B88</f>
        <v>4236.4</v>
      </c>
      <c r="C79" s="119"/>
      <c r="D79" s="119"/>
      <c r="E79" s="119"/>
      <c r="F79" s="119"/>
      <c r="G79" s="119"/>
    </row>
    <row r="80" spans="1:7" ht="14.25">
      <c r="A80" s="50" t="s">
        <v>71</v>
      </c>
      <c r="B80" s="86">
        <f>B81+B82</f>
        <v>1216.5</v>
      </c>
      <c r="C80" s="86"/>
      <c r="D80" s="86"/>
      <c r="E80" s="86"/>
      <c r="F80" s="86"/>
      <c r="G80" s="86"/>
    </row>
    <row r="81" spans="1:7" s="124" customFormat="1" ht="14.25">
      <c r="A81" s="128" t="s">
        <v>72</v>
      </c>
      <c r="B81" s="123">
        <f>38.2+55.9+23.6+493.5</f>
        <v>611.2</v>
      </c>
      <c r="C81" s="123"/>
      <c r="D81" s="123"/>
      <c r="E81" s="123"/>
      <c r="F81" s="123"/>
      <c r="G81" s="123"/>
    </row>
    <row r="82" spans="1:7" ht="14.25">
      <c r="A82" s="51" t="s">
        <v>73</v>
      </c>
      <c r="B82" s="123">
        <f>599.7+5.6</f>
        <v>605.3000000000001</v>
      </c>
      <c r="C82" s="86"/>
      <c r="D82" s="86"/>
      <c r="E82" s="86"/>
      <c r="F82" s="86"/>
      <c r="G82" s="86"/>
    </row>
    <row r="83" spans="1:7" ht="14.25">
      <c r="A83" s="48"/>
      <c r="B83" s="86"/>
      <c r="C83" s="86"/>
      <c r="D83" s="86"/>
      <c r="E83" s="86"/>
      <c r="F83" s="86"/>
      <c r="G83" s="87"/>
    </row>
    <row r="84" spans="1:7" ht="14.25">
      <c r="A84" s="50" t="s">
        <v>74</v>
      </c>
      <c r="B84" s="86">
        <f>B85+B86</f>
        <v>1502.3000000000002</v>
      </c>
      <c r="C84" s="86"/>
      <c r="D84" s="86"/>
      <c r="E84" s="86"/>
      <c r="F84" s="86"/>
      <c r="G84" s="86"/>
    </row>
    <row r="85" spans="1:7" ht="14.25">
      <c r="A85" s="51" t="s">
        <v>73</v>
      </c>
      <c r="B85" s="86">
        <f>36.1+557.5</f>
        <v>593.6</v>
      </c>
      <c r="C85" s="86"/>
      <c r="D85" s="86"/>
      <c r="E85" s="86"/>
      <c r="F85" s="86"/>
      <c r="G85" s="86"/>
    </row>
    <row r="86" spans="1:7" ht="14.25">
      <c r="A86" s="51" t="s">
        <v>72</v>
      </c>
      <c r="B86" s="86">
        <f>15.7+893</f>
        <v>908.7</v>
      </c>
      <c r="C86" s="86"/>
      <c r="D86" s="86"/>
      <c r="E86" s="86"/>
      <c r="F86" s="86"/>
      <c r="G86" s="86"/>
    </row>
    <row r="87" spans="1:7" ht="14.25">
      <c r="A87" s="48"/>
      <c r="B87" s="86"/>
      <c r="C87" s="86"/>
      <c r="D87" s="86"/>
      <c r="E87" s="86"/>
      <c r="F87" s="86"/>
      <c r="G87" s="87"/>
    </row>
    <row r="88" spans="1:7" ht="14.25">
      <c r="A88" s="50" t="s">
        <v>75</v>
      </c>
      <c r="B88" s="86">
        <f>B89+B90</f>
        <v>1517.6</v>
      </c>
      <c r="C88" s="86"/>
      <c r="D88" s="86"/>
      <c r="E88" s="86"/>
      <c r="F88" s="86"/>
      <c r="G88" s="86"/>
    </row>
    <row r="89" spans="1:7" ht="14.25">
      <c r="A89" s="51" t="s">
        <v>76</v>
      </c>
      <c r="B89" s="86">
        <v>1517.6</v>
      </c>
      <c r="C89" s="86"/>
      <c r="D89" s="86"/>
      <c r="E89" s="86"/>
      <c r="F89" s="86"/>
      <c r="G89" s="86"/>
    </row>
    <row r="90" spans="1:7" ht="15" thickBot="1">
      <c r="A90" s="52" t="s">
        <v>77</v>
      </c>
      <c r="B90" s="88">
        <v>0</v>
      </c>
      <c r="C90" s="88">
        <f>C56</f>
        <v>0</v>
      </c>
      <c r="D90" s="88">
        <f>C90+D56</f>
        <v>0</v>
      </c>
      <c r="E90" s="88">
        <f>D90+E56</f>
        <v>0</v>
      </c>
      <c r="F90" s="88">
        <f>E90+F56</f>
        <v>0</v>
      </c>
      <c r="G90" s="88">
        <f>F90+G56</f>
        <v>0</v>
      </c>
    </row>
    <row r="91" spans="3:8" ht="15" thickBot="1">
      <c r="C91" s="45"/>
      <c r="D91" s="45"/>
      <c r="E91" s="45"/>
      <c r="F91" s="45"/>
      <c r="G91" s="45"/>
      <c r="H91" s="45"/>
    </row>
    <row r="92" spans="1:8" ht="26.25">
      <c r="A92" s="104" t="s">
        <v>78</v>
      </c>
      <c r="B92" s="58">
        <v>0</v>
      </c>
      <c r="C92" s="59">
        <v>1</v>
      </c>
      <c r="D92" s="59">
        <v>2</v>
      </c>
      <c r="E92" s="59">
        <v>3</v>
      </c>
      <c r="F92" s="59">
        <v>4</v>
      </c>
      <c r="G92" s="60">
        <v>5</v>
      </c>
      <c r="H92" s="45"/>
    </row>
    <row r="93" spans="1:8" ht="14.25">
      <c r="A93" s="6" t="s">
        <v>79</v>
      </c>
      <c r="B93" s="21"/>
      <c r="C93" s="21"/>
      <c r="D93" s="21"/>
      <c r="E93" s="21"/>
      <c r="F93" s="21"/>
      <c r="G93" s="21"/>
      <c r="H93" s="45"/>
    </row>
    <row r="94" spans="1:8" ht="14.25">
      <c r="A94" s="6" t="s">
        <v>80</v>
      </c>
      <c r="B94" s="38"/>
      <c r="C94" s="90"/>
      <c r="D94" s="90"/>
      <c r="E94" s="90"/>
      <c r="F94" s="90"/>
      <c r="G94" s="90"/>
      <c r="H94" s="45"/>
    </row>
    <row r="95" spans="1:8" ht="14.25">
      <c r="A95" s="6" t="s">
        <v>81</v>
      </c>
      <c r="B95" s="38"/>
      <c r="C95" s="90"/>
      <c r="D95" s="90"/>
      <c r="E95" s="90"/>
      <c r="F95" s="90"/>
      <c r="G95" s="90"/>
      <c r="H95" s="45"/>
    </row>
    <row r="96" spans="1:8" ht="14.25">
      <c r="A96" s="6" t="s">
        <v>82</v>
      </c>
      <c r="B96" s="38"/>
      <c r="C96" s="38"/>
      <c r="D96" s="38"/>
      <c r="E96" s="38"/>
      <c r="F96" s="38"/>
      <c r="G96" s="92"/>
      <c r="H96" s="45"/>
    </row>
    <row r="97" spans="1:8" ht="14.25">
      <c r="A97" s="93"/>
      <c r="G97" s="7"/>
      <c r="H97" s="45"/>
    </row>
    <row r="98" spans="1:8" ht="15" thickBot="1">
      <c r="A98" s="91"/>
      <c r="H98" s="45"/>
    </row>
    <row r="99" spans="6:8" ht="15" thickBot="1">
      <c r="F99" s="94"/>
      <c r="G99" s="94"/>
      <c r="H99" s="45"/>
    </row>
    <row r="100" spans="5:8" ht="15" thickBot="1">
      <c r="E100" s="95"/>
      <c r="F100" s="96"/>
      <c r="G100" s="97"/>
      <c r="H100" s="45"/>
    </row>
    <row r="101" spans="4:8" ht="18.75" thickBot="1">
      <c r="D101" s="94"/>
      <c r="E101" s="98"/>
      <c r="F101" s="99"/>
      <c r="H101" s="45"/>
    </row>
    <row r="102" spans="4:8" ht="18.75" thickBot="1">
      <c r="D102" s="100"/>
      <c r="E102" s="101"/>
      <c r="F102" s="94"/>
      <c r="H102" s="45"/>
    </row>
    <row r="103" spans="5:8" ht="15" thickBot="1">
      <c r="E103" s="94"/>
      <c r="F103" s="96"/>
      <c r="H103" s="45"/>
    </row>
    <row r="104" spans="5:6" ht="18.75" thickBot="1">
      <c r="E104" s="102"/>
      <c r="F104" s="99"/>
    </row>
    <row r="105" ht="14.25">
      <c r="F105" s="95"/>
    </row>
    <row r="106" ht="15" thickBot="1">
      <c r="F106" s="103"/>
    </row>
    <row r="107" spans="3:7" ht="15" thickBot="1">
      <c r="C107" s="45"/>
      <c r="D107" s="45"/>
      <c r="E107" s="45"/>
      <c r="F107" s="45"/>
      <c r="G107" s="45"/>
    </row>
    <row r="108" spans="1:7" ht="15" thickBot="1">
      <c r="A108" s="56"/>
      <c r="B108" s="58"/>
      <c r="C108" s="59"/>
      <c r="D108" s="59"/>
      <c r="E108" s="59"/>
      <c r="F108" s="59"/>
      <c r="G108" s="60"/>
    </row>
    <row r="109" spans="1:7" ht="14.25">
      <c r="A109" s="53"/>
      <c r="B109" s="54"/>
      <c r="C109" s="55"/>
      <c r="D109" s="55"/>
      <c r="E109" s="55"/>
      <c r="F109" s="55"/>
      <c r="G109" s="55"/>
    </row>
    <row r="110" spans="1:7" ht="14.25">
      <c r="A110" s="44"/>
      <c r="B110" s="42"/>
      <c r="C110" s="37"/>
      <c r="D110" s="37"/>
      <c r="E110" s="37"/>
      <c r="F110" s="37"/>
      <c r="G110" s="37"/>
    </row>
    <row r="111" spans="1:7" ht="14.25">
      <c r="A111" s="18"/>
      <c r="B111" s="42"/>
      <c r="C111" s="37"/>
      <c r="D111" s="37"/>
      <c r="E111" s="37"/>
      <c r="F111" s="37"/>
      <c r="G111" s="37"/>
    </row>
    <row r="112" spans="1:7" ht="14.25">
      <c r="A112" s="18"/>
      <c r="B112" s="42"/>
      <c r="C112" s="37"/>
      <c r="D112" s="37"/>
      <c r="E112" s="37"/>
      <c r="F112" s="37"/>
      <c r="G112" s="37"/>
    </row>
    <row r="113" spans="1:7" ht="14.25">
      <c r="A113" s="61"/>
      <c r="B113" s="62"/>
      <c r="C113" s="37"/>
      <c r="D113" s="37"/>
      <c r="E113" s="37"/>
      <c r="F113" s="37"/>
      <c r="G113" s="37"/>
    </row>
  </sheetData>
  <sheetProtection/>
  <mergeCells count="2">
    <mergeCell ref="A2:A3"/>
    <mergeCell ref="B2:G2"/>
  </mergeCells>
  <printOptions/>
  <pageMargins left="0.51" right="0.51" top="0.7900000000000001" bottom="0.7900000000000001" header="0.31" footer="0.31"/>
  <pageSetup fitToHeight="1" fitToWidth="1" horizontalDpi="300" verticalDpi="300" orientation="landscape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6.57421875" style="0" customWidth="1"/>
    <col min="2" max="2" width="9.421875" style="0" bestFit="1" customWidth="1"/>
    <col min="3" max="3" width="10.140625" style="0" bestFit="1" customWidth="1"/>
    <col min="4" max="4" width="9.140625" style="0" bestFit="1" customWidth="1"/>
    <col min="5" max="6" width="10.140625" style="0" bestFit="1" customWidth="1"/>
    <col min="7" max="7" width="11.57421875" style="0" bestFit="1" customWidth="1"/>
    <col min="10" max="10" width="9.421875" style="0" bestFit="1" customWidth="1"/>
  </cols>
  <sheetData>
    <row r="2" spans="1:15" s="34" customFormat="1" ht="14.25">
      <c r="A2" s="34" t="s">
        <v>34</v>
      </c>
      <c r="B2" s="34">
        <v>0</v>
      </c>
      <c r="C2" s="34">
        <v>1</v>
      </c>
      <c r="D2" s="34">
        <v>2</v>
      </c>
      <c r="E2" s="34">
        <v>3</v>
      </c>
      <c r="F2" s="34">
        <v>4</v>
      </c>
      <c r="G2" s="34">
        <v>5</v>
      </c>
      <c r="J2" s="34">
        <v>0</v>
      </c>
      <c r="K2" s="34">
        <v>1</v>
      </c>
      <c r="L2" s="34">
        <v>2</v>
      </c>
      <c r="M2" s="34">
        <v>3</v>
      </c>
      <c r="N2" s="34">
        <v>4</v>
      </c>
      <c r="O2" s="34">
        <v>5</v>
      </c>
    </row>
    <row r="3" spans="1:15" ht="14.25">
      <c r="A3" t="str">
        <f>'Fl Cx Descontado'!A18</f>
        <v>(=) Fl. Caixa</v>
      </c>
      <c r="B3" s="105">
        <f>'Fl Cx Descontado'!B18</f>
        <v>0</v>
      </c>
      <c r="C3" s="105">
        <f>'Fl Cx Descontado'!C18</f>
        <v>290.1830169753095</v>
      </c>
      <c r="D3" s="105">
        <f>'Fl Cx Descontado'!D18</f>
        <v>205.53594266975273</v>
      </c>
      <c r="E3" s="105">
        <f>'Fl Cx Descontado'!E18</f>
        <v>206.85762710177153</v>
      </c>
      <c r="F3" s="105">
        <f>'Fl Cx Descontado'!F18</f>
        <v>250.99430788507345</v>
      </c>
      <c r="G3" s="105">
        <f>'Fl Cx Descontado'!G18</f>
        <v>303.20098633905786</v>
      </c>
      <c r="J3" s="105"/>
      <c r="K3" s="105">
        <v>762.1614259259259</v>
      </c>
      <c r="L3" s="105">
        <v>-37.990242037037035</v>
      </c>
      <c r="M3" s="105">
        <v>-61.68434950185167</v>
      </c>
      <c r="N3" s="105">
        <v>17.727468344259478</v>
      </c>
      <c r="O3" s="105">
        <v>94.96990996869414</v>
      </c>
    </row>
    <row r="4" spans="1:15" ht="14.25">
      <c r="A4" t="str">
        <f>'Fl Cx Descontado'!A19</f>
        <v>Perpetuidade</v>
      </c>
      <c r="B4" s="105"/>
      <c r="C4" s="105"/>
      <c r="D4" s="105"/>
      <c r="E4" s="105"/>
      <c r="F4" s="105"/>
      <c r="G4" s="105">
        <f>G3*1.03/(0.1093-0.03)</f>
        <v>3938.171701503526</v>
      </c>
      <c r="J4" s="105"/>
      <c r="K4" s="105"/>
      <c r="L4" s="105"/>
      <c r="M4" s="105"/>
      <c r="N4" s="105"/>
      <c r="O4" s="105">
        <f>O3*1.035/(0.096-0.035)</f>
        <v>1611.374701927843</v>
      </c>
    </row>
    <row r="5" spans="1:15" ht="14.25">
      <c r="A5" t="str">
        <f>'Fl Cx Descontado'!A20</f>
        <v>Fl Caixa Livre + Perpetuidade</v>
      </c>
      <c r="B5" s="105">
        <f>'Fl Cx Descontado'!B20</f>
        <v>0</v>
      </c>
      <c r="C5" s="105">
        <f>'Fl Cx Descontado'!C20</f>
        <v>290.1830169753095</v>
      </c>
      <c r="D5" s="105">
        <f>'Fl Cx Descontado'!D20</f>
        <v>205.53594266975273</v>
      </c>
      <c r="E5" s="105">
        <f>'Fl Cx Descontado'!E20</f>
        <v>206.85762710177153</v>
      </c>
      <c r="F5" s="105">
        <f>'Fl Cx Descontado'!F20</f>
        <v>250.99430788507345</v>
      </c>
      <c r="G5" s="105">
        <f>'Fl Cx Descontado'!G20</f>
        <v>4012.9542309581193</v>
      </c>
      <c r="J5" s="105"/>
      <c r="K5" s="105">
        <f>K3+K4</f>
        <v>762.1614259259259</v>
      </c>
      <c r="L5" s="105">
        <f>L3+L4</f>
        <v>-37.990242037037035</v>
      </c>
      <c r="M5" s="105">
        <f>M3+M4</f>
        <v>-61.68434950185167</v>
      </c>
      <c r="N5" s="105">
        <f>N3+N4</f>
        <v>17.727468344259478</v>
      </c>
      <c r="O5" s="105">
        <f>O3+O4</f>
        <v>1706.3446118965371</v>
      </c>
    </row>
    <row r="6" spans="1:10" ht="14.25">
      <c r="A6" t="str">
        <f>'Fl Cx Descontado'!A21</f>
        <v>Valor Presente=Enterprise Value</v>
      </c>
      <c r="B6" s="106">
        <f>NPV(10.93%,C5:G5)</f>
        <v>3134.93022824515</v>
      </c>
      <c r="J6" s="106">
        <f>NPV(9.6%,K5:O5)</f>
        <v>1708.1899061046881</v>
      </c>
    </row>
    <row r="7" spans="1:10" ht="14.25">
      <c r="A7" t="str">
        <f>'Fl Cx Descontado'!A22</f>
        <v>Dívida Líquida</v>
      </c>
      <c r="B7">
        <f>'Fl Cx Descontado'!B22</f>
        <v>220.0000000000001</v>
      </c>
      <c r="J7">
        <v>1200</v>
      </c>
    </row>
    <row r="8" spans="1:10" ht="14.25">
      <c r="A8" t="s">
        <v>39</v>
      </c>
      <c r="B8" s="106">
        <f>B6-B7</f>
        <v>2914.93022824515</v>
      </c>
      <c r="I8" t="s">
        <v>39</v>
      </c>
      <c r="J8" s="106">
        <f>J6-J7</f>
        <v>508.18990610468813</v>
      </c>
    </row>
    <row r="10" spans="1:15" ht="14.25">
      <c r="A10" s="34" t="s">
        <v>35</v>
      </c>
      <c r="B10" s="34">
        <v>0</v>
      </c>
      <c r="C10" s="34">
        <v>1</v>
      </c>
      <c r="D10" s="34">
        <v>2</v>
      </c>
      <c r="E10" s="34">
        <v>3</v>
      </c>
      <c r="F10" s="34">
        <v>4</v>
      </c>
      <c r="G10" s="34">
        <v>5</v>
      </c>
      <c r="J10" s="34">
        <v>0</v>
      </c>
      <c r="K10" s="34">
        <v>1</v>
      </c>
      <c r="L10" s="34">
        <v>2</v>
      </c>
      <c r="M10" s="34">
        <v>3</v>
      </c>
      <c r="N10" s="34">
        <v>4</v>
      </c>
      <c r="O10" s="34">
        <v>5</v>
      </c>
    </row>
    <row r="11" spans="1:15" ht="14.25">
      <c r="A11" t="s">
        <v>34</v>
      </c>
      <c r="C11" s="105">
        <f>C3</f>
        <v>290.1830169753095</v>
      </c>
      <c r="D11" s="105">
        <f>D3</f>
        <v>205.53594266975273</v>
      </c>
      <c r="E11" s="105">
        <f>E3</f>
        <v>206.85762710177153</v>
      </c>
      <c r="F11" s="105">
        <f>F3</f>
        <v>250.99430788507345</v>
      </c>
      <c r="G11" s="105">
        <f>G3</f>
        <v>303.20098633905786</v>
      </c>
      <c r="K11" s="105">
        <f>K3</f>
        <v>762.1614259259259</v>
      </c>
      <c r="L11" s="105">
        <f>L3</f>
        <v>-37.990242037037035</v>
      </c>
      <c r="M11" s="105">
        <f>M3</f>
        <v>-61.68434950185167</v>
      </c>
      <c r="N11" s="105">
        <f>N3</f>
        <v>17.727468344259478</v>
      </c>
      <c r="O11" s="105">
        <f>O3</f>
        <v>94.96990996869414</v>
      </c>
    </row>
    <row r="12" spans="1:15" ht="14.25">
      <c r="A12" t="s">
        <v>36</v>
      </c>
      <c r="C12" s="105">
        <f>-'Fl Cx Descontado'!C48*(1-0.34)</f>
        <v>0</v>
      </c>
      <c r="D12" s="105">
        <f>-'Fl Cx Descontado'!D48*(1-0.34)</f>
        <v>0</v>
      </c>
      <c r="E12" s="105">
        <f>-'Fl Cx Descontado'!E48*(1-0.34)</f>
        <v>0</v>
      </c>
      <c r="F12" s="105">
        <f>-'Fl Cx Descontado'!F48*(1-0.34)</f>
        <v>0</v>
      </c>
      <c r="G12" s="105">
        <f>-'Fl Cx Descontado'!G48*(1-0.34)</f>
        <v>0</v>
      </c>
      <c r="K12" s="105">
        <f>-154.762857494776*(1-34%)</f>
        <v>-102.14348594655215</v>
      </c>
      <c r="L12" s="105">
        <f>-100.31616556844*(1-34%)</f>
        <v>-66.2086692751704</v>
      </c>
      <c r="M12" s="105">
        <f>-113.437830416397*(134%)</f>
        <v>-152.006692757972</v>
      </c>
      <c r="N12" s="105">
        <f>-129.979812456262*(1-34%)</f>
        <v>-85.78667622113292</v>
      </c>
      <c r="O12" s="105">
        <f>-140.8889890286*(1-34%)</f>
        <v>-92.98673275887599</v>
      </c>
    </row>
    <row r="13" spans="1:15" ht="14.25">
      <c r="A13" t="s">
        <v>37</v>
      </c>
      <c r="C13" s="105">
        <f>'Fl Cx Descontado'!C49</f>
        <v>0</v>
      </c>
      <c r="D13" s="105">
        <f>'Fl Cx Descontado'!D49</f>
        <v>0</v>
      </c>
      <c r="E13" s="105">
        <f>'Fl Cx Descontado'!E49</f>
        <v>0</v>
      </c>
      <c r="F13" s="105">
        <f>'Fl Cx Descontado'!F49</f>
        <v>0</v>
      </c>
      <c r="G13" s="105">
        <f>'Fl Cx Descontado'!G49</f>
        <v>0</v>
      </c>
      <c r="J13" s="106"/>
      <c r="K13" s="105">
        <v>-388.90494233096797</v>
      </c>
      <c r="L13" s="105">
        <v>93.72617748540495</v>
      </c>
      <c r="M13" s="105">
        <v>118.15701457046748</v>
      </c>
      <c r="N13" s="105">
        <v>77.92268980241363</v>
      </c>
      <c r="O13" s="105">
        <v>35.22224725715</v>
      </c>
    </row>
    <row r="14" spans="1:15" s="34" customFormat="1" ht="14.25">
      <c r="A14" s="34" t="s">
        <v>38</v>
      </c>
      <c r="C14" s="107">
        <f>C11+C12+C13</f>
        <v>290.1830169753095</v>
      </c>
      <c r="D14" s="107">
        <f>D11+D12+D13</f>
        <v>205.53594266975273</v>
      </c>
      <c r="E14" s="107">
        <f>E11+E12+E13</f>
        <v>206.85762710177153</v>
      </c>
      <c r="F14" s="107">
        <f>F11+F12+F13</f>
        <v>250.99430788507345</v>
      </c>
      <c r="G14" s="107">
        <f>G11+G12+G13</f>
        <v>303.20098633905786</v>
      </c>
      <c r="K14" s="107">
        <f>K11+K12+K13</f>
        <v>271.1129976484058</v>
      </c>
      <c r="L14" s="107">
        <f>L11+L12+L13</f>
        <v>-10.472733826802482</v>
      </c>
      <c r="M14" s="107">
        <f>M11+M12+M13</f>
        <v>-95.53402768935618</v>
      </c>
      <c r="N14" s="107">
        <f>N11+N12+N13</f>
        <v>9.863481925540185</v>
      </c>
      <c r="O14" s="107">
        <f>O11+O12+O13</f>
        <v>37.205424466968154</v>
      </c>
    </row>
    <row r="15" spans="1:15" ht="14.25">
      <c r="A15" t="s">
        <v>23</v>
      </c>
      <c r="C15" s="105"/>
      <c r="D15" s="105"/>
      <c r="E15" s="105"/>
      <c r="F15" s="105"/>
      <c r="G15" s="105">
        <f>G14*(1+0.03)/(0.125-0.03)</f>
        <v>3287.337009781364</v>
      </c>
      <c r="K15" s="105"/>
      <c r="L15" s="105"/>
      <c r="M15" s="105"/>
      <c r="N15" s="105"/>
      <c r="O15" s="105">
        <f>O14*(1+0.035)/(0.1037-0.035)</f>
        <v>560.51840354166</v>
      </c>
    </row>
    <row r="16" spans="1:15" ht="14.25">
      <c r="A16" t="str">
        <f>'Fl Cx Descontado'!A33</f>
        <v>ATIVO LÍQUIDO IMOBILIZADO</v>
      </c>
      <c r="C16" s="45">
        <f>C14+C15</f>
        <v>290.1830169753095</v>
      </c>
      <c r="D16" s="45">
        <f>D14+D15</f>
        <v>205.53594266975273</v>
      </c>
      <c r="E16" s="45">
        <f>E14+E15</f>
        <v>206.85762710177153</v>
      </c>
      <c r="F16" s="45">
        <f>F14+F15</f>
        <v>250.99430788507345</v>
      </c>
      <c r="G16" s="45">
        <f>G14+G15</f>
        <v>3590.5379961204217</v>
      </c>
      <c r="K16" s="45">
        <f>K14+K15</f>
        <v>271.1129976484058</v>
      </c>
      <c r="L16" s="45">
        <f>L14+L15</f>
        <v>-10.472733826802482</v>
      </c>
      <c r="M16" s="45">
        <f>M14+M15</f>
        <v>-95.53402768935618</v>
      </c>
      <c r="N16" s="45">
        <f>N14+N15</f>
        <v>9.863481925540185</v>
      </c>
      <c r="O16" s="45">
        <f>O14+O15</f>
        <v>597.7238280086281</v>
      </c>
    </row>
    <row r="17" spans="1:10" ht="14.25">
      <c r="A17" t="s">
        <v>39</v>
      </c>
      <c r="B17" s="106">
        <f>NPV(0.125,C16:G16)</f>
        <v>2714.809969180071</v>
      </c>
      <c r="J17" s="106">
        <f>NPV(0.1037,K16:O16)</f>
        <v>537.5932912765796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liliamc</dc:creator>
  <cp:keywords/>
  <dc:description/>
  <cp:lastModifiedBy>XXXX</cp:lastModifiedBy>
  <cp:lastPrinted>2020-03-08T12:57:27Z</cp:lastPrinted>
  <dcterms:created xsi:type="dcterms:W3CDTF">2009-03-25T13:33:31Z</dcterms:created>
  <dcterms:modified xsi:type="dcterms:W3CDTF">2021-05-09T18:58:04Z</dcterms:modified>
  <cp:category/>
  <cp:version/>
  <cp:contentType/>
  <cp:contentStatus/>
</cp:coreProperties>
</file>