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60" tabRatio="904" activeTab="6"/>
  </bookViews>
  <sheets>
    <sheet name="Sensitivity Report 1" sheetId="1" r:id="rId1"/>
    <sheet name="Sensitivity Report 2" sheetId="2" r:id="rId2"/>
    <sheet name="QUESTÕES" sheetId="3" r:id="rId3"/>
    <sheet name="Consumo de materiais" sheetId="4" r:id="rId4"/>
    <sheet name="Custo de materiais" sheetId="5" r:id="rId5"/>
    <sheet name="Margem" sheetId="6" r:id="rId6"/>
    <sheet name="Resultado" sheetId="7" r:id="rId7"/>
    <sheet name="PED" sheetId="8" r:id="rId8"/>
  </sheets>
  <externalReferences>
    <externalReference r:id="rId11"/>
  </externalReferences>
  <definedNames>
    <definedName name="_xlnm.Print_Area" localSheetId="2">'QUESTÕES'!$A$1:$J$38</definedName>
    <definedName name="solver_adj" localSheetId="2" hidden="1">'QUESTÕES'!$J$4:$J$6</definedName>
    <definedName name="solver_cvg" localSheetId="2" hidden="1">0.00001</definedName>
    <definedName name="solver_drv" localSheetId="2" hidden="1">1</definedName>
    <definedName name="solver_eng" localSheetId="2" hidden="1">1</definedName>
    <definedName name="solver_est" localSheetId="2" hidden="1">1</definedName>
    <definedName name="solver_itr" localSheetId="2" hidden="1">100</definedName>
    <definedName name="solver_lhs1" localSheetId="2" hidden="1">'QUESTÕES'!$E$4:$E$9</definedName>
    <definedName name="solver_lhs2" localSheetId="2" hidden="1">'QUESTÕES'!$J$4:$J$6</definedName>
    <definedName name="solver_lhs3" localSheetId="2" hidden="1">'QUESTÕES'!$J$5</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3</definedName>
    <definedName name="solver_nwt" localSheetId="2" hidden="1">1</definedName>
    <definedName name="solver_opt" localSheetId="2" hidden="1">'QUESTÕES'!$H$27</definedName>
    <definedName name="solver_pre" localSheetId="2" hidden="1">0.00001</definedName>
    <definedName name="solver_rbv" localSheetId="2" hidden="1">1</definedName>
    <definedName name="solver_rel1" localSheetId="2" hidden="1">1</definedName>
    <definedName name="solver_rel2" localSheetId="2" hidden="1">3</definedName>
    <definedName name="solver_rel3" localSheetId="2" hidden="1">3</definedName>
    <definedName name="solver_rhs1" localSheetId="2" hidden="1">'QUESTÕES'!$D$4:$D$9</definedName>
    <definedName name="solver_rhs2" localSheetId="2" hidden="1">0</definedName>
    <definedName name="solver_rhs3" localSheetId="2" hidden="1">500</definedName>
    <definedName name="solver_rlx" localSheetId="2" hidden="1">1</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100</definedName>
    <definedName name="solver_tol" localSheetId="2" hidden="1">0.05</definedName>
    <definedName name="solver_typ" localSheetId="2" hidden="1">1</definedName>
    <definedName name="solver_val" localSheetId="2" hidden="1">0</definedName>
    <definedName name="solver_ver" localSheetId="2" hidden="1">2</definedName>
  </definedNames>
  <calcPr fullCalcOnLoad="1"/>
</workbook>
</file>

<file path=xl/sharedStrings.xml><?xml version="1.0" encoding="utf-8"?>
<sst xmlns="http://schemas.openxmlformats.org/spreadsheetml/2006/main" count="243" uniqueCount="151">
  <si>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</si>
  <si>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</si>
  <si>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</si>
  <si>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</si>
  <si>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</si>
  <si>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</si>
  <si>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</si>
  <si>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</si>
  <si>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</si>
  <si>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</si>
  <si>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</si>
  <si>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</si>
  <si>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</si>
  <si>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</si>
  <si>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</si>
  <si>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</si>
  <si>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</si>
  <si>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</si>
  <si>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</si>
  <si>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</si>
  <si>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</si>
  <si>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</si>
  <si>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</si>
  <si>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</si>
  <si>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</si>
  <si>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</si>
  <si>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</si>
  <si>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</si>
  <si>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</si>
  <si>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</si>
  <si>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</si>
  <si>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</si>
  <si>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</si>
  <si>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</si>
  <si>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</si>
  <si>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</si>
  <si>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</si>
  <si>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</si>
  <si>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</si>
  <si>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</si>
  <si>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</si>
  <si>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</si>
  <si>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</si>
  <si>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</si>
  <si>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</si>
  <si>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</si>
  <si>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</si>
  <si>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</si>
  <si>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</si>
  <si>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</si>
  <si>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</si>
  <si>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</si>
  <si>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</si>
  <si>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</si>
  <si>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</si>
  <si>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</si>
  <si>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</si>
  <si>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</si>
  <si>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</si>
  <si>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</si>
  <si>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</si>
  <si>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</si>
  <si>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</si>
  <si>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</si>
  <si>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</si>
  <si>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</si>
  <si>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</si>
  <si>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</si>
  <si>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</si>
  <si>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</si>
  <si>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</si>
  <si>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</si>
  <si>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</si>
  <si>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</si>
  <si>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</si>
  <si>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</si>
  <si>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</si>
  <si>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</si>
  <si>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</si>
  <si>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</si>
  <si>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</si>
  <si>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</si>
  <si>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</si>
  <si>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</si>
  <si>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</si>
  <si>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</si>
  <si>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</si>
  <si>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</si>
  <si>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</si>
  <si>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</si>
  <si>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</si>
  <si>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</si>
  <si>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</si>
  <si>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</si>
  <si>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</si>
  <si>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</si>
  <si>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</si>
  <si>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</si>
  <si>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</si>
  <si>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</si>
  <si>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</si>
  <si>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</si>
  <si>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</si>
  <si>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</si>
  <si>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</si>
  <si>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</si>
  <si>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</si>
  <si>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</si>
  <si>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</si>
  <si>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</si>
  <si>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</si>
  <si>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</si>
  <si>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</si>
  <si>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</si>
  <si>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</si>
  <si>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</si>
  <si>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5. Otimizar o mix, dadas restriçoes de matérias-primas</t>
  </si>
  <si>
    <t>T 1.1. - PIZZARIA preco dado (mercado) e otimizacao restr mp</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</si>
  <si>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</si>
  <si>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mc1.X1 + mc2*X2+mc3*X3</t>
  </si>
  <si>
    <t>FO</t>
  </si>
  <si>
    <t>s.a.</t>
  </si>
  <si>
    <t>X1.f1+X.f2+X.f3&lt;=F</t>
  </si>
  <si>
    <t>Microsoft Excel 16.35 Sensitivity Report</t>
  </si>
  <si>
    <t>Worksheet: [2. - PIZZARIA preco dado (mercado) e otimizacao restr mp.xls]QUESTÕES</t>
  </si>
  <si>
    <t>Report Created: 26/05/20 08:28:04</t>
  </si>
  <si>
    <t>Variable Cells</t>
  </si>
  <si>
    <t>Cell</t>
  </si>
  <si>
    <t>Name</t>
  </si>
  <si>
    <t>Final</t>
  </si>
  <si>
    <t>Value</t>
  </si>
  <si>
    <t>Reduced</t>
  </si>
  <si>
    <t>Gradient</t>
  </si>
  <si>
    <t>Constraints</t>
  </si>
  <si>
    <t>Lagrange</t>
  </si>
  <si>
    <t>Multiplier</t>
  </si>
  <si>
    <t>$J$4</t>
  </si>
  <si>
    <t>un. Quantidade</t>
  </si>
  <si>
    <t>$J$5</t>
  </si>
  <si>
    <t>$J$6</t>
  </si>
  <si>
    <t>$E$4</t>
  </si>
  <si>
    <t>kg utilizacao</t>
  </si>
  <si>
    <t>$E$5</t>
  </si>
  <si>
    <t>un. utilizacao</t>
  </si>
  <si>
    <t>$E$6</t>
  </si>
  <si>
    <t>L utilizacao</t>
  </si>
  <si>
    <t>$E$7</t>
  </si>
  <si>
    <t>$E$8</t>
  </si>
  <si>
    <t>$E$9</t>
  </si>
  <si>
    <t>Report Created: 26/05/20 08:30:00</t>
  </si>
  <si>
    <t xml:space="preserve">(=) LUCRO  DEPOIS DO IR </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</si>
</sst>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7">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b/>
      <sz val="10"/>
      <color indexed="1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6">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0" fillId="0" borderId="0" xfId="0" applyFont="1" applyAlignment="1">
      <alignment/>
    </xf>
    <xf numFmtId="0" fontId="17" fillId="44" borderId="0" xfId="0" applyFont="1" applyFill="1" applyAlignment="1">
      <alignment/>
    </xf>
    <xf numFmtId="0" fontId="1" fillId="0" borderId="0" xfId="0" applyFont="1" applyAlignment="1">
      <alignment/>
    </xf>
    <xf numFmtId="0" fontId="0" fillId="0" borderId="57" xfId="0" applyFill="1" applyBorder="1" applyAlignment="1">
      <alignment/>
    </xf>
    <xf numFmtId="0" fontId="0" fillId="0" borderId="58" xfId="0" applyFill="1" applyBorder="1" applyAlignment="1">
      <alignment/>
    </xf>
    <xf numFmtId="0" fontId="18" fillId="0" borderId="59" xfId="0" applyFont="1" applyFill="1" applyBorder="1" applyAlignment="1">
      <alignment horizontal="center"/>
    </xf>
    <xf numFmtId="0" fontId="18" fillId="0" borderId="60" xfId="0" applyFont="1" applyFill="1" applyBorder="1" applyAlignment="1">
      <alignment horizontal="center"/>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showGridLines="0" zoomScale="140" zoomScaleNormal="140" zoomScalePageLayoutView="0" workbookViewId="0" topLeftCell="A1">
      <selection activeCell="G21" sqref="G21"/>
    </sheetView>
  </sheetViews>
  <sheetFormatPr defaultColWidth="11.421875" defaultRowHeight="12.75"/>
  <cols>
    <col min="1" max="1" width="2.28125" style="0" customWidth="1"/>
    <col min="2" max="2" width="5.28125" style="0" bestFit="1" customWidth="1"/>
    <col min="3" max="3" width="13.28125" style="0" bestFit="1" customWidth="1"/>
    <col min="4" max="4" width="12.28125" style="0" bestFit="1" customWidth="1"/>
    <col min="5" max="5" width="12.140625" style="0" bestFit="1" customWidth="1"/>
  </cols>
  <sheetData>
    <row r="1" ht="12.75">
      <c r="A1" s="153" t="s">
        <v>123</v>
      </c>
    </row>
    <row r="2" ht="12.75">
      <c r="A2" s="153" t="s">
        <v>124</v>
      </c>
    </row>
    <row r="3" ht="12.75">
      <c r="A3" s="153" t="s">
        <v>125</v>
      </c>
    </row>
    <row r="6" ht="13.5" thickBot="1">
      <c r="A6" t="s">
        <v>126</v>
      </c>
    </row>
    <row r="7" spans="2:5" ht="12.75">
      <c r="B7" s="156"/>
      <c r="C7" s="156"/>
      <c r="D7" s="156" t="s">
        <v>129</v>
      </c>
      <c r="E7" s="156" t="s">
        <v>131</v>
      </c>
    </row>
    <row r="8" spans="2:5" ht="13.5" thickBot="1">
      <c r="B8" s="157" t="s">
        <v>127</v>
      </c>
      <c r="C8" s="157" t="s">
        <v>128</v>
      </c>
      <c r="D8" s="157" t="s">
        <v>130</v>
      </c>
      <c r="E8" s="157" t="s">
        <v>132</v>
      </c>
    </row>
    <row r="9" spans="2:5" ht="12.75">
      <c r="B9" s="154" t="s">
        <v>136</v>
      </c>
      <c r="C9" s="154" t="s">
        <v>137</v>
      </c>
      <c r="D9" s="154">
        <v>1000.0000000000005</v>
      </c>
      <c r="E9" s="154">
        <v>0</v>
      </c>
    </row>
    <row r="10" spans="2:5" ht="12.75">
      <c r="B10" s="154" t="s">
        <v>138</v>
      </c>
      <c r="C10" s="154" t="s">
        <v>137</v>
      </c>
      <c r="D10" s="154">
        <v>2.7284841053187847E-12</v>
      </c>
      <c r="E10" s="154">
        <v>0</v>
      </c>
    </row>
    <row r="11" spans="2:5" ht="13.5" thickBot="1">
      <c r="B11" s="155" t="s">
        <v>139</v>
      </c>
      <c r="C11" s="155" t="s">
        <v>137</v>
      </c>
      <c r="D11" s="155">
        <v>3999.9999999999964</v>
      </c>
      <c r="E11" s="155">
        <v>0</v>
      </c>
    </row>
    <row r="13" ht="13.5" thickBot="1">
      <c r="A13" t="s">
        <v>133</v>
      </c>
    </row>
    <row r="14" spans="2:5" ht="12.75">
      <c r="B14" s="156"/>
      <c r="C14" s="156"/>
      <c r="D14" s="156" t="s">
        <v>129</v>
      </c>
      <c r="E14" s="156" t="s">
        <v>134</v>
      </c>
    </row>
    <row r="15" spans="2:5" ht="13.5" thickBot="1">
      <c r="B15" s="157" t="s">
        <v>127</v>
      </c>
      <c r="C15" s="157" t="s">
        <v>128</v>
      </c>
      <c r="D15" s="157" t="s">
        <v>130</v>
      </c>
      <c r="E15" s="157" t="s">
        <v>135</v>
      </c>
    </row>
    <row r="16" spans="2:5" ht="12.75">
      <c r="B16" s="154" t="s">
        <v>140</v>
      </c>
      <c r="C16" s="154" t="s">
        <v>141</v>
      </c>
      <c r="D16" s="154">
        <v>2899.999999999999</v>
      </c>
      <c r="E16" s="154">
        <v>0</v>
      </c>
    </row>
    <row r="17" spans="2:5" ht="12.75">
      <c r="B17" s="154" t="s">
        <v>142</v>
      </c>
      <c r="C17" s="154" t="s">
        <v>143</v>
      </c>
      <c r="D17" s="154">
        <v>9000.000000000002</v>
      </c>
      <c r="E17" s="154">
        <v>0.21998977283399856</v>
      </c>
    </row>
    <row r="18" spans="2:5" ht="12.75">
      <c r="B18" s="154" t="s">
        <v>144</v>
      </c>
      <c r="C18" s="154" t="s">
        <v>145</v>
      </c>
      <c r="D18" s="154">
        <v>2000</v>
      </c>
      <c r="E18" s="154">
        <v>3.2000255202308985</v>
      </c>
    </row>
    <row r="19" spans="2:5" ht="12.75">
      <c r="B19" s="154" t="s">
        <v>146</v>
      </c>
      <c r="C19" s="154" t="s">
        <v>141</v>
      </c>
      <c r="D19" s="154">
        <v>1999.9999999999995</v>
      </c>
      <c r="E19" s="154">
        <v>0</v>
      </c>
    </row>
    <row r="20" spans="2:5" ht="12.75">
      <c r="B20" s="154" t="s">
        <v>147</v>
      </c>
      <c r="C20" s="154" t="s">
        <v>141</v>
      </c>
      <c r="D20" s="154">
        <v>899.9999999999999</v>
      </c>
      <c r="E20" s="154">
        <v>0</v>
      </c>
    </row>
    <row r="21" spans="2:7" ht="13.5" thickBot="1">
      <c r="B21" s="155" t="s">
        <v>148</v>
      </c>
      <c r="C21" s="155" t="s">
        <v>141</v>
      </c>
      <c r="D21" s="155">
        <v>800</v>
      </c>
      <c r="E21" s="155">
        <v>13.000051800421012</v>
      </c>
      <c r="G21">
        <v>13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A3"/>
    </sheetView>
  </sheetViews>
  <sheetFormatPr defaultColWidth="11.421875" defaultRowHeight="12.75"/>
  <cols>
    <col min="1" max="1" width="2.28125" style="0" customWidth="1"/>
    <col min="2" max="2" width="5.28125" style="0" bestFit="1" customWidth="1"/>
    <col min="3" max="3" width="13.28125" style="0" bestFit="1" customWidth="1"/>
    <col min="4" max="4" width="8.140625" style="0" bestFit="1" customWidth="1"/>
    <col min="5" max="5" width="12.7109375" style="0" bestFit="1" customWidth="1"/>
  </cols>
  <sheetData>
    <row r="1" ht="12.75">
      <c r="A1" s="153" t="s">
        <v>123</v>
      </c>
    </row>
    <row r="2" ht="12.75">
      <c r="A2" s="153" t="s">
        <v>124</v>
      </c>
    </row>
    <row r="3" ht="12.75">
      <c r="A3" s="153" t="s">
        <v>149</v>
      </c>
    </row>
    <row r="6" ht="13.5" thickBot="1">
      <c r="A6" t="s">
        <v>126</v>
      </c>
    </row>
    <row r="7" spans="2:5" ht="12.75">
      <c r="B7" s="156"/>
      <c r="C7" s="156"/>
      <c r="D7" s="156" t="s">
        <v>129</v>
      </c>
      <c r="E7" s="156" t="s">
        <v>131</v>
      </c>
    </row>
    <row r="8" spans="2:5" ht="13.5" thickBot="1">
      <c r="B8" s="157" t="s">
        <v>127</v>
      </c>
      <c r="C8" s="157" t="s">
        <v>128</v>
      </c>
      <c r="D8" s="157" t="s">
        <v>130</v>
      </c>
      <c r="E8" s="157" t="s">
        <v>132</v>
      </c>
    </row>
    <row r="9" spans="2:5" ht="12.75">
      <c r="B9" s="154" t="s">
        <v>136</v>
      </c>
      <c r="C9" s="154" t="s">
        <v>137</v>
      </c>
      <c r="D9" s="154">
        <v>991.0000000000014</v>
      </c>
      <c r="E9" s="154">
        <v>0</v>
      </c>
    </row>
    <row r="10" spans="2:5" ht="12.75">
      <c r="B10" s="154" t="s">
        <v>138</v>
      </c>
      <c r="C10" s="154" t="s">
        <v>137</v>
      </c>
      <c r="D10" s="154">
        <v>0</v>
      </c>
      <c r="E10" s="154">
        <v>-0.9599880151450373</v>
      </c>
    </row>
    <row r="11" spans="2:5" ht="13.5" thickBot="1">
      <c r="B11" s="155" t="s">
        <v>139</v>
      </c>
      <c r="C11" s="155" t="s">
        <v>137</v>
      </c>
      <c r="D11" s="155">
        <v>4004.9999999999995</v>
      </c>
      <c r="E11" s="155">
        <v>0</v>
      </c>
    </row>
    <row r="13" ht="13.5" thickBot="1">
      <c r="A13" t="s">
        <v>133</v>
      </c>
    </row>
    <row r="14" spans="2:5" ht="12.75">
      <c r="B14" s="156"/>
      <c r="C14" s="156"/>
      <c r="D14" s="156" t="s">
        <v>129</v>
      </c>
      <c r="E14" s="156" t="s">
        <v>134</v>
      </c>
    </row>
    <row r="15" spans="2:5" ht="13.5" thickBot="1">
      <c r="B15" s="157" t="s">
        <v>127</v>
      </c>
      <c r="C15" s="157" t="s">
        <v>128</v>
      </c>
      <c r="D15" s="157" t="s">
        <v>130</v>
      </c>
      <c r="E15" s="157" t="s">
        <v>135</v>
      </c>
    </row>
    <row r="16" spans="2:5" ht="12.75">
      <c r="B16" s="154" t="s">
        <v>140</v>
      </c>
      <c r="C16" s="154" t="s">
        <v>141</v>
      </c>
      <c r="D16" s="154">
        <v>2898.5</v>
      </c>
      <c r="E16" s="154">
        <v>0</v>
      </c>
    </row>
    <row r="17" spans="2:5" ht="12.75">
      <c r="B17" s="154" t="s">
        <v>142</v>
      </c>
      <c r="C17" s="154" t="s">
        <v>143</v>
      </c>
      <c r="D17" s="154">
        <v>9001</v>
      </c>
      <c r="E17" s="154">
        <v>1.5</v>
      </c>
    </row>
    <row r="18" spans="2:5" ht="12.75">
      <c r="B18" s="154" t="s">
        <v>144</v>
      </c>
      <c r="C18" s="154" t="s">
        <v>145</v>
      </c>
      <c r="D18" s="154">
        <v>1998.4000000000005</v>
      </c>
      <c r="E18" s="154">
        <v>0</v>
      </c>
    </row>
    <row r="19" spans="2:5" ht="12.75">
      <c r="B19" s="154" t="s">
        <v>146</v>
      </c>
      <c r="C19" s="154" t="s">
        <v>141</v>
      </c>
      <c r="D19" s="154">
        <v>1996.3500000000006</v>
      </c>
      <c r="E19" s="154">
        <v>0</v>
      </c>
    </row>
    <row r="20" spans="2:5" ht="12.75">
      <c r="B20" s="154" t="s">
        <v>147</v>
      </c>
      <c r="C20" s="154" t="s">
        <v>141</v>
      </c>
      <c r="D20" s="154">
        <v>900.1000000000001</v>
      </c>
      <c r="E20" s="154">
        <v>0</v>
      </c>
    </row>
    <row r="21" spans="2:5" ht="13.5" thickBot="1">
      <c r="B21" s="155" t="s">
        <v>148</v>
      </c>
      <c r="C21" s="155" t="s">
        <v>141</v>
      </c>
      <c r="D21" s="155">
        <v>801</v>
      </c>
      <c r="E21" s="155">
        <v>6.600000759959208</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4" sqref="J4"/>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2648.500000397764</v>
      </c>
      <c r="F4" s="38" t="s">
        <v>48</v>
      </c>
      <c r="G4" s="37" t="s">
        <v>10</v>
      </c>
      <c r="H4" s="39">
        <v>10</v>
      </c>
      <c r="I4" s="40">
        <v>0.18</v>
      </c>
      <c r="J4" s="131">
        <v>741.0000019888188</v>
      </c>
    </row>
    <row r="5" spans="1:10" ht="12.75">
      <c r="A5" s="129" t="s">
        <v>4</v>
      </c>
      <c r="B5" s="129" t="s">
        <v>10</v>
      </c>
      <c r="C5" s="130">
        <v>0.5</v>
      </c>
      <c r="D5" s="128">
        <v>9001</v>
      </c>
      <c r="E5" s="87">
        <f t="shared" si="0"/>
        <v>9001</v>
      </c>
      <c r="F5" s="38" t="s">
        <v>18</v>
      </c>
      <c r="G5" s="37" t="s">
        <v>10</v>
      </c>
      <c r="H5" s="39">
        <v>17</v>
      </c>
      <c r="I5" s="40">
        <v>0.18</v>
      </c>
      <c r="J5" s="131">
        <v>500</v>
      </c>
    </row>
    <row r="6" spans="1:10" ht="13.5" thickBot="1">
      <c r="A6" s="129" t="s">
        <v>5</v>
      </c>
      <c r="B6" s="129" t="s">
        <v>11</v>
      </c>
      <c r="C6" s="130">
        <v>1</v>
      </c>
      <c r="D6" s="128">
        <v>2001</v>
      </c>
      <c r="E6" s="87">
        <f t="shared" si="0"/>
        <v>1848.4000003977637</v>
      </c>
      <c r="F6" s="97" t="s">
        <v>19</v>
      </c>
      <c r="G6" s="98" t="s">
        <v>10</v>
      </c>
      <c r="H6" s="99">
        <v>16</v>
      </c>
      <c r="I6" s="100">
        <v>0.18</v>
      </c>
      <c r="J6" s="131">
        <v>3379.9999990055903</v>
      </c>
    </row>
    <row r="7" spans="1:5" ht="12.75">
      <c r="A7" s="129" t="s">
        <v>6</v>
      </c>
      <c r="B7" s="129" t="s">
        <v>9</v>
      </c>
      <c r="C7" s="130">
        <v>8</v>
      </c>
      <c r="D7" s="128">
        <v>4000</v>
      </c>
      <c r="E7" s="87">
        <f t="shared" si="0"/>
        <v>1727.600000845248</v>
      </c>
    </row>
    <row r="8" spans="1:5" ht="12.75">
      <c r="A8" s="129" t="s">
        <v>7</v>
      </c>
      <c r="B8" s="129" t="s">
        <v>9</v>
      </c>
      <c r="C8" s="130">
        <v>5</v>
      </c>
      <c r="D8" s="128">
        <v>1500</v>
      </c>
      <c r="E8" s="87">
        <f t="shared" si="0"/>
        <v>850.0999999999999</v>
      </c>
    </row>
    <row r="9" spans="1:5" ht="12.75">
      <c r="A9" s="129" t="s">
        <v>8</v>
      </c>
      <c r="B9" s="129" t="s">
        <v>9</v>
      </c>
      <c r="C9" s="130">
        <v>15</v>
      </c>
      <c r="D9" s="128">
        <v>801</v>
      </c>
      <c r="E9" s="87">
        <f t="shared" si="0"/>
        <v>800.9999998011181</v>
      </c>
    </row>
    <row r="10" spans="8:9" ht="12.75">
      <c r="H10" t="s">
        <v>120</v>
      </c>
      <c r="I10" t="s">
        <v>119</v>
      </c>
    </row>
    <row r="11" spans="1:8" ht="12.75">
      <c r="A11" s="5" t="s">
        <v>41</v>
      </c>
      <c r="B11" s="5"/>
      <c r="C11" s="5"/>
      <c r="D11" s="5"/>
      <c r="E11" s="5"/>
      <c r="H11" t="s">
        <v>121</v>
      </c>
    </row>
    <row r="12" spans="1:9" ht="12.75">
      <c r="A12" s="4" t="s">
        <v>20</v>
      </c>
      <c r="B12" s="5"/>
      <c r="C12" s="5"/>
      <c r="D12" s="5"/>
      <c r="E12" s="5"/>
      <c r="I12" t="s">
        <v>122</v>
      </c>
    </row>
    <row r="13" spans="1:5" ht="13.5" thickBot="1">
      <c r="A13" s="5" t="s">
        <v>54</v>
      </c>
      <c r="B13" s="5"/>
      <c r="C13" s="161" t="s">
        <v>69</v>
      </c>
      <c r="D13" s="161"/>
      <c r="E13" s="161"/>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69990.00000397764</v>
      </c>
    </row>
    <row r="23" spans="1:9" ht="12.75">
      <c r="A23" t="s">
        <v>43</v>
      </c>
      <c r="G23" s="76" t="s">
        <v>32</v>
      </c>
      <c r="H23" s="1">
        <f>Resultado!C4</f>
        <v>12598.200000715973</v>
      </c>
      <c r="I23" s="82"/>
    </row>
    <row r="24" spans="1:9" ht="13.5" thickBot="1">
      <c r="A24" t="s">
        <v>44</v>
      </c>
      <c r="G24" s="77" t="s">
        <v>33</v>
      </c>
      <c r="H24" s="1">
        <f>Resultado!C5</f>
        <v>39083.70000457428</v>
      </c>
      <c r="I24" s="83"/>
    </row>
    <row r="25" spans="1:9" ht="13.5" thickBot="1">
      <c r="A25" t="s">
        <v>45</v>
      </c>
      <c r="G25" s="78" t="s">
        <v>55</v>
      </c>
      <c r="H25" s="1">
        <f>Resultado!C6</f>
        <v>18308.09999868738</v>
      </c>
      <c r="I25" s="85"/>
    </row>
    <row r="26" spans="1:9" ht="13.5" thickBot="1">
      <c r="A26" t="s">
        <v>56</v>
      </c>
      <c r="G26" s="158" t="s">
        <v>40</v>
      </c>
      <c r="H26" s="159"/>
      <c r="I26" s="160"/>
    </row>
    <row r="27" spans="1:9" ht="13.5" thickBot="1">
      <c r="A27" s="151" t="s">
        <v>116</v>
      </c>
      <c r="G27" s="92" t="s">
        <v>14</v>
      </c>
      <c r="H27" s="1">
        <f>H25</f>
        <v>18308.09999868738</v>
      </c>
      <c r="I27" s="89"/>
    </row>
    <row r="28" spans="7:9" ht="13.5" thickBot="1">
      <c r="G28" s="93" t="s">
        <v>31</v>
      </c>
      <c r="H28" s="75">
        <v>15000</v>
      </c>
      <c r="I28" s="80"/>
    </row>
    <row r="29" spans="7:11" ht="13.5" thickBot="1">
      <c r="G29" s="94" t="s">
        <v>50</v>
      </c>
      <c r="H29" s="91">
        <f>H27-H28</f>
        <v>3308.0999986873794</v>
      </c>
      <c r="I29" s="90"/>
      <c r="K29">
        <v>3788</v>
      </c>
    </row>
    <row r="31" spans="1:7" ht="19.5">
      <c r="A31" s="152" t="s">
        <v>117</v>
      </c>
      <c r="B31" s="152"/>
      <c r="C31" s="152"/>
      <c r="D31" s="152"/>
      <c r="E31" s="152"/>
      <c r="F31" s="152"/>
      <c r="G31" s="152"/>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4.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741.0000019888188</v>
      </c>
      <c r="E4" s="26">
        <f>QUESTÕES!J5</f>
        <v>500</v>
      </c>
      <c r="F4" s="26">
        <f>QUESTÕES!J6</f>
        <v>3379.9999990055903</v>
      </c>
      <c r="G4" s="26"/>
      <c r="H4" s="26"/>
      <c r="I4" s="26"/>
      <c r="J4" s="26"/>
      <c r="K4" s="26"/>
      <c r="L4" s="27"/>
      <c r="M4" s="4"/>
    </row>
    <row r="5" spans="1:12" ht="13.5" thickTop="1">
      <c r="A5" s="13" t="str">
        <f>QUESTÕES!A4</f>
        <v>Farinha de trigo</v>
      </c>
      <c r="B5" s="42" t="s">
        <v>9</v>
      </c>
      <c r="C5" s="56">
        <f aca="true" t="shared" si="0" ref="C5:C10">D5+E5+F5</f>
        <v>2648.500000397764</v>
      </c>
      <c r="D5" s="34">
        <f>QUESTÕES!C15*'Consumo de materiais'!$D$4</f>
        <v>370.5000009944094</v>
      </c>
      <c r="E5" s="34">
        <f>QUESTÕES!D15*'Consumo de materiais'!$E$4</f>
        <v>250</v>
      </c>
      <c r="F5" s="34">
        <f>QUESTÕES!E15*'Consumo de materiais'!$F$4</f>
        <v>2027.9999994033542</v>
      </c>
      <c r="G5" s="18"/>
      <c r="H5" s="18"/>
      <c r="I5" s="18"/>
      <c r="J5" s="18"/>
      <c r="K5" s="18"/>
      <c r="L5" s="19"/>
    </row>
    <row r="6" spans="1:12" ht="12.75">
      <c r="A6" s="13" t="str">
        <f>QUESTÕES!A5</f>
        <v>Ovo</v>
      </c>
      <c r="B6" s="37" t="s">
        <v>10</v>
      </c>
      <c r="C6" s="56">
        <f t="shared" si="0"/>
        <v>9001</v>
      </c>
      <c r="D6" s="34">
        <f>QUESTÕES!C16*'Consumo de materiais'!$D$4</f>
        <v>741.0000019888188</v>
      </c>
      <c r="E6" s="34">
        <f>QUESTÕES!D16*'Consumo de materiais'!$E$4</f>
        <v>1500</v>
      </c>
      <c r="F6" s="34">
        <f>QUESTÕES!E16*'Consumo de materiais'!$F$4</f>
        <v>6759.999998011181</v>
      </c>
      <c r="G6" s="18"/>
      <c r="H6" s="18"/>
      <c r="I6" s="18"/>
      <c r="J6" s="18"/>
      <c r="K6" s="18"/>
      <c r="L6" s="19"/>
    </row>
    <row r="7" spans="1:12" ht="12.75">
      <c r="A7" s="13" t="str">
        <f>QUESTÕES!A6</f>
        <v>Leite</v>
      </c>
      <c r="B7" s="37" t="s">
        <v>11</v>
      </c>
      <c r="C7" s="56">
        <f t="shared" si="0"/>
        <v>1848.4000003977637</v>
      </c>
      <c r="D7" s="34">
        <f>QUESTÕES!C17*'Consumo de materiais'!$D$4</f>
        <v>296.40000079552755</v>
      </c>
      <c r="E7" s="34">
        <f>QUESTÕES!D17*'Consumo de materiais'!$E$4</f>
        <v>200</v>
      </c>
      <c r="F7" s="34">
        <f>QUESTÕES!E17*'Consumo de materiais'!$F$4</f>
        <v>1351.9999996022361</v>
      </c>
      <c r="G7" s="18"/>
      <c r="H7" s="18"/>
      <c r="I7" s="18"/>
      <c r="J7" s="18"/>
      <c r="K7" s="18"/>
      <c r="L7" s="19"/>
    </row>
    <row r="8" spans="1:12" ht="12.75">
      <c r="A8" s="13" t="str">
        <f>QUESTÕES!A7</f>
        <v>Queijo muzzarela</v>
      </c>
      <c r="B8" s="37" t="s">
        <v>9</v>
      </c>
      <c r="C8" s="56">
        <f t="shared" si="0"/>
        <v>1727.600000845248</v>
      </c>
      <c r="D8" s="34">
        <f>QUESTÕES!C18*'Consumo de materiais'!$D$4</f>
        <v>444.60000119329123</v>
      </c>
      <c r="E8" s="34">
        <f>QUESTÕES!D18*'Consumo de materiais'!$E$4</f>
        <v>100</v>
      </c>
      <c r="F8" s="34">
        <f>QUESTÕES!E18*'Consumo de materiais'!$F$4</f>
        <v>1182.9999996519566</v>
      </c>
      <c r="G8" s="18"/>
      <c r="H8" s="18"/>
      <c r="I8" s="18"/>
      <c r="J8" s="18"/>
      <c r="K8" s="18"/>
      <c r="L8" s="19"/>
    </row>
    <row r="9" spans="1:12" ht="12.75">
      <c r="A9" s="13" t="str">
        <f>QUESTÕES!A8</f>
        <v>Molho de tomate</v>
      </c>
      <c r="B9" s="37" t="s">
        <v>9</v>
      </c>
      <c r="C9" s="56">
        <f t="shared" si="0"/>
        <v>850.0999999999999</v>
      </c>
      <c r="D9" s="34">
        <f>QUESTÕES!C19*'Consumo de materiais'!$D$4</f>
        <v>74.10000019888189</v>
      </c>
      <c r="E9" s="34">
        <f>QUESTÕES!D19*'Consumo de materiais'!$E$4</f>
        <v>100</v>
      </c>
      <c r="F9" s="34">
        <f>QUESTÕES!E19*'Consumo de materiais'!$F$4</f>
        <v>675.9999998011181</v>
      </c>
      <c r="G9" s="18"/>
      <c r="H9" s="18"/>
      <c r="I9" s="18"/>
      <c r="J9" s="18"/>
      <c r="K9" s="18"/>
      <c r="L9" s="19"/>
    </row>
    <row r="10" spans="1:12" ht="13.5" thickBot="1">
      <c r="A10" s="13" t="str">
        <f>QUESTÕES!A9</f>
        <v>Presunto</v>
      </c>
      <c r="B10" s="98" t="s">
        <v>9</v>
      </c>
      <c r="C10" s="56">
        <f t="shared" si="0"/>
        <v>800.9999998011181</v>
      </c>
      <c r="D10" s="34">
        <f>QUESTÕES!C20*'Consumo de materiais'!$D$4</f>
        <v>0</v>
      </c>
      <c r="E10" s="34">
        <f>QUESTÕES!D20*'Consumo de materiais'!$E$4</f>
        <v>125</v>
      </c>
      <c r="F10" s="34">
        <f>QUESTÕES!E20*'Consumo de materiais'!$F$4</f>
        <v>675.9999998011181</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6" sqref="F6"/>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4964.700013325085</v>
      </c>
      <c r="F5" s="108">
        <f>F4*F6</f>
        <v>4375</v>
      </c>
      <c r="G5" s="108">
        <f>G4*G6</f>
        <v>29743.9999912492</v>
      </c>
      <c r="H5" s="46"/>
      <c r="I5" s="46"/>
      <c r="J5" s="46"/>
      <c r="K5" s="46"/>
      <c r="L5" s="46"/>
      <c r="M5" s="46"/>
      <c r="N5" s="46"/>
      <c r="O5" s="47"/>
    </row>
    <row r="6" spans="1:16" ht="13.5" thickBot="1">
      <c r="A6" s="11" t="s">
        <v>12</v>
      </c>
      <c r="B6" s="12" t="s">
        <v>2</v>
      </c>
      <c r="C6" s="22" t="s">
        <v>60</v>
      </c>
      <c r="D6" s="31" t="s">
        <v>22</v>
      </c>
      <c r="E6" s="50">
        <f>'Consumo de materiais'!D4</f>
        <v>741.0000019888188</v>
      </c>
      <c r="F6" s="50">
        <f>'Consumo de materiais'!E4</f>
        <v>500</v>
      </c>
      <c r="G6" s="50">
        <f>'Consumo de materiais'!F4</f>
        <v>3379.9999990055903</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6.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24" sqref="D24"/>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9.421875" style="5" bestFit="1"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741.0000019888188</v>
      </c>
      <c r="D3" s="72">
        <f>C3*B3</f>
        <v>7410.000019888188</v>
      </c>
      <c r="E3" s="5">
        <v>0.18</v>
      </c>
      <c r="F3" s="111">
        <f>D3*0.18</f>
        <v>1333.8000035798739</v>
      </c>
      <c r="G3" s="5">
        <f>H3*C3</f>
        <v>4964.700013325085</v>
      </c>
      <c r="H3" s="68">
        <f>'Custo de materiais'!E4</f>
        <v>6.699999999999999</v>
      </c>
      <c r="I3" s="112">
        <f>B3*(0.82)-H3</f>
        <v>1.5</v>
      </c>
      <c r="J3" s="73">
        <f>I3/B3</f>
        <v>0.15</v>
      </c>
      <c r="K3" s="59">
        <f>I3*C3</f>
        <v>1111.5000029832281</v>
      </c>
      <c r="L3" s="95">
        <f>K3/$K$14</f>
        <v>0.060710833077321995</v>
      </c>
    </row>
    <row r="4" spans="1:12" ht="12.75">
      <c r="A4" s="13" t="str">
        <f>QUESTÕES!F5</f>
        <v>Pizza presunto</v>
      </c>
      <c r="B4" s="109">
        <f>QUESTÕES!H5</f>
        <v>17</v>
      </c>
      <c r="C4" s="109">
        <f>QUESTÕES!J5</f>
        <v>500</v>
      </c>
      <c r="D4" s="72">
        <f>C4*B4</f>
        <v>8500</v>
      </c>
      <c r="E4" s="5">
        <v>0.18</v>
      </c>
      <c r="F4" s="111">
        <f>D4*0.18</f>
        <v>1530</v>
      </c>
      <c r="G4" s="5">
        <f>H4*C4</f>
        <v>4375</v>
      </c>
      <c r="H4" s="68">
        <f>'Custo de materiais'!F4</f>
        <v>8.75</v>
      </c>
      <c r="I4" s="59">
        <f>B4*(0.82)-H4</f>
        <v>5.1899999999999995</v>
      </c>
      <c r="J4" s="73">
        <f>I4/B4</f>
        <v>0.30529411764705877</v>
      </c>
      <c r="K4" s="59">
        <f>I4*C4</f>
        <v>2594.9999999999995</v>
      </c>
      <c r="L4" s="95">
        <f>K4/$K$14</f>
        <v>0.14174054108214681</v>
      </c>
    </row>
    <row r="5" spans="1:12" ht="12.75">
      <c r="A5" s="13" t="str">
        <f>QUESTÕES!F6</f>
        <v>Pizza marguerita</v>
      </c>
      <c r="B5" s="109">
        <f>QUESTÕES!H6</f>
        <v>16</v>
      </c>
      <c r="C5" s="109">
        <f>QUESTÕES!J6</f>
        <v>3379.9999990055903</v>
      </c>
      <c r="D5" s="72">
        <f>C5*B5</f>
        <v>54079.999984089445</v>
      </c>
      <c r="E5" s="5">
        <v>0.18</v>
      </c>
      <c r="F5" s="111">
        <f>D5*0.18</f>
        <v>9734.399997136099</v>
      </c>
      <c r="G5" s="5">
        <f>H5*C5</f>
        <v>29743.9999912492</v>
      </c>
      <c r="H5" s="68">
        <f>'Custo de materiais'!G4</f>
        <v>8.8</v>
      </c>
      <c r="I5" s="59">
        <f>B5*(0.82)-H5</f>
        <v>4.3199999999999985</v>
      </c>
      <c r="J5" s="73">
        <f>I5/B5</f>
        <v>0.2699999999999999</v>
      </c>
      <c r="K5" s="59">
        <f>I5*C5</f>
        <v>14601.599995704146</v>
      </c>
      <c r="L5" s="95">
        <f>K5/$K$14</f>
        <v>0.7975486258405312</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4621.000000994409</v>
      </c>
      <c r="D14" s="68">
        <f>SUM(D3:D5)</f>
        <v>69990.00000397764</v>
      </c>
      <c r="E14" s="68"/>
      <c r="F14" s="68">
        <f>SUM(F3:F5)</f>
        <v>12598.200000715973</v>
      </c>
      <c r="G14" s="68">
        <f>SUM(G3:G5)</f>
        <v>39083.70000457428</v>
      </c>
      <c r="K14" s="68">
        <f>SUM(K3:K5)</f>
        <v>18308.099998687372</v>
      </c>
      <c r="L14" s="114">
        <f>SUM(L3:L5)</f>
        <v>1</v>
      </c>
    </row>
    <row r="15" spans="5:11" ht="12.75">
      <c r="E15" s="101"/>
      <c r="F15" s="102"/>
      <c r="K15" s="5">
        <f>QUESTÕES!H28/K14</f>
        <v>0.8193094860239701</v>
      </c>
    </row>
    <row r="16" spans="7:20" ht="12.75">
      <c r="G16" s="68"/>
      <c r="H16" s="68"/>
      <c r="I16" s="68"/>
      <c r="J16" s="68"/>
      <c r="K16" s="68"/>
      <c r="L16" s="68"/>
      <c r="M16" s="68"/>
      <c r="N16" s="68"/>
      <c r="O16" s="68"/>
      <c r="P16" s="68"/>
      <c r="Q16" s="68"/>
      <c r="R16" s="68"/>
      <c r="S16" s="68"/>
      <c r="T16" s="68"/>
    </row>
    <row r="18" ht="12.75">
      <c r="D18" s="5">
        <f>D14/C14</f>
        <v>15.146072276328987</v>
      </c>
    </row>
  </sheetData>
  <sheetProtection/>
  <printOptions/>
  <pageMargins left="0.75" right="0.75" top="1" bottom="1" header="0.492125985" footer="0.492125985"/>
  <pageSetup orientation="portrait" paperSize="3"/>
</worksheet>
</file>

<file path=xl/worksheets/sheet7.xml><?xml version="1.0" encoding="utf-8"?>
<worksheet xmlns="http://schemas.openxmlformats.org/spreadsheetml/2006/main" xmlns:r="http://schemas.openxmlformats.org/officeDocument/2006/relationships">
  <dimension ref="A1:EH53"/>
  <sheetViews>
    <sheetView tabSelected="1" zoomScalePageLayoutView="0" workbookViewId="0" topLeftCell="A1">
      <selection activeCell="H23" sqref="H23"/>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8" t="s">
        <v>34</v>
      </c>
      <c r="C2" s="159"/>
      <c r="D2" s="160"/>
    </row>
    <row r="3" spans="2:10" ht="18.75" thickBot="1">
      <c r="B3" s="79" t="s">
        <v>17</v>
      </c>
      <c r="C3" s="132">
        <f>Margem!D14</f>
        <v>69990.00000397764</v>
      </c>
      <c r="D3" s="81">
        <f>C3/$C$3</f>
        <v>1</v>
      </c>
      <c r="G3"/>
      <c r="H3" s="117" t="s">
        <v>95</v>
      </c>
      <c r="I3"/>
      <c r="J3"/>
    </row>
    <row r="4" spans="2:10" ht="13.5" thickBot="1">
      <c r="B4" s="76" t="s">
        <v>32</v>
      </c>
      <c r="C4" s="68">
        <f>Margem!F14</f>
        <v>12598.200000715973</v>
      </c>
      <c r="D4" s="81">
        <f>C4/$C$3</f>
        <v>0.18</v>
      </c>
      <c r="G4" s="1">
        <f>C3*12</f>
        <v>839880.0000477317</v>
      </c>
      <c r="H4" s="118" t="s">
        <v>91</v>
      </c>
      <c r="I4"/>
      <c r="J4"/>
    </row>
    <row r="5" spans="2:10" ht="13.5" thickBot="1">
      <c r="B5" s="77" t="s">
        <v>33</v>
      </c>
      <c r="C5" s="67">
        <f>Margem!G14</f>
        <v>39083.70000457428</v>
      </c>
      <c r="D5" s="81">
        <f>C5/$C$3</f>
        <v>0.5584183455115459</v>
      </c>
      <c r="G5" s="1">
        <f>C4*12</f>
        <v>151178.40000859168</v>
      </c>
      <c r="H5" s="118" t="s">
        <v>90</v>
      </c>
      <c r="J5"/>
    </row>
    <row r="6" spans="2:10" ht="13.5" thickBot="1">
      <c r="B6" s="78" t="s">
        <v>14</v>
      </c>
      <c r="C6" s="84">
        <f>C3-C4-C5</f>
        <v>18308.09999868738</v>
      </c>
      <c r="D6" s="81">
        <f>C6/$C$3</f>
        <v>0.2615816544884541</v>
      </c>
      <c r="G6" s="1">
        <f>G4-G5</f>
        <v>688701.60003914</v>
      </c>
      <c r="H6" s="118" t="s">
        <v>79</v>
      </c>
      <c r="I6"/>
      <c r="J6"/>
    </row>
    <row r="7" spans="7:10" ht="13.5" thickBot="1">
      <c r="G7" s="1">
        <f>D22</f>
        <v>661004.4000548914</v>
      </c>
      <c r="H7" s="118" t="s">
        <v>96</v>
      </c>
      <c r="I7"/>
      <c r="J7"/>
    </row>
    <row r="8" spans="2:10" ht="13.5" thickBot="1">
      <c r="B8" s="158" t="s">
        <v>40</v>
      </c>
      <c r="C8" s="159"/>
      <c r="D8" s="160"/>
      <c r="G8"/>
      <c r="H8" s="118" t="s">
        <v>97</v>
      </c>
      <c r="I8"/>
      <c r="J8"/>
    </row>
    <row r="9" spans="2:10" ht="13.5" thickBot="1">
      <c r="B9" s="92" t="s">
        <v>14</v>
      </c>
      <c r="C9" s="86">
        <f>C6</f>
        <v>18308.09999868738</v>
      </c>
      <c r="D9" s="81">
        <f>C9/$C$3</f>
        <v>0.2615816544884541</v>
      </c>
      <c r="G9" s="1">
        <f>G6-G7</f>
        <v>27697.19998424861</v>
      </c>
      <c r="H9" s="118" t="s">
        <v>70</v>
      </c>
      <c r="I9"/>
      <c r="J9"/>
    </row>
    <row r="10" spans="2:10" ht="13.5" thickBot="1">
      <c r="B10" s="93" t="s">
        <v>31</v>
      </c>
      <c r="C10" s="75">
        <f>'[1]QUESTÕES'!H28</f>
        <v>15000</v>
      </c>
      <c r="D10" s="81">
        <f>C10/$C$3</f>
        <v>0.214316330892235</v>
      </c>
      <c r="G10">
        <v>0</v>
      </c>
      <c r="H10" s="118" t="s">
        <v>71</v>
      </c>
      <c r="I10"/>
      <c r="J10"/>
    </row>
    <row r="11" spans="2:10" ht="13.5" thickBot="1">
      <c r="B11" s="94" t="s">
        <v>88</v>
      </c>
      <c r="C11" s="91">
        <f>C9-C10</f>
        <v>3308.0999986873794</v>
      </c>
      <c r="D11" s="81">
        <f>C11/$C$3</f>
        <v>0.04726532359621911</v>
      </c>
      <c r="E11" s="68">
        <f>C11*12</f>
        <v>39697.19998424855</v>
      </c>
      <c r="G11">
        <v>0</v>
      </c>
      <c r="H11" s="118" t="s">
        <v>80</v>
      </c>
      <c r="I11"/>
      <c r="J11"/>
    </row>
    <row r="12" spans="7:10" ht="12.75">
      <c r="G12">
        <v>0</v>
      </c>
      <c r="H12" s="118" t="s">
        <v>72</v>
      </c>
      <c r="I12"/>
      <c r="J12"/>
    </row>
    <row r="13" spans="2:10" ht="12.75">
      <c r="B13" s="133" t="s">
        <v>98</v>
      </c>
      <c r="C13" s="113">
        <v>120000</v>
      </c>
      <c r="G13">
        <v>0</v>
      </c>
      <c r="H13" s="118" t="s">
        <v>81</v>
      </c>
      <c r="I13"/>
      <c r="J13"/>
    </row>
    <row r="14" spans="2:14" ht="12.75">
      <c r="B14" s="5" t="s">
        <v>84</v>
      </c>
      <c r="C14" s="5">
        <v>10</v>
      </c>
      <c r="G14" s="1">
        <f>G9-G10</f>
        <v>27697.19998424861</v>
      </c>
      <c r="H14" s="119" t="s">
        <v>99</v>
      </c>
      <c r="I14"/>
      <c r="J14"/>
      <c r="N14" s="118"/>
    </row>
    <row r="15" spans="7:14" ht="12.75">
      <c r="G15" s="1">
        <f>D21</f>
        <v>12000</v>
      </c>
      <c r="H15" s="119" t="s">
        <v>100</v>
      </c>
      <c r="I15"/>
      <c r="J15"/>
      <c r="N15" s="118"/>
    </row>
    <row r="16" spans="7:12" ht="13.5" thickBot="1">
      <c r="G16" s="1">
        <f>G14+G15</f>
        <v>39697.19998424861</v>
      </c>
      <c r="H16" s="119" t="s">
        <v>73</v>
      </c>
      <c r="I16"/>
      <c r="J16"/>
      <c r="L16" s="114"/>
    </row>
    <row r="17" spans="2:14" ht="12.75">
      <c r="B17" s="134" t="s">
        <v>75</v>
      </c>
      <c r="C17" s="135" t="s">
        <v>101</v>
      </c>
      <c r="D17" s="136" t="s">
        <v>102</v>
      </c>
      <c r="G17"/>
      <c r="I17"/>
      <c r="J17"/>
      <c r="N17" s="118"/>
    </row>
    <row r="18" spans="2:10" ht="12.75">
      <c r="B18" s="137" t="s">
        <v>76</v>
      </c>
      <c r="C18" s="138">
        <f>C5</f>
        <v>39083.70000457428</v>
      </c>
      <c r="D18" s="139"/>
      <c r="E18"/>
      <c r="F18"/>
      <c r="G18"/>
      <c r="H18" s="119"/>
      <c r="I18"/>
      <c r="J18"/>
    </row>
    <row r="19" spans="2:10" ht="12.75">
      <c r="B19" s="137" t="s">
        <v>77</v>
      </c>
      <c r="C19" s="138">
        <f>C10</f>
        <v>15000</v>
      </c>
      <c r="D19" s="139"/>
      <c r="E19"/>
      <c r="F19"/>
      <c r="G19" s="1">
        <f>D21</f>
        <v>12000</v>
      </c>
      <c r="H19" s="118" t="s">
        <v>83</v>
      </c>
      <c r="I19"/>
      <c r="J19"/>
    </row>
    <row r="20" spans="2:10" ht="12.75">
      <c r="B20" s="137"/>
      <c r="C20" s="138">
        <f>C18+C19</f>
        <v>54083.70000457428</v>
      </c>
      <c r="D20" s="140">
        <f>C20*12</f>
        <v>649004.4000548914</v>
      </c>
      <c r="G20" s="1">
        <f>G16-G19</f>
        <v>27697.19998424861</v>
      </c>
      <c r="H20" s="118" t="s">
        <v>103</v>
      </c>
      <c r="I20"/>
      <c r="J20"/>
    </row>
    <row r="21" spans="2:10" ht="12.75">
      <c r="B21" s="137" t="s">
        <v>78</v>
      </c>
      <c r="C21" s="128"/>
      <c r="D21" s="140">
        <f>C13/C14</f>
        <v>12000</v>
      </c>
      <c r="G21" s="1">
        <f>G20*0.3</f>
        <v>8309.159995274584</v>
      </c>
      <c r="H21" s="118" t="s">
        <v>86</v>
      </c>
      <c r="I21"/>
      <c r="J21"/>
    </row>
    <row r="22" spans="2:12" ht="13.5" thickBot="1">
      <c r="B22" s="141" t="s">
        <v>75</v>
      </c>
      <c r="C22" s="142">
        <f>(C5+C10)</f>
        <v>54083.70000457428</v>
      </c>
      <c r="D22" s="143">
        <f>D20+D21</f>
        <v>661004.4000548914</v>
      </c>
      <c r="G22" s="1">
        <f>G16-G21</f>
        <v>31388.03998897403</v>
      </c>
      <c r="H22" s="118" t="s">
        <v>150</v>
      </c>
      <c r="I22"/>
      <c r="J22"/>
      <c r="L22" s="144" t="s">
        <v>82</v>
      </c>
    </row>
    <row r="23" spans="7:10" ht="12.75">
      <c r="G23" s="68">
        <f>D21</f>
        <v>12000</v>
      </c>
      <c r="H23" s="5" t="s">
        <v>92</v>
      </c>
      <c r="I23"/>
      <c r="J23"/>
    </row>
    <row r="24" spans="6:8" ht="12.75">
      <c r="F24" s="68"/>
      <c r="G24" s="68">
        <f>G22-G23</f>
        <v>19388.03998897403</v>
      </c>
      <c r="H24" s="118" t="s">
        <v>104</v>
      </c>
    </row>
    <row r="25" spans="7:8" ht="12.75">
      <c r="G25" s="3">
        <f>G24/C13</f>
        <v>0.1615669999081169</v>
      </c>
      <c r="H25" s="118" t="s">
        <v>105</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106</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107</v>
      </c>
      <c r="C30" s="121"/>
      <c r="D30" s="121"/>
      <c r="G30" s="113">
        <f>-C13</f>
        <v>-120000</v>
      </c>
      <c r="H30" s="68">
        <f>G16</f>
        <v>39697.19998424861</v>
      </c>
      <c r="I30" s="68">
        <f>H30</f>
        <v>39697.19998424861</v>
      </c>
      <c r="J30" s="68">
        <f>I30</f>
        <v>39697.19998424861</v>
      </c>
      <c r="K30" s="68">
        <f aca="true" t="shared" si="0" ref="K30:Q30">J30</f>
        <v>39697.19998424861</v>
      </c>
      <c r="L30" s="68">
        <f t="shared" si="0"/>
        <v>39697.19998424861</v>
      </c>
      <c r="M30" s="68">
        <f t="shared" si="0"/>
        <v>39697.19998424861</v>
      </c>
      <c r="N30" s="68">
        <f t="shared" si="0"/>
        <v>39697.19998424861</v>
      </c>
      <c r="O30" s="68">
        <f t="shared" si="0"/>
        <v>39697.19998424861</v>
      </c>
      <c r="P30" s="68">
        <f t="shared" si="0"/>
        <v>39697.19998424861</v>
      </c>
      <c r="Q30" s="68">
        <f t="shared" si="0"/>
        <v>39697.19998424861</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108</v>
      </c>
      <c r="J32" s="121"/>
      <c r="K32" s="121"/>
      <c r="L32" s="121"/>
      <c r="M32" s="121"/>
      <c r="N32" s="121"/>
      <c r="O32" s="121"/>
      <c r="P32" s="121"/>
      <c r="Q32" s="121"/>
      <c r="R32" s="121"/>
      <c r="S32" s="121"/>
      <c r="T32" s="121"/>
      <c r="U32" s="121"/>
    </row>
    <row r="33" spans="1:21" ht="12.75">
      <c r="A33" s="165" t="s">
        <v>118</v>
      </c>
      <c r="B33" s="165"/>
      <c r="C33" s="165"/>
      <c r="D33" s="165"/>
      <c r="E33" s="165"/>
      <c r="F33" s="165"/>
      <c r="G33" s="9">
        <f>IRR(G30:DR30)</f>
        <v>0.30829187729212193</v>
      </c>
      <c r="I33" s="163" t="s">
        <v>74</v>
      </c>
      <c r="J33" s="164"/>
      <c r="K33" s="164"/>
      <c r="L33" s="164"/>
      <c r="M33" s="164"/>
      <c r="N33" s="164"/>
      <c r="O33" s="164"/>
      <c r="P33" s="164"/>
      <c r="Q33" s="164"/>
      <c r="R33" s="164"/>
      <c r="S33" s="164"/>
      <c r="T33" s="164"/>
      <c r="U33" s="164"/>
    </row>
    <row r="34" spans="1:21" ht="12.75">
      <c r="A34" s="165"/>
      <c r="B34" s="165"/>
      <c r="C34" s="165"/>
      <c r="D34" s="165"/>
      <c r="E34" s="165"/>
      <c r="F34" s="165"/>
      <c r="I34" s="147" t="s">
        <v>109</v>
      </c>
      <c r="J34" s="148"/>
      <c r="K34" s="148"/>
      <c r="L34" s="148"/>
      <c r="M34" s="148"/>
      <c r="N34" s="148"/>
      <c r="O34" s="148"/>
      <c r="P34" s="148"/>
      <c r="Q34" s="121"/>
      <c r="R34" s="121"/>
      <c r="S34" s="121"/>
      <c r="T34" s="121"/>
      <c r="U34" s="121"/>
    </row>
    <row r="35" spans="1:6" ht="12.75">
      <c r="A35" s="165"/>
      <c r="B35" s="165"/>
      <c r="C35" s="165"/>
      <c r="D35" s="165"/>
      <c r="E35" s="165"/>
      <c r="F35" s="165"/>
    </row>
    <row r="36" spans="1:6" ht="12.75">
      <c r="A36" s="165"/>
      <c r="B36" s="165"/>
      <c r="C36" s="165"/>
      <c r="D36" s="165"/>
      <c r="E36" s="165"/>
      <c r="F36" s="165"/>
    </row>
    <row r="37" spans="1:16" ht="12.75">
      <c r="A37" s="165"/>
      <c r="B37" s="165"/>
      <c r="C37" s="165"/>
      <c r="D37" s="165"/>
      <c r="E37" s="165"/>
      <c r="F37" s="165"/>
      <c r="G37" s="165" t="s">
        <v>110</v>
      </c>
      <c r="H37" s="165"/>
      <c r="I37" s="165"/>
      <c r="J37" s="165"/>
      <c r="K37" s="165"/>
      <c r="L37" s="165"/>
      <c r="M37" s="165"/>
      <c r="N37" s="165"/>
      <c r="O37" s="165"/>
      <c r="P37" s="165"/>
    </row>
    <row r="38" spans="1:16" ht="12.75">
      <c r="A38" s="165"/>
      <c r="B38" s="165"/>
      <c r="C38" s="165"/>
      <c r="D38" s="165"/>
      <c r="E38" s="165"/>
      <c r="F38" s="165"/>
      <c r="G38" s="165"/>
      <c r="H38" s="165"/>
      <c r="I38" s="165"/>
      <c r="J38" s="165"/>
      <c r="K38" s="165"/>
      <c r="L38" s="165"/>
      <c r="M38" s="165"/>
      <c r="N38" s="165"/>
      <c r="O38" s="165"/>
      <c r="P38" s="165"/>
    </row>
    <row r="39" spans="1:138" ht="12.75">
      <c r="A39" s="165"/>
      <c r="B39" s="165"/>
      <c r="C39" s="165"/>
      <c r="D39" s="165"/>
      <c r="E39" s="165"/>
      <c r="F39" s="165"/>
      <c r="G39" s="165"/>
      <c r="H39" s="165"/>
      <c r="I39" s="165"/>
      <c r="J39" s="165"/>
      <c r="K39" s="165"/>
      <c r="L39" s="165"/>
      <c r="M39" s="165"/>
      <c r="N39" s="165"/>
      <c r="O39" s="165"/>
      <c r="P39" s="165"/>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5"/>
      <c r="B40" s="165"/>
      <c r="C40" s="165"/>
      <c r="D40" s="165"/>
      <c r="E40" s="165"/>
      <c r="F40" s="165"/>
      <c r="G40" s="165"/>
      <c r="H40" s="165"/>
      <c r="I40" s="165"/>
      <c r="J40" s="165"/>
      <c r="K40" s="165"/>
      <c r="L40" s="165"/>
      <c r="M40" s="165"/>
      <c r="N40" s="165"/>
      <c r="O40" s="165"/>
      <c r="P40" s="165"/>
    </row>
    <row r="41" spans="1:7" ht="12.75">
      <c r="A41" s="165"/>
      <c r="B41" s="165"/>
      <c r="C41" s="165"/>
      <c r="D41" s="165"/>
      <c r="E41" s="165"/>
      <c r="F41" s="165"/>
      <c r="G41" s="120"/>
    </row>
    <row r="42" spans="1:7" ht="12.75">
      <c r="A42" s="165"/>
      <c r="B42" s="165"/>
      <c r="C42" s="165"/>
      <c r="D42" s="165"/>
      <c r="E42" s="165"/>
      <c r="F42" s="165"/>
      <c r="G42" s="122"/>
    </row>
    <row r="43" spans="1:13" ht="15.75" customHeight="1">
      <c r="A43" s="165"/>
      <c r="B43" s="165"/>
      <c r="C43" s="165"/>
      <c r="D43" s="165"/>
      <c r="E43" s="165"/>
      <c r="F43" s="165"/>
      <c r="G43" s="162" t="s">
        <v>111</v>
      </c>
      <c r="H43" s="162"/>
      <c r="I43" s="162"/>
      <c r="J43" s="162"/>
      <c r="K43" s="162"/>
      <c r="L43" s="162"/>
      <c r="M43" s="162"/>
    </row>
    <row r="44" spans="1:13" ht="15.75" customHeight="1">
      <c r="A44" s="165"/>
      <c r="B44" s="165"/>
      <c r="C44" s="165"/>
      <c r="D44" s="165"/>
      <c r="E44" s="165"/>
      <c r="F44" s="165"/>
      <c r="G44" s="162" t="s">
        <v>112</v>
      </c>
      <c r="H44" s="162"/>
      <c r="I44" s="162"/>
      <c r="J44" s="162"/>
      <c r="K44" s="149">
        <f>G24</f>
        <v>19388.03998897403</v>
      </c>
      <c r="L44" s="150"/>
      <c r="M44" s="150"/>
    </row>
    <row r="45" spans="1:13" ht="15.75" customHeight="1">
      <c r="A45" s="165"/>
      <c r="B45" s="165"/>
      <c r="C45" s="165"/>
      <c r="D45" s="165"/>
      <c r="E45" s="165"/>
      <c r="F45" s="165"/>
      <c r="G45" s="162" t="s">
        <v>113</v>
      </c>
      <c r="H45" s="162"/>
      <c r="I45" s="162"/>
      <c r="J45" s="162"/>
      <c r="K45" s="149">
        <f>G21</f>
        <v>8309.159995274584</v>
      </c>
      <c r="L45" s="150"/>
      <c r="M45" s="150"/>
    </row>
    <row r="46" spans="1:21" ht="15.75" customHeight="1">
      <c r="A46" s="165"/>
      <c r="B46" s="165"/>
      <c r="C46" s="165"/>
      <c r="D46" s="165"/>
      <c r="E46" s="165"/>
      <c r="F46" s="165"/>
      <c r="G46" s="162" t="s">
        <v>114</v>
      </c>
      <c r="H46" s="162"/>
      <c r="I46" s="162"/>
      <c r="J46" s="162"/>
      <c r="K46" s="149">
        <f>G19</f>
        <v>12000</v>
      </c>
      <c r="L46" s="150"/>
      <c r="M46" s="150"/>
      <c r="T46"/>
      <c r="U46"/>
    </row>
    <row r="47" spans="1:13" ht="15.75" customHeight="1">
      <c r="A47" s="165"/>
      <c r="B47" s="165"/>
      <c r="C47" s="165"/>
      <c r="D47" s="165"/>
      <c r="E47" s="165"/>
      <c r="F47" s="165"/>
      <c r="G47" s="162" t="s">
        <v>115</v>
      </c>
      <c r="H47" s="162"/>
      <c r="I47" s="162"/>
      <c r="J47" s="162"/>
      <c r="K47" s="149">
        <f>K44+K45+K46</f>
        <v>39697.19998424861</v>
      </c>
      <c r="L47" s="150"/>
      <c r="M47" s="150"/>
    </row>
    <row r="48" spans="1:13" ht="15.75" customHeight="1">
      <c r="A48" s="165"/>
      <c r="B48" s="165"/>
      <c r="C48" s="165"/>
      <c r="D48" s="165"/>
      <c r="E48" s="165"/>
      <c r="F48" s="165"/>
      <c r="K48" s="150"/>
      <c r="L48" s="150"/>
      <c r="M48" s="150"/>
    </row>
    <row r="49" spans="1:6" ht="12.75">
      <c r="A49" s="165"/>
      <c r="B49" s="165"/>
      <c r="C49" s="165"/>
      <c r="D49" s="165"/>
      <c r="E49" s="165"/>
      <c r="F49" s="165"/>
    </row>
    <row r="50" spans="1:6" ht="12.75">
      <c r="A50" s="165"/>
      <c r="B50" s="165"/>
      <c r="C50" s="165"/>
      <c r="D50" s="165"/>
      <c r="E50" s="165"/>
      <c r="F50" s="165"/>
    </row>
    <row r="51" spans="1:6" ht="12.75">
      <c r="A51" s="165"/>
      <c r="B51" s="165"/>
      <c r="C51" s="165"/>
      <c r="D51" s="165"/>
      <c r="E51" s="165"/>
      <c r="F51" s="165"/>
    </row>
    <row r="52" spans="1:6" ht="12.75">
      <c r="A52" s="165"/>
      <c r="B52" s="165"/>
      <c r="C52" s="165"/>
      <c r="D52" s="165"/>
      <c r="E52" s="165"/>
      <c r="F52" s="165"/>
    </row>
    <row r="53" spans="1:6" ht="12.75">
      <c r="A53" s="165"/>
      <c r="B53" s="165"/>
      <c r="C53" s="165"/>
      <c r="D53" s="165"/>
      <c r="E53" s="165"/>
      <c r="F53" s="165"/>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xl/worksheets/sheet8.xml><?xml version="1.0" encoding="utf-8"?>
<worksheet xmlns="http://schemas.openxmlformats.org/spreadsheetml/2006/main" xmlns:r="http://schemas.openxmlformats.org/officeDocument/2006/relationships">
  <dimension ref="A1:E42"/>
  <sheetViews>
    <sheetView zoomScalePageLayoutView="0" workbookViewId="0" topLeftCell="A3">
      <selection activeCell="Q27" sqref="Q27"/>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6999.000000397764</v>
      </c>
    </row>
    <row r="2" spans="1:2" ht="12.75">
      <c r="A2" t="s">
        <v>14</v>
      </c>
      <c r="B2" s="2">
        <f>Resultado!$D$6</f>
        <v>0.2615816544884541</v>
      </c>
    </row>
    <row r="3" spans="1:2" ht="12.75">
      <c r="A3" t="s">
        <v>35</v>
      </c>
      <c r="B3" s="1">
        <f>Resultado!C10</f>
        <v>15000</v>
      </c>
    </row>
    <row r="4" spans="1:2" ht="12.75">
      <c r="A4" t="s">
        <v>38</v>
      </c>
      <c r="B4" s="3">
        <f>Resultado!$D$5+Resultado!$D$4</f>
        <v>0.7384183455115458</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6999.000000397764</v>
      </c>
      <c r="B11" s="87">
        <f t="shared" si="0"/>
        <v>15000</v>
      </c>
      <c r="C11" s="87">
        <f t="shared" si="1"/>
        <v>5168.190000529025</v>
      </c>
      <c r="D11" s="88">
        <f t="shared" si="2"/>
        <v>20168.190000529026</v>
      </c>
      <c r="E11" s="88">
        <f aca="true" t="shared" si="4" ref="E11:E21">A11-D11</f>
        <v>-13169.190000131262</v>
      </c>
    </row>
    <row r="12" spans="1:5" ht="12.75">
      <c r="A12" s="87">
        <f t="shared" si="3"/>
        <v>13998.000000795528</v>
      </c>
      <c r="B12" s="87">
        <f t="shared" si="0"/>
        <v>15000</v>
      </c>
      <c r="C12" s="87">
        <f t="shared" si="1"/>
        <v>10336.38000105805</v>
      </c>
      <c r="D12" s="88">
        <f t="shared" si="2"/>
        <v>25336.380001058053</v>
      </c>
      <c r="E12" s="88">
        <f t="shared" si="4"/>
        <v>-11338.380000262525</v>
      </c>
    </row>
    <row r="13" spans="1:5" ht="12.75">
      <c r="A13" s="87">
        <f t="shared" si="3"/>
        <v>20997.000001193293</v>
      </c>
      <c r="B13" s="87">
        <f t="shared" si="0"/>
        <v>15000</v>
      </c>
      <c r="C13" s="87">
        <f t="shared" si="1"/>
        <v>15504.570001587077</v>
      </c>
      <c r="D13" s="88">
        <f t="shared" si="2"/>
        <v>30504.570001587075</v>
      </c>
      <c r="E13" s="88">
        <f t="shared" si="4"/>
        <v>-9507.570000393782</v>
      </c>
    </row>
    <row r="14" spans="1:5" ht="12.75">
      <c r="A14" s="87">
        <f t="shared" si="3"/>
        <v>27996.000001591055</v>
      </c>
      <c r="B14" s="87">
        <f t="shared" si="0"/>
        <v>15000</v>
      </c>
      <c r="C14" s="87">
        <f t="shared" si="1"/>
        <v>20672.7600021161</v>
      </c>
      <c r="D14" s="88">
        <f t="shared" si="2"/>
        <v>35672.760002116105</v>
      </c>
      <c r="E14" s="88">
        <f t="shared" si="4"/>
        <v>-7676.76000052505</v>
      </c>
    </row>
    <row r="15" spans="1:5" ht="12.75">
      <c r="A15" s="87">
        <f t="shared" si="3"/>
        <v>34995.00000198882</v>
      </c>
      <c r="B15" s="87">
        <f t="shared" si="0"/>
        <v>15000</v>
      </c>
      <c r="C15" s="87">
        <f t="shared" si="1"/>
        <v>25840.950002645124</v>
      </c>
      <c r="D15" s="88">
        <f t="shared" si="2"/>
        <v>40840.95000264513</v>
      </c>
      <c r="E15" s="88">
        <f t="shared" si="4"/>
        <v>-5845.95000065631</v>
      </c>
    </row>
    <row r="16" spans="1:5" ht="12.75">
      <c r="A16" s="87">
        <f t="shared" si="3"/>
        <v>41994.00000238658</v>
      </c>
      <c r="B16" s="87">
        <f t="shared" si="0"/>
        <v>15000</v>
      </c>
      <c r="C16" s="87">
        <f aca="true" t="shared" si="5" ref="C16:C21">A16*$B$4</f>
        <v>31009.14000317415</v>
      </c>
      <c r="D16" s="88">
        <f aca="true" t="shared" si="6" ref="D16:D21">C16+B16</f>
        <v>46009.14000317415</v>
      </c>
      <c r="E16" s="88">
        <f t="shared" si="4"/>
        <v>-4015.140000787571</v>
      </c>
    </row>
    <row r="17" spans="1:5" ht="12.75">
      <c r="A17" s="87">
        <f t="shared" si="3"/>
        <v>48993.00000278434</v>
      </c>
      <c r="B17" s="87">
        <f t="shared" si="0"/>
        <v>15000</v>
      </c>
      <c r="C17" s="87">
        <f t="shared" si="5"/>
        <v>36177.33000370317</v>
      </c>
      <c r="D17" s="88">
        <f t="shared" si="6"/>
        <v>51177.33000370317</v>
      </c>
      <c r="E17" s="88">
        <f t="shared" si="4"/>
        <v>-2184.3300009188315</v>
      </c>
    </row>
    <row r="18" spans="1:5" ht="12.75">
      <c r="A18" s="87">
        <f t="shared" si="3"/>
        <v>55992.000003182104</v>
      </c>
      <c r="B18" s="87">
        <f t="shared" si="0"/>
        <v>15000</v>
      </c>
      <c r="C18" s="87">
        <f t="shared" si="5"/>
        <v>41345.520004232196</v>
      </c>
      <c r="D18" s="88">
        <f t="shared" si="6"/>
        <v>56345.520004232196</v>
      </c>
      <c r="E18" s="88">
        <f t="shared" si="4"/>
        <v>-353.5200010500921</v>
      </c>
    </row>
    <row r="19" spans="1:5" ht="12.75">
      <c r="A19" s="87">
        <f t="shared" si="3"/>
        <v>62991.000003579866</v>
      </c>
      <c r="B19" s="87">
        <f t="shared" si="0"/>
        <v>15000</v>
      </c>
      <c r="C19" s="87">
        <f t="shared" si="5"/>
        <v>46513.710004761226</v>
      </c>
      <c r="D19" s="88">
        <f t="shared" si="6"/>
        <v>61513.710004761226</v>
      </c>
      <c r="E19" s="88">
        <f t="shared" si="4"/>
        <v>1477.28999881864</v>
      </c>
    </row>
    <row r="20" spans="1:5" ht="12.75">
      <c r="A20" s="87">
        <f t="shared" si="3"/>
        <v>69990.00000397764</v>
      </c>
      <c r="B20" s="87">
        <f t="shared" si="0"/>
        <v>15000</v>
      </c>
      <c r="C20" s="87">
        <f t="shared" si="5"/>
        <v>51681.90000529025</v>
      </c>
      <c r="D20" s="88">
        <f t="shared" si="6"/>
        <v>66681.90000529026</v>
      </c>
      <c r="E20" s="88">
        <f t="shared" si="4"/>
        <v>3308.0999986873794</v>
      </c>
    </row>
    <row r="21" spans="1:5" ht="12.75">
      <c r="A21" s="87">
        <f t="shared" si="3"/>
        <v>76989.0000043754</v>
      </c>
      <c r="B21" s="87">
        <f t="shared" si="0"/>
        <v>15000</v>
      </c>
      <c r="C21" s="87">
        <f t="shared" si="5"/>
        <v>56850.09000581928</v>
      </c>
      <c r="D21" s="88">
        <f t="shared" si="6"/>
        <v>71850.09000581928</v>
      </c>
      <c r="E21" s="88">
        <f t="shared" si="4"/>
        <v>5138.909998556119</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2020-05-26T12:17:19Z</dcterms:modified>
  <cp:category/>
  <cp:version/>
  <cp:contentType/>
  <cp:contentStatus/>
</cp:coreProperties>
</file>