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60" yWindow="520" windowWidth="14800" windowHeight="16560" firstSheet="1" activeTab="2"/>
  </bookViews>
  <sheets>
    <sheet name="1 - Estudo sobre enc de operaca" sheetId="1" r:id="rId1"/>
    <sheet name="2 - Encomenda em f(capac)" sheetId="2" r:id="rId2"/>
    <sheet name="3  - Muñecas" sheetId="3" r:id="rId3"/>
    <sheet name="4 - logística" sheetId="4" r:id="rId4"/>
    <sheet name="Munecas 2" sheetId="5" r:id="rId5"/>
  </sheets>
  <externalReferences>
    <externalReference r:id="rId8"/>
  </externalReferences>
  <definedNames>
    <definedName name="solver_adj" localSheetId="2" hidden="1">'3  - Muñecas'!$B$37:$F$37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itr" localSheetId="2" hidden="1">2147483647</definedName>
    <definedName name="solver_lhs1" localSheetId="2" hidden="1">'3  - Muñecas'!$B$37:$F$37</definedName>
    <definedName name="solver_lhs2" localSheetId="2" hidden="1">'3  - Muñecas'!$G$38</definedName>
    <definedName name="solver_lin" localSheetId="2" hidden="1">1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2</definedName>
    <definedName name="solver_opt" localSheetId="2" hidden="1">'3  - Muñecas'!$G$39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el2" localSheetId="2" hidden="1">1</definedName>
    <definedName name="solver_rhs1" localSheetId="2" hidden="1">0</definedName>
    <definedName name="solver_rhs2" localSheetId="2" hidden="1">130000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<sst xmlns="http://schemas.openxmlformats.org/spreadsheetml/2006/main" count="351" uniqueCount="213">
  <si>
    <t>PX</t>
  </si>
  <si>
    <t>PY</t>
  </si>
  <si>
    <t>CX</t>
  </si>
  <si>
    <t>CY</t>
  </si>
  <si>
    <t>REC</t>
  </si>
  <si>
    <t xml:space="preserve">CV </t>
  </si>
  <si>
    <t>MC</t>
  </si>
  <si>
    <t>Cfi</t>
  </si>
  <si>
    <t>MSB</t>
  </si>
  <si>
    <t>Q</t>
  </si>
  <si>
    <t>PREÇO</t>
  </si>
  <si>
    <t>CVU</t>
  </si>
  <si>
    <t>CFG</t>
  </si>
  <si>
    <t>res</t>
  </si>
  <si>
    <t>FABRICAÇAO PRÓPRIA</t>
  </si>
  <si>
    <t>FABRICAÇAO `TERCEIROS</t>
  </si>
  <si>
    <t>Cenários</t>
  </si>
  <si>
    <t>Ganha INT e mant[em contrato (+30%)</t>
  </si>
  <si>
    <t>Ganha INT e perde contrato (+10%)</t>
  </si>
  <si>
    <t>Não ganha INT e perde contrato (-20%)</t>
  </si>
  <si>
    <t>acresc CV</t>
  </si>
  <si>
    <t>Econ CF</t>
  </si>
  <si>
    <t>Dif custos</t>
  </si>
  <si>
    <t>Recome</t>
  </si>
  <si>
    <t>PINTURA</t>
  </si>
  <si>
    <t>120.Q.PX +140.QPY</t>
  </si>
  <si>
    <t>acresc custos variaveis</t>
  </si>
  <si>
    <t>economia dos custos fixos</t>
  </si>
  <si>
    <t xml:space="preserve"> </t>
  </si>
  <si>
    <t>CROMEAÇÃO</t>
  </si>
  <si>
    <t>(7000-1400)</t>
  </si>
  <si>
    <t>PRÓPRIO</t>
  </si>
  <si>
    <t>Demanda</t>
  </si>
  <si>
    <t>CDU</t>
  </si>
  <si>
    <t>Joana</t>
  </si>
  <si>
    <t>Jane</t>
  </si>
  <si>
    <t>Muriel</t>
  </si>
  <si>
    <t>Bobbie</t>
  </si>
  <si>
    <t>(A)</t>
  </si>
  <si>
    <t>Analisando a tab 1, abaixo, , verificamos que nenhum produto compromete os resultados,</t>
  </si>
  <si>
    <t>pois todos possuem Margem Bruta de Contribuição positiva</t>
  </si>
  <si>
    <t>(B)</t>
  </si>
  <si>
    <t>Conforme a tabela acima, a atividade PINTURA, oferece maior MSBC do que a obtida pela CROMEAÇÃO, contribuindo, portanto</t>
  </si>
  <si>
    <t>mais para o resultado da empresa (admitindo que os CUSTOS FIXOS COMUNS sejam completamente indivisíveis).</t>
  </si>
  <si>
    <t xml:space="preserve">"C </t>
  </si>
  <si>
    <t>À MSBC da PINTURA é maior na fabricaçào própria, enquanto a MSBC da CROMEAÇÃO é maior</t>
  </si>
  <si>
    <t>na fabricação de terceiros. Devido a economia do aluguel ($ 500.000), que afeta as duas áreas conjuntamente</t>
  </si>
  <si>
    <t>temos um resultado melhor global fazendo a fabricação por terceiros</t>
  </si>
  <si>
    <t>D</t>
  </si>
  <si>
    <t xml:space="preserve">RECEITA </t>
  </si>
  <si>
    <t>FABRICAÇÃO PRÓPRIA</t>
  </si>
  <si>
    <t>FABRICAÇÃO EXTERNA</t>
  </si>
  <si>
    <t>CUSTOS DIRETOS</t>
  </si>
  <si>
    <t>CDT</t>
  </si>
  <si>
    <t>MBC</t>
  </si>
  <si>
    <t>MSBC</t>
  </si>
  <si>
    <t>RESULTADO</t>
  </si>
  <si>
    <t xml:space="preserve">No caso  de ganhar a concorrência internacional, a fabricaçào própria oferece melhor resultado que a </t>
  </si>
  <si>
    <t xml:space="preserve"> existência de 50 % de capacidade ociosa, com os mesmos custos fixos</t>
  </si>
  <si>
    <t>E</t>
  </si>
  <si>
    <t>Se não houver renovação do contrato de mercado interno, a fabricação externa oferece melhores resulotados</t>
  </si>
  <si>
    <t>conforme mostra a tabela acima</t>
  </si>
  <si>
    <t>F</t>
  </si>
  <si>
    <t>Px</t>
  </si>
  <si>
    <t>Py</t>
  </si>
  <si>
    <t>Cx</t>
  </si>
  <si>
    <t>Cy</t>
  </si>
  <si>
    <t>Q atual</t>
  </si>
  <si>
    <t>Efeito da conc</t>
  </si>
  <si>
    <t>Efeito contrato</t>
  </si>
  <si>
    <t>Q result</t>
  </si>
  <si>
    <t>Esta nova situaçao leva aos seguintes resultados:</t>
  </si>
  <si>
    <t>FABRICAÇAO externa</t>
  </si>
  <si>
    <t>A FABRICAÇÃO PRÓPRIA APRESENTA MELHOR RESULTADO</t>
  </si>
  <si>
    <t>3 -</t>
  </si>
  <si>
    <t>RES</t>
  </si>
  <si>
    <t>Capacidade</t>
  </si>
  <si>
    <t>(h/ano)</t>
  </si>
  <si>
    <t>CF</t>
  </si>
  <si>
    <t>(R$/ano)</t>
  </si>
  <si>
    <t>Estojo</t>
  </si>
  <si>
    <t>Produção</t>
  </si>
  <si>
    <t>Preço un.</t>
  </si>
  <si>
    <t>Materiais/un.</t>
  </si>
  <si>
    <t>MOD/un.</t>
  </si>
  <si>
    <t>Horas/un.</t>
  </si>
  <si>
    <t>MC unit</t>
  </si>
  <si>
    <t>MC total</t>
  </si>
  <si>
    <t>Total de horas</t>
  </si>
  <si>
    <t>Horas gastas</t>
  </si>
  <si>
    <t>Custo Mat.</t>
  </si>
  <si>
    <t>Custo MOD</t>
  </si>
  <si>
    <t>CV total</t>
  </si>
  <si>
    <t>CF total</t>
  </si>
  <si>
    <t>CUSTO TOTAL</t>
  </si>
  <si>
    <t>RECEITA</t>
  </si>
  <si>
    <t>FINAL</t>
  </si>
  <si>
    <t>(com a retirada do custo fixo)</t>
  </si>
  <si>
    <t>Quantidade</t>
  </si>
  <si>
    <t>MCT</t>
  </si>
  <si>
    <t>Q 1</t>
  </si>
  <si>
    <t>Produto</t>
  </si>
  <si>
    <t>Preço Líquido unitário</t>
  </si>
  <si>
    <t>MCBu</t>
  </si>
  <si>
    <t>MBCu/$mod</t>
  </si>
  <si>
    <t>[unidades/ano]</t>
  </si>
  <si>
    <t>Estojo de costura</t>
  </si>
  <si>
    <t xml:space="preserve">Q2 </t>
  </si>
  <si>
    <t>produto</t>
  </si>
  <si>
    <t>Materiais Diretos [$/u]</t>
  </si>
  <si>
    <t>Mão de Obra Direta [$/u]</t>
  </si>
  <si>
    <t>H/UNIDADE</t>
  </si>
  <si>
    <t>HORAS</t>
  </si>
  <si>
    <t>MCU/h</t>
  </si>
  <si>
    <t>TOTAIS</t>
  </si>
  <si>
    <t>MENOR MC/H</t>
  </si>
  <si>
    <t>CUSTOS FIXOS POR ANO</t>
  </si>
  <si>
    <t>CAPACID</t>
  </si>
  <si>
    <t>FALTA</t>
  </si>
  <si>
    <t>RETIRAR DA BONECA COM MENORA mcu/h</t>
  </si>
  <si>
    <t>Bobie</t>
  </si>
  <si>
    <t>Quantitades transportadas</t>
  </si>
  <si>
    <t>Custos de transporte</t>
  </si>
  <si>
    <t>Oferta</t>
  </si>
  <si>
    <t>E1</t>
  </si>
  <si>
    <t>E2</t>
  </si>
  <si>
    <t>E3</t>
  </si>
  <si>
    <t>R1</t>
  </si>
  <si>
    <t>R2</t>
  </si>
  <si>
    <t>Somma</t>
  </si>
  <si>
    <t>U1</t>
  </si>
  <si>
    <t>U2</t>
  </si>
  <si>
    <t>U3</t>
  </si>
  <si>
    <t>U4</t>
  </si>
  <si>
    <t>U5</t>
  </si>
  <si>
    <t>U6</t>
  </si>
  <si>
    <t>U7</t>
  </si>
  <si>
    <t>U8</t>
  </si>
  <si>
    <t>somma</t>
  </si>
  <si>
    <t>total</t>
  </si>
  <si>
    <t>capacidade</t>
  </si>
  <si>
    <t>Me1</t>
  </si>
  <si>
    <t>Me2</t>
  </si>
  <si>
    <t>Mr1</t>
  </si>
  <si>
    <t>Mr2</t>
  </si>
  <si>
    <t>Custo total</t>
  </si>
  <si>
    <t>Total</t>
  </si>
  <si>
    <t>Custos fixos</t>
  </si>
  <si>
    <t>Kroneker</t>
  </si>
  <si>
    <t>Custos Variaveis</t>
  </si>
  <si>
    <t>Contrôle</t>
  </si>
  <si>
    <t>valores&gt;0</t>
  </si>
  <si>
    <t>Meta: total=0</t>
  </si>
  <si>
    <t>Preço</t>
  </si>
  <si>
    <t>Estojo de Costura</t>
  </si>
  <si>
    <t>melhor plano</t>
  </si>
  <si>
    <t>Renata zampronio</t>
  </si>
  <si>
    <t>É necessário considerar o preço do produto terceirizado e os custos variáveis e fixos para cada uma das atividades nessa análise.</t>
  </si>
  <si>
    <t>A análise da aceitação ou não de alguma encomenda ou de ambas será conduzida pela Análise do Valor Total; como medida de desempenho a MBC total máxima no trimestre.</t>
  </si>
  <si>
    <t>JUN</t>
  </si>
  <si>
    <t>JUL</t>
  </si>
  <si>
    <t>AGO</t>
  </si>
  <si>
    <t>SET</t>
  </si>
  <si>
    <t>Ociosidade</t>
  </si>
  <si>
    <t>CAPAC normal [h/mês]</t>
  </si>
  <si>
    <t>Capacidade mensal máxima =  7.500 / hora  * 80 %  =  6.000 HORAS/MÊS</t>
  </si>
  <si>
    <t>1.a . Só produção própria PP</t>
  </si>
  <si>
    <t>MBCu = [9,00 – (2,25 + 3,00 + 1,00)] = 2,75</t>
  </si>
  <si>
    <t xml:space="preserve">                                          CDu</t>
  </si>
  <si>
    <t>foram utilizadas 18000 restando 4500 no trimestre</t>
  </si>
  <si>
    <t xml:space="preserve">BLC    20.000 u / 4 h = 5.000 h/trimestre. Produzir PP (18000h) + BLC (5000h) = 23000h. </t>
  </si>
  <si>
    <t>Mas existem somente 22.500h no trimestre. Assim devemos restringir em 500 h de PP para que aceitemos a encomenda de BLC.</t>
  </si>
  <si>
    <t>1.c. Produção Própria + exótica</t>
  </si>
  <si>
    <t xml:space="preserve">                                            MSBC exótica = 5375</t>
  </si>
  <si>
    <t>1.c.  Prod Própria + BLC + exótica</t>
  </si>
  <si>
    <t xml:space="preserve">                                                               MBC sacrificada = 46.750</t>
  </si>
  <si>
    <t>2)  Preço limite em capacidade ociosa</t>
  </si>
  <si>
    <t>Pl BLC  = Cdu    +   MBC sacrificada (normal) / q  =  6,50   +  5500/20.000 =  6,78</t>
  </si>
  <si>
    <t xml:space="preserve">                                          5.500/20.000</t>
  </si>
  <si>
    <t>Pl exótica =  Cdu  +   CFP pedido/q  +  MBC sacrificada (não tem) =  8,25 + 4000/7500 =  8,78</t>
  </si>
  <si>
    <t>BLC =   Pl  = Cdu  +   (MBC/u.f.l) /  (q ufl)   =   6,50   +  [(2,75 x 4) / 4] = 9,25</t>
  </si>
  <si>
    <t>fl  =  fator limitativo</t>
  </si>
  <si>
    <t>Exótica  Pl = Cdu + CFPpedido/q  +   MBC/ufl / q ufl   =   8,25  + 4000/7500  +   11 (2,75x4) /2 = 14,28</t>
  </si>
  <si>
    <t>ALTERNATIVAS DE PRODUÇÃO</t>
  </si>
  <si>
    <t>MBC  TOTAL ($)</t>
  </si>
  <si>
    <t>PP</t>
  </si>
  <si>
    <t>PP + BLC</t>
  </si>
  <si>
    <t>PP + EX</t>
  </si>
  <si>
    <t>PP + BLC + EX</t>
  </si>
  <si>
    <t>A MAIOR MARGEM DE CONTRIBUIÇÃO SERIA GERADA PELA PRODUÇÃO DE PP + BLC</t>
  </si>
  <si>
    <t xml:space="preserve">                 P        MP      MO     MQ      MSBCu</t>
  </si>
  <si>
    <t>MBCt = 2,75 x  4  x  18.000   =   198.000</t>
  </si>
  <si>
    <t>1.</t>
  </si>
  <si>
    <t xml:space="preserve">b . Prod própria + BLC </t>
  </si>
  <si>
    <t xml:space="preserve">MBC = 198.000 + [(20.000 x ( 9,75 – 2,50 – 3 – 1 )]  - 2,75 x 500 x 4 (MBC que deixo de produzir de PP) = </t>
  </si>
  <si>
    <t xml:space="preserve">                                                    65.000                            5.500           =  257.500</t>
  </si>
  <si>
    <t>MBC = 198.000 + [( 9,50 – 3,25 – 3 – 2 ) x 7.500 ] - 4.000   =   203.375</t>
  </si>
  <si>
    <t>MBC = 198.000 + 65.000 +  5.375  - [( 2,75 x  (500+3750) x 4  ]  =  221.625</t>
  </si>
  <si>
    <t>4)</t>
  </si>
  <si>
    <t>P l em capacidade saturada</t>
  </si>
  <si>
    <t xml:space="preserve">                      u/h       H/trimestre</t>
  </si>
  <si>
    <t>0,25h/u</t>
  </si>
  <si>
    <t>nao aceitar as encomendas</t>
  </si>
  <si>
    <t>MCBu/Preço</t>
  </si>
  <si>
    <t>otimizaçã0</t>
  </si>
  <si>
    <t>MC unit/hora  util</t>
  </si>
  <si>
    <t>menor MC unit</t>
  </si>
  <si>
    <t>menor MC unit/hr utilizada</t>
  </si>
  <si>
    <t>reduzir Bobbie até manter capacidade d&lt;= 130.000h</t>
  </si>
  <si>
    <t>otimização</t>
  </si>
  <si>
    <t>Q ótima</t>
  </si>
  <si>
    <t>horas utilizadas</t>
  </si>
  <si>
    <t>sem otimizaçao</t>
  </si>
</sst>
</file>

<file path=xl/styles.xml><?xml version="1.0" encoding="utf-8"?>
<styleSheet xmlns="http://schemas.openxmlformats.org/spreadsheetml/2006/main">
  <numFmts count="3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[$-416]dddd\,\ d&quot; de &quot;mmmm&quot; de &quot;yyyy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_F_-;\-* #,##0.00\ _F_-;_-* &quot;-&quot;??\ _F_-;_-@_-"/>
    <numFmt numFmtId="187" formatCode="_-* #,##0\ _F_-;\-* #,##0\ _F_-;_-* &quot;-&quot;??\ _F_-;_-@_-"/>
    <numFmt numFmtId="188" formatCode="_-* #,##0.0\ _F_-;\-* #,##0.0\ _F_-;_-* &quot;-&quot;??\ _F_-;_-@_-"/>
    <numFmt numFmtId="189" formatCode="[$]dddd\,\ d\ mmmm\ yyyy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sz val="10"/>
      <color indexed="9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81" fontId="0" fillId="0" borderId="10" xfId="42" applyNumberFormat="1" applyFont="1" applyBorder="1" applyAlignment="1">
      <alignment horizontal="center"/>
    </xf>
    <xf numFmtId="181" fontId="0" fillId="33" borderId="10" xfId="42" applyNumberFormat="1" applyFont="1" applyFill="1" applyBorder="1" applyAlignment="1">
      <alignment horizontal="center"/>
    </xf>
    <xf numFmtId="181" fontId="0" fillId="0" borderId="10" xfId="42" applyNumberFormat="1" applyFont="1" applyBorder="1" applyAlignment="1">
      <alignment/>
    </xf>
    <xf numFmtId="0" fontId="0" fillId="8" borderId="10" xfId="0" applyFill="1" applyBorder="1" applyAlignment="1">
      <alignment/>
    </xf>
    <xf numFmtId="0" fontId="51" fillId="8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8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181" fontId="0" fillId="0" borderId="10" xfId="0" applyNumberFormat="1" applyBorder="1" applyAlignment="1">
      <alignment/>
    </xf>
    <xf numFmtId="181" fontId="0" fillId="33" borderId="10" xfId="0" applyNumberFormat="1" applyFill="1" applyBorder="1" applyAlignment="1">
      <alignment/>
    </xf>
    <xf numFmtId="181" fontId="0" fillId="33" borderId="10" xfId="42" applyNumberFormat="1" applyFont="1" applyFill="1" applyBorder="1" applyAlignment="1">
      <alignment/>
    </xf>
    <xf numFmtId="177" fontId="0" fillId="0" borderId="0" xfId="44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77" fontId="0" fillId="0" borderId="10" xfId="44" applyBorder="1" applyAlignment="1">
      <alignment/>
    </xf>
    <xf numFmtId="177" fontId="0" fillId="0" borderId="10" xfId="44" applyFont="1" applyBorder="1" applyAlignment="1">
      <alignment/>
    </xf>
    <xf numFmtId="39" fontId="0" fillId="0" borderId="10" xfId="44" applyNumberFormat="1" applyFont="1" applyBorder="1" applyAlignment="1">
      <alignment/>
    </xf>
    <xf numFmtId="39" fontId="0" fillId="0" borderId="0" xfId="44" applyNumberFormat="1" applyFont="1" applyAlignment="1">
      <alignment/>
    </xf>
    <xf numFmtId="0" fontId="3" fillId="0" borderId="0" xfId="0" applyFont="1" applyAlignment="1">
      <alignment horizontal="right"/>
    </xf>
    <xf numFmtId="0" fontId="3" fillId="34" borderId="10" xfId="0" applyFont="1" applyFill="1" applyBorder="1" applyAlignment="1">
      <alignment horizontal="right"/>
    </xf>
    <xf numFmtId="39" fontId="3" fillId="34" borderId="10" xfId="44" applyNumberFormat="1" applyFont="1" applyFill="1" applyBorder="1" applyAlignment="1">
      <alignment/>
    </xf>
    <xf numFmtId="0" fontId="3" fillId="0" borderId="10" xfId="0" applyFont="1" applyBorder="1" applyAlignment="1">
      <alignment horizontal="right"/>
    </xf>
    <xf numFmtId="37" fontId="0" fillId="0" borderId="10" xfId="44" applyNumberFormat="1" applyFont="1" applyBorder="1" applyAlignment="1">
      <alignment/>
    </xf>
    <xf numFmtId="37" fontId="4" fillId="34" borderId="10" xfId="0" applyNumberFormat="1" applyFont="1" applyFill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0" xfId="0" applyNumberFormat="1" applyAlignment="1">
      <alignment/>
    </xf>
    <xf numFmtId="177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35" borderId="0" xfId="0" applyFill="1" applyAlignment="1">
      <alignment/>
    </xf>
    <xf numFmtId="181" fontId="0" fillId="35" borderId="0" xfId="0" applyNumberFormat="1" applyFill="1" applyAlignment="1">
      <alignment/>
    </xf>
    <xf numFmtId="0" fontId="25" fillId="0" borderId="0" xfId="0" applyFont="1" applyAlignment="1">
      <alignment vertical="top" wrapText="1"/>
    </xf>
    <xf numFmtId="3" fontId="2" fillId="35" borderId="12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36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7" fontId="0" fillId="37" borderId="10" xfId="42" applyNumberFormat="1" applyFont="1" applyFill="1" applyBorder="1" applyAlignment="1">
      <alignment/>
    </xf>
    <xf numFmtId="188" fontId="0" fillId="0" borderId="10" xfId="42" applyNumberFormat="1" applyFill="1" applyBorder="1" applyAlignment="1">
      <alignment/>
    </xf>
    <xf numFmtId="0" fontId="0" fillId="0" borderId="18" xfId="0" applyBorder="1" applyAlignment="1">
      <alignment/>
    </xf>
    <xf numFmtId="2" fontId="26" fillId="0" borderId="10" xfId="42" applyNumberFormat="1" applyFont="1" applyFill="1" applyBorder="1" applyAlignment="1">
      <alignment/>
    </xf>
    <xf numFmtId="0" fontId="0" fillId="0" borderId="19" xfId="0" applyBorder="1" applyAlignment="1">
      <alignment/>
    </xf>
    <xf numFmtId="187" fontId="0" fillId="0" borderId="10" xfId="42" applyNumberFormat="1" applyBorder="1" applyAlignment="1">
      <alignment/>
    </xf>
    <xf numFmtId="188" fontId="0" fillId="0" borderId="0" xfId="42" applyNumberFormat="1" applyAlignment="1">
      <alignment/>
    </xf>
    <xf numFmtId="187" fontId="0" fillId="0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187" fontId="0" fillId="37" borderId="10" xfId="42" applyNumberFormat="1" applyFill="1" applyBorder="1" applyAlignment="1">
      <alignment/>
    </xf>
    <xf numFmtId="187" fontId="0" fillId="0" borderId="10" xfId="42" applyNumberFormat="1" applyFill="1" applyBorder="1" applyAlignment="1">
      <alignment/>
    </xf>
    <xf numFmtId="0" fontId="3" fillId="0" borderId="21" xfId="0" applyFont="1" applyBorder="1" applyAlignment="1">
      <alignment/>
    </xf>
    <xf numFmtId="187" fontId="3" fillId="37" borderId="22" xfId="42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36" borderId="23" xfId="0" applyFill="1" applyBorder="1" applyAlignment="1">
      <alignment/>
    </xf>
    <xf numFmtId="0" fontId="0" fillId="37" borderId="10" xfId="0" applyFill="1" applyBorder="1" applyAlignment="1">
      <alignment/>
    </xf>
    <xf numFmtId="187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0" xfId="59" applyFont="1" applyAlignment="1">
      <alignment/>
    </xf>
    <xf numFmtId="0" fontId="27" fillId="0" borderId="0" xfId="0" applyFont="1" applyAlignment="1">
      <alignment vertical="center" wrapText="1"/>
    </xf>
    <xf numFmtId="0" fontId="28" fillId="0" borderId="13" xfId="0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0" xfId="44" applyFont="1" applyBorder="1" applyAlignment="1">
      <alignment/>
    </xf>
    <xf numFmtId="177" fontId="0" fillId="0" borderId="0" xfId="0" applyNumberFormat="1" applyBorder="1" applyAlignment="1">
      <alignment/>
    </xf>
    <xf numFmtId="37" fontId="0" fillId="0" borderId="0" xfId="44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0" fillId="0" borderId="0" xfId="44" applyBorder="1" applyAlignment="1">
      <alignment/>
    </xf>
    <xf numFmtId="37" fontId="0" fillId="0" borderId="0" xfId="44" applyNumberFormat="1" applyBorder="1" applyAlignment="1">
      <alignment/>
    </xf>
    <xf numFmtId="177" fontId="3" fillId="0" borderId="0" xfId="44" applyFont="1" applyBorder="1" applyAlignment="1">
      <alignment/>
    </xf>
    <xf numFmtId="0" fontId="3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1" fillId="0" borderId="0" xfId="0" applyFont="1" applyBorder="1" applyAlignment="1">
      <alignment horizontal="center" wrapText="1"/>
    </xf>
    <xf numFmtId="2" fontId="0" fillId="0" borderId="0" xfId="44" applyNumberFormat="1" applyFont="1" applyBorder="1" applyAlignment="1">
      <alignment/>
    </xf>
    <xf numFmtId="177" fontId="0" fillId="0" borderId="0" xfId="44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7" fontId="3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31" fillId="33" borderId="26" xfId="0" applyFont="1" applyFill="1" applyBorder="1" applyAlignment="1">
      <alignment horizontal="center"/>
    </xf>
    <xf numFmtId="0" fontId="31" fillId="33" borderId="27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0" fillId="0" borderId="27" xfId="0" applyFont="1" applyBorder="1" applyAlignment="1">
      <alignment/>
    </xf>
    <xf numFmtId="0" fontId="30" fillId="33" borderId="21" xfId="0" applyFont="1" applyFill="1" applyBorder="1" applyAlignment="1">
      <alignment/>
    </xf>
    <xf numFmtId="0" fontId="30" fillId="33" borderId="28" xfId="0" applyFont="1" applyFill="1" applyBorder="1" applyAlignment="1">
      <alignment/>
    </xf>
    <xf numFmtId="0" fontId="30" fillId="33" borderId="22" xfId="0" applyFont="1" applyFill="1" applyBorder="1" applyAlignment="1">
      <alignment/>
    </xf>
    <xf numFmtId="177" fontId="0" fillId="0" borderId="23" xfId="44" applyBorder="1" applyAlignment="1">
      <alignment/>
    </xf>
    <xf numFmtId="0" fontId="30" fillId="33" borderId="21" xfId="0" applyFont="1" applyFill="1" applyBorder="1" applyAlignment="1">
      <alignment horizontal="center"/>
    </xf>
    <xf numFmtId="0" fontId="30" fillId="33" borderId="28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/>
    </xf>
    <xf numFmtId="37" fontId="0" fillId="0" borderId="23" xfId="44" applyNumberFormat="1" applyBorder="1" applyAlignment="1">
      <alignment/>
    </xf>
    <xf numFmtId="177" fontId="0" fillId="0" borderId="24" xfId="0" applyNumberFormat="1" applyBorder="1" applyAlignment="1">
      <alignment/>
    </xf>
    <xf numFmtId="177" fontId="3" fillId="0" borderId="24" xfId="44" applyFon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12" xfId="0" applyNumberFormat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23" xfId="0" applyFont="1" applyBorder="1" applyAlignment="1">
      <alignment/>
    </xf>
    <xf numFmtId="0" fontId="0" fillId="33" borderId="28" xfId="0" applyFill="1" applyBorder="1" applyAlignment="1">
      <alignment/>
    </xf>
    <xf numFmtId="9" fontId="0" fillId="0" borderId="0" xfId="59" applyFont="1" applyAlignment="1">
      <alignment horizontal="center"/>
    </xf>
    <xf numFmtId="0" fontId="2" fillId="0" borderId="0" xfId="0" applyFont="1" applyFill="1" applyBorder="1" applyAlignment="1">
      <alignment vertical="top" wrapText="1"/>
    </xf>
    <xf numFmtId="39" fontId="3" fillId="33" borderId="10" xfId="44" applyNumberFormat="1" applyFont="1" applyFill="1" applyBorder="1" applyAlignment="1">
      <alignment/>
    </xf>
    <xf numFmtId="39" fontId="0" fillId="33" borderId="0" xfId="44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3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123825</xdr:rowOff>
    </xdr:from>
    <xdr:to>
      <xdr:col>7</xdr:col>
      <xdr:colOff>133350</xdr:colOff>
      <xdr:row>20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23825"/>
          <a:ext cx="35433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3</xdr:row>
      <xdr:rowOff>104775</xdr:rowOff>
    </xdr:from>
    <xdr:to>
      <xdr:col>11</xdr:col>
      <xdr:colOff>209550</xdr:colOff>
      <xdr:row>22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247775"/>
          <a:ext cx="37528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pcosta\Library\Mobile%20Documents\com~apple~CloudDocs\meus_arquivos%2020190708\REINALDO%200%2020180623\Usp\PRO%202613%20%203363\ESTUDOS%20DE%20CASO\PRO%202802%20Localizac&#807;a&#771;o%20-%20Pierre%20Re&#769;mi%20V2%20201704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WB! Status"/>
      <sheetName val="RPC JAAJ"/>
      <sheetName val="Whatsbest"/>
      <sheetName val="Relatório de sensibilidade 1"/>
      <sheetName val="Solver"/>
      <sheetName val="Resultado"/>
      <sheetName val="Solver 2"/>
    </sheetNames>
    <sheetDataSet>
      <sheetData sheetId="0">
        <row r="3">
          <cell r="C3">
            <v>12</v>
          </cell>
          <cell r="D3">
            <v>10</v>
          </cell>
          <cell r="E3">
            <v>14</v>
          </cell>
          <cell r="F3">
            <v>10</v>
          </cell>
          <cell r="G3">
            <v>15</v>
          </cell>
        </row>
        <row r="4">
          <cell r="C4">
            <v>34</v>
          </cell>
          <cell r="D4">
            <v>5</v>
          </cell>
          <cell r="E4">
            <v>8</v>
          </cell>
          <cell r="F4">
            <v>20</v>
          </cell>
          <cell r="G4">
            <v>25</v>
          </cell>
          <cell r="I4">
            <v>80</v>
          </cell>
          <cell r="J4">
            <v>30</v>
          </cell>
          <cell r="L4">
            <v>10</v>
          </cell>
          <cell r="M4">
            <v>20</v>
          </cell>
        </row>
        <row r="5">
          <cell r="C5">
            <v>21</v>
          </cell>
          <cell r="D5">
            <v>36</v>
          </cell>
          <cell r="E5">
            <v>10</v>
          </cell>
          <cell r="F5">
            <v>10</v>
          </cell>
          <cell r="G5">
            <v>25</v>
          </cell>
          <cell r="I5">
            <v>90</v>
          </cell>
          <cell r="J5">
            <v>80</v>
          </cell>
          <cell r="L5">
            <v>20</v>
          </cell>
          <cell r="M5">
            <v>10</v>
          </cell>
        </row>
        <row r="6">
          <cell r="C6">
            <v>14</v>
          </cell>
          <cell r="D6">
            <v>39</v>
          </cell>
          <cell r="E6">
            <v>26</v>
          </cell>
          <cell r="F6">
            <v>20</v>
          </cell>
          <cell r="G6">
            <v>15</v>
          </cell>
          <cell r="I6">
            <v>30</v>
          </cell>
          <cell r="J6">
            <v>60</v>
          </cell>
        </row>
        <row r="7">
          <cell r="C7">
            <v>25</v>
          </cell>
          <cell r="D7">
            <v>23</v>
          </cell>
          <cell r="E7">
            <v>31</v>
          </cell>
          <cell r="F7">
            <v>10</v>
          </cell>
          <cell r="G7">
            <v>15</v>
          </cell>
        </row>
        <row r="8">
          <cell r="C8">
            <v>26</v>
          </cell>
          <cell r="D8">
            <v>45</v>
          </cell>
          <cell r="E8">
            <v>54</v>
          </cell>
          <cell r="F8">
            <v>20</v>
          </cell>
          <cell r="G8">
            <v>25</v>
          </cell>
        </row>
        <row r="9">
          <cell r="C9">
            <v>21</v>
          </cell>
          <cell r="D9">
            <v>21</v>
          </cell>
          <cell r="E9">
            <v>23</v>
          </cell>
          <cell r="F9">
            <v>10</v>
          </cell>
          <cell r="G9">
            <v>25</v>
          </cell>
        </row>
        <row r="10">
          <cell r="C10">
            <v>18</v>
          </cell>
          <cell r="D10">
            <v>8</v>
          </cell>
          <cell r="E10">
            <v>32</v>
          </cell>
          <cell r="F10">
            <v>20</v>
          </cell>
          <cell r="G10">
            <v>15</v>
          </cell>
        </row>
      </sheetData>
      <sheetData sheetId="5">
        <row r="16">
          <cell r="B16">
            <v>0</v>
          </cell>
          <cell r="C16">
            <v>200</v>
          </cell>
        </row>
        <row r="17">
          <cell r="B17">
            <v>0</v>
          </cell>
          <cell r="C17">
            <v>0</v>
          </cell>
        </row>
        <row r="18">
          <cell r="B18">
            <v>150</v>
          </cell>
          <cell r="C18">
            <v>100</v>
          </cell>
        </row>
        <row r="23">
          <cell r="B23">
            <v>600</v>
          </cell>
          <cell r="C23">
            <v>0</v>
          </cell>
        </row>
        <row r="24">
          <cell r="B24">
            <v>0</v>
          </cell>
          <cell r="C24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2"/>
  <sheetViews>
    <sheetView showGridLines="0" zoomScale="90" zoomScaleNormal="90" zoomScalePageLayoutView="0" workbookViewId="0" topLeftCell="A1">
      <selection activeCell="L11" sqref="L11"/>
    </sheetView>
  </sheetViews>
  <sheetFormatPr defaultColWidth="8.8515625" defaultRowHeight="12.75"/>
  <cols>
    <col min="1" max="3" width="8.8515625" style="0" customWidth="1"/>
    <col min="4" max="4" width="12.140625" style="0" bestFit="1" customWidth="1"/>
    <col min="5" max="5" width="13.28125" style="0" bestFit="1" customWidth="1"/>
    <col min="6" max="6" width="12.140625" style="0" bestFit="1" customWidth="1"/>
    <col min="7" max="7" width="12.7109375" style="0" bestFit="1" customWidth="1"/>
    <col min="8" max="8" width="12.140625" style="0" bestFit="1" customWidth="1"/>
    <col min="9" max="9" width="12.421875" style="0" customWidth="1"/>
    <col min="10" max="10" width="12.140625" style="0" bestFit="1" customWidth="1"/>
    <col min="11" max="11" width="8.8515625" style="0" customWidth="1"/>
    <col min="12" max="12" width="12.140625" style="0" bestFit="1" customWidth="1"/>
    <col min="13" max="13" width="17.28125" style="0" customWidth="1"/>
    <col min="14" max="14" width="12.140625" style="0" bestFit="1" customWidth="1"/>
    <col min="15" max="16" width="8.8515625" style="0" customWidth="1"/>
    <col min="17" max="17" width="12.140625" style="0" bestFit="1" customWidth="1"/>
  </cols>
  <sheetData>
    <row r="2" spans="4:8" ht="12.75">
      <c r="D2" s="93"/>
      <c r="E2" s="93"/>
      <c r="F2" s="93"/>
      <c r="G2" s="93"/>
      <c r="H2" s="93"/>
    </row>
    <row r="3" spans="4:8" ht="12.75">
      <c r="D3" s="93"/>
      <c r="E3" s="93"/>
      <c r="F3" s="93"/>
      <c r="G3" s="93"/>
      <c r="H3" s="93"/>
    </row>
    <row r="4" spans="4:8" ht="12.75">
      <c r="D4" s="93"/>
      <c r="E4" s="93"/>
      <c r="F4" s="93"/>
      <c r="G4" s="93"/>
      <c r="H4" s="93"/>
    </row>
    <row r="5" spans="4:8" ht="12.75">
      <c r="D5" s="93"/>
      <c r="E5" s="93"/>
      <c r="F5" s="93"/>
      <c r="G5" s="93"/>
      <c r="H5" s="93"/>
    </row>
    <row r="6" spans="4:8" ht="12.75">
      <c r="D6" s="93"/>
      <c r="E6" s="93"/>
      <c r="F6" s="93"/>
      <c r="G6" s="93"/>
      <c r="H6" s="93"/>
    </row>
    <row r="7" spans="4:8" ht="12.75">
      <c r="D7" s="93"/>
      <c r="E7" s="93"/>
      <c r="F7" s="93"/>
      <c r="G7" s="93"/>
      <c r="H7" s="93"/>
    </row>
    <row r="8" spans="4:8" ht="12.75">
      <c r="D8" s="93"/>
      <c r="E8" s="93"/>
      <c r="F8" s="93"/>
      <c r="G8" s="93"/>
      <c r="H8" s="93"/>
    </row>
    <row r="9" spans="4:8" ht="12.75">
      <c r="D9" s="93"/>
      <c r="E9" s="93"/>
      <c r="F9" s="93"/>
      <c r="G9" s="93"/>
      <c r="H9" s="93"/>
    </row>
    <row r="10" spans="4:8" ht="12.75">
      <c r="D10" s="93"/>
      <c r="E10" s="93"/>
      <c r="F10" s="93"/>
      <c r="G10" s="93"/>
      <c r="H10" s="93"/>
    </row>
    <row r="11" spans="4:8" ht="12.75">
      <c r="D11" s="93"/>
      <c r="E11" s="93"/>
      <c r="F11" s="93"/>
      <c r="G11" s="93"/>
      <c r="H11" s="93"/>
    </row>
    <row r="12" spans="4:8" ht="12.75">
      <c r="D12" s="93"/>
      <c r="E12" s="93"/>
      <c r="F12" s="93"/>
      <c r="G12" s="93"/>
      <c r="H12" s="93"/>
    </row>
    <row r="13" spans="4:8" ht="12.75">
      <c r="D13" s="93"/>
      <c r="E13" s="93"/>
      <c r="F13" s="93"/>
      <c r="G13" s="93"/>
      <c r="H13" s="93"/>
    </row>
    <row r="14" spans="4:8" ht="12.75">
      <c r="D14" s="93"/>
      <c r="E14" s="93"/>
      <c r="F14" s="93"/>
      <c r="G14" s="93"/>
      <c r="H14" s="93"/>
    </row>
    <row r="15" spans="4:8" ht="12.75">
      <c r="D15" s="93"/>
      <c r="E15" s="93"/>
      <c r="F15" s="93"/>
      <c r="G15" s="93"/>
      <c r="H15" s="93"/>
    </row>
    <row r="16" spans="4:8" ht="12.75">
      <c r="D16" s="93"/>
      <c r="E16" s="93"/>
      <c r="F16" s="93"/>
      <c r="G16" s="93"/>
      <c r="H16" s="93"/>
    </row>
    <row r="17" spans="4:8" ht="12.75">
      <c r="D17" s="93"/>
      <c r="E17" s="93"/>
      <c r="F17" s="93"/>
      <c r="G17" s="93"/>
      <c r="H17" s="93"/>
    </row>
    <row r="18" spans="4:8" ht="12.75">
      <c r="D18" s="93"/>
      <c r="E18" s="93"/>
      <c r="F18" s="93"/>
      <c r="G18" s="93"/>
      <c r="H18" s="93"/>
    </row>
    <row r="19" spans="4:8" ht="12.75">
      <c r="D19" s="93"/>
      <c r="E19" s="93"/>
      <c r="F19" s="93"/>
      <c r="G19" s="93"/>
      <c r="H19" s="93"/>
    </row>
    <row r="20" spans="4:8" ht="12.75">
      <c r="D20" s="93"/>
      <c r="E20" s="93"/>
      <c r="F20" s="93"/>
      <c r="G20" s="93"/>
      <c r="H20" s="93"/>
    </row>
    <row r="21" ht="12.75">
      <c r="C21" s="9" t="s">
        <v>38</v>
      </c>
    </row>
    <row r="22" ht="12.75">
      <c r="C22" s="3" t="s">
        <v>39</v>
      </c>
    </row>
    <row r="23" ht="12.75">
      <c r="C23" s="3" t="s">
        <v>40</v>
      </c>
    </row>
    <row r="25" spans="4:10" ht="12.75">
      <c r="D25" s="10"/>
      <c r="E25" s="10"/>
      <c r="F25" s="10"/>
      <c r="G25" s="10"/>
      <c r="H25" s="10"/>
      <c r="I25" s="10"/>
      <c r="J25" s="10"/>
    </row>
    <row r="26" spans="3:10" ht="12.75">
      <c r="C26" s="42" t="s">
        <v>14</v>
      </c>
      <c r="D26" s="42"/>
      <c r="E26" s="42"/>
      <c r="F26" s="42"/>
      <c r="G26" s="42"/>
      <c r="H26" s="42"/>
      <c r="I26" s="42"/>
      <c r="J26" s="42"/>
    </row>
    <row r="27" spans="1:10" ht="12.75">
      <c r="A27" s="8" t="s">
        <v>74</v>
      </c>
      <c r="C27" s="10"/>
      <c r="D27" s="12" t="s">
        <v>0</v>
      </c>
      <c r="E27" s="12"/>
      <c r="F27" s="12" t="s">
        <v>1</v>
      </c>
      <c r="G27" s="12"/>
      <c r="H27" s="12" t="s">
        <v>2</v>
      </c>
      <c r="I27" s="11"/>
      <c r="J27" s="11" t="s">
        <v>3</v>
      </c>
    </row>
    <row r="28" spans="3:10" ht="12.75">
      <c r="C28" s="10" t="s">
        <v>10</v>
      </c>
      <c r="D28" s="11">
        <v>600</v>
      </c>
      <c r="E28" s="11"/>
      <c r="F28" s="11">
        <v>800</v>
      </c>
      <c r="G28" s="11"/>
      <c r="H28" s="11">
        <v>700</v>
      </c>
      <c r="I28" s="11"/>
      <c r="J28" s="11">
        <v>1000</v>
      </c>
    </row>
    <row r="29" spans="3:10" ht="12.75">
      <c r="C29" s="10" t="s">
        <v>11</v>
      </c>
      <c r="D29" s="11">
        <v>350</v>
      </c>
      <c r="E29" s="11"/>
      <c r="F29" s="11">
        <v>450</v>
      </c>
      <c r="G29" s="11"/>
      <c r="H29" s="11">
        <v>400</v>
      </c>
      <c r="I29" s="11"/>
      <c r="J29" s="11">
        <v>600</v>
      </c>
    </row>
    <row r="30" spans="3:10" ht="12.75">
      <c r="C30" s="10" t="s">
        <v>9</v>
      </c>
      <c r="D30" s="11">
        <v>30000</v>
      </c>
      <c r="E30" s="11"/>
      <c r="F30" s="11">
        <v>20000</v>
      </c>
      <c r="G30" s="11"/>
      <c r="H30" s="11">
        <v>15000</v>
      </c>
      <c r="I30" s="11"/>
      <c r="J30" s="11">
        <v>12000</v>
      </c>
    </row>
    <row r="31" spans="3:12" ht="12.75">
      <c r="C31" s="10" t="s">
        <v>4</v>
      </c>
      <c r="D31" s="13">
        <f>D28*D30</f>
        <v>18000000</v>
      </c>
      <c r="E31" s="13"/>
      <c r="F31" s="13">
        <f>F28*F30</f>
        <v>16000000</v>
      </c>
      <c r="G31" s="13"/>
      <c r="H31" s="13">
        <f>H28*H30</f>
        <v>10500000</v>
      </c>
      <c r="I31" s="13"/>
      <c r="J31" s="13">
        <f>J28*J30</f>
        <v>12000000</v>
      </c>
      <c r="K31" s="2"/>
      <c r="L31" s="5">
        <f>SUM(D31:J31)</f>
        <v>56500000</v>
      </c>
    </row>
    <row r="32" spans="3:13" ht="12.75">
      <c r="C32" s="10" t="s">
        <v>5</v>
      </c>
      <c r="D32" s="13">
        <f>D29*D30</f>
        <v>10500000</v>
      </c>
      <c r="E32" s="13"/>
      <c r="F32" s="13">
        <f>F29*F30</f>
        <v>9000000</v>
      </c>
      <c r="G32" s="13"/>
      <c r="H32" s="13">
        <f>H29*H30</f>
        <v>6000000</v>
      </c>
      <c r="I32" s="13"/>
      <c r="J32" s="13">
        <f>J29*J30</f>
        <v>7200000</v>
      </c>
      <c r="K32" s="2"/>
      <c r="L32" s="5">
        <f>SUM(D32:J32)</f>
        <v>32700000</v>
      </c>
      <c r="M32" s="5">
        <f>L32*1.3</f>
        <v>42510000</v>
      </c>
    </row>
    <row r="33" spans="3:11" ht="12.75">
      <c r="C33" s="10" t="s">
        <v>6</v>
      </c>
      <c r="D33" s="14">
        <f>D31-D32</f>
        <v>7500000</v>
      </c>
      <c r="E33" s="13"/>
      <c r="F33" s="14">
        <f>F31-F32</f>
        <v>7000000</v>
      </c>
      <c r="G33" s="13"/>
      <c r="H33" s="14">
        <f>H31-H32</f>
        <v>4500000</v>
      </c>
      <c r="I33" s="13"/>
      <c r="J33" s="14">
        <f>J31-J32</f>
        <v>4800000</v>
      </c>
      <c r="K33" s="2"/>
    </row>
    <row r="34" spans="3:11" ht="12.75">
      <c r="C34" s="10" t="s">
        <v>54</v>
      </c>
      <c r="D34" s="15"/>
      <c r="E34" s="15">
        <f>D33+F33</f>
        <v>14500000</v>
      </c>
      <c r="F34" s="15"/>
      <c r="G34" s="15"/>
      <c r="H34" s="15"/>
      <c r="I34" s="15">
        <f>H33+J33</f>
        <v>9300000</v>
      </c>
      <c r="J34" s="15"/>
      <c r="K34" s="2"/>
    </row>
    <row r="35" spans="3:12" ht="12.75">
      <c r="C35" s="10" t="s">
        <v>7</v>
      </c>
      <c r="D35" s="10"/>
      <c r="E35" s="10">
        <v>7000000</v>
      </c>
      <c r="F35" s="10"/>
      <c r="G35" s="10"/>
      <c r="H35" s="10"/>
      <c r="I35" s="10">
        <v>6000000</v>
      </c>
      <c r="J35" s="10"/>
      <c r="L35" s="5">
        <f>SUM(D35:J35)</f>
        <v>13000000</v>
      </c>
    </row>
    <row r="36" spans="3:10" ht="12.75">
      <c r="C36" s="10" t="s">
        <v>8</v>
      </c>
      <c r="D36" s="10"/>
      <c r="E36" s="16">
        <f>E34-E35</f>
        <v>7500000</v>
      </c>
      <c r="F36" s="10"/>
      <c r="G36" s="10"/>
      <c r="H36" s="10"/>
      <c r="I36" s="17">
        <f>I34-I35</f>
        <v>3300000</v>
      </c>
      <c r="J36" s="10"/>
    </row>
    <row r="37" spans="3:10" ht="12.75">
      <c r="C37" s="10"/>
      <c r="D37" s="10"/>
      <c r="E37" s="10"/>
      <c r="F37" s="10"/>
      <c r="G37" s="18">
        <f>E36+I36</f>
        <v>10800000</v>
      </c>
      <c r="H37" s="10"/>
      <c r="I37" s="10"/>
      <c r="J37" s="10"/>
    </row>
    <row r="38" spans="3:10" ht="12.75">
      <c r="C38" s="10" t="s">
        <v>12</v>
      </c>
      <c r="D38" s="10"/>
      <c r="E38" s="10"/>
      <c r="F38" s="10"/>
      <c r="G38" s="10">
        <v>8000000</v>
      </c>
      <c r="H38" s="10"/>
      <c r="I38" s="10"/>
      <c r="J38" s="10"/>
    </row>
    <row r="39" spans="3:10" ht="12.75">
      <c r="C39" s="10" t="s">
        <v>75</v>
      </c>
      <c r="D39" s="10"/>
      <c r="E39" s="10"/>
      <c r="F39" s="10"/>
      <c r="G39" s="10">
        <f>G37-G38</f>
        <v>2800000</v>
      </c>
      <c r="H39" s="10"/>
      <c r="I39" s="10"/>
      <c r="J39" s="10"/>
    </row>
    <row r="41" ht="12.75">
      <c r="C41" s="4" t="s">
        <v>41</v>
      </c>
    </row>
    <row r="42" ht="12.75">
      <c r="C42" s="3" t="s">
        <v>42</v>
      </c>
    </row>
    <row r="43" ht="12.75">
      <c r="C43" s="3" t="s">
        <v>43</v>
      </c>
    </row>
    <row r="44" ht="15.75">
      <c r="C44" s="7"/>
    </row>
    <row r="45" ht="12.75">
      <c r="C45" s="3" t="s">
        <v>44</v>
      </c>
    </row>
    <row r="46" spans="3:10" ht="12.75">
      <c r="C46" s="42" t="s">
        <v>15</v>
      </c>
      <c r="D46" s="42"/>
      <c r="E46" s="42"/>
      <c r="F46" s="42"/>
      <c r="G46" s="42"/>
      <c r="H46" s="42"/>
      <c r="I46" s="42"/>
      <c r="J46" s="42"/>
    </row>
    <row r="47" spans="3:10" ht="12.75">
      <c r="C47" s="10"/>
      <c r="D47" s="11" t="s">
        <v>0</v>
      </c>
      <c r="E47" s="11"/>
      <c r="F47" s="11" t="s">
        <v>1</v>
      </c>
      <c r="G47" s="11"/>
      <c r="H47" s="11" t="s">
        <v>2</v>
      </c>
      <c r="I47" s="11"/>
      <c r="J47" s="11" t="s">
        <v>3</v>
      </c>
    </row>
    <row r="48" spans="3:10" ht="12.75">
      <c r="C48" s="10" t="s">
        <v>10</v>
      </c>
      <c r="D48" s="11">
        <v>600</v>
      </c>
      <c r="E48" s="11"/>
      <c r="F48" s="11">
        <v>800</v>
      </c>
      <c r="G48" s="11"/>
      <c r="H48" s="11">
        <v>700</v>
      </c>
      <c r="I48" s="11"/>
      <c r="J48" s="11">
        <v>1000</v>
      </c>
    </row>
    <row r="49" spans="3:10" ht="12.75">
      <c r="C49" s="19" t="s">
        <v>33</v>
      </c>
      <c r="D49" s="11">
        <f>350+120</f>
        <v>470</v>
      </c>
      <c r="E49" s="11"/>
      <c r="F49" s="11">
        <f>450+140</f>
        <v>590</v>
      </c>
      <c r="G49" s="11"/>
      <c r="H49" s="11">
        <f>400+200</f>
        <v>600</v>
      </c>
      <c r="I49" s="11"/>
      <c r="J49" s="11">
        <f>600+220</f>
        <v>820</v>
      </c>
    </row>
    <row r="50" spans="3:10" ht="12.75">
      <c r="C50" s="10" t="s">
        <v>9</v>
      </c>
      <c r="D50" s="11">
        <v>30000</v>
      </c>
      <c r="E50" s="11"/>
      <c r="F50" s="11">
        <v>20000</v>
      </c>
      <c r="G50" s="11"/>
      <c r="H50" s="11">
        <v>15000</v>
      </c>
      <c r="I50" s="11"/>
      <c r="J50" s="11">
        <v>12000</v>
      </c>
    </row>
    <row r="51" spans="3:10" ht="12.75">
      <c r="C51" s="10" t="s">
        <v>4</v>
      </c>
      <c r="D51" s="11">
        <f>D48*D50</f>
        <v>18000000</v>
      </c>
      <c r="E51" s="11"/>
      <c r="F51" s="11">
        <f>F48*F50</f>
        <v>16000000</v>
      </c>
      <c r="G51" s="11"/>
      <c r="H51" s="11">
        <f>H48*H50</f>
        <v>10500000</v>
      </c>
      <c r="I51" s="11"/>
      <c r="J51" s="11">
        <f>J48*J50</f>
        <v>12000000</v>
      </c>
    </row>
    <row r="52" spans="3:13" ht="12.75">
      <c r="C52" s="19" t="s">
        <v>53</v>
      </c>
      <c r="D52" s="11">
        <f>D49*D50</f>
        <v>14100000</v>
      </c>
      <c r="E52" s="11"/>
      <c r="F52" s="11">
        <f>F49*F50</f>
        <v>11800000</v>
      </c>
      <c r="G52" s="11"/>
      <c r="H52" s="11">
        <f>H49*H50</f>
        <v>9000000</v>
      </c>
      <c r="I52" s="11"/>
      <c r="J52" s="11">
        <f>J49*J50</f>
        <v>9840000</v>
      </c>
      <c r="L52" s="5">
        <f>SUM(D52:J52)</f>
        <v>44740000</v>
      </c>
      <c r="M52" s="5">
        <f>L52*1.3</f>
        <v>58162000</v>
      </c>
    </row>
    <row r="53" spans="3:10" ht="12.75">
      <c r="C53" s="10" t="s">
        <v>6</v>
      </c>
      <c r="D53" s="11">
        <f>D51-D52</f>
        <v>3900000</v>
      </c>
      <c r="E53" s="11"/>
      <c r="F53" s="11">
        <f>F51-F52</f>
        <v>4200000</v>
      </c>
      <c r="G53" s="11"/>
      <c r="H53" s="11">
        <f>H51-H52</f>
        <v>1500000</v>
      </c>
      <c r="I53" s="11"/>
      <c r="J53" s="11">
        <f>J51-J52</f>
        <v>2160000</v>
      </c>
    </row>
    <row r="54" spans="3:10" ht="12.75">
      <c r="C54" s="10"/>
      <c r="D54" s="11"/>
      <c r="E54" s="11">
        <f>D53+F53</f>
        <v>8100000</v>
      </c>
      <c r="F54" s="11"/>
      <c r="G54" s="11"/>
      <c r="H54" s="11"/>
      <c r="I54" s="11">
        <f>H53+J53</f>
        <v>3660000</v>
      </c>
      <c r="J54" s="11"/>
    </row>
    <row r="55" spans="3:12" ht="12.75">
      <c r="C55" s="10" t="s">
        <v>7</v>
      </c>
      <c r="D55" s="11"/>
      <c r="E55" s="11">
        <f>7000000*0.2</f>
        <v>1400000</v>
      </c>
      <c r="F55" s="11"/>
      <c r="G55" s="11"/>
      <c r="H55" s="11"/>
      <c r="I55" s="11">
        <f>8000000*0</f>
        <v>0</v>
      </c>
      <c r="J55" s="11"/>
      <c r="L55" s="5">
        <f>SUM(D55:J55)</f>
        <v>1400000</v>
      </c>
    </row>
    <row r="56" spans="3:10" ht="12.75">
      <c r="C56" s="10" t="s">
        <v>8</v>
      </c>
      <c r="D56" s="11"/>
      <c r="E56" s="20">
        <f>E54-E55</f>
        <v>6700000</v>
      </c>
      <c r="F56" s="11"/>
      <c r="G56" s="11"/>
      <c r="H56" s="11"/>
      <c r="I56" s="21">
        <f>I54-I55</f>
        <v>3660000</v>
      </c>
      <c r="J56" s="11"/>
    </row>
    <row r="57" spans="3:10" ht="12.75">
      <c r="C57" s="10"/>
      <c r="D57" s="11"/>
      <c r="E57" s="11"/>
      <c r="F57" s="11"/>
      <c r="G57" s="11">
        <f>E56+I56</f>
        <v>10360000</v>
      </c>
      <c r="H57" s="11"/>
      <c r="I57" s="11"/>
      <c r="J57" s="11"/>
    </row>
    <row r="58" spans="3:10" ht="12.75">
      <c r="C58" s="10" t="s">
        <v>12</v>
      </c>
      <c r="D58" s="11"/>
      <c r="E58" s="11"/>
      <c r="F58" s="11"/>
      <c r="G58" s="11">
        <f>8000000-500000</f>
        <v>7500000</v>
      </c>
      <c r="H58" s="11"/>
      <c r="I58" s="11"/>
      <c r="J58" s="11"/>
    </row>
    <row r="59" spans="3:10" ht="12.75">
      <c r="C59" s="10" t="s">
        <v>13</v>
      </c>
      <c r="D59" s="11"/>
      <c r="E59" s="11"/>
      <c r="F59" s="11"/>
      <c r="G59" s="21">
        <f>G57-G58</f>
        <v>2860000</v>
      </c>
      <c r="H59" s="11"/>
      <c r="I59" s="11"/>
      <c r="J59" s="11"/>
    </row>
    <row r="60" spans="3:10" ht="15.75">
      <c r="C60" s="92" t="s">
        <v>157</v>
      </c>
      <c r="D60" s="1"/>
      <c r="E60" s="1"/>
      <c r="F60" s="1"/>
      <c r="G60" s="1"/>
      <c r="H60" s="1"/>
      <c r="I60" s="1"/>
      <c r="J60" s="1"/>
    </row>
    <row r="61" spans="3:10" ht="12.75">
      <c r="C61" s="3" t="s">
        <v>45</v>
      </c>
      <c r="D61" s="1"/>
      <c r="E61" s="1"/>
      <c r="F61" s="1"/>
      <c r="G61" s="1"/>
      <c r="H61" s="1"/>
      <c r="I61" s="1"/>
      <c r="J61" s="1"/>
    </row>
    <row r="62" spans="3:10" ht="12.75">
      <c r="C62" s="3" t="s">
        <v>46</v>
      </c>
      <c r="D62" s="1"/>
      <c r="E62" s="1"/>
      <c r="F62" s="1"/>
      <c r="G62" s="1"/>
      <c r="H62" s="1"/>
      <c r="I62" s="1"/>
      <c r="J62" s="1"/>
    </row>
    <row r="63" spans="3:10" ht="12.75">
      <c r="C63" s="3" t="s">
        <v>47</v>
      </c>
      <c r="D63" s="1"/>
      <c r="E63" s="1"/>
      <c r="F63" s="1"/>
      <c r="G63" s="1"/>
      <c r="H63" s="1"/>
      <c r="I63" s="1"/>
      <c r="J63" s="1"/>
    </row>
    <row r="65" ht="12.75">
      <c r="B65" s="4"/>
    </row>
    <row r="66" ht="12.75">
      <c r="C66" s="3" t="s">
        <v>48</v>
      </c>
    </row>
    <row r="68" spans="3:9" ht="12.75">
      <c r="C68" s="10"/>
      <c r="D68" s="22" t="s">
        <v>50</v>
      </c>
      <c r="E68" s="22"/>
      <c r="F68" s="22"/>
      <c r="G68" s="22" t="s">
        <v>51</v>
      </c>
      <c r="H68" s="22"/>
      <c r="I68" s="6"/>
    </row>
    <row r="69" spans="3:8" ht="12.75">
      <c r="C69" s="10"/>
      <c r="D69" s="10"/>
      <c r="E69" s="10"/>
      <c r="F69" s="10"/>
      <c r="G69" s="10"/>
      <c r="H69" s="10"/>
    </row>
    <row r="70" spans="3:8" ht="12.75">
      <c r="C70" s="19" t="s">
        <v>49</v>
      </c>
      <c r="D70" s="23">
        <f>L31*1.3</f>
        <v>73450000</v>
      </c>
      <c r="E70" s="10"/>
      <c r="F70" s="10"/>
      <c r="G70" s="23">
        <f>D70</f>
        <v>73450000</v>
      </c>
      <c r="H70" s="10"/>
    </row>
    <row r="71" spans="3:8" ht="12.75">
      <c r="C71" s="10"/>
      <c r="D71" s="10"/>
      <c r="E71" s="10"/>
      <c r="F71" s="10"/>
      <c r="G71" s="10"/>
      <c r="H71" s="10"/>
    </row>
    <row r="72" spans="3:8" ht="12.75">
      <c r="C72" s="19" t="s">
        <v>52</v>
      </c>
      <c r="D72" s="23">
        <f>M32</f>
        <v>42510000</v>
      </c>
      <c r="E72" s="10"/>
      <c r="F72" s="10"/>
      <c r="G72" s="23">
        <f>M52</f>
        <v>58162000</v>
      </c>
      <c r="H72" s="10"/>
    </row>
    <row r="73" spans="3:8" ht="12.75">
      <c r="C73" s="10"/>
      <c r="D73" s="10"/>
      <c r="E73" s="10"/>
      <c r="F73" s="10"/>
      <c r="G73" s="10"/>
      <c r="H73" s="10"/>
    </row>
    <row r="74" spans="3:8" ht="12.75">
      <c r="C74" s="19" t="s">
        <v>54</v>
      </c>
      <c r="D74" s="23">
        <f>D70-D72</f>
        <v>30940000</v>
      </c>
      <c r="E74" s="10"/>
      <c r="F74" s="10"/>
      <c r="G74" s="23">
        <f>G70-G72</f>
        <v>15288000</v>
      </c>
      <c r="H74" s="10"/>
    </row>
    <row r="75" spans="3:8" ht="12.75">
      <c r="C75" s="10"/>
      <c r="D75" s="10"/>
      <c r="E75" s="10"/>
      <c r="F75" s="10"/>
      <c r="G75" s="10"/>
      <c r="H75" s="10"/>
    </row>
    <row r="76" spans="3:8" ht="12.75">
      <c r="C76" s="19" t="s">
        <v>55</v>
      </c>
      <c r="D76" s="23">
        <f>D74-L35</f>
        <v>17940000</v>
      </c>
      <c r="E76" s="10"/>
      <c r="F76" s="10"/>
      <c r="G76" s="23">
        <f>G74-L55</f>
        <v>13888000</v>
      </c>
      <c r="H76" s="10"/>
    </row>
    <row r="77" spans="3:8" ht="12.75">
      <c r="C77" s="10"/>
      <c r="D77" s="10"/>
      <c r="E77" s="10"/>
      <c r="F77" s="10"/>
      <c r="G77" s="10"/>
      <c r="H77" s="10"/>
    </row>
    <row r="78" spans="3:8" ht="12.75">
      <c r="C78" s="19" t="s">
        <v>56</v>
      </c>
      <c r="D78" s="24">
        <f>D76-G38</f>
        <v>9940000</v>
      </c>
      <c r="E78" s="10"/>
      <c r="F78" s="10"/>
      <c r="G78" s="23">
        <f>G76-G58</f>
        <v>6388000</v>
      </c>
      <c r="H78" s="10"/>
    </row>
    <row r="81" ht="12.75">
      <c r="C81" s="3" t="s">
        <v>57</v>
      </c>
    </row>
    <row r="82" ht="12.75">
      <c r="C82" s="3" t="s">
        <v>58</v>
      </c>
    </row>
    <row r="85" ht="12.75">
      <c r="C85" s="3" t="s">
        <v>59</v>
      </c>
    </row>
    <row r="87" spans="3:8" ht="12.75">
      <c r="C87" s="10"/>
      <c r="D87" s="22" t="s">
        <v>50</v>
      </c>
      <c r="E87" s="22"/>
      <c r="F87" s="22"/>
      <c r="G87" s="22" t="s">
        <v>51</v>
      </c>
      <c r="H87" s="22"/>
    </row>
    <row r="88" spans="3:8" ht="12.75">
      <c r="C88" s="10"/>
      <c r="D88" s="10"/>
      <c r="E88" s="10"/>
      <c r="F88" s="10"/>
      <c r="G88" s="10"/>
      <c r="H88" s="10"/>
    </row>
    <row r="89" spans="3:8" ht="12.75">
      <c r="C89" s="19" t="s">
        <v>49</v>
      </c>
      <c r="D89" s="23">
        <f>L31*0.8</f>
        <v>45200000</v>
      </c>
      <c r="E89" s="10"/>
      <c r="F89" s="10"/>
      <c r="G89" s="23">
        <f>D89</f>
        <v>45200000</v>
      </c>
      <c r="H89" s="10"/>
    </row>
    <row r="90" spans="3:8" ht="12.75">
      <c r="C90" s="10"/>
      <c r="D90" s="10"/>
      <c r="E90" s="10"/>
      <c r="F90" s="10"/>
      <c r="G90" s="10"/>
      <c r="H90" s="10"/>
    </row>
    <row r="91" spans="3:8" ht="12.75">
      <c r="C91" s="19" t="s">
        <v>52</v>
      </c>
      <c r="D91" s="23">
        <f>L32*0.8</f>
        <v>26160000</v>
      </c>
      <c r="E91" s="10"/>
      <c r="F91" s="10"/>
      <c r="G91" s="23">
        <f>L52*0.8</f>
        <v>35792000</v>
      </c>
      <c r="H91" s="10"/>
    </row>
    <row r="92" spans="3:8" ht="12.75">
      <c r="C92" s="10"/>
      <c r="D92" s="10"/>
      <c r="E92" s="10"/>
      <c r="F92" s="10"/>
      <c r="G92" s="10"/>
      <c r="H92" s="10"/>
    </row>
    <row r="93" spans="3:8" ht="12.75">
      <c r="C93" s="19" t="s">
        <v>54</v>
      </c>
      <c r="D93" s="23">
        <f>D89-D91</f>
        <v>19040000</v>
      </c>
      <c r="E93" s="10"/>
      <c r="F93" s="23"/>
      <c r="G93" s="23">
        <f>G89-G91</f>
        <v>9408000</v>
      </c>
      <c r="H93" s="10"/>
    </row>
    <row r="94" spans="3:8" ht="12.75">
      <c r="C94" s="10"/>
      <c r="D94" s="10"/>
      <c r="E94" s="10"/>
      <c r="F94" s="10"/>
      <c r="G94" s="10"/>
      <c r="H94" s="10"/>
    </row>
    <row r="95" spans="3:8" ht="12.75">
      <c r="C95" s="19" t="s">
        <v>55</v>
      </c>
      <c r="D95" s="23">
        <f>D93-L35</f>
        <v>6040000</v>
      </c>
      <c r="E95" s="10"/>
      <c r="F95" s="10"/>
      <c r="G95" s="23">
        <f>G93-L55</f>
        <v>8008000</v>
      </c>
      <c r="H95" s="10"/>
    </row>
    <row r="96" spans="3:8" ht="12.75">
      <c r="C96" s="10"/>
      <c r="D96" s="10"/>
      <c r="E96" s="10"/>
      <c r="F96" s="10"/>
      <c r="G96" s="10"/>
      <c r="H96" s="10"/>
    </row>
    <row r="97" spans="3:8" ht="12.75">
      <c r="C97" s="19" t="s">
        <v>56</v>
      </c>
      <c r="D97" s="24">
        <f>D95-G38</f>
        <v>-1960000</v>
      </c>
      <c r="E97" s="10"/>
      <c r="F97" s="10"/>
      <c r="G97" s="23">
        <f>G95-G58</f>
        <v>508000</v>
      </c>
      <c r="H97" s="10"/>
    </row>
    <row r="100" ht="12.75">
      <c r="C100" s="3" t="s">
        <v>60</v>
      </c>
    </row>
    <row r="101" ht="12.75">
      <c r="C101" s="3" t="s">
        <v>61</v>
      </c>
    </row>
    <row r="103" spans="3:7" ht="12.75">
      <c r="C103" s="10"/>
      <c r="D103" s="19" t="s">
        <v>67</v>
      </c>
      <c r="E103" s="19" t="s">
        <v>68</v>
      </c>
      <c r="F103" s="19" t="s">
        <v>69</v>
      </c>
      <c r="G103" s="19" t="s">
        <v>70</v>
      </c>
    </row>
    <row r="104" spans="3:7" ht="12.75">
      <c r="C104" s="19" t="s">
        <v>62</v>
      </c>
      <c r="D104" s="10"/>
      <c r="E104" s="10"/>
      <c r="F104" s="10"/>
      <c r="G104" s="10"/>
    </row>
    <row r="105" spans="3:7" ht="12.75">
      <c r="C105" s="10"/>
      <c r="D105" s="10"/>
      <c r="E105" s="10"/>
      <c r="F105" s="10"/>
      <c r="G105" s="10"/>
    </row>
    <row r="106" spans="3:7" ht="12.75">
      <c r="C106" s="19" t="s">
        <v>63</v>
      </c>
      <c r="D106" s="10">
        <f>D30</f>
        <v>30000</v>
      </c>
      <c r="E106" s="10">
        <f>D106*0.3</f>
        <v>9000</v>
      </c>
      <c r="F106" s="10">
        <f>-D106*0.2</f>
        <v>-6000</v>
      </c>
      <c r="G106" s="10">
        <f>D106+E106+F106</f>
        <v>33000</v>
      </c>
    </row>
    <row r="107" spans="3:7" ht="12.75">
      <c r="C107" s="10"/>
      <c r="D107" s="10"/>
      <c r="E107" s="10"/>
      <c r="F107" s="10"/>
      <c r="G107" s="10"/>
    </row>
    <row r="108" spans="3:7" ht="12.75">
      <c r="C108" s="19" t="s">
        <v>64</v>
      </c>
      <c r="D108" s="10">
        <f>F30</f>
        <v>20000</v>
      </c>
      <c r="E108" s="10">
        <f>D108*0.3</f>
        <v>6000</v>
      </c>
      <c r="F108" s="10">
        <f>-D108*0.2</f>
        <v>-4000</v>
      </c>
      <c r="G108" s="10">
        <f>D108+E108+F108</f>
        <v>22000</v>
      </c>
    </row>
    <row r="109" spans="3:7" ht="12.75">
      <c r="C109" s="10"/>
      <c r="D109" s="10"/>
      <c r="E109" s="10"/>
      <c r="F109" s="10"/>
      <c r="G109" s="10"/>
    </row>
    <row r="110" spans="3:7" ht="12.75">
      <c r="C110" s="19" t="s">
        <v>65</v>
      </c>
      <c r="D110" s="10">
        <f>H30</f>
        <v>15000</v>
      </c>
      <c r="E110" s="10">
        <f>D110*0.3</f>
        <v>4500</v>
      </c>
      <c r="F110" s="10">
        <f>-D110*0.2</f>
        <v>-3000</v>
      </c>
      <c r="G110" s="10">
        <f>D110+E110+F110</f>
        <v>16500</v>
      </c>
    </row>
    <row r="111" spans="3:7" ht="12.75">
      <c r="C111" s="10"/>
      <c r="D111" s="10"/>
      <c r="E111" s="10"/>
      <c r="F111" s="10"/>
      <c r="G111" s="10"/>
    </row>
    <row r="112" spans="3:7" ht="12.75">
      <c r="C112" s="19" t="s">
        <v>66</v>
      </c>
      <c r="D112" s="10">
        <f>J30</f>
        <v>12000</v>
      </c>
      <c r="E112" s="10">
        <f>D112*0.3</f>
        <v>3600</v>
      </c>
      <c r="F112" s="10">
        <f>-D112*0.2</f>
        <v>-2400</v>
      </c>
      <c r="G112" s="10">
        <f>D112+E112+F112</f>
        <v>13200</v>
      </c>
    </row>
    <row r="115" ht="12.75">
      <c r="C115" s="3" t="s">
        <v>71</v>
      </c>
    </row>
    <row r="116" spans="3:10" ht="12.75">
      <c r="C116" s="42" t="s">
        <v>14</v>
      </c>
      <c r="D116" s="42"/>
      <c r="E116" s="42"/>
      <c r="F116" s="42"/>
      <c r="G116" s="42"/>
      <c r="H116" s="42"/>
      <c r="I116" s="42"/>
      <c r="J116" s="42"/>
    </row>
    <row r="117" spans="3:10" ht="12.75">
      <c r="C117" s="10"/>
      <c r="D117" s="10" t="s">
        <v>0</v>
      </c>
      <c r="E117" s="10"/>
      <c r="F117" s="10" t="s">
        <v>1</v>
      </c>
      <c r="G117" s="10"/>
      <c r="H117" s="10" t="s">
        <v>2</v>
      </c>
      <c r="I117" s="10"/>
      <c r="J117" s="10" t="s">
        <v>3</v>
      </c>
    </row>
    <row r="118" spans="3:10" ht="12.75">
      <c r="C118" s="10" t="s">
        <v>10</v>
      </c>
      <c r="D118" s="10">
        <v>600</v>
      </c>
      <c r="E118" s="10"/>
      <c r="F118" s="10">
        <v>800</v>
      </c>
      <c r="G118" s="10"/>
      <c r="H118" s="10">
        <v>700</v>
      </c>
      <c r="I118" s="10"/>
      <c r="J118" s="10">
        <v>1000</v>
      </c>
    </row>
    <row r="119" spans="3:10" ht="12.75">
      <c r="C119" s="10" t="s">
        <v>11</v>
      </c>
      <c r="D119" s="10">
        <v>350</v>
      </c>
      <c r="E119" s="10"/>
      <c r="F119" s="10">
        <v>450</v>
      </c>
      <c r="G119" s="10"/>
      <c r="H119" s="10">
        <v>400</v>
      </c>
      <c r="I119" s="10"/>
      <c r="J119" s="10">
        <v>600</v>
      </c>
    </row>
    <row r="120" spans="3:10" ht="12.75">
      <c r="C120" s="10" t="s">
        <v>9</v>
      </c>
      <c r="D120" s="10">
        <f>G106</f>
        <v>33000</v>
      </c>
      <c r="E120" s="10"/>
      <c r="F120" s="10">
        <f>G108</f>
        <v>22000</v>
      </c>
      <c r="G120" s="10"/>
      <c r="H120" s="10">
        <f>G110</f>
        <v>16500</v>
      </c>
      <c r="I120" s="10"/>
      <c r="J120" s="10">
        <f>G112</f>
        <v>13200</v>
      </c>
    </row>
    <row r="121" spans="3:10" ht="12.75">
      <c r="C121" s="10" t="s">
        <v>4</v>
      </c>
      <c r="D121" s="15">
        <f>D118*D120</f>
        <v>19800000</v>
      </c>
      <c r="E121" s="15"/>
      <c r="F121" s="15">
        <f>F118*F120</f>
        <v>17600000</v>
      </c>
      <c r="G121" s="15"/>
      <c r="H121" s="15">
        <f>H118*H120</f>
        <v>11550000</v>
      </c>
      <c r="I121" s="15"/>
      <c r="J121" s="15">
        <f>J118*J120</f>
        <v>13200000</v>
      </c>
    </row>
    <row r="122" spans="3:10" ht="12.75">
      <c r="C122" s="10" t="s">
        <v>5</v>
      </c>
      <c r="D122" s="15">
        <f>D119*D120</f>
        <v>11550000</v>
      </c>
      <c r="E122" s="15"/>
      <c r="F122" s="15">
        <f>F119*F120</f>
        <v>9900000</v>
      </c>
      <c r="G122" s="15"/>
      <c r="H122" s="15">
        <f>H119*H120</f>
        <v>6600000</v>
      </c>
      <c r="I122" s="15"/>
      <c r="J122" s="15">
        <f>J119*J120</f>
        <v>7920000</v>
      </c>
    </row>
    <row r="123" spans="3:10" ht="12.75">
      <c r="C123" s="10" t="s">
        <v>6</v>
      </c>
      <c r="D123" s="25">
        <f>D121-D122</f>
        <v>8250000</v>
      </c>
      <c r="E123" s="15"/>
      <c r="F123" s="25">
        <f>F121-F122</f>
        <v>7700000</v>
      </c>
      <c r="G123" s="15"/>
      <c r="H123" s="25">
        <f>H121-H122</f>
        <v>4950000</v>
      </c>
      <c r="I123" s="15"/>
      <c r="J123" s="25">
        <f>J121-J122</f>
        <v>5280000</v>
      </c>
    </row>
    <row r="124" spans="3:10" ht="12.75">
      <c r="C124" s="10"/>
      <c r="D124" s="15"/>
      <c r="E124" s="15">
        <f>D123+F123</f>
        <v>15950000</v>
      </c>
      <c r="F124" s="15"/>
      <c r="G124" s="15"/>
      <c r="H124" s="15"/>
      <c r="I124" s="15">
        <f>H123+J123</f>
        <v>10230000</v>
      </c>
      <c r="J124" s="15"/>
    </row>
    <row r="125" spans="3:10" ht="12.75">
      <c r="C125" s="10" t="s">
        <v>7</v>
      </c>
      <c r="D125" s="10"/>
      <c r="E125" s="10">
        <v>7000000</v>
      </c>
      <c r="F125" s="10"/>
      <c r="G125" s="10"/>
      <c r="H125" s="10"/>
      <c r="I125" s="10">
        <v>6000000</v>
      </c>
      <c r="J125" s="10"/>
    </row>
    <row r="126" spans="3:10" ht="12.75">
      <c r="C126" s="10"/>
      <c r="D126" s="10"/>
      <c r="E126" s="10"/>
      <c r="F126" s="10"/>
      <c r="G126" s="10"/>
      <c r="H126" s="10"/>
      <c r="I126" s="10"/>
      <c r="J126" s="10"/>
    </row>
    <row r="127" spans="3:10" ht="12.75">
      <c r="C127" s="10" t="s">
        <v>8</v>
      </c>
      <c r="D127" s="10"/>
      <c r="E127" s="16">
        <f>E124-E125</f>
        <v>8950000</v>
      </c>
      <c r="F127" s="10"/>
      <c r="G127" s="10"/>
      <c r="H127" s="10"/>
      <c r="I127" s="17">
        <f>I124-I125</f>
        <v>4230000</v>
      </c>
      <c r="J127" s="10"/>
    </row>
    <row r="128" spans="3:10" ht="12.75">
      <c r="C128" s="10"/>
      <c r="D128" s="10"/>
      <c r="E128" s="10"/>
      <c r="F128" s="10"/>
      <c r="G128" s="18">
        <f>E127+I127</f>
        <v>13180000</v>
      </c>
      <c r="H128" s="10"/>
      <c r="I128" s="10"/>
      <c r="J128" s="10"/>
    </row>
    <row r="129" spans="3:10" ht="12.75">
      <c r="C129" s="10" t="s">
        <v>12</v>
      </c>
      <c r="D129" s="10"/>
      <c r="E129" s="10"/>
      <c r="F129" s="10"/>
      <c r="G129" s="10">
        <v>8000000</v>
      </c>
      <c r="H129" s="10"/>
      <c r="I129" s="10"/>
      <c r="J129" s="10"/>
    </row>
    <row r="130" spans="3:10" ht="12.75">
      <c r="C130" s="10"/>
      <c r="D130" s="10"/>
      <c r="E130" s="10"/>
      <c r="F130" s="10"/>
      <c r="G130" s="10"/>
      <c r="H130" s="10"/>
      <c r="I130" s="10"/>
      <c r="J130" s="10"/>
    </row>
    <row r="131" spans="3:10" ht="12.75">
      <c r="C131" s="10" t="s">
        <v>13</v>
      </c>
      <c r="D131" s="10"/>
      <c r="E131" s="10"/>
      <c r="F131" s="10"/>
      <c r="G131" s="10">
        <f>G128-G129</f>
        <v>5180000</v>
      </c>
      <c r="H131" s="10"/>
      <c r="I131" s="10"/>
      <c r="J131" s="10"/>
    </row>
    <row r="134" spans="3:10" ht="12.75">
      <c r="C134" s="44" t="s">
        <v>72</v>
      </c>
      <c r="D134" s="42"/>
      <c r="E134" s="42"/>
      <c r="F134" s="42"/>
      <c r="G134" s="42"/>
      <c r="H134" s="42"/>
      <c r="I134" s="42"/>
      <c r="J134" s="42"/>
    </row>
    <row r="135" spans="3:10" ht="12.75">
      <c r="C135" s="10"/>
      <c r="D135" s="10" t="s">
        <v>0</v>
      </c>
      <c r="E135" s="10"/>
      <c r="F135" s="10" t="s">
        <v>1</v>
      </c>
      <c r="G135" s="10"/>
      <c r="H135" s="10" t="s">
        <v>2</v>
      </c>
      <c r="I135" s="10"/>
      <c r="J135" s="10" t="s">
        <v>3</v>
      </c>
    </row>
    <row r="136" spans="3:10" ht="12.75">
      <c r="C136" s="10" t="s">
        <v>10</v>
      </c>
      <c r="D136" s="10">
        <v>600</v>
      </c>
      <c r="E136" s="10"/>
      <c r="F136" s="10">
        <v>800</v>
      </c>
      <c r="G136" s="10"/>
      <c r="H136" s="10">
        <v>700</v>
      </c>
      <c r="I136" s="10"/>
      <c r="J136" s="10">
        <v>1000</v>
      </c>
    </row>
    <row r="137" spans="3:10" ht="12.75">
      <c r="C137" s="10" t="s">
        <v>11</v>
      </c>
      <c r="D137" s="10">
        <v>350</v>
      </c>
      <c r="E137" s="10"/>
      <c r="F137" s="10">
        <v>450</v>
      </c>
      <c r="G137" s="10"/>
      <c r="H137" s="10">
        <v>400</v>
      </c>
      <c r="I137" s="10"/>
      <c r="J137" s="10">
        <v>600</v>
      </c>
    </row>
    <row r="138" spans="3:10" ht="12.75">
      <c r="C138" s="10" t="s">
        <v>9</v>
      </c>
      <c r="D138" s="10">
        <f>D120</f>
        <v>33000</v>
      </c>
      <c r="E138" s="10"/>
      <c r="F138" s="10">
        <f>F120</f>
        <v>22000</v>
      </c>
      <c r="G138" s="10"/>
      <c r="H138" s="10">
        <f>H120</f>
        <v>16500</v>
      </c>
      <c r="I138" s="10"/>
      <c r="J138" s="10">
        <f>J120</f>
        <v>13200</v>
      </c>
    </row>
    <row r="139" spans="3:10" ht="12.75">
      <c r="C139" s="10" t="s">
        <v>4</v>
      </c>
      <c r="D139" s="15">
        <f>D136*D138</f>
        <v>19800000</v>
      </c>
      <c r="E139" s="15"/>
      <c r="F139" s="15">
        <f>F136*F138</f>
        <v>17600000</v>
      </c>
      <c r="G139" s="15"/>
      <c r="H139" s="15">
        <f>H136*H138</f>
        <v>11550000</v>
      </c>
      <c r="I139" s="15"/>
      <c r="J139" s="15">
        <f>J136*J138</f>
        <v>13200000</v>
      </c>
    </row>
    <row r="140" spans="3:10" ht="12.75">
      <c r="C140" s="10" t="s">
        <v>5</v>
      </c>
      <c r="D140" s="15">
        <f>D138*D49</f>
        <v>15510000</v>
      </c>
      <c r="E140" s="15"/>
      <c r="F140" s="15">
        <f>F138*F49</f>
        <v>12980000</v>
      </c>
      <c r="G140" s="15"/>
      <c r="H140" s="15">
        <f>H138*H49</f>
        <v>9900000</v>
      </c>
      <c r="I140" s="15"/>
      <c r="J140" s="15">
        <f>J138*J49</f>
        <v>10824000</v>
      </c>
    </row>
    <row r="141" spans="3:10" ht="12.75">
      <c r="C141" s="10" t="s">
        <v>6</v>
      </c>
      <c r="D141" s="25">
        <f>D139-D140</f>
        <v>4290000</v>
      </c>
      <c r="E141" s="15"/>
      <c r="F141" s="25">
        <f>F139-F140</f>
        <v>4620000</v>
      </c>
      <c r="G141" s="15"/>
      <c r="H141" s="25">
        <f>H139-H140</f>
        <v>1650000</v>
      </c>
      <c r="I141" s="15"/>
      <c r="J141" s="25">
        <f>J139-J140</f>
        <v>2376000</v>
      </c>
    </row>
    <row r="142" spans="3:10" ht="12.75">
      <c r="C142" s="10"/>
      <c r="D142" s="15"/>
      <c r="E142" s="15">
        <f>D141+F141</f>
        <v>8910000</v>
      </c>
      <c r="F142" s="15"/>
      <c r="G142" s="15"/>
      <c r="H142" s="15"/>
      <c r="I142" s="15">
        <f>H141+J141</f>
        <v>4026000</v>
      </c>
      <c r="J142" s="15"/>
    </row>
    <row r="143" spans="3:10" ht="12.75">
      <c r="C143" s="10" t="s">
        <v>7</v>
      </c>
      <c r="D143" s="10"/>
      <c r="E143" s="10">
        <f>E55</f>
        <v>1400000</v>
      </c>
      <c r="F143" s="10"/>
      <c r="G143" s="10"/>
      <c r="H143" s="10"/>
      <c r="I143" s="10">
        <f>I55</f>
        <v>0</v>
      </c>
      <c r="J143" s="10"/>
    </row>
    <row r="144" spans="3:10" ht="12.75">
      <c r="C144" s="10"/>
      <c r="D144" s="10"/>
      <c r="E144" s="10"/>
      <c r="F144" s="10"/>
      <c r="G144" s="10"/>
      <c r="H144" s="10"/>
      <c r="I144" s="10"/>
      <c r="J144" s="10"/>
    </row>
    <row r="145" spans="3:10" ht="12.75">
      <c r="C145" s="10" t="s">
        <v>8</v>
      </c>
      <c r="D145" s="10"/>
      <c r="E145" s="16">
        <f>E142-E143</f>
        <v>7510000</v>
      </c>
      <c r="F145" s="10"/>
      <c r="G145" s="10"/>
      <c r="H145" s="10"/>
      <c r="I145" s="17">
        <f>I142-I143</f>
        <v>4026000</v>
      </c>
      <c r="J145" s="10"/>
    </row>
    <row r="146" spans="3:10" ht="12.75">
      <c r="C146" s="10"/>
      <c r="D146" s="10"/>
      <c r="E146" s="10"/>
      <c r="F146" s="10"/>
      <c r="G146" s="18">
        <f>E145+I145+500000</f>
        <v>12036000</v>
      </c>
      <c r="H146" s="10"/>
      <c r="I146" s="10"/>
      <c r="J146" s="10"/>
    </row>
    <row r="147" spans="3:10" ht="12.75">
      <c r="C147" s="10" t="s">
        <v>12</v>
      </c>
      <c r="D147" s="10"/>
      <c r="E147" s="10"/>
      <c r="F147" s="10"/>
      <c r="G147" s="10">
        <v>8000000</v>
      </c>
      <c r="H147" s="10"/>
      <c r="I147" s="10"/>
      <c r="J147" s="10"/>
    </row>
    <row r="148" spans="3:10" ht="12.75">
      <c r="C148" s="10"/>
      <c r="D148" s="10"/>
      <c r="E148" s="10"/>
      <c r="F148" s="10"/>
      <c r="G148" s="10"/>
      <c r="H148" s="10"/>
      <c r="I148" s="10"/>
      <c r="J148" s="10"/>
    </row>
    <row r="149" spans="3:10" ht="12.75">
      <c r="C149" s="10" t="s">
        <v>13</v>
      </c>
      <c r="D149" s="10"/>
      <c r="E149" s="10"/>
      <c r="F149" s="10"/>
      <c r="G149" s="10">
        <f>G146-G147</f>
        <v>4036000</v>
      </c>
      <c r="H149" s="10"/>
      <c r="I149" s="10"/>
      <c r="J149" s="10"/>
    </row>
    <row r="151" ht="12.75">
      <c r="C151" s="3" t="s">
        <v>73</v>
      </c>
    </row>
    <row r="162" spans="3:11" ht="12.75">
      <c r="C162" s="43" t="s">
        <v>24</v>
      </c>
      <c r="D162" s="43"/>
      <c r="E162" s="43"/>
      <c r="F162" s="43"/>
      <c r="G162" s="43"/>
      <c r="H162" s="43"/>
      <c r="I162" s="43"/>
      <c r="J162" s="43"/>
      <c r="K162" s="43"/>
    </row>
    <row r="163" spans="3:11" ht="12.75">
      <c r="C163" t="s">
        <v>16</v>
      </c>
      <c r="G163" t="s">
        <v>20</v>
      </c>
      <c r="H163" t="s">
        <v>21</v>
      </c>
      <c r="I163" t="s">
        <v>22</v>
      </c>
      <c r="K163" t="s">
        <v>23</v>
      </c>
    </row>
    <row r="165" spans="3:11" ht="12.75">
      <c r="C165" t="s">
        <v>17</v>
      </c>
      <c r="G165">
        <f>(($D$30*1.3)*120)+($F$30*1.3*140)</f>
        <v>8320000</v>
      </c>
      <c r="H165">
        <f>I172</f>
        <v>5600000</v>
      </c>
      <c r="I165">
        <f>H165-G165</f>
        <v>-2720000</v>
      </c>
      <c r="K165" t="s">
        <v>31</v>
      </c>
    </row>
    <row r="167" spans="3:9" ht="12.75">
      <c r="C167" t="s">
        <v>18</v>
      </c>
      <c r="G167">
        <f>(($D$30*1.1)*120)+($F$30*1.1*140)</f>
        <v>7040000</v>
      </c>
      <c r="H167">
        <f>I172</f>
        <v>5600000</v>
      </c>
      <c r="I167">
        <f>H167-G167</f>
        <v>-1440000</v>
      </c>
    </row>
    <row r="169" spans="3:9" ht="12.75">
      <c r="C169" t="s">
        <v>19</v>
      </c>
      <c r="G169">
        <f>(($D$30*0.9)*120)+($F$30*0.9*140)</f>
        <v>5760000</v>
      </c>
      <c r="H169">
        <f>I172</f>
        <v>5600000</v>
      </c>
      <c r="I169">
        <f>H169-G169</f>
        <v>-160000</v>
      </c>
    </row>
    <row r="171" spans="3:9" ht="12.75">
      <c r="C171" t="s">
        <v>26</v>
      </c>
      <c r="I171" t="s">
        <v>27</v>
      </c>
    </row>
    <row r="172" spans="3:10" ht="12.75">
      <c r="C172" t="s">
        <v>25</v>
      </c>
      <c r="F172" t="s">
        <v>28</v>
      </c>
      <c r="I172">
        <v>5600000</v>
      </c>
      <c r="J172" t="s">
        <v>30</v>
      </c>
    </row>
    <row r="174" spans="3:11" ht="12.75">
      <c r="C174" s="43" t="s">
        <v>29</v>
      </c>
      <c r="D174" s="43"/>
      <c r="E174" s="43"/>
      <c r="F174" s="43"/>
      <c r="G174" s="43"/>
      <c r="H174" s="43"/>
      <c r="I174" s="43"/>
      <c r="J174" s="43"/>
      <c r="K174" s="43"/>
    </row>
    <row r="175" spans="3:11" ht="12.75">
      <c r="C175" t="s">
        <v>16</v>
      </c>
      <c r="G175" t="s">
        <v>20</v>
      </c>
      <c r="H175" t="s">
        <v>21</v>
      </c>
      <c r="I175" t="s">
        <v>22</v>
      </c>
      <c r="K175" t="s">
        <v>23</v>
      </c>
    </row>
    <row r="177" spans="3:9" ht="12.75">
      <c r="C177" t="s">
        <v>17</v>
      </c>
      <c r="G177">
        <f>(($D$30*1.3)*200)+($F$30*1.3*220)</f>
        <v>13520000</v>
      </c>
      <c r="H177">
        <f>I184</f>
        <v>6500000</v>
      </c>
      <c r="I177">
        <f>G177-H177</f>
        <v>7020000</v>
      </c>
    </row>
    <row r="179" spans="3:7" ht="12.75">
      <c r="C179" t="s">
        <v>18</v>
      </c>
      <c r="G179">
        <f>(($D$30*1.1)*200)+($F$30*1.1*220)</f>
        <v>11440000</v>
      </c>
    </row>
    <row r="181" spans="3:7" ht="12.75">
      <c r="C181" t="s">
        <v>19</v>
      </c>
      <c r="G181">
        <f>(($D$30*0.9)*200)+($F$30*0.9*220)</f>
        <v>9360000</v>
      </c>
    </row>
    <row r="183" spans="3:9" ht="12.75">
      <c r="C183" t="s">
        <v>26</v>
      </c>
      <c r="I183" t="s">
        <v>27</v>
      </c>
    </row>
    <row r="184" spans="3:9" ht="12.75">
      <c r="C184" t="s">
        <v>25</v>
      </c>
      <c r="F184" t="s">
        <v>28</v>
      </c>
      <c r="I184">
        <v>6500000</v>
      </c>
    </row>
    <row r="189" ht="12.75">
      <c r="J189">
        <v>2160</v>
      </c>
    </row>
    <row r="190" ht="12.75">
      <c r="J190">
        <f>J189*2</f>
        <v>4320</v>
      </c>
    </row>
    <row r="191" ht="12.75">
      <c r="J191">
        <f>J190*0.88</f>
        <v>3801.6</v>
      </c>
    </row>
    <row r="192" ht="12.75">
      <c r="J192">
        <f>J191-J189</f>
        <v>1641.6</v>
      </c>
    </row>
  </sheetData>
  <sheetProtection/>
  <mergeCells count="6">
    <mergeCell ref="C26:J26"/>
    <mergeCell ref="C46:J46"/>
    <mergeCell ref="C162:K162"/>
    <mergeCell ref="C174:K174"/>
    <mergeCell ref="C116:J116"/>
    <mergeCell ref="C134:J13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I50" sqref="I50"/>
    </sheetView>
  </sheetViews>
  <sheetFormatPr defaultColWidth="11.421875" defaultRowHeight="12.75"/>
  <cols>
    <col min="1" max="1" width="10.8515625" style="93" customWidth="1"/>
    <col min="2" max="2" width="19.28125" style="93" customWidth="1"/>
    <col min="3" max="3" width="13.8515625" style="93" customWidth="1"/>
    <col min="4" max="6" width="10.8515625" style="93" customWidth="1"/>
    <col min="7" max="7" width="15.140625" style="93" customWidth="1"/>
    <col min="8" max="16384" width="10.8515625" style="93" customWidth="1"/>
  </cols>
  <sheetData>
    <row r="1" spans="2:8" ht="58.5" customHeight="1">
      <c r="B1" s="105" t="s">
        <v>158</v>
      </c>
      <c r="C1" s="105"/>
      <c r="D1" s="105"/>
      <c r="E1" s="105"/>
      <c r="F1" s="105"/>
      <c r="G1" s="105"/>
      <c r="H1" s="105"/>
    </row>
    <row r="3" spans="3:7" ht="18.75" thickBot="1">
      <c r="C3" s="103"/>
      <c r="D3" s="103"/>
      <c r="E3" s="103"/>
      <c r="F3" s="103"/>
      <c r="G3" s="103"/>
    </row>
    <row r="4" spans="1:7" ht="18">
      <c r="A4" s="113" t="s">
        <v>202</v>
      </c>
      <c r="B4" s="114"/>
      <c r="C4" s="114"/>
      <c r="D4" s="114"/>
      <c r="E4" s="114"/>
      <c r="F4" s="115"/>
      <c r="G4" s="95"/>
    </row>
    <row r="5" spans="1:7" ht="12.75">
      <c r="A5" s="62"/>
      <c r="B5" s="93" t="s">
        <v>159</v>
      </c>
      <c r="C5" s="96" t="s">
        <v>160</v>
      </c>
      <c r="D5" s="93" t="s">
        <v>161</v>
      </c>
      <c r="E5" s="93" t="s">
        <v>162</v>
      </c>
      <c r="F5" s="109"/>
      <c r="G5" s="96"/>
    </row>
    <row r="6" spans="1:7" ht="12.75">
      <c r="A6" s="62"/>
      <c r="B6" s="93" t="s">
        <v>163</v>
      </c>
      <c r="C6" s="106">
        <v>1500</v>
      </c>
      <c r="D6" s="104">
        <v>1500</v>
      </c>
      <c r="E6" s="104">
        <v>1500</v>
      </c>
      <c r="F6" s="109"/>
      <c r="G6" s="96"/>
    </row>
    <row r="7" spans="1:7" ht="12.75">
      <c r="A7" s="62"/>
      <c r="B7" s="93" t="s">
        <v>164</v>
      </c>
      <c r="C7" s="106">
        <v>6000</v>
      </c>
      <c r="D7" s="104">
        <v>6000</v>
      </c>
      <c r="E7" s="104">
        <v>6000</v>
      </c>
      <c r="F7" s="109"/>
      <c r="G7" s="96"/>
    </row>
    <row r="8" spans="1:6" ht="12.75">
      <c r="A8" s="62"/>
      <c r="B8" s="95"/>
      <c r="C8" s="97"/>
      <c r="F8" s="109"/>
    </row>
    <row r="9" spans="1:6" ht="12.75">
      <c r="A9" s="62"/>
      <c r="F9" s="109"/>
    </row>
    <row r="10" spans="1:7" ht="12.75">
      <c r="A10" s="62"/>
      <c r="B10" s="93" t="s">
        <v>165</v>
      </c>
      <c r="C10" s="98"/>
      <c r="E10" s="96"/>
      <c r="F10" s="109"/>
      <c r="G10" s="98"/>
    </row>
    <row r="11" spans="1:6" ht="12.75">
      <c r="A11" s="62"/>
      <c r="F11" s="109"/>
    </row>
    <row r="12" spans="1:6" ht="12.75">
      <c r="A12" s="62"/>
      <c r="C12" s="93" t="s">
        <v>166</v>
      </c>
      <c r="F12" s="109"/>
    </row>
    <row r="13" spans="1:7" ht="12.75">
      <c r="A13" s="62"/>
      <c r="C13" s="97"/>
      <c r="F13" s="109"/>
      <c r="G13" s="97"/>
    </row>
    <row r="14" spans="1:7" ht="12.75">
      <c r="A14" s="62"/>
      <c r="B14" s="93" t="s">
        <v>167</v>
      </c>
      <c r="C14" s="97"/>
      <c r="F14" s="109"/>
      <c r="G14" s="97"/>
    </row>
    <row r="15" spans="1:7" ht="12.75">
      <c r="A15" s="62"/>
      <c r="B15" s="107" t="s">
        <v>190</v>
      </c>
      <c r="C15" s="107"/>
      <c r="D15" s="107"/>
      <c r="F15" s="109"/>
      <c r="G15" s="96"/>
    </row>
    <row r="16" spans="1:7" ht="12.75">
      <c r="A16" s="62"/>
      <c r="B16" s="93" t="s">
        <v>168</v>
      </c>
      <c r="C16" s="97"/>
      <c r="F16" s="109"/>
      <c r="G16" s="97"/>
    </row>
    <row r="17" spans="1:7" ht="12.75">
      <c r="A17" s="62"/>
      <c r="F17" s="109"/>
      <c r="G17" s="96"/>
    </row>
    <row r="18" spans="1:6" ht="12.75">
      <c r="A18" s="62"/>
      <c r="B18" s="93" t="s">
        <v>191</v>
      </c>
      <c r="E18" s="95" t="s">
        <v>201</v>
      </c>
      <c r="F18" s="109"/>
    </row>
    <row r="19" spans="1:7" ht="12.75">
      <c r="A19" s="62"/>
      <c r="B19" s="108" t="s">
        <v>200</v>
      </c>
      <c r="C19" s="99"/>
      <c r="F19" s="109"/>
      <c r="G19" s="99"/>
    </row>
    <row r="20" spans="1:6" ht="12.75">
      <c r="A20" s="62"/>
      <c r="F20" s="109"/>
    </row>
    <row r="21" spans="1:7" ht="13.5" thickBot="1">
      <c r="A21" s="110"/>
      <c r="B21" s="77" t="s">
        <v>169</v>
      </c>
      <c r="C21" s="111"/>
      <c r="D21" s="77"/>
      <c r="E21" s="77"/>
      <c r="F21" s="112"/>
      <c r="G21" s="99"/>
    </row>
    <row r="22" spans="3:7" ht="13.5" thickBot="1">
      <c r="C22" s="97"/>
      <c r="G22" s="97"/>
    </row>
    <row r="23" spans="1:10" ht="18.75" thickBot="1">
      <c r="A23" s="116"/>
      <c r="B23" s="120" t="s">
        <v>192</v>
      </c>
      <c r="C23" s="121" t="s">
        <v>193</v>
      </c>
      <c r="D23" s="121"/>
      <c r="E23" s="121"/>
      <c r="F23" s="122"/>
      <c r="G23" s="117"/>
      <c r="H23" s="117"/>
      <c r="I23" s="117"/>
      <c r="J23" s="118"/>
    </row>
    <row r="24" spans="1:10" ht="12.75">
      <c r="A24" s="62"/>
      <c r="J24" s="109"/>
    </row>
    <row r="25" spans="1:10" ht="12.75">
      <c r="A25" s="62"/>
      <c r="B25" s="93" t="s">
        <v>170</v>
      </c>
      <c r="J25" s="109"/>
    </row>
    <row r="26" spans="1:10" ht="12.75">
      <c r="A26" s="62"/>
      <c r="B26" s="93" t="s">
        <v>171</v>
      </c>
      <c r="J26" s="109"/>
    </row>
    <row r="27" spans="1:10" ht="12.75">
      <c r="A27" s="62"/>
      <c r="J27" s="109"/>
    </row>
    <row r="28" spans="1:10" ht="18">
      <c r="A28" s="62"/>
      <c r="B28" s="103" t="s">
        <v>194</v>
      </c>
      <c r="C28" s="103"/>
      <c r="D28" s="103"/>
      <c r="E28" s="103"/>
      <c r="F28" s="103"/>
      <c r="G28" s="103"/>
      <c r="J28" s="109"/>
    </row>
    <row r="29" spans="1:10" ht="12.75">
      <c r="A29" s="62"/>
      <c r="C29" s="93" t="s">
        <v>195</v>
      </c>
      <c r="J29" s="109"/>
    </row>
    <row r="30" spans="1:10" ht="13.5" thickBot="1">
      <c r="A30" s="110"/>
      <c r="B30" s="77"/>
      <c r="C30" s="77"/>
      <c r="D30" s="77"/>
      <c r="E30" s="77"/>
      <c r="F30" s="77"/>
      <c r="G30" s="77"/>
      <c r="H30" s="77"/>
      <c r="I30" s="77"/>
      <c r="J30" s="112"/>
    </row>
    <row r="31" ht="13.5" thickBot="1"/>
    <row r="32" spans="1:6" ht="18.75" thickBot="1">
      <c r="A32" s="94"/>
      <c r="B32" s="124" t="s">
        <v>172</v>
      </c>
      <c r="C32" s="125"/>
      <c r="D32" s="125"/>
      <c r="E32" s="125"/>
      <c r="F32" s="126"/>
    </row>
    <row r="33" spans="2:7" ht="12.75">
      <c r="B33" s="62" t="s">
        <v>196</v>
      </c>
      <c r="C33" s="100"/>
      <c r="F33" s="109"/>
      <c r="G33" s="100"/>
    </row>
    <row r="34" spans="2:7" ht="13.5" thickBot="1">
      <c r="B34" s="110" t="s">
        <v>173</v>
      </c>
      <c r="C34" s="123"/>
      <c r="D34" s="77"/>
      <c r="E34" s="77"/>
      <c r="F34" s="112"/>
      <c r="G34" s="100"/>
    </row>
    <row r="35" spans="3:7" ht="13.5" thickBot="1">
      <c r="C35" s="100"/>
      <c r="G35" s="100"/>
    </row>
    <row r="36" spans="2:7" ht="18.75" thickBot="1">
      <c r="B36" s="124" t="s">
        <v>174</v>
      </c>
      <c r="C36" s="125"/>
      <c r="D36" s="125"/>
      <c r="E36" s="125"/>
      <c r="F36" s="126"/>
      <c r="G36" s="97"/>
    </row>
    <row r="37" spans="2:6" ht="12.75">
      <c r="B37" s="62" t="s">
        <v>197</v>
      </c>
      <c r="F37" s="109"/>
    </row>
    <row r="38" spans="2:7" ht="13.5" thickBot="1">
      <c r="B38" s="110" t="s">
        <v>175</v>
      </c>
      <c r="C38" s="127"/>
      <c r="D38" s="77"/>
      <c r="E38" s="123"/>
      <c r="F38" s="112"/>
      <c r="G38" s="101"/>
    </row>
    <row r="39" ht="13.5" thickBot="1"/>
    <row r="40" spans="2:7" ht="13.5" thickBot="1">
      <c r="B40" s="132" t="s">
        <v>176</v>
      </c>
      <c r="C40" s="133"/>
      <c r="D40" s="133"/>
      <c r="E40" s="133"/>
      <c r="F40" s="133"/>
      <c r="G40" s="134"/>
    </row>
    <row r="41" spans="2:7" ht="12.75">
      <c r="B41" s="62" t="s">
        <v>177</v>
      </c>
      <c r="C41" s="97"/>
      <c r="G41" s="128"/>
    </row>
    <row r="42" spans="2:7" ht="12.75">
      <c r="B42" s="62" t="s">
        <v>178</v>
      </c>
      <c r="C42" s="97"/>
      <c r="G42" s="128"/>
    </row>
    <row r="43" spans="2:7" ht="12.75">
      <c r="B43" s="62"/>
      <c r="C43" s="102"/>
      <c r="G43" s="129"/>
    </row>
    <row r="44" spans="2:7" ht="13.5" thickBot="1">
      <c r="B44" s="110" t="s">
        <v>179</v>
      </c>
      <c r="C44" s="130"/>
      <c r="D44" s="77"/>
      <c r="E44" s="77"/>
      <c r="F44" s="77"/>
      <c r="G44" s="131"/>
    </row>
    <row r="45" ht="13.5" thickBot="1">
      <c r="G45" s="100"/>
    </row>
    <row r="46" spans="2:7" ht="18.75" thickBot="1">
      <c r="B46" s="120" t="s">
        <v>198</v>
      </c>
      <c r="C46" s="121" t="s">
        <v>199</v>
      </c>
      <c r="D46" s="121"/>
      <c r="E46" s="121"/>
      <c r="F46" s="121"/>
      <c r="G46" s="122"/>
    </row>
    <row r="47" spans="2:7" ht="12.75">
      <c r="B47" s="62"/>
      <c r="C47" s="97"/>
      <c r="G47" s="128"/>
    </row>
    <row r="48" spans="2:7" ht="12.75">
      <c r="B48" s="62" t="s">
        <v>180</v>
      </c>
      <c r="G48" s="109"/>
    </row>
    <row r="49" spans="2:7" ht="12.75">
      <c r="B49" s="62" t="s">
        <v>181</v>
      </c>
      <c r="C49" s="97"/>
      <c r="G49" s="128"/>
    </row>
    <row r="50" spans="2:7" ht="12.75">
      <c r="B50" s="62"/>
      <c r="C50" s="97"/>
      <c r="G50" s="128"/>
    </row>
    <row r="51" spans="2:7" ht="13.5" thickBot="1">
      <c r="B51" s="110" t="s">
        <v>182</v>
      </c>
      <c r="C51" s="77"/>
      <c r="D51" s="77"/>
      <c r="E51" s="77"/>
      <c r="F51" s="77"/>
      <c r="G51" s="112"/>
    </row>
    <row r="52" ht="13.5" thickBot="1"/>
    <row r="53" spans="2:9" ht="18.75" thickBot="1">
      <c r="B53" s="120" t="s">
        <v>183</v>
      </c>
      <c r="C53" s="140"/>
      <c r="D53" s="121" t="s">
        <v>184</v>
      </c>
      <c r="E53" s="122"/>
      <c r="F53" s="119"/>
      <c r="G53" s="119"/>
      <c r="H53" s="117"/>
      <c r="I53" s="118"/>
    </row>
    <row r="54" spans="2:9" ht="18">
      <c r="B54" s="137" t="s">
        <v>185</v>
      </c>
      <c r="D54" s="136">
        <v>198000</v>
      </c>
      <c r="E54" s="135"/>
      <c r="F54" s="135"/>
      <c r="G54" s="135"/>
      <c r="I54" s="109"/>
    </row>
    <row r="55" spans="2:9" ht="18">
      <c r="B55" s="137" t="s">
        <v>186</v>
      </c>
      <c r="D55" s="136">
        <v>257500</v>
      </c>
      <c r="E55" s="135"/>
      <c r="F55" s="135"/>
      <c r="G55" s="135"/>
      <c r="I55" s="109"/>
    </row>
    <row r="56" spans="2:9" ht="18">
      <c r="B56" s="137" t="s">
        <v>187</v>
      </c>
      <c r="D56" s="136">
        <v>203375</v>
      </c>
      <c r="E56" s="135"/>
      <c r="F56" s="135"/>
      <c r="G56" s="135"/>
      <c r="I56" s="109"/>
    </row>
    <row r="57" spans="2:9" ht="18">
      <c r="B57" s="137" t="s">
        <v>188</v>
      </c>
      <c r="D57" s="136">
        <v>221265</v>
      </c>
      <c r="E57" s="135"/>
      <c r="F57" s="135"/>
      <c r="G57" s="135"/>
      <c r="I57" s="109"/>
    </row>
    <row r="58" spans="2:9" ht="18">
      <c r="B58" s="137"/>
      <c r="C58" s="135"/>
      <c r="D58" s="135"/>
      <c r="E58" s="135"/>
      <c r="F58" s="135"/>
      <c r="G58" s="135"/>
      <c r="I58" s="109"/>
    </row>
    <row r="59" spans="2:9" ht="18.75" thickBot="1">
      <c r="B59" s="138" t="s">
        <v>189</v>
      </c>
      <c r="C59" s="139"/>
      <c r="D59" s="139"/>
      <c r="E59" s="139"/>
      <c r="F59" s="139"/>
      <c r="G59" s="139"/>
      <c r="H59" s="77"/>
      <c r="I59" s="112"/>
    </row>
    <row r="60" ht="12.75">
      <c r="B60" s="93" t="s">
        <v>28</v>
      </c>
    </row>
  </sheetData>
  <sheetProtection/>
  <mergeCells count="5">
    <mergeCell ref="B1:H1"/>
    <mergeCell ref="A4:F4"/>
    <mergeCell ref="B32:F32"/>
    <mergeCell ref="B36:F36"/>
    <mergeCell ref="B40:G40"/>
  </mergeCells>
  <printOptions/>
  <pageMargins left="0.7" right="0.7" top="0.75" bottom="0.75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PageLayoutView="0" workbookViewId="0" topLeftCell="A2">
      <selection activeCell="G39" sqref="G39"/>
    </sheetView>
  </sheetViews>
  <sheetFormatPr defaultColWidth="8.8515625" defaultRowHeight="12.75"/>
  <cols>
    <col min="1" max="1" width="14.28125" style="0" bestFit="1" customWidth="1"/>
    <col min="2" max="6" width="17.140625" style="0" customWidth="1"/>
    <col min="7" max="7" width="41.00390625" style="0" bestFit="1" customWidth="1"/>
    <col min="8" max="8" width="21.28125" style="0" customWidth="1"/>
    <col min="9" max="9" width="12.8515625" style="0" bestFit="1" customWidth="1"/>
  </cols>
  <sheetData>
    <row r="2" spans="2:6" ht="12.75">
      <c r="B2" t="s">
        <v>76</v>
      </c>
      <c r="C2" t="s">
        <v>77</v>
      </c>
      <c r="E2" t="s">
        <v>78</v>
      </c>
      <c r="F2" t="s">
        <v>79</v>
      </c>
    </row>
    <row r="3" spans="2:6" ht="12.75">
      <c r="B3" s="1">
        <v>130000</v>
      </c>
      <c r="C3" s="1"/>
      <c r="E3" s="26">
        <v>200000</v>
      </c>
      <c r="F3" s="26"/>
    </row>
    <row r="5" spans="1:6" ht="12.75">
      <c r="A5" s="10"/>
      <c r="B5" s="27" t="s">
        <v>34</v>
      </c>
      <c r="C5" s="27" t="s">
        <v>35</v>
      </c>
      <c r="D5" s="27" t="s">
        <v>36</v>
      </c>
      <c r="E5" s="27" t="s">
        <v>37</v>
      </c>
      <c r="F5" s="27" t="s">
        <v>80</v>
      </c>
    </row>
    <row r="6" spans="1:8" ht="12.75">
      <c r="A6" s="28" t="s">
        <v>81</v>
      </c>
      <c r="B6" s="10">
        <v>50000</v>
      </c>
      <c r="C6" s="10">
        <v>42000</v>
      </c>
      <c r="D6" s="10">
        <v>35000</v>
      </c>
      <c r="E6" s="146">
        <v>40000</v>
      </c>
      <c r="F6" s="10">
        <v>325000</v>
      </c>
      <c r="G6" s="145" t="s">
        <v>208</v>
      </c>
      <c r="H6" s="91" t="s">
        <v>212</v>
      </c>
    </row>
    <row r="7" spans="1:6" ht="12.75">
      <c r="A7" s="28" t="s">
        <v>32</v>
      </c>
      <c r="B7" s="10">
        <v>50000</v>
      </c>
      <c r="C7" s="10">
        <v>42000</v>
      </c>
      <c r="D7" s="10">
        <v>35000</v>
      </c>
      <c r="E7" s="10">
        <v>40000</v>
      </c>
      <c r="F7" s="10">
        <v>325000</v>
      </c>
    </row>
    <row r="8" spans="1:6" ht="12.75">
      <c r="A8" s="28" t="s">
        <v>82</v>
      </c>
      <c r="B8" s="29">
        <v>5.2</v>
      </c>
      <c r="C8" s="29">
        <v>2.4</v>
      </c>
      <c r="D8" s="29">
        <v>8.5</v>
      </c>
      <c r="E8" s="29">
        <v>4</v>
      </c>
      <c r="F8" s="29">
        <v>2.55</v>
      </c>
    </row>
    <row r="9" spans="1:6" ht="12.75">
      <c r="A9" s="28" t="s">
        <v>83</v>
      </c>
      <c r="B9" s="29">
        <v>1.4</v>
      </c>
      <c r="C9" s="29">
        <v>0.7</v>
      </c>
      <c r="D9" s="29">
        <v>2.69</v>
      </c>
      <c r="E9" s="29">
        <v>1</v>
      </c>
      <c r="F9" s="29">
        <v>0.6</v>
      </c>
    </row>
    <row r="10" spans="1:6" ht="12.75">
      <c r="A10" s="28" t="s">
        <v>84</v>
      </c>
      <c r="B10" s="29">
        <v>0.8</v>
      </c>
      <c r="C10" s="29">
        <v>0.5</v>
      </c>
      <c r="D10" s="29">
        <v>1.4</v>
      </c>
      <c r="E10" s="29">
        <v>1</v>
      </c>
      <c r="F10" s="30">
        <v>0.4</v>
      </c>
    </row>
    <row r="11" spans="1:6" ht="12.75">
      <c r="A11" s="28" t="s">
        <v>85</v>
      </c>
      <c r="B11" s="31">
        <v>0.4</v>
      </c>
      <c r="C11" s="31">
        <v>0.25</v>
      </c>
      <c r="D11" s="31">
        <v>0.7</v>
      </c>
      <c r="E11" s="31">
        <v>0.5</v>
      </c>
      <c r="F11" s="31">
        <v>0.2</v>
      </c>
    </row>
    <row r="12" spans="1:6" ht="12.75">
      <c r="A12" s="33"/>
      <c r="B12" s="32"/>
      <c r="C12" s="32"/>
      <c r="D12" s="32"/>
      <c r="E12" s="32"/>
      <c r="F12" s="32"/>
    </row>
    <row r="13" spans="1:8" ht="12.75">
      <c r="A13" s="34" t="s">
        <v>86</v>
      </c>
      <c r="B13" s="35">
        <f>B8-(B9+B10)</f>
        <v>3</v>
      </c>
      <c r="C13" s="35">
        <f>C8-(C9+C10)</f>
        <v>1.2</v>
      </c>
      <c r="D13" s="35">
        <f>D8-(D9+D10)</f>
        <v>4.41</v>
      </c>
      <c r="E13" s="143">
        <f>E8-(E9+E10)</f>
        <v>2</v>
      </c>
      <c r="F13" s="35">
        <f>F8-(F9+F10)</f>
        <v>1.5499999999999998</v>
      </c>
      <c r="G13" s="145" t="s">
        <v>206</v>
      </c>
      <c r="H13" s="145" t="s">
        <v>37</v>
      </c>
    </row>
    <row r="14" spans="1:7" ht="12.75">
      <c r="A14" s="34" t="s">
        <v>87</v>
      </c>
      <c r="B14" s="35">
        <f>B13*B6</f>
        <v>150000</v>
      </c>
      <c r="C14" s="35">
        <f>C13*C6</f>
        <v>50400</v>
      </c>
      <c r="D14" s="35">
        <f>D13*D6</f>
        <v>154350</v>
      </c>
      <c r="E14" s="35">
        <f>E13*E6</f>
        <v>80000</v>
      </c>
      <c r="F14" s="35">
        <f>F13*F6</f>
        <v>503749.99999999994</v>
      </c>
      <c r="G14" s="147">
        <f>SUM(B14:F14)</f>
        <v>938500</v>
      </c>
    </row>
    <row r="15" spans="1:8" ht="12.75">
      <c r="A15" s="33" t="s">
        <v>205</v>
      </c>
      <c r="B15" s="32">
        <f>B13/B11</f>
        <v>7.5</v>
      </c>
      <c r="C15" s="32">
        <f>C13/C11</f>
        <v>4.8</v>
      </c>
      <c r="D15" s="32">
        <f>D13/D11</f>
        <v>6.300000000000001</v>
      </c>
      <c r="E15" s="144">
        <f>E13/E11</f>
        <v>4</v>
      </c>
      <c r="F15" s="144">
        <f>F13/F11</f>
        <v>7.749999999999999</v>
      </c>
      <c r="G15" s="145" t="s">
        <v>207</v>
      </c>
      <c r="H15" s="145" t="s">
        <v>37</v>
      </c>
    </row>
    <row r="16" spans="1:8" ht="12.75">
      <c r="A16" s="28" t="s">
        <v>89</v>
      </c>
      <c r="B16" s="37">
        <f>B11*B6</f>
        <v>20000</v>
      </c>
      <c r="C16" s="37">
        <f>C11*C6</f>
        <v>10500</v>
      </c>
      <c r="D16" s="37">
        <f>D11*D6</f>
        <v>24500</v>
      </c>
      <c r="E16" s="37">
        <f>E11*E6</f>
        <v>20000</v>
      </c>
      <c r="F16" s="37">
        <f>F11*F6</f>
        <v>65000</v>
      </c>
      <c r="G16" s="38">
        <f>SUM(B16:F16)</f>
        <v>140000</v>
      </c>
      <c r="H16" s="36" t="s">
        <v>88</v>
      </c>
    </row>
    <row r="17" ht="12.75">
      <c r="A17" s="33"/>
    </row>
    <row r="18" spans="1:6" ht="12.75">
      <c r="A18" s="28" t="s">
        <v>90</v>
      </c>
      <c r="B18" s="39">
        <f>B6*B9</f>
        <v>70000</v>
      </c>
      <c r="C18" s="39">
        <f>C6*C9</f>
        <v>29399.999999999996</v>
      </c>
      <c r="D18" s="39">
        <f>D6*D9</f>
        <v>94150</v>
      </c>
      <c r="E18" s="39">
        <f>E6*E9</f>
        <v>40000</v>
      </c>
      <c r="F18" s="39">
        <f>F6*F9</f>
        <v>195000</v>
      </c>
    </row>
    <row r="19" spans="1:6" ht="12.75">
      <c r="A19" s="28" t="s">
        <v>91</v>
      </c>
      <c r="B19" s="39">
        <f>B6*B10</f>
        <v>40000</v>
      </c>
      <c r="C19" s="39">
        <f>C6*C10</f>
        <v>21000</v>
      </c>
      <c r="D19" s="39">
        <f>D6*D10</f>
        <v>49000</v>
      </c>
      <c r="E19" s="39">
        <f>E6*E10</f>
        <v>40000</v>
      </c>
      <c r="F19" s="39">
        <f>F6*F10</f>
        <v>130000</v>
      </c>
    </row>
    <row r="20" spans="1:6" ht="12.75">
      <c r="A20" s="36" t="s">
        <v>92</v>
      </c>
      <c r="B20" s="39">
        <f>SUM(B18:B19)</f>
        <v>110000</v>
      </c>
      <c r="C20" s="39">
        <f>SUM(C18:C19)</f>
        <v>50400</v>
      </c>
      <c r="D20" s="39">
        <f>SUM(D18:D19)</f>
        <v>143150</v>
      </c>
      <c r="E20" s="39">
        <f>SUM(E18:E19)</f>
        <v>80000</v>
      </c>
      <c r="F20" s="39">
        <f>SUM(F18:F19)</f>
        <v>325000</v>
      </c>
    </row>
    <row r="21" ht="12.75">
      <c r="A21" s="33"/>
    </row>
    <row r="22" spans="1:6" ht="12.75">
      <c r="A22" s="36" t="s">
        <v>93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</row>
    <row r="23" spans="1:6" ht="12.75">
      <c r="A23" s="33"/>
      <c r="B23" s="40"/>
      <c r="C23" s="40"/>
      <c r="D23" s="40"/>
      <c r="E23" s="40"/>
      <c r="F23" s="40"/>
    </row>
    <row r="24" spans="1:6" ht="12.75">
      <c r="A24" s="36" t="s">
        <v>94</v>
      </c>
      <c r="B24" s="39">
        <f>B22+B20</f>
        <v>110000</v>
      </c>
      <c r="C24" s="39">
        <f>C22+C20</f>
        <v>50400</v>
      </c>
      <c r="D24" s="39">
        <f>D22+D20</f>
        <v>143150</v>
      </c>
      <c r="E24" s="39">
        <f>E22+E20</f>
        <v>80000</v>
      </c>
      <c r="F24" s="39">
        <f>F22+F20</f>
        <v>325000</v>
      </c>
    </row>
    <row r="25" ht="12.75">
      <c r="A25" s="33"/>
    </row>
    <row r="26" spans="1:6" ht="12.75">
      <c r="A26" s="36" t="s">
        <v>95</v>
      </c>
      <c r="B26" s="39">
        <f>B6*B8</f>
        <v>260000</v>
      </c>
      <c r="C26" s="39">
        <f>C6*C8</f>
        <v>100800</v>
      </c>
      <c r="D26" s="39">
        <f>D6*D8</f>
        <v>297500</v>
      </c>
      <c r="E26" s="39">
        <f>E6*E8</f>
        <v>160000</v>
      </c>
      <c r="F26" s="39">
        <f>F6*F8</f>
        <v>828750</v>
      </c>
    </row>
    <row r="28" spans="1:7" ht="12.75">
      <c r="A28" s="36" t="s">
        <v>56</v>
      </c>
      <c r="B28" s="39">
        <f>B26-B24</f>
        <v>150000</v>
      </c>
      <c r="C28" s="39">
        <f>C26-C24</f>
        <v>50400</v>
      </c>
      <c r="D28" s="39">
        <f>D26-D24</f>
        <v>154350</v>
      </c>
      <c r="E28" s="39">
        <f>E26-E24</f>
        <v>80000</v>
      </c>
      <c r="F28" s="39">
        <f>F26-F24</f>
        <v>503750</v>
      </c>
      <c r="G28" s="40">
        <f>SUM(B28:F28)</f>
        <v>938500</v>
      </c>
    </row>
    <row r="29" spans="2:7" ht="12.75">
      <c r="B29" s="40"/>
      <c r="C29" s="40"/>
      <c r="D29" s="40"/>
      <c r="E29" s="40"/>
      <c r="F29" s="40"/>
      <c r="G29" s="40"/>
    </row>
    <row r="30" spans="1:3" ht="12.75">
      <c r="A30" s="34" t="s">
        <v>96</v>
      </c>
      <c r="B30" s="41">
        <f>SUM(B28:F28)-E3</f>
        <v>738500</v>
      </c>
      <c r="C30" t="s">
        <v>97</v>
      </c>
    </row>
    <row r="32" ht="12.75">
      <c r="J32">
        <v>2.55</v>
      </c>
    </row>
    <row r="33" spans="1:10" ht="12.75">
      <c r="A33" s="91" t="s">
        <v>209</v>
      </c>
      <c r="J33">
        <v>3</v>
      </c>
    </row>
    <row r="34" ht="12.75">
      <c r="J34" s="83">
        <f>(J33-J32)/J33</f>
        <v>0.15000000000000005</v>
      </c>
    </row>
    <row r="36" spans="2:10" ht="13.5" thickBot="1">
      <c r="B36" t="str">
        <f>B5</f>
        <v>Joana</v>
      </c>
      <c r="C36" t="str">
        <f>C5</f>
        <v>Jane</v>
      </c>
      <c r="D36" t="str">
        <f>D5</f>
        <v>Muriel</v>
      </c>
      <c r="E36" t="str">
        <f>E5</f>
        <v>Bobbie</v>
      </c>
      <c r="F36" t="str">
        <f>F5</f>
        <v>Estojo</v>
      </c>
      <c r="I36" s="91" t="s">
        <v>155</v>
      </c>
      <c r="J36" s="91" t="s">
        <v>156</v>
      </c>
    </row>
    <row r="37" spans="1:12" ht="12.75">
      <c r="A37" s="91" t="s">
        <v>210</v>
      </c>
      <c r="B37">
        <v>0</v>
      </c>
      <c r="C37">
        <v>0</v>
      </c>
      <c r="D37">
        <v>0</v>
      </c>
      <c r="E37">
        <v>0</v>
      </c>
      <c r="F37">
        <v>649999.9999999994</v>
      </c>
      <c r="G37">
        <f>SUM(B37:F37)</f>
        <v>649999.9999999994</v>
      </c>
      <c r="I37" s="89" t="s">
        <v>101</v>
      </c>
      <c r="J37" s="89" t="s">
        <v>98</v>
      </c>
      <c r="K37" s="89" t="s">
        <v>153</v>
      </c>
      <c r="L37" s="89" t="s">
        <v>146</v>
      </c>
    </row>
    <row r="38" spans="1:12" ht="13.5" thickBot="1">
      <c r="A38" s="91" t="s">
        <v>211</v>
      </c>
      <c r="B38">
        <f>B37*B11</f>
        <v>0</v>
      </c>
      <c r="C38">
        <f>C37*C11</f>
        <v>0</v>
      </c>
      <c r="D38">
        <f>D37*D11</f>
        <v>0</v>
      </c>
      <c r="E38">
        <f>E37*E11</f>
        <v>0</v>
      </c>
      <c r="F38">
        <f>F37*F11</f>
        <v>129999.99999999988</v>
      </c>
      <c r="G38">
        <f>SUM(B38:F38)</f>
        <v>129999.99999999988</v>
      </c>
      <c r="I38" s="90"/>
      <c r="J38" s="90"/>
      <c r="K38" s="90"/>
      <c r="L38" s="90"/>
    </row>
    <row r="39" spans="1:12" ht="15" thickBot="1">
      <c r="A39" s="91" t="s">
        <v>99</v>
      </c>
      <c r="B39">
        <f>B37*B13</f>
        <v>0</v>
      </c>
      <c r="C39">
        <f>C37*C13</f>
        <v>0</v>
      </c>
      <c r="D39">
        <f>D37*D13</f>
        <v>0</v>
      </c>
      <c r="E39">
        <f>E37*E13</f>
        <v>0</v>
      </c>
      <c r="F39">
        <f>F37*F13</f>
        <v>1007499.999999999</v>
      </c>
      <c r="G39">
        <f>SUM(B39:F39)</f>
        <v>1007499.999999999</v>
      </c>
      <c r="I39" s="85" t="s">
        <v>34</v>
      </c>
      <c r="J39" s="86">
        <v>50000</v>
      </c>
      <c r="K39" s="87">
        <v>5.2</v>
      </c>
      <c r="L39" s="86">
        <v>260000</v>
      </c>
    </row>
    <row r="40" spans="6:12" ht="15" thickBot="1">
      <c r="F40" s="84"/>
      <c r="I40" s="85" t="s">
        <v>35</v>
      </c>
      <c r="J40" s="86">
        <v>42000</v>
      </c>
      <c r="K40" s="87">
        <v>2.4</v>
      </c>
      <c r="L40" s="86">
        <v>100800</v>
      </c>
    </row>
    <row r="41" spans="6:12" ht="15" thickBot="1">
      <c r="F41" s="84"/>
      <c r="I41" s="85" t="s">
        <v>36</v>
      </c>
      <c r="J41" s="86">
        <v>35000</v>
      </c>
      <c r="K41" s="87">
        <v>8.5</v>
      </c>
      <c r="L41" s="86">
        <v>297500</v>
      </c>
    </row>
    <row r="42" spans="6:12" ht="15" thickBot="1">
      <c r="F42" s="84">
        <f>F38/F11</f>
        <v>649999.9999999994</v>
      </c>
      <c r="I42" s="85" t="s">
        <v>37</v>
      </c>
      <c r="J42" s="88">
        <v>20000</v>
      </c>
      <c r="K42" s="87">
        <v>4</v>
      </c>
      <c r="L42" s="86">
        <v>80000</v>
      </c>
    </row>
    <row r="43" spans="6:12" ht="15" thickBot="1">
      <c r="F43" s="84"/>
      <c r="I43" s="85" t="s">
        <v>154</v>
      </c>
      <c r="J43" s="86">
        <v>325000</v>
      </c>
      <c r="K43" s="87">
        <v>3</v>
      </c>
      <c r="L43" s="86">
        <v>975000</v>
      </c>
    </row>
    <row r="44" ht="12.75">
      <c r="F44" s="84"/>
    </row>
    <row r="45" ht="12.75">
      <c r="F45" s="84"/>
    </row>
  </sheetData>
  <sheetProtection/>
  <mergeCells count="4">
    <mergeCell ref="I37:I38"/>
    <mergeCell ref="J37:J38"/>
    <mergeCell ref="K37:K38"/>
    <mergeCell ref="L37:L38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2"/>
  <sheetViews>
    <sheetView zoomScalePageLayoutView="0" workbookViewId="0" topLeftCell="A1">
      <selection activeCell="D18" sqref="D18"/>
    </sheetView>
  </sheetViews>
  <sheetFormatPr defaultColWidth="11.57421875" defaultRowHeight="12.75"/>
  <cols>
    <col min="1" max="5" width="11.421875" style="0" customWidth="1"/>
    <col min="6" max="6" width="15.421875" style="0" bestFit="1" customWidth="1"/>
    <col min="7" max="7" width="17.421875" style="0" bestFit="1" customWidth="1"/>
    <col min="8" max="8" width="11.421875" style="0" customWidth="1"/>
    <col min="9" max="9" width="3.00390625" style="61" customWidth="1"/>
    <col min="10" max="11" width="11.421875" style="0" customWidth="1"/>
    <col min="12" max="12" width="12.00390625" style="0" bestFit="1" customWidth="1"/>
    <col min="13" max="16384" width="11.421875" style="0" customWidth="1"/>
  </cols>
  <sheetData>
    <row r="1" spans="2:11" ht="12.75">
      <c r="B1" t="s">
        <v>121</v>
      </c>
      <c r="K1" s="45" t="s">
        <v>122</v>
      </c>
    </row>
    <row r="3" spans="1:8" ht="12.75">
      <c r="A3" s="62"/>
      <c r="B3" t="s">
        <v>123</v>
      </c>
      <c r="C3" s="10" t="s">
        <v>124</v>
      </c>
      <c r="D3" s="10" t="s">
        <v>125</v>
      </c>
      <c r="E3" s="10" t="s">
        <v>126</v>
      </c>
      <c r="F3" s="10" t="s">
        <v>127</v>
      </c>
      <c r="G3" s="10" t="s">
        <v>128</v>
      </c>
      <c r="H3" s="10" t="s">
        <v>129</v>
      </c>
    </row>
    <row r="4" spans="1:15" ht="12.75">
      <c r="A4" s="10" t="s">
        <v>130</v>
      </c>
      <c r="B4" s="63">
        <v>100</v>
      </c>
      <c r="C4" s="64">
        <v>100</v>
      </c>
      <c r="D4" s="64">
        <v>0</v>
      </c>
      <c r="E4" s="64">
        <v>0</v>
      </c>
      <c r="F4" s="64">
        <v>0</v>
      </c>
      <c r="G4" s="64">
        <v>0</v>
      </c>
      <c r="H4" s="65">
        <f aca="true" t="shared" si="0" ref="H4:H11">SUM(C4:G4)</f>
        <v>100</v>
      </c>
      <c r="K4" s="66">
        <f>C4*'[1]Dados'!C3</f>
        <v>1200</v>
      </c>
      <c r="L4" s="66">
        <f>D4*'[1]Dados'!D3</f>
        <v>0</v>
      </c>
      <c r="M4" s="66">
        <f>E4*'[1]Dados'!E3</f>
        <v>0</v>
      </c>
      <c r="N4" s="66">
        <f>F4*'[1]Dados'!F3</f>
        <v>0</v>
      </c>
      <c r="O4" s="66">
        <f>G4*'[1]Dados'!G3</f>
        <v>0</v>
      </c>
    </row>
    <row r="5" spans="1:15" ht="12.75">
      <c r="A5" s="10" t="s">
        <v>131</v>
      </c>
      <c r="B5" s="63">
        <v>200</v>
      </c>
      <c r="C5" s="64">
        <v>0</v>
      </c>
      <c r="D5" s="64">
        <v>0</v>
      </c>
      <c r="E5" s="64">
        <v>200</v>
      </c>
      <c r="F5" s="64">
        <v>0</v>
      </c>
      <c r="G5" s="64">
        <v>0</v>
      </c>
      <c r="H5" s="65">
        <f t="shared" si="0"/>
        <v>200</v>
      </c>
      <c r="K5">
        <f>C5*'[1]Dados'!C4</f>
        <v>0</v>
      </c>
      <c r="L5">
        <f>D5*'[1]Dados'!D4</f>
        <v>0</v>
      </c>
      <c r="M5">
        <f>E5*'[1]Dados'!E4</f>
        <v>1600</v>
      </c>
      <c r="N5">
        <f>F5*'[1]Dados'!F4</f>
        <v>0</v>
      </c>
      <c r="O5">
        <f>G5*'[1]Dados'!G4</f>
        <v>0</v>
      </c>
    </row>
    <row r="6" spans="1:15" ht="12.75">
      <c r="A6" s="10" t="s">
        <v>132</v>
      </c>
      <c r="B6" s="63">
        <v>400</v>
      </c>
      <c r="C6" s="64">
        <v>0</v>
      </c>
      <c r="D6" s="64">
        <v>0</v>
      </c>
      <c r="E6" s="64">
        <v>50</v>
      </c>
      <c r="F6" s="64">
        <v>350</v>
      </c>
      <c r="G6" s="64">
        <v>0</v>
      </c>
      <c r="H6" s="65">
        <f t="shared" si="0"/>
        <v>400</v>
      </c>
      <c r="K6">
        <f>C6*'[1]Dados'!C5</f>
        <v>0</v>
      </c>
      <c r="L6">
        <f>D6*'[1]Dados'!D5</f>
        <v>0</v>
      </c>
      <c r="M6">
        <f>E6*'[1]Dados'!E5</f>
        <v>500</v>
      </c>
      <c r="N6">
        <f>F6*'[1]Dados'!F5</f>
        <v>3500</v>
      </c>
      <c r="O6">
        <f>G6*'[1]Dados'!G5</f>
        <v>0</v>
      </c>
    </row>
    <row r="7" spans="1:15" ht="12.75">
      <c r="A7" s="10" t="s">
        <v>133</v>
      </c>
      <c r="B7" s="63">
        <v>500</v>
      </c>
      <c r="C7" s="64">
        <v>100</v>
      </c>
      <c r="D7" s="64">
        <v>0</v>
      </c>
      <c r="E7" s="64">
        <v>0</v>
      </c>
      <c r="F7" s="64">
        <v>0</v>
      </c>
      <c r="G7" s="64">
        <v>399.99999900000006</v>
      </c>
      <c r="H7" s="65">
        <f t="shared" si="0"/>
        <v>499.99999900000006</v>
      </c>
      <c r="K7">
        <f>C7*'[1]Dados'!C6</f>
        <v>1400</v>
      </c>
      <c r="L7">
        <f>D7*'[1]Dados'!D6</f>
        <v>0</v>
      </c>
      <c r="M7">
        <f>E7*'[1]Dados'!E6</f>
        <v>0</v>
      </c>
      <c r="N7">
        <f>F7*'[1]Dados'!F6</f>
        <v>0</v>
      </c>
      <c r="O7">
        <f>G7*'[1]Dados'!G6</f>
        <v>5999.999985000001</v>
      </c>
    </row>
    <row r="8" spans="1:15" ht="12.75">
      <c r="A8" s="10" t="s">
        <v>134</v>
      </c>
      <c r="B8" s="63">
        <v>200</v>
      </c>
      <c r="C8" s="64">
        <v>0</v>
      </c>
      <c r="D8" s="64">
        <v>0</v>
      </c>
      <c r="E8" s="64">
        <v>0</v>
      </c>
      <c r="F8" s="64">
        <v>0.9000000670038629</v>
      </c>
      <c r="G8" s="64">
        <v>199.09999998664034</v>
      </c>
      <c r="H8" s="67">
        <f t="shared" si="0"/>
        <v>200.00000005364421</v>
      </c>
      <c r="K8">
        <f>C8*'[1]Dados'!C7</f>
        <v>0</v>
      </c>
      <c r="L8">
        <f>D8*'[1]Dados'!D7</f>
        <v>0</v>
      </c>
      <c r="M8">
        <f>E8*'[1]Dados'!E7</f>
        <v>0</v>
      </c>
      <c r="N8">
        <f>F8*'[1]Dados'!F7</f>
        <v>9.000000670038629</v>
      </c>
      <c r="O8">
        <f>G8*'[1]Dados'!G7</f>
        <v>2986.499999799605</v>
      </c>
    </row>
    <row r="9" spans="1:15" ht="12.75">
      <c r="A9" s="10" t="s">
        <v>135</v>
      </c>
      <c r="B9" s="63">
        <v>300</v>
      </c>
      <c r="C9" s="64">
        <v>0</v>
      </c>
      <c r="D9" s="64">
        <v>0</v>
      </c>
      <c r="E9" s="64">
        <v>0</v>
      </c>
      <c r="F9" s="64">
        <v>49.09999918197762</v>
      </c>
      <c r="G9" s="64">
        <v>100.90000001335969</v>
      </c>
      <c r="H9" s="65">
        <f t="shared" si="0"/>
        <v>149.9999991953373</v>
      </c>
      <c r="K9">
        <f>C9*'[1]Dados'!C8</f>
        <v>0</v>
      </c>
      <c r="L9">
        <f>D9*'[1]Dados'!D8</f>
        <v>0</v>
      </c>
      <c r="M9">
        <f>E9*'[1]Dados'!E8</f>
        <v>0</v>
      </c>
      <c r="N9">
        <f>F9*'[1]Dados'!F8</f>
        <v>981.9999836395525</v>
      </c>
      <c r="O9">
        <f>G9*'[1]Dados'!G8</f>
        <v>2522.5000003339924</v>
      </c>
    </row>
    <row r="10" spans="1:15" ht="12.75">
      <c r="A10" s="10" t="s">
        <v>136</v>
      </c>
      <c r="B10" s="63">
        <v>200</v>
      </c>
      <c r="C10" s="64">
        <v>0</v>
      </c>
      <c r="D10" s="64">
        <v>0</v>
      </c>
      <c r="E10" s="64">
        <v>0</v>
      </c>
      <c r="F10" s="64">
        <v>200</v>
      </c>
      <c r="G10" s="64">
        <v>0</v>
      </c>
      <c r="H10" s="65">
        <f t="shared" si="0"/>
        <v>200</v>
      </c>
      <c r="K10">
        <f>C10*'[1]Dados'!C9</f>
        <v>0</v>
      </c>
      <c r="L10">
        <f>D10*'[1]Dados'!D9</f>
        <v>0</v>
      </c>
      <c r="M10">
        <f>E10*'[1]Dados'!E9</f>
        <v>0</v>
      </c>
      <c r="N10">
        <f>F10*'[1]Dados'!F9</f>
        <v>2000</v>
      </c>
      <c r="O10">
        <f>G10*'[1]Dados'!G9</f>
        <v>0</v>
      </c>
    </row>
    <row r="11" spans="1:15" ht="13.5" thickBot="1">
      <c r="A11" s="10" t="s">
        <v>137</v>
      </c>
      <c r="B11" s="63">
        <v>100</v>
      </c>
      <c r="C11" s="64">
        <v>0</v>
      </c>
      <c r="D11" s="64">
        <v>0</v>
      </c>
      <c r="E11" s="64">
        <v>0</v>
      </c>
      <c r="F11" s="64">
        <v>0</v>
      </c>
      <c r="G11" s="64">
        <v>100</v>
      </c>
      <c r="H11" s="65">
        <f t="shared" si="0"/>
        <v>100</v>
      </c>
      <c r="K11" s="68">
        <f>C11*'[1]Dados'!C10</f>
        <v>0</v>
      </c>
      <c r="L11" s="68">
        <f>D11*'[1]Dados'!D10</f>
        <v>0</v>
      </c>
      <c r="M11" s="68">
        <f>E11*'[1]Dados'!E10</f>
        <v>0</v>
      </c>
      <c r="N11" s="68">
        <f>F11*'[1]Dados'!F10</f>
        <v>0</v>
      </c>
      <c r="O11" s="68">
        <f>G11*'[1]Dados'!G10</f>
        <v>1500</v>
      </c>
    </row>
    <row r="12" spans="2:11" ht="13.5" thickTop="1">
      <c r="B12" s="10" t="s">
        <v>138</v>
      </c>
      <c r="C12" s="69">
        <f>SUM(C4:C11)</f>
        <v>200</v>
      </c>
      <c r="D12" s="69">
        <f>SUM(D4:D11)</f>
        <v>0</v>
      </c>
      <c r="E12" s="69">
        <f>SUM(E4:E11)</f>
        <v>250</v>
      </c>
      <c r="F12" s="69">
        <f>SUM(F4:F11)</f>
        <v>599.9999992489816</v>
      </c>
      <c r="G12" s="69">
        <f>SUM(G4:G11)</f>
        <v>799.9999990000001</v>
      </c>
      <c r="H12" s="70"/>
      <c r="J12" t="s">
        <v>139</v>
      </c>
      <c r="K12">
        <f>SUM(K4:O11)</f>
        <v>24199.99996944319</v>
      </c>
    </row>
    <row r="13" spans="2:7" ht="12.75">
      <c r="B13" s="10" t="s">
        <v>140</v>
      </c>
      <c r="C13" s="71">
        <v>200</v>
      </c>
      <c r="D13" s="71">
        <v>200</v>
      </c>
      <c r="E13" s="71">
        <v>500</v>
      </c>
      <c r="F13" s="71">
        <v>800</v>
      </c>
      <c r="G13" s="71">
        <v>1000</v>
      </c>
    </row>
    <row r="15" spans="2:12" ht="12.75">
      <c r="B15" s="72" t="s">
        <v>141</v>
      </c>
      <c r="C15" s="72" t="s">
        <v>142</v>
      </c>
      <c r="D15" s="72" t="s">
        <v>129</v>
      </c>
      <c r="K15" s="66">
        <f>B16*'[1]Dados'!I4</f>
        <v>0</v>
      </c>
      <c r="L15" s="66">
        <f>C16*'[1]Dados'!J4</f>
        <v>6000</v>
      </c>
    </row>
    <row r="16" spans="1:12" ht="12.75">
      <c r="A16" s="10" t="s">
        <v>124</v>
      </c>
      <c r="B16" s="73">
        <v>0</v>
      </c>
      <c r="C16" s="73">
        <v>200</v>
      </c>
      <c r="D16" s="69">
        <f>B16+C16</f>
        <v>200</v>
      </c>
      <c r="K16">
        <f>B17*'[1]Dados'!I5</f>
        <v>0</v>
      </c>
      <c r="L16">
        <f>C17*'[1]Dados'!J5</f>
        <v>0</v>
      </c>
    </row>
    <row r="17" spans="1:12" ht="12.75">
      <c r="A17" s="10" t="s">
        <v>125</v>
      </c>
      <c r="B17" s="73">
        <v>0</v>
      </c>
      <c r="C17" s="73">
        <v>0</v>
      </c>
      <c r="D17" s="69">
        <f>B17+C17</f>
        <v>0</v>
      </c>
      <c r="K17">
        <f>B18*'[1]Dados'!I6</f>
        <v>4500</v>
      </c>
      <c r="L17">
        <f>C18*'[1]Dados'!J6</f>
        <v>6000</v>
      </c>
    </row>
    <row r="18" spans="1:12" ht="13.5" thickBot="1">
      <c r="A18" s="10" t="s">
        <v>126</v>
      </c>
      <c r="B18" s="73">
        <v>150</v>
      </c>
      <c r="C18" s="73">
        <v>100</v>
      </c>
      <c r="D18" s="69">
        <f>B18+C18</f>
        <v>250</v>
      </c>
      <c r="K18" s="68">
        <f>B21*'[1]Dados'!I7</f>
        <v>0</v>
      </c>
      <c r="L18" s="68">
        <f>C21*'[1]Dados'!J7</f>
        <v>0</v>
      </c>
    </row>
    <row r="19" spans="1:11" ht="13.5" thickTop="1">
      <c r="A19" s="10" t="s">
        <v>139</v>
      </c>
      <c r="B19" s="69">
        <f>SUM(B16:B18)</f>
        <v>150</v>
      </c>
      <c r="C19" s="69">
        <f>SUM(C16:C18)</f>
        <v>300</v>
      </c>
      <c r="D19" s="69"/>
      <c r="J19" t="s">
        <v>139</v>
      </c>
      <c r="K19">
        <f>SUM(K15:L18)</f>
        <v>16500</v>
      </c>
    </row>
    <row r="20" spans="1:4" ht="12.75">
      <c r="A20" s="10" t="s">
        <v>32</v>
      </c>
      <c r="B20" s="74">
        <v>150</v>
      </c>
      <c r="C20" s="74">
        <v>300</v>
      </c>
      <c r="D20" s="10"/>
    </row>
    <row r="22" spans="2:4" ht="13.5" thickBot="1">
      <c r="B22" s="72" t="s">
        <v>143</v>
      </c>
      <c r="C22" s="72" t="s">
        <v>144</v>
      </c>
      <c r="D22" s="10" t="s">
        <v>129</v>
      </c>
    </row>
    <row r="23" spans="1:12" ht="13.5" thickBot="1">
      <c r="A23" s="10" t="s">
        <v>127</v>
      </c>
      <c r="B23" s="73">
        <v>600</v>
      </c>
      <c r="C23" s="73">
        <v>0</v>
      </c>
      <c r="D23" s="69">
        <f>B23+C23</f>
        <v>600</v>
      </c>
      <c r="F23" s="75" t="s">
        <v>145</v>
      </c>
      <c r="G23" s="76">
        <f>L46+M37+K25+K19+K12</f>
        <v>61956.32136944319</v>
      </c>
      <c r="K23" s="66">
        <f>B23*'[1]Dados'!L4</f>
        <v>6000</v>
      </c>
      <c r="L23" s="66">
        <f>C23*'[1]Dados'!M4</f>
        <v>0</v>
      </c>
    </row>
    <row r="24" spans="1:256" s="77" customFormat="1" ht="13.5" thickBot="1">
      <c r="A24" s="10" t="s">
        <v>128</v>
      </c>
      <c r="B24" s="73">
        <v>0</v>
      </c>
      <c r="C24" s="73">
        <v>800</v>
      </c>
      <c r="D24" s="69">
        <f>B24+C24</f>
        <v>800</v>
      </c>
      <c r="E24"/>
      <c r="F24"/>
      <c r="G24"/>
      <c r="H24"/>
      <c r="I24" s="61"/>
      <c r="J24"/>
      <c r="K24" s="68">
        <f>B24*'[1]Dados'!L5</f>
        <v>0</v>
      </c>
      <c r="L24" s="68">
        <f>C24*'[1]Dados'!M5</f>
        <v>8000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1" ht="13.5" thickTop="1">
      <c r="A25" s="10" t="s">
        <v>146</v>
      </c>
      <c r="B25" s="74">
        <f>SUM(B23:B24)</f>
        <v>600</v>
      </c>
      <c r="C25" s="74">
        <f>SUM(C23:C24)</f>
        <v>800</v>
      </c>
      <c r="D25" s="10"/>
      <c r="J25" t="s">
        <v>139</v>
      </c>
      <c r="K25">
        <f>SUM(K23:L24)</f>
        <v>14000</v>
      </c>
    </row>
    <row r="26" spans="1:4" ht="12.75">
      <c r="A26" s="10" t="s">
        <v>32</v>
      </c>
      <c r="B26" s="74">
        <v>600</v>
      </c>
      <c r="C26" s="74">
        <v>800</v>
      </c>
      <c r="D26" s="10"/>
    </row>
    <row r="28" spans="1:256" ht="13.5" thickBot="1">
      <c r="A28" s="77"/>
      <c r="B28" s="77"/>
      <c r="C28" s="77"/>
      <c r="D28" s="77"/>
      <c r="E28" s="77"/>
      <c r="F28" s="77"/>
      <c r="G28" s="77"/>
      <c r="H28" s="77"/>
      <c r="I28" s="78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</row>
    <row r="30" ht="12.75">
      <c r="K30" s="45" t="s">
        <v>147</v>
      </c>
    </row>
    <row r="31" ht="12.75">
      <c r="L31" t="s">
        <v>148</v>
      </c>
    </row>
    <row r="32" spans="10:13" ht="12.75">
      <c r="J32" s="10" t="s">
        <v>124</v>
      </c>
      <c r="K32" s="63">
        <v>1500</v>
      </c>
      <c r="L32" s="79">
        <f>IF(C12=0,0,1)</f>
        <v>1</v>
      </c>
      <c r="M32" s="10">
        <f>K32*L32</f>
        <v>1500</v>
      </c>
    </row>
    <row r="33" spans="10:13" ht="12.75">
      <c r="J33" s="10" t="s">
        <v>125</v>
      </c>
      <c r="K33" s="63">
        <v>1000</v>
      </c>
      <c r="L33" s="79">
        <f>IF(D12=0,0,1)</f>
        <v>0</v>
      </c>
      <c r="M33" s="10">
        <f>K33*L33</f>
        <v>0</v>
      </c>
    </row>
    <row r="34" spans="10:13" ht="12.75">
      <c r="J34" s="10" t="s">
        <v>126</v>
      </c>
      <c r="K34" s="63">
        <v>1200</v>
      </c>
      <c r="L34" s="79">
        <f>IF(E12=0,0,1)</f>
        <v>1</v>
      </c>
      <c r="M34" s="10">
        <f>K34*L34</f>
        <v>1200</v>
      </c>
    </row>
    <row r="35" spans="10:13" ht="12.75">
      <c r="J35" s="10" t="s">
        <v>127</v>
      </c>
      <c r="K35" s="63">
        <v>2500</v>
      </c>
      <c r="L35" s="79">
        <f>IF(F12=0,0,1)</f>
        <v>1</v>
      </c>
      <c r="M35" s="10">
        <f>K35*L35</f>
        <v>2500</v>
      </c>
    </row>
    <row r="36" spans="10:13" ht="12.75">
      <c r="J36" s="10" t="s">
        <v>128</v>
      </c>
      <c r="K36" s="63">
        <v>2000</v>
      </c>
      <c r="L36" s="79">
        <f>IF(G12=0,0,1)</f>
        <v>1</v>
      </c>
      <c r="M36" s="10">
        <f>K36*L36</f>
        <v>2000</v>
      </c>
    </row>
    <row r="37" spans="12:13" ht="12.75">
      <c r="L37" s="10" t="s">
        <v>139</v>
      </c>
      <c r="M37" s="10">
        <f>SUM(M32:M36)</f>
        <v>7200</v>
      </c>
    </row>
    <row r="39" s="77" customFormat="1" ht="13.5" thickBot="1">
      <c r="I39" s="78"/>
    </row>
    <row r="41" ht="12.75">
      <c r="K41" s="45" t="s">
        <v>149</v>
      </c>
    </row>
    <row r="43" spans="11:12" ht="12.75">
      <c r="K43" s="10" t="s">
        <v>124</v>
      </c>
      <c r="L43" s="80">
        <f>0.0012*C12^2-0.098*C12+3.0893</f>
        <v>31.489299999999993</v>
      </c>
    </row>
    <row r="44" spans="11:12" ht="12.75">
      <c r="K44" s="10" t="s">
        <v>125</v>
      </c>
      <c r="L44" s="80">
        <f>0.0011*D12^2-0.0381*D12+2.8214</f>
        <v>2.8214</v>
      </c>
    </row>
    <row r="45" spans="11:12" ht="12.75">
      <c r="K45" s="10" t="s">
        <v>126</v>
      </c>
      <c r="L45" s="80">
        <f>0.1019*E12-3.4643</f>
        <v>22.0107</v>
      </c>
    </row>
    <row r="46" spans="11:12" ht="12.75">
      <c r="K46" s="10" t="s">
        <v>139</v>
      </c>
      <c r="L46" s="80">
        <f>SUM(L43:L45)</f>
        <v>56.32139999999999</v>
      </c>
    </row>
    <row r="48" s="77" customFormat="1" ht="13.5" thickBot="1">
      <c r="I48" s="78"/>
    </row>
    <row r="55" ht="12.75">
      <c r="A55" t="s">
        <v>150</v>
      </c>
    </row>
    <row r="56" ht="12.75">
      <c r="A56" t="s">
        <v>151</v>
      </c>
    </row>
    <row r="58" spans="1:7" ht="12.75">
      <c r="A58" s="62"/>
      <c r="B58" t="s">
        <v>123</v>
      </c>
      <c r="C58" s="10" t="s">
        <v>124</v>
      </c>
      <c r="D58" s="10" t="s">
        <v>125</v>
      </c>
      <c r="E58" s="10" t="s">
        <v>126</v>
      </c>
      <c r="F58" s="10" t="s">
        <v>127</v>
      </c>
      <c r="G58" s="10" t="s">
        <v>128</v>
      </c>
    </row>
    <row r="59" spans="1:7" ht="12.75">
      <c r="A59" s="10" t="s">
        <v>130</v>
      </c>
      <c r="B59" s="63">
        <v>100</v>
      </c>
      <c r="C59" s="10">
        <f aca="true" t="shared" si="1" ref="C59:G66">IF(C4&lt;0,1,0)</f>
        <v>0</v>
      </c>
      <c r="D59" s="10">
        <f t="shared" si="1"/>
        <v>0</v>
      </c>
      <c r="E59" s="10">
        <f t="shared" si="1"/>
        <v>0</v>
      </c>
      <c r="F59" s="10">
        <f t="shared" si="1"/>
        <v>0</v>
      </c>
      <c r="G59" s="10">
        <f t="shared" si="1"/>
        <v>0</v>
      </c>
    </row>
    <row r="60" spans="1:7" ht="12.75">
      <c r="A60" s="10" t="s">
        <v>131</v>
      </c>
      <c r="B60" s="63">
        <v>200</v>
      </c>
      <c r="C60" s="10">
        <f t="shared" si="1"/>
        <v>0</v>
      </c>
      <c r="D60" s="10">
        <f t="shared" si="1"/>
        <v>0</v>
      </c>
      <c r="E60" s="10">
        <f t="shared" si="1"/>
        <v>0</v>
      </c>
      <c r="F60" s="10">
        <f t="shared" si="1"/>
        <v>0</v>
      </c>
      <c r="G60" s="10">
        <f t="shared" si="1"/>
        <v>0</v>
      </c>
    </row>
    <row r="61" spans="1:7" ht="12.75">
      <c r="A61" s="10" t="s">
        <v>132</v>
      </c>
      <c r="B61" s="63">
        <v>400</v>
      </c>
      <c r="C61" s="10">
        <f t="shared" si="1"/>
        <v>0</v>
      </c>
      <c r="D61" s="10">
        <f t="shared" si="1"/>
        <v>0</v>
      </c>
      <c r="E61" s="10">
        <f t="shared" si="1"/>
        <v>0</v>
      </c>
      <c r="F61" s="10">
        <f t="shared" si="1"/>
        <v>0</v>
      </c>
      <c r="G61" s="10">
        <f t="shared" si="1"/>
        <v>0</v>
      </c>
    </row>
    <row r="62" spans="1:7" ht="12.75">
      <c r="A62" s="10" t="s">
        <v>133</v>
      </c>
      <c r="B62" s="63">
        <v>500</v>
      </c>
      <c r="C62" s="10">
        <f t="shared" si="1"/>
        <v>0</v>
      </c>
      <c r="D62" s="10">
        <f t="shared" si="1"/>
        <v>0</v>
      </c>
      <c r="E62" s="10">
        <f t="shared" si="1"/>
        <v>0</v>
      </c>
      <c r="F62" s="10">
        <f t="shared" si="1"/>
        <v>0</v>
      </c>
      <c r="G62" s="10">
        <f t="shared" si="1"/>
        <v>0</v>
      </c>
    </row>
    <row r="63" spans="1:7" ht="12.75">
      <c r="A63" s="10" t="s">
        <v>134</v>
      </c>
      <c r="B63" s="63">
        <v>200</v>
      </c>
      <c r="C63" s="10">
        <f t="shared" si="1"/>
        <v>0</v>
      </c>
      <c r="D63" s="10">
        <f t="shared" si="1"/>
        <v>0</v>
      </c>
      <c r="E63" s="10">
        <f t="shared" si="1"/>
        <v>0</v>
      </c>
      <c r="F63" s="10">
        <f t="shared" si="1"/>
        <v>0</v>
      </c>
      <c r="G63" s="10">
        <f t="shared" si="1"/>
        <v>0</v>
      </c>
    </row>
    <row r="64" spans="1:7" ht="12.75">
      <c r="A64" s="10" t="s">
        <v>135</v>
      </c>
      <c r="B64" s="63">
        <v>300</v>
      </c>
      <c r="C64" s="10">
        <f t="shared" si="1"/>
        <v>0</v>
      </c>
      <c r="D64" s="10">
        <f t="shared" si="1"/>
        <v>0</v>
      </c>
      <c r="E64" s="10">
        <f t="shared" si="1"/>
        <v>0</v>
      </c>
      <c r="F64" s="10">
        <f t="shared" si="1"/>
        <v>0</v>
      </c>
      <c r="G64" s="10">
        <f t="shared" si="1"/>
        <v>0</v>
      </c>
    </row>
    <row r="65" spans="1:7" ht="12.75">
      <c r="A65" s="10" t="s">
        <v>136</v>
      </c>
      <c r="B65" s="63">
        <v>200</v>
      </c>
      <c r="C65" s="10">
        <f t="shared" si="1"/>
        <v>0</v>
      </c>
      <c r="D65" s="10">
        <f t="shared" si="1"/>
        <v>0</v>
      </c>
      <c r="E65" s="10">
        <f t="shared" si="1"/>
        <v>0</v>
      </c>
      <c r="F65" s="10">
        <f t="shared" si="1"/>
        <v>0</v>
      </c>
      <c r="G65" s="10">
        <f t="shared" si="1"/>
        <v>0</v>
      </c>
    </row>
    <row r="66" spans="1:7" ht="12.75">
      <c r="A66" s="10" t="s">
        <v>137</v>
      </c>
      <c r="B66" s="63">
        <v>100</v>
      </c>
      <c r="C66" s="10">
        <f t="shared" si="1"/>
        <v>0</v>
      </c>
      <c r="D66" s="10">
        <f t="shared" si="1"/>
        <v>0</v>
      </c>
      <c r="E66" s="10">
        <f t="shared" si="1"/>
        <v>0</v>
      </c>
      <c r="F66" s="10">
        <f t="shared" si="1"/>
        <v>0</v>
      </c>
      <c r="G66" s="10">
        <f t="shared" si="1"/>
        <v>0</v>
      </c>
    </row>
    <row r="67" ht="13.5" thickBot="1"/>
    <row r="68" spans="3:4" ht="13.5" thickBot="1">
      <c r="C68" s="81" t="s">
        <v>146</v>
      </c>
      <c r="D68" s="82">
        <f>SUM(C59:G66)</f>
        <v>0</v>
      </c>
    </row>
    <row r="69" ht="12.75">
      <c r="C69" t="s">
        <v>152</v>
      </c>
    </row>
    <row r="71" spans="2:3" ht="12.75">
      <c r="B71" s="72" t="s">
        <v>141</v>
      </c>
      <c r="C71" s="72" t="s">
        <v>142</v>
      </c>
    </row>
    <row r="72" spans="1:3" ht="12.75">
      <c r="A72" s="10" t="s">
        <v>124</v>
      </c>
      <c r="B72" s="10">
        <f>IF('[1]Solver'!B16&lt;0,1,0)</f>
        <v>0</v>
      </c>
      <c r="C72" s="10">
        <f>IF('[1]Solver'!C16&lt;0,1,0)</f>
        <v>0</v>
      </c>
    </row>
    <row r="73" spans="1:3" ht="12.75">
      <c r="A73" s="10" t="s">
        <v>125</v>
      </c>
      <c r="B73" s="10">
        <f>IF('[1]Solver'!B17&lt;0,1,0)</f>
        <v>0</v>
      </c>
      <c r="C73" s="10">
        <f>IF('[1]Solver'!C17&lt;0,1,0)</f>
        <v>0</v>
      </c>
    </row>
    <row r="74" spans="1:3" ht="12.75">
      <c r="A74" s="10" t="s">
        <v>126</v>
      </c>
      <c r="B74" s="10">
        <f>IF('[1]Solver'!B18&lt;0,1,0)</f>
        <v>0</v>
      </c>
      <c r="C74" s="10">
        <f>IF('[1]Solver'!C18&lt;0,1,0)</f>
        <v>0</v>
      </c>
    </row>
    <row r="75" ht="13.5" thickBot="1"/>
    <row r="76" spans="3:4" ht="13.5" thickBot="1">
      <c r="C76" s="81" t="s">
        <v>146</v>
      </c>
      <c r="D76" s="82">
        <f>SUM(B72:C74)</f>
        <v>0</v>
      </c>
    </row>
    <row r="78" spans="2:3" ht="12.75">
      <c r="B78" s="72" t="s">
        <v>143</v>
      </c>
      <c r="C78" s="72" t="s">
        <v>144</v>
      </c>
    </row>
    <row r="79" spans="1:3" ht="12.75">
      <c r="A79" s="10" t="s">
        <v>127</v>
      </c>
      <c r="B79" s="10">
        <f>IF('[1]Solver'!B23&lt;0,1,0)</f>
        <v>0</v>
      </c>
      <c r="C79" s="10">
        <f>IF('[1]Solver'!C23&lt;0,1,0)</f>
        <v>0</v>
      </c>
    </row>
    <row r="80" spans="1:3" ht="12.75">
      <c r="A80" s="10" t="s">
        <v>128</v>
      </c>
      <c r="B80" s="10">
        <f>IF('[1]Solver'!B24&lt;0,1,0)</f>
        <v>0</v>
      </c>
      <c r="C80" s="10">
        <f>IF('[1]Solver'!C24&lt;0,1,0)</f>
        <v>0</v>
      </c>
    </row>
    <row r="81" ht="13.5" thickBot="1"/>
    <row r="82" spans="3:4" ht="13.5" thickBot="1">
      <c r="C82" s="81" t="s">
        <v>146</v>
      </c>
      <c r="D82" s="82">
        <f>SUM(B79:C80)</f>
        <v>0</v>
      </c>
    </row>
  </sheetData>
  <sheetProtection/>
  <conditionalFormatting sqref="C12:G12">
    <cfRule type="cellIs" priority="1" dxfId="0" operator="greaterThan" stopIfTrue="1">
      <formula>C13</formula>
    </cfRule>
  </conditionalFormatting>
  <conditionalFormatting sqref="H4:H10">
    <cfRule type="cellIs" priority="2" dxfId="0" operator="greaterThan" stopIfTrue="1">
      <formula>'4 - logística'!#REF!</formula>
    </cfRule>
  </conditionalFormatting>
  <conditionalFormatting sqref="D16 D23:D24 D26:D27">
    <cfRule type="cellIs" priority="3" dxfId="2" operator="notEqual" stopIfTrue="1">
      <formula>$C$12</formula>
    </cfRule>
  </conditionalFormatting>
  <conditionalFormatting sqref="D17">
    <cfRule type="cellIs" priority="4" dxfId="2" operator="notEqual" stopIfTrue="1">
      <formula>$D$12</formula>
    </cfRule>
  </conditionalFormatting>
  <conditionalFormatting sqref="D18 D20">
    <cfRule type="cellIs" priority="5" dxfId="2" operator="notEqual" stopIfTrue="1">
      <formula>$E$12</formula>
    </cfRule>
  </conditionalFormatting>
  <conditionalFormatting sqref="H11">
    <cfRule type="cellIs" priority="6" dxfId="0" operator="greaterThan" stopIfTrue="1">
      <formula>$B$11</formula>
    </cfRule>
  </conditionalFormatting>
  <conditionalFormatting sqref="D68 D76 D82">
    <cfRule type="cellIs" priority="7" dxfId="0" operator="greaterThan" stopIfTrue="1">
      <formula>0</formula>
    </cfRule>
  </conditionalFormatting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C5:L37"/>
  <sheetViews>
    <sheetView zoomScalePageLayoutView="0" workbookViewId="0" topLeftCell="B5">
      <selection activeCell="K11" sqref="K11"/>
    </sheetView>
  </sheetViews>
  <sheetFormatPr defaultColWidth="11.421875" defaultRowHeight="12.75"/>
  <sheetData>
    <row r="5" ht="13.5" thickBot="1">
      <c r="G5" s="46" t="s">
        <v>100</v>
      </c>
    </row>
    <row r="6" spans="3:11" ht="16.5">
      <c r="C6" s="57" t="s">
        <v>101</v>
      </c>
      <c r="D6" s="47" t="s">
        <v>32</v>
      </c>
      <c r="E6" s="57" t="s">
        <v>102</v>
      </c>
      <c r="F6" s="1" t="s">
        <v>33</v>
      </c>
      <c r="G6" s="1" t="s">
        <v>103</v>
      </c>
      <c r="H6" s="91" t="s">
        <v>203</v>
      </c>
      <c r="I6" t="s">
        <v>104</v>
      </c>
      <c r="K6" t="s">
        <v>99</v>
      </c>
    </row>
    <row r="7" spans="3:10" ht="34.5" thickBot="1">
      <c r="C7" s="58"/>
      <c r="D7" s="48" t="s">
        <v>105</v>
      </c>
      <c r="E7" s="58"/>
      <c r="G7" s="1"/>
      <c r="H7" s="1"/>
      <c r="I7" s="1"/>
      <c r="J7" s="1"/>
    </row>
    <row r="8" spans="3:11" ht="18" thickBot="1">
      <c r="C8" s="49" t="s">
        <v>34</v>
      </c>
      <c r="D8" s="50">
        <v>50000</v>
      </c>
      <c r="E8" s="51">
        <v>5.2</v>
      </c>
      <c r="F8" s="1">
        <v>2.2</v>
      </c>
      <c r="G8" s="1">
        <f>E8-F8</f>
        <v>3</v>
      </c>
      <c r="H8" s="141">
        <f>G8/E8</f>
        <v>0.5769230769230769</v>
      </c>
      <c r="I8" s="1">
        <v>3.75</v>
      </c>
      <c r="J8" s="1"/>
      <c r="K8" s="5">
        <f>G8*D8</f>
        <v>150000</v>
      </c>
    </row>
    <row r="9" spans="3:11" ht="18" thickBot="1">
      <c r="C9" s="49" t="s">
        <v>35</v>
      </c>
      <c r="D9" s="50">
        <v>42000</v>
      </c>
      <c r="E9" s="51">
        <v>2.4</v>
      </c>
      <c r="F9" s="1">
        <v>1.2</v>
      </c>
      <c r="G9" s="1">
        <f>E9-F9</f>
        <v>1.2</v>
      </c>
      <c r="H9" s="141">
        <f>G9/E9</f>
        <v>0.5</v>
      </c>
      <c r="I9" s="1">
        <v>2.4</v>
      </c>
      <c r="J9" s="1"/>
      <c r="K9" s="5">
        <f>G9*D9</f>
        <v>50400</v>
      </c>
    </row>
    <row r="10" spans="3:11" ht="18" thickBot="1">
      <c r="C10" s="49" t="s">
        <v>36</v>
      </c>
      <c r="D10" s="50">
        <v>35000</v>
      </c>
      <c r="E10" s="51">
        <v>8.5</v>
      </c>
      <c r="F10" s="1">
        <v>4.09</v>
      </c>
      <c r="G10" s="1">
        <f>E10-F10</f>
        <v>4.41</v>
      </c>
      <c r="H10" s="141">
        <f>G10/E10</f>
        <v>0.5188235294117647</v>
      </c>
      <c r="I10" s="1">
        <v>3.15</v>
      </c>
      <c r="J10" s="1"/>
      <c r="K10" s="5">
        <f>G10*D10</f>
        <v>154350</v>
      </c>
    </row>
    <row r="11" spans="3:11" ht="18" thickBot="1">
      <c r="C11" s="49" t="s">
        <v>37</v>
      </c>
      <c r="D11" s="50">
        <v>40000</v>
      </c>
      <c r="E11" s="51">
        <v>4</v>
      </c>
      <c r="F11" s="1">
        <v>2</v>
      </c>
      <c r="G11" s="1">
        <f>E11-F11</f>
        <v>2</v>
      </c>
      <c r="H11" s="141">
        <f>G11/E11</f>
        <v>0.5</v>
      </c>
      <c r="I11" s="1">
        <v>2</v>
      </c>
      <c r="J11" s="1"/>
      <c r="K11" s="5">
        <f>G11*D11</f>
        <v>80000</v>
      </c>
    </row>
    <row r="12" spans="3:12" ht="34.5" thickBot="1">
      <c r="C12" s="49" t="s">
        <v>106</v>
      </c>
      <c r="D12" s="50">
        <v>325000</v>
      </c>
      <c r="E12" s="51">
        <v>2.55</v>
      </c>
      <c r="F12" s="1">
        <v>1</v>
      </c>
      <c r="G12" s="1">
        <f>E12-F12</f>
        <v>1.5499999999999998</v>
      </c>
      <c r="H12" s="141">
        <f>G12/E12</f>
        <v>0.6078431372549019</v>
      </c>
      <c r="I12" s="1">
        <v>5</v>
      </c>
      <c r="J12" s="1"/>
      <c r="K12" s="5">
        <f>G12*D12</f>
        <v>503749.99999999994</v>
      </c>
      <c r="L12" s="5">
        <v>503750</v>
      </c>
    </row>
    <row r="13" ht="12.75">
      <c r="K13" s="5">
        <f>SUM(K8:K12)</f>
        <v>938500</v>
      </c>
    </row>
    <row r="15" ht="13.5" thickBot="1">
      <c r="H15" s="46" t="s">
        <v>107</v>
      </c>
    </row>
    <row r="16" spans="3:9" ht="33.75" customHeight="1">
      <c r="C16" s="57" t="s">
        <v>108</v>
      </c>
      <c r="D16" s="57" t="s">
        <v>109</v>
      </c>
      <c r="E16" s="57" t="s">
        <v>110</v>
      </c>
      <c r="F16" s="59" t="s">
        <v>111</v>
      </c>
      <c r="H16" t="s">
        <v>112</v>
      </c>
      <c r="I16" t="s">
        <v>113</v>
      </c>
    </row>
    <row r="17" spans="3:8" ht="13.5" thickBot="1">
      <c r="C17" s="58"/>
      <c r="D17" s="58"/>
      <c r="E17" s="58"/>
      <c r="F17" s="60"/>
      <c r="H17" t="s">
        <v>114</v>
      </c>
    </row>
    <row r="18" spans="3:9" ht="18" thickBot="1">
      <c r="C18" s="49" t="s">
        <v>34</v>
      </c>
      <c r="D18" s="51">
        <v>1.4</v>
      </c>
      <c r="E18" s="51">
        <v>0.8</v>
      </c>
      <c r="F18" s="51">
        <v>0.4</v>
      </c>
      <c r="H18" s="5">
        <f>D8*F18</f>
        <v>20000</v>
      </c>
      <c r="I18">
        <f>G8/F18</f>
        <v>7.5</v>
      </c>
    </row>
    <row r="19" spans="3:9" ht="18" thickBot="1">
      <c r="C19" s="49" t="s">
        <v>35</v>
      </c>
      <c r="D19" s="51">
        <v>0.7</v>
      </c>
      <c r="E19" s="51">
        <v>0.5</v>
      </c>
      <c r="F19" s="51">
        <v>0.25</v>
      </c>
      <c r="H19" s="5">
        <f>D9*F19</f>
        <v>10500</v>
      </c>
      <c r="I19">
        <f>G9/F19</f>
        <v>4.8</v>
      </c>
    </row>
    <row r="20" spans="3:9" ht="18" thickBot="1">
      <c r="C20" s="49" t="s">
        <v>36</v>
      </c>
      <c r="D20" s="51">
        <v>2.69</v>
      </c>
      <c r="E20" s="51">
        <v>1.4</v>
      </c>
      <c r="F20" s="51">
        <v>0.7</v>
      </c>
      <c r="H20" s="5">
        <f>D10*F20</f>
        <v>24500</v>
      </c>
      <c r="I20">
        <f>G10/F20</f>
        <v>6.300000000000001</v>
      </c>
    </row>
    <row r="21" spans="3:11" ht="18" thickBot="1">
      <c r="C21" s="49" t="s">
        <v>37</v>
      </c>
      <c r="D21" s="51">
        <v>1</v>
      </c>
      <c r="E21" s="51">
        <v>1</v>
      </c>
      <c r="F21" s="51">
        <v>0.5</v>
      </c>
      <c r="H21" s="5">
        <f>D11*F21</f>
        <v>20000</v>
      </c>
      <c r="I21">
        <f>G11/F21</f>
        <v>4</v>
      </c>
      <c r="J21" s="53"/>
      <c r="K21" s="53" t="s">
        <v>115</v>
      </c>
    </row>
    <row r="22" spans="3:9" ht="34.5" thickBot="1">
      <c r="C22" s="49" t="s">
        <v>106</v>
      </c>
      <c r="D22" s="51">
        <v>0.6</v>
      </c>
      <c r="E22" s="51">
        <v>0.4</v>
      </c>
      <c r="F22" s="51">
        <v>0.2</v>
      </c>
      <c r="H22" s="5">
        <f>D12*F22</f>
        <v>65000</v>
      </c>
      <c r="I22">
        <f>G12/F22</f>
        <v>7.749999999999999</v>
      </c>
    </row>
    <row r="23" ht="12.75">
      <c r="H23" s="54">
        <f>SUM(H18:H22)</f>
        <v>140000</v>
      </c>
    </row>
    <row r="24" spans="3:4" ht="24">
      <c r="C24" s="55" t="s">
        <v>116</v>
      </c>
      <c r="D24" s="52">
        <v>200000</v>
      </c>
    </row>
    <row r="25" spans="6:8" ht="12.75">
      <c r="F25" t="s">
        <v>117</v>
      </c>
      <c r="H25">
        <v>130000</v>
      </c>
    </row>
    <row r="27" spans="6:8" ht="13.5" thickBot="1">
      <c r="F27" t="s">
        <v>118</v>
      </c>
      <c r="H27" s="5">
        <v>10000</v>
      </c>
    </row>
    <row r="28" spans="3:4" ht="16.5">
      <c r="C28" s="57" t="s">
        <v>101</v>
      </c>
      <c r="D28" s="47" t="s">
        <v>32</v>
      </c>
    </row>
    <row r="29" spans="3:10" ht="34.5" thickBot="1">
      <c r="C29" s="58"/>
      <c r="D29" s="48" t="s">
        <v>105</v>
      </c>
      <c r="F29" t="s">
        <v>119</v>
      </c>
      <c r="J29" t="s">
        <v>120</v>
      </c>
    </row>
    <row r="30" spans="3:4" ht="18" thickBot="1">
      <c r="C30" s="49" t="s">
        <v>34</v>
      </c>
      <c r="D30" s="50">
        <v>50000</v>
      </c>
    </row>
    <row r="31" spans="3:4" ht="18" thickBot="1">
      <c r="C31" s="49" t="s">
        <v>35</v>
      </c>
      <c r="D31" s="50">
        <v>42000</v>
      </c>
    </row>
    <row r="32" spans="3:4" ht="18" thickBot="1">
      <c r="C32" s="49" t="s">
        <v>36</v>
      </c>
      <c r="D32" s="50">
        <v>35000</v>
      </c>
    </row>
    <row r="33" spans="3:4" ht="18" thickBot="1">
      <c r="C33" s="49" t="s">
        <v>37</v>
      </c>
      <c r="D33" s="56">
        <v>20000</v>
      </c>
    </row>
    <row r="34" spans="3:4" ht="34.5" thickBot="1">
      <c r="C34" s="49" t="s">
        <v>106</v>
      </c>
      <c r="D34" s="50">
        <v>325000</v>
      </c>
    </row>
    <row r="37" ht="16.5">
      <c r="C37" s="142" t="s">
        <v>204</v>
      </c>
    </row>
  </sheetData>
  <sheetProtection/>
  <mergeCells count="7">
    <mergeCell ref="C28:C29"/>
    <mergeCell ref="C6:C7"/>
    <mergeCell ref="E6:E7"/>
    <mergeCell ref="C16:C17"/>
    <mergeCell ref="D16:D17"/>
    <mergeCell ref="E16:E17"/>
    <mergeCell ref="F16:F17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Reinaldo</dc:creator>
  <cp:keywords/>
  <dc:description/>
  <cp:lastModifiedBy>Microsoft Office User</cp:lastModifiedBy>
  <dcterms:created xsi:type="dcterms:W3CDTF">2004-04-22T16:50:09Z</dcterms:created>
  <dcterms:modified xsi:type="dcterms:W3CDTF">2020-04-20T14:15:03Z</dcterms:modified>
  <cp:category/>
  <cp:version/>
  <cp:contentType/>
  <cp:contentStatus/>
</cp:coreProperties>
</file>