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363/"/>
    </mc:Choice>
  </mc:AlternateContent>
  <xr:revisionPtr revIDLastSave="0" documentId="13_ncr:1_{F0E366DF-567A-554B-A05E-738360F75E59}" xr6:coauthVersionLast="45" xr6:coauthVersionMax="45" xr10:uidLastSave="{00000000-0000-0000-0000-000000000000}"/>
  <bookViews>
    <workbookView xWindow="0" yWindow="0" windowWidth="28800" windowHeight="18000" activeTab="1" xr2:uid="{00000000-000D-0000-FFFF-FFFF00000000}"/>
  </bookViews>
  <sheets>
    <sheet name="Dados" sheetId="1" r:id="rId1"/>
    <sheet name="Custeio pleno ( CF x fat)" sheetId="2" r:id="rId2"/>
    <sheet name="Resultado" sheetId="3" r:id="rId3"/>
    <sheet name="Mix Ótimo" sheetId="4" r:id="rId4"/>
    <sheet name="Respostas" sheetId="5" r:id="rId5"/>
  </sheets>
  <definedNames>
    <definedName name="solver_adj" localSheetId="3" hidden="1">'Mix Ótimo'!$A$6:$A$8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lhs1" localSheetId="3" hidden="1">'Mix Ótimo'!$A$6:$A$8</definedName>
    <definedName name="solver_lhs2" localSheetId="3" hidden="1">'Mix Ótimo'!$C$11</definedName>
    <definedName name="solver_lhs3" localSheetId="3" hidden="1">'Mix Ótimo'!$C$12</definedName>
    <definedName name="solver_lhs4" localSheetId="3" hidden="1">'Mix Ótimo'!$C$13</definedName>
    <definedName name="solver_lhs5" localSheetId="3" hidden="1">'Mix Ótimo'!$C$14</definedName>
    <definedName name="solver_lin" localSheetId="3" hidden="1">2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5</definedName>
    <definedName name="solver_nwt" localSheetId="3" hidden="1">1</definedName>
    <definedName name="solver_opt" localSheetId="3" hidden="1">'Mix Ótimo'!$D$9</definedName>
    <definedName name="solver_pre" localSheetId="3" hidden="1">0.000001</definedName>
    <definedName name="solver_rbv" localSheetId="3" hidden="1">1</definedName>
    <definedName name="solver_rel1" localSheetId="3" hidden="1">3</definedName>
    <definedName name="solver_rel2" localSheetId="3" hidden="1">1</definedName>
    <definedName name="solver_rel3" localSheetId="3" hidden="1">1</definedName>
    <definedName name="solver_rel4" localSheetId="3" hidden="1">1</definedName>
    <definedName name="solver_rel5" localSheetId="3" hidden="1">1</definedName>
    <definedName name="solver_rhs1" localSheetId="3" hidden="1">0</definedName>
    <definedName name="solver_rhs2" localSheetId="3" hidden="1">'Mix Ótimo'!$B$11</definedName>
    <definedName name="solver_rhs3" localSheetId="3" hidden="1">'Mix Ótimo'!$B$12</definedName>
    <definedName name="solver_rhs4" localSheetId="3" hidden="1">'Mix Ótimo'!$B$13</definedName>
    <definedName name="solver_rhs5" localSheetId="3" hidden="1">'Mix Ótimo'!$B$14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  <c r="J9" i="2"/>
  <c r="M4" i="2"/>
  <c r="K4" i="2"/>
  <c r="L4" i="2"/>
  <c r="J4" i="2"/>
  <c r="C32" i="2"/>
  <c r="B26" i="2"/>
  <c r="D26" i="2"/>
  <c r="F26" i="2"/>
  <c r="J3" i="2"/>
  <c r="K3" i="2"/>
  <c r="M3" i="2" s="1"/>
  <c r="L3" i="2"/>
  <c r="C12" i="4"/>
  <c r="C11" i="4"/>
  <c r="B32" i="2"/>
  <c r="F26" i="1" l="1"/>
  <c r="B16" i="1" l="1"/>
  <c r="C13" i="4" l="1"/>
  <c r="C14" i="4"/>
  <c r="C46" i="2" l="1"/>
  <c r="B34" i="2"/>
  <c r="B33" i="2"/>
  <c r="H8" i="2"/>
  <c r="E8" i="2"/>
  <c r="C8" i="2"/>
  <c r="D7" i="2"/>
  <c r="C7" i="2"/>
  <c r="E6" i="2"/>
  <c r="C6" i="2"/>
  <c r="F3" i="3"/>
  <c r="D3" i="3"/>
  <c r="D5" i="2"/>
  <c r="C5" i="2"/>
  <c r="B17" i="1"/>
  <c r="J16" i="1"/>
  <c r="J17" i="1" s="1"/>
  <c r="I16" i="1"/>
  <c r="H16" i="1"/>
  <c r="H17" i="1" s="1"/>
  <c r="E15" i="1"/>
  <c r="E14" i="1"/>
  <c r="E13" i="1"/>
  <c r="E12" i="1"/>
  <c r="K11" i="2" l="1"/>
  <c r="L11" i="2"/>
  <c r="J11" i="2"/>
  <c r="E16" i="1"/>
  <c r="I17" i="1"/>
  <c r="I15" i="1" s="1"/>
  <c r="H15" i="1"/>
  <c r="J15" i="1"/>
  <c r="D9" i="2" l="1"/>
  <c r="D10" i="2" s="1"/>
  <c r="K10" i="2" s="1"/>
  <c r="E9" i="2"/>
  <c r="E10" i="2" s="1"/>
  <c r="L10" i="2" s="1"/>
  <c r="C9" i="2"/>
  <c r="C10" i="2" s="1"/>
  <c r="J10" i="2" s="1"/>
  <c r="C12" i="2" l="1"/>
  <c r="B20" i="2" s="1"/>
  <c r="B3" i="3"/>
  <c r="M10" i="2" l="1"/>
  <c r="K9" i="2"/>
  <c r="L9" i="2"/>
  <c r="E11" i="2" l="1"/>
  <c r="C48" i="2" s="1"/>
  <c r="D11" i="2"/>
  <c r="C47" i="2" s="1"/>
  <c r="C49" i="2" s="1"/>
  <c r="M9" i="2"/>
  <c r="E12" i="2"/>
  <c r="F8" i="3"/>
  <c r="G8" i="3" s="1"/>
  <c r="B8" i="3"/>
  <c r="B23" i="2"/>
  <c r="B21" i="2" s="1"/>
  <c r="B38" i="2" s="1"/>
  <c r="B39" i="2" s="1"/>
  <c r="D8" i="3" l="1"/>
  <c r="E8" i="3" s="1"/>
  <c r="D12" i="2"/>
  <c r="D20" i="2" s="1"/>
  <c r="C8" i="3"/>
  <c r="D32" i="2"/>
  <c r="C33" i="2"/>
  <c r="D23" i="2"/>
  <c r="F20" i="2"/>
  <c r="B13" i="3" l="1"/>
  <c r="H8" i="3"/>
  <c r="C34" i="2"/>
  <c r="D34" i="2" s="1"/>
  <c r="F23" i="2"/>
  <c r="G20" i="2" s="1"/>
  <c r="F21" i="2" l="1"/>
  <c r="F22" i="2" s="1"/>
  <c r="F24" i="2" s="1"/>
  <c r="C8" i="4" s="1"/>
  <c r="D8" i="4" s="1"/>
  <c r="D33" i="2"/>
  <c r="D21" i="2"/>
  <c r="E20" i="2"/>
  <c r="C20" i="2"/>
  <c r="G21" i="2"/>
  <c r="G22" i="2" s="1"/>
  <c r="G24" i="2" s="1"/>
  <c r="F34" i="2" l="1"/>
  <c r="G34" i="2"/>
  <c r="F4" i="3" s="1"/>
  <c r="H34" i="2"/>
  <c r="D35" i="2"/>
  <c r="C21" i="2"/>
  <c r="C22" i="2" s="1"/>
  <c r="B22" i="2"/>
  <c r="F32" i="2" s="1"/>
  <c r="E21" i="2"/>
  <c r="E22" i="2" s="1"/>
  <c r="E24" i="2" s="1"/>
  <c r="D22" i="2"/>
  <c r="F33" i="2" s="1"/>
  <c r="G32" i="2" l="1"/>
  <c r="B4" i="3" s="1"/>
  <c r="F5" i="3"/>
  <c r="F7" i="3" s="1"/>
  <c r="F9" i="3" s="1"/>
  <c r="G4" i="3"/>
  <c r="G5" i="3" s="1"/>
  <c r="G7" i="3" s="1"/>
  <c r="E34" i="2"/>
  <c r="L12" i="2" s="1"/>
  <c r="E32" i="2"/>
  <c r="I34" i="2"/>
  <c r="J34" i="2"/>
  <c r="D24" i="2"/>
  <c r="C7" i="4" s="1"/>
  <c r="D7" i="4" s="1"/>
  <c r="B24" i="2"/>
  <c r="E33" i="2"/>
  <c r="K12" i="2" s="1"/>
  <c r="M11" i="2" l="1"/>
  <c r="J12" i="2"/>
  <c r="M12" i="2" s="1"/>
  <c r="C24" i="2"/>
  <c r="C6" i="4"/>
  <c r="C4" i="3"/>
  <c r="C5" i="3" s="1"/>
  <c r="C7" i="3" s="1"/>
  <c r="B5" i="3"/>
  <c r="G9" i="3"/>
  <c r="G33" i="2"/>
  <c r="H33" i="2"/>
  <c r="H32" i="2"/>
  <c r="I32" i="2" s="1"/>
  <c r="D6" i="4" l="1"/>
  <c r="D9" i="4" s="1"/>
  <c r="B7" i="3"/>
  <c r="D4" i="3"/>
  <c r="E4" i="3" s="1"/>
  <c r="G35" i="2"/>
  <c r="J32" i="2"/>
  <c r="I33" i="2"/>
  <c r="J33" i="2"/>
  <c r="B9" i="3" l="1"/>
  <c r="D5" i="3"/>
  <c r="E5" i="3"/>
  <c r="E7" i="3" s="1"/>
  <c r="H4" i="3"/>
  <c r="J35" i="2"/>
  <c r="K34" i="2" s="1"/>
  <c r="D7" i="3" l="1"/>
  <c r="H5" i="3"/>
  <c r="C9" i="3"/>
  <c r="K33" i="2"/>
  <c r="K32" i="2"/>
  <c r="D9" i="3" l="1"/>
  <c r="H7" i="3"/>
  <c r="E9" i="3" l="1"/>
  <c r="H9" i="3"/>
</calcChain>
</file>

<file path=xl/sharedStrings.xml><?xml version="1.0" encoding="utf-8"?>
<sst xmlns="http://schemas.openxmlformats.org/spreadsheetml/2006/main" count="205" uniqueCount="120">
  <si>
    <t>Nomes:</t>
  </si>
  <si>
    <t>P1</t>
  </si>
  <si>
    <t>P2</t>
  </si>
  <si>
    <t>P3</t>
  </si>
  <si>
    <t>DVV</t>
  </si>
  <si>
    <t>Bruno Hisashi Otsuka</t>
  </si>
  <si>
    <t>NUSP:</t>
  </si>
  <si>
    <t>R$</t>
  </si>
  <si>
    <t>%</t>
  </si>
  <si>
    <t>Receita</t>
  </si>
  <si>
    <t>R$/u</t>
  </si>
  <si>
    <t>R$/1000 u</t>
  </si>
  <si>
    <t>ICMS</t>
  </si>
  <si>
    <t>Faturamento</t>
  </si>
  <si>
    <t>Stephanie Escorcio Franke</t>
  </si>
  <si>
    <t>(MOD)</t>
  </si>
  <si>
    <t>COFINS</t>
  </si>
  <si>
    <t>cortar</t>
  </si>
  <si>
    <t>Custos/despesas variáveis (-)</t>
  </si>
  <si>
    <t>Thaís Miky Taketomi Kuroda</t>
  </si>
  <si>
    <t>FINSOCIAL</t>
  </si>
  <si>
    <t>MOD</t>
  </si>
  <si>
    <t>Produto</t>
  </si>
  <si>
    <t>Dimensional</t>
  </si>
  <si>
    <t>Produção/mês</t>
  </si>
  <si>
    <t>Operação</t>
  </si>
  <si>
    <t>[R$/h]</t>
  </si>
  <si>
    <t>U</t>
  </si>
  <si>
    <t>Cortar</t>
  </si>
  <si>
    <t>-</t>
  </si>
  <si>
    <t>min</t>
  </si>
  <si>
    <t>milheiro</t>
  </si>
  <si>
    <t>Estampar</t>
  </si>
  <si>
    <t>Enrolar</t>
  </si>
  <si>
    <t>Soldar</t>
  </si>
  <si>
    <t>Custos indiretos/fixos</t>
  </si>
  <si>
    <t>R$/mês</t>
  </si>
  <si>
    <t>Operações[h/mês]</t>
  </si>
  <si>
    <t>Custo variável de materiais</t>
  </si>
  <si>
    <t>estampar</t>
  </si>
  <si>
    <t>Margem</t>
  </si>
  <si>
    <t>Aluguel</t>
  </si>
  <si>
    <t>PIS</t>
  </si>
  <si>
    <t>enrolar</t>
  </si>
  <si>
    <t>Preço/kg[R$/kg]</t>
  </si>
  <si>
    <t>Pro labore</t>
  </si>
  <si>
    <t>COMISSÃO DE VENDAS</t>
  </si>
  <si>
    <t>Resultado econômico</t>
  </si>
  <si>
    <t>soldar</t>
  </si>
  <si>
    <t>Aço SAE 1045</t>
  </si>
  <si>
    <t>Telefone, água, energia etc</t>
  </si>
  <si>
    <t>Materiais</t>
  </si>
  <si>
    <t>Aço INOX</t>
  </si>
  <si>
    <t>Supervisão adm</t>
  </si>
  <si>
    <t>Custo fixo (-)</t>
  </si>
  <si>
    <t>R$/unidade</t>
  </si>
  <si>
    <t>Outros</t>
  </si>
  <si>
    <t>Total</t>
  </si>
  <si>
    <t>Resultado/LUCRO</t>
  </si>
  <si>
    <t>CUSTO DIRETO</t>
  </si>
  <si>
    <t>Total do período</t>
  </si>
  <si>
    <t>CUSTO TOTAL</t>
  </si>
  <si>
    <t>R$/mil</t>
  </si>
  <si>
    <t>Custo total</t>
  </si>
  <si>
    <t>CD + DVV</t>
  </si>
  <si>
    <t>Tabela 18 - Análise dos resultados pelo sistema de custeio pleno</t>
  </si>
  <si>
    <t>Q[u]</t>
  </si>
  <si>
    <t>P[R$/u]</t>
  </si>
  <si>
    <t>RT[R$]</t>
  </si>
  <si>
    <t>RT[%]</t>
  </si>
  <si>
    <t>Operações</t>
  </si>
  <si>
    <t>Restrições [h/mês]</t>
  </si>
  <si>
    <t>Mix Ótimo</t>
  </si>
  <si>
    <t>Produtos</t>
  </si>
  <si>
    <t>h totais</t>
  </si>
  <si>
    <t>b</t>
  </si>
  <si>
    <t>c</t>
  </si>
  <si>
    <t>d</t>
  </si>
  <si>
    <t>e</t>
  </si>
  <si>
    <t>O método de custeio direto utiliza estimativa de preço e desconsidera o rateio das despesas fixas no cálculo da margem de contribuição. Por outro lado, o método do custeio pleno utiliza os preços de mercado e considera o rateio das despesas fixas de acordo com o faturamento no cálculo da margem de contribuição. Utilizando o custeio pleno, percebe-se que os produtos 1 e 2 possuem margem de contribuição negativo com esse método.</t>
  </si>
  <si>
    <t>Economicamente, o melhor produto é o 3</t>
  </si>
  <si>
    <t>Como o resultado final da empresa é de R$1119,20 que é positivo, a empresa é economicamente viável.</t>
  </si>
  <si>
    <t>Preço calculado pelo tab 15</t>
  </si>
  <si>
    <t>Margem Lucro</t>
  </si>
  <si>
    <t>Professor, boa madrugada!</t>
  </si>
  <si>
    <t>Estava aqui tentando fazer o T3 pra entregar antes da aula amanha e me embolei logo no começo.. o sr disse para usar o faturamento dos produtos como base de rateio certo? Então seria [(faturamento PROD X)/fat. TOTAL]x OVERHEAD</t>
  </si>
  <si>
    <t>Só que o faturamento do produto X depende de seu preço.</t>
  </si>
  <si>
    <t>O seu preço depende do seu custo de fabricação (fórmula do MARK-UP)</t>
  </si>
  <si>
    <t>Custo de fabricação depende do overhead rateado</t>
  </si>
  <si>
    <t>Overheard rateado depende do faturamento que depende do preço!! Não consegui sair desse círculo!!</t>
  </si>
  <si>
    <t>MILLENA</t>
  </si>
  <si>
    <t>preço formado (T15)</t>
  </si>
  <si>
    <t>CTU[R$/u]</t>
  </si>
  <si>
    <t>CT[R$]</t>
  </si>
  <si>
    <t>MLU[R$/u]</t>
  </si>
  <si>
    <t>MLU[%]</t>
  </si>
  <si>
    <t>MLT[R$]</t>
  </si>
  <si>
    <t>MLT[%]</t>
  </si>
  <si>
    <t>MLU</t>
  </si>
  <si>
    <t>MLT</t>
  </si>
  <si>
    <t>SÓ ADMITINDO A ML CALCULADA PELO RATEIO</t>
  </si>
  <si>
    <t>E NO SOLVER CONSIDERAR AS MLU PARA CALC A FO</t>
  </si>
  <si>
    <t>VÁRIAS ALTERNATIVAS - sempre fixando os preços, senão dá "circularidade"</t>
  </si>
  <si>
    <t>MLU - tabela 18 da aba custeio pleno(Custeio Pleno)</t>
  </si>
  <si>
    <t>MCU - tabela 17 (Custeio Direto) do texto. Usa Preços  calculados (preço pelo mark up) e  margem de contribuição (p-(cdu+dvv))</t>
  </si>
  <si>
    <t>Lucro final</t>
  </si>
  <si>
    <t>CUSTOS DIRETOS</t>
  </si>
  <si>
    <t>CUSTOS TOTAIS</t>
  </si>
  <si>
    <t>FAT NOVO RATEIO</t>
  </si>
  <si>
    <t>RECEITA TOTAL</t>
  </si>
  <si>
    <t>PLANILHA DE CUSTOS TOTAIS</t>
  </si>
  <si>
    <t>PLANILHA DE CUSTOS</t>
  </si>
  <si>
    <t>Preço (Formado T15)</t>
  </si>
  <si>
    <t>usando o mark up</t>
  </si>
  <si>
    <t>PRECISAMOS FIXAR UM PREÇO</t>
  </si>
  <si>
    <t>(acho que poderiamos usar simulação ou mesmo uma programação matemática para resolver este problema)</t>
  </si>
  <si>
    <t>DESAFIO</t>
  </si>
  <si>
    <r>
      <rPr>
        <i/>
        <sz val="10"/>
        <rFont val="Arial"/>
        <family val="2"/>
      </rPr>
      <t xml:space="preserve"> Novo Overhead</t>
    </r>
    <r>
      <rPr>
        <sz val="10"/>
        <color rgb="FF000000"/>
        <rFont val="Arial"/>
        <family val="2"/>
      </rPr>
      <t xml:space="preserve"> rateado</t>
    </r>
  </si>
  <si>
    <t>CUSTOS FIXOS E INDIRETOS(*)</t>
  </si>
  <si>
    <t>(*) Rateio dos custos indiretos/fixos pelo faturamento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</si>
</sst>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9" formatCode="#,##0.0;\(#,##0.0\)"/>
    <numFmt numFmtId="171" formatCode="#,##0.0_);\(#,##0.0\)"/>
  </numFmts>
  <fonts count="25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2"/>
      <color rgb="FF222222"/>
      <name val="Arial"/>
      <family val="2"/>
    </font>
    <font>
      <b/>
      <sz val="14"/>
      <color rgb="FF000000"/>
      <name val="Arial"/>
      <family val="2"/>
    </font>
    <font>
      <b/>
      <sz val="14"/>
      <color rgb="FFFFFFFF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sz val="8"/>
      <color rgb="FFFF000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800080"/>
        <bgColor rgb="FF80008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3366"/>
        <bgColor rgb="FF993366"/>
      </patternFill>
    </fill>
    <fill>
      <patternFill patternType="solid">
        <fgColor rgb="FF99336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41">
    <xf numFmtId="0" fontId="0" fillId="0" borderId="0" xfId="0" applyFont="1" applyAlignment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4" fillId="3" borderId="3" xfId="0" applyFont="1" applyFill="1" applyBorder="1" applyAlignment="1">
      <alignment horizontal="right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1" fillId="0" borderId="2" xfId="0" applyFont="1" applyBorder="1"/>
    <xf numFmtId="0" fontId="3" fillId="0" borderId="0" xfId="0" applyFont="1" applyAlignment="1"/>
    <xf numFmtId="0" fontId="4" fillId="3" borderId="6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1" fillId="0" borderId="0" xfId="0" applyFont="1" applyAlignment="1"/>
    <xf numFmtId="10" fontId="1" fillId="0" borderId="0" xfId="0" applyNumberFormat="1" applyFont="1" applyAlignment="1"/>
    <xf numFmtId="0" fontId="2" fillId="3" borderId="10" xfId="0" applyFont="1" applyFill="1" applyBorder="1" applyAlignment="1"/>
    <xf numFmtId="0" fontId="3" fillId="0" borderId="11" xfId="0" applyFont="1" applyBorder="1" applyAlignment="1"/>
    <xf numFmtId="0" fontId="3" fillId="0" borderId="4" xfId="0" applyFont="1" applyBorder="1"/>
    <xf numFmtId="0" fontId="3" fillId="0" borderId="2" xfId="0" applyFont="1" applyBorder="1"/>
    <xf numFmtId="0" fontId="2" fillId="3" borderId="12" xfId="0" applyFont="1" applyFill="1" applyBorder="1" applyAlignment="1"/>
    <xf numFmtId="0" fontId="3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2" fillId="3" borderId="0" xfId="0" applyFont="1" applyFill="1" applyAlignment="1"/>
    <xf numFmtId="0" fontId="1" fillId="0" borderId="1" xfId="0" applyFont="1" applyBorder="1" applyAlignment="1"/>
    <xf numFmtId="0" fontId="2" fillId="3" borderId="13" xfId="0" applyFont="1" applyFill="1" applyBorder="1" applyAlignment="1">
      <alignment horizontal="right"/>
    </xf>
    <xf numFmtId="0" fontId="2" fillId="3" borderId="14" xfId="0" applyFont="1" applyFill="1" applyBorder="1" applyAlignment="1"/>
    <xf numFmtId="0" fontId="2" fillId="3" borderId="15" xfId="0" applyFont="1" applyFill="1" applyBorder="1" applyAlignment="1"/>
    <xf numFmtId="0" fontId="2" fillId="3" borderId="16" xfId="0" applyFont="1" applyFill="1" applyBorder="1" applyAlignment="1"/>
    <xf numFmtId="0" fontId="2" fillId="3" borderId="8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/>
    <xf numFmtId="1" fontId="1" fillId="0" borderId="1" xfId="0" applyNumberFormat="1" applyFont="1" applyBorder="1"/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0" borderId="0" xfId="0" applyNumberFormat="1" applyFont="1"/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0" fillId="0" borderId="0" xfId="0"/>
    <xf numFmtId="0" fontId="7" fillId="6" borderId="18" xfId="0" applyFont="1" applyFill="1" applyBorder="1" applyAlignment="1"/>
    <xf numFmtId="0" fontId="7" fillId="6" borderId="17" xfId="0" applyFont="1" applyFill="1" applyBorder="1" applyAlignment="1">
      <alignment horizontal="center"/>
    </xf>
    <xf numFmtId="0" fontId="6" fillId="7" borderId="18" xfId="0" applyFont="1" applyFill="1" applyBorder="1" applyAlignment="1"/>
    <xf numFmtId="0" fontId="8" fillId="0" borderId="17" xfId="0" applyFont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1" fontId="0" fillId="9" borderId="19" xfId="0" applyNumberFormat="1" applyFont="1" applyFill="1" applyBorder="1" applyAlignment="1"/>
    <xf numFmtId="0" fontId="8" fillId="0" borderId="19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center"/>
    </xf>
    <xf numFmtId="4" fontId="0" fillId="0" borderId="0" xfId="0" applyNumberFormat="1" applyFont="1" applyAlignment="1"/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7" fillId="6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1" fontId="0" fillId="9" borderId="19" xfId="0" applyNumberFormat="1" applyFont="1" applyFill="1" applyBorder="1" applyAlignment="1">
      <alignment horizontal="center"/>
    </xf>
    <xf numFmtId="2" fontId="0" fillId="0" borderId="0" xfId="0" applyNumberFormat="1" applyFont="1" applyAlignment="1"/>
    <xf numFmtId="43" fontId="1" fillId="0" borderId="1" xfId="1" applyFont="1" applyBorder="1" applyAlignment="1">
      <alignment horizontal="center"/>
    </xf>
    <xf numFmtId="43" fontId="0" fillId="0" borderId="0" xfId="1" applyFont="1" applyAlignment="1"/>
    <xf numFmtId="0" fontId="10" fillId="0" borderId="0" xfId="0" applyFont="1" applyAlignment="1"/>
    <xf numFmtId="0" fontId="15" fillId="0" borderId="1" xfId="0" applyFont="1" applyBorder="1" applyAlignment="1"/>
    <xf numFmtId="2" fontId="15" fillId="8" borderId="1" xfId="0" applyNumberFormat="1" applyFont="1" applyFill="1" applyBorder="1" applyAlignment="1">
      <alignment horizontal="center"/>
    </xf>
    <xf numFmtId="10" fontId="15" fillId="8" borderId="1" xfId="0" applyNumberFormat="1" applyFont="1" applyFill="1" applyBorder="1" applyAlignment="1">
      <alignment horizontal="center"/>
    </xf>
    <xf numFmtId="0" fontId="16" fillId="0" borderId="0" xfId="0" applyFont="1" applyAlignment="1"/>
    <xf numFmtId="39" fontId="0" fillId="0" borderId="0" xfId="0" applyNumberFormat="1" applyFont="1" applyAlignment="1"/>
    <xf numFmtId="0" fontId="13" fillId="2" borderId="2" xfId="0" applyFont="1" applyFill="1" applyBorder="1" applyAlignment="1"/>
    <xf numFmtId="0" fontId="18" fillId="2" borderId="4" xfId="0" applyFont="1" applyFill="1" applyBorder="1" applyAlignment="1">
      <alignment horizontal="center"/>
    </xf>
    <xf numFmtId="0" fontId="13" fillId="0" borderId="2" xfId="0" applyFont="1" applyBorder="1"/>
    <xf numFmtId="0" fontId="13" fillId="2" borderId="7" xfId="0" applyFont="1" applyFill="1" applyBorder="1" applyAlignment="1"/>
    <xf numFmtId="0" fontId="18" fillId="2" borderId="8" xfId="0" applyFont="1" applyFill="1" applyBorder="1" applyAlignment="1">
      <alignment horizontal="center"/>
    </xf>
    <xf numFmtId="169" fontId="17" fillId="4" borderId="7" xfId="0" applyNumberFormat="1" applyFont="1" applyFill="1" applyBorder="1" applyAlignment="1">
      <alignment horizontal="center"/>
    </xf>
    <xf numFmtId="169" fontId="13" fillId="0" borderId="8" xfId="0" applyNumberFormat="1" applyFont="1" applyBorder="1" applyAlignment="1">
      <alignment horizontal="center"/>
    </xf>
    <xf numFmtId="169" fontId="13" fillId="8" borderId="8" xfId="0" applyNumberFormat="1" applyFont="1" applyFill="1" applyBorder="1" applyAlignment="1">
      <alignment horizontal="center"/>
    </xf>
    <xf numFmtId="169" fontId="18" fillId="5" borderId="14" xfId="0" applyNumberFormat="1" applyFont="1" applyFill="1" applyBorder="1" applyAlignment="1">
      <alignment horizontal="center"/>
    </xf>
    <xf numFmtId="169" fontId="13" fillId="0" borderId="16" xfId="0" applyNumberFormat="1" applyFont="1" applyBorder="1"/>
    <xf numFmtId="169" fontId="13" fillId="0" borderId="8" xfId="0" applyNumberFormat="1" applyFont="1" applyBorder="1"/>
    <xf numFmtId="169" fontId="17" fillId="4" borderId="7" xfId="0" applyNumberFormat="1" applyFont="1" applyFill="1" applyBorder="1" applyAlignment="1">
      <alignment horizontal="center" vertical="center"/>
    </xf>
    <xf numFmtId="169" fontId="15" fillId="8" borderId="8" xfId="0" applyNumberFormat="1" applyFont="1" applyFill="1" applyBorder="1" applyAlignment="1">
      <alignment horizontal="center"/>
    </xf>
    <xf numFmtId="9" fontId="13" fillId="0" borderId="8" xfId="2" applyFont="1" applyBorder="1" applyAlignment="1">
      <alignment horizontal="center"/>
    </xf>
    <xf numFmtId="9" fontId="13" fillId="8" borderId="8" xfId="2" applyFont="1" applyFill="1" applyBorder="1" applyAlignment="1">
      <alignment horizontal="center"/>
    </xf>
    <xf numFmtId="171" fontId="0" fillId="0" borderId="0" xfId="0" applyNumberFormat="1" applyFont="1" applyAlignment="1"/>
    <xf numFmtId="2" fontId="0" fillId="0" borderId="0" xfId="0" applyNumberFormat="1" applyFont="1" applyAlignment="1">
      <alignment horizontal="center"/>
    </xf>
    <xf numFmtId="0" fontId="16" fillId="8" borderId="0" xfId="0" applyFont="1" applyFill="1" applyAlignment="1"/>
    <xf numFmtId="0" fontId="0" fillId="8" borderId="0" xfId="0" applyFont="1" applyFill="1" applyAlignment="1"/>
    <xf numFmtId="0" fontId="1" fillId="8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0" xfId="0" applyFont="1" applyFill="1" applyAlignment="1"/>
    <xf numFmtId="0" fontId="0" fillId="0" borderId="12" xfId="0" applyFont="1" applyBorder="1" applyAlignment="1"/>
    <xf numFmtId="0" fontId="0" fillId="0" borderId="19" xfId="0" applyFont="1" applyFill="1" applyBorder="1" applyAlignment="1"/>
    <xf numFmtId="2" fontId="14" fillId="0" borderId="19" xfId="0" applyNumberFormat="1" applyFont="1" applyFill="1" applyBorder="1" applyAlignment="1">
      <alignment horizontal="center"/>
    </xf>
    <xf numFmtId="2" fontId="15" fillId="0" borderId="19" xfId="1" applyNumberFormat="1" applyFont="1" applyFill="1" applyBorder="1" applyAlignment="1">
      <alignment horizontal="center"/>
    </xf>
    <xf numFmtId="0" fontId="1" fillId="0" borderId="14" xfId="0" applyFont="1" applyBorder="1"/>
    <xf numFmtId="0" fontId="19" fillId="12" borderId="27" xfId="0" applyFont="1" applyFill="1" applyBorder="1" applyAlignment="1">
      <alignment horizontal="center"/>
    </xf>
    <xf numFmtId="0" fontId="20" fillId="12" borderId="28" xfId="0" applyFont="1" applyFill="1" applyBorder="1"/>
    <xf numFmtId="0" fontId="19" fillId="12" borderId="28" xfId="0" applyFont="1" applyFill="1" applyBorder="1" applyAlignment="1">
      <alignment horizontal="center"/>
    </xf>
    <xf numFmtId="0" fontId="20" fillId="12" borderId="29" xfId="0" applyFont="1" applyFill="1" applyBorder="1"/>
    <xf numFmtId="0" fontId="15" fillId="0" borderId="12" xfId="0" applyFont="1" applyFill="1" applyBorder="1" applyAlignment="1"/>
    <xf numFmtId="2" fontId="15" fillId="0" borderId="12" xfId="0" applyNumberFormat="1" applyFont="1" applyFill="1" applyBorder="1" applyAlignment="1">
      <alignment horizontal="center"/>
    </xf>
    <xf numFmtId="10" fontId="15" fillId="0" borderId="12" xfId="0" applyNumberFormat="1" applyFont="1" applyFill="1" applyBorder="1" applyAlignment="1">
      <alignment horizontal="center"/>
    </xf>
    <xf numFmtId="0" fontId="15" fillId="8" borderId="11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3" fillId="0" borderId="30" xfId="0" applyFont="1" applyFill="1" applyBorder="1" applyAlignment="1"/>
    <xf numFmtId="0" fontId="10" fillId="0" borderId="1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31" xfId="0" applyFont="1" applyFill="1" applyBorder="1" applyAlignment="1"/>
    <xf numFmtId="2" fontId="14" fillId="8" borderId="21" xfId="0" applyNumberFormat="1" applyFont="1" applyFill="1" applyBorder="1" applyAlignment="1">
      <alignment horizontal="center"/>
    </xf>
    <xf numFmtId="2" fontId="14" fillId="8" borderId="22" xfId="0" applyNumberFormat="1" applyFont="1" applyFill="1" applyBorder="1" applyAlignment="1">
      <alignment horizontal="center"/>
    </xf>
    <xf numFmtId="2" fontId="14" fillId="8" borderId="23" xfId="0" applyNumberFormat="1" applyFont="1" applyFill="1" applyBorder="1" applyAlignment="1">
      <alignment horizontal="center"/>
    </xf>
    <xf numFmtId="2" fontId="22" fillId="11" borderId="24" xfId="0" applyNumberFormat="1" applyFont="1" applyFill="1" applyBorder="1" applyAlignment="1">
      <alignment horizontal="center"/>
    </xf>
    <xf numFmtId="2" fontId="23" fillId="11" borderId="25" xfId="1" applyNumberFormat="1" applyFont="1" applyFill="1" applyBorder="1" applyAlignment="1">
      <alignment horizontal="center"/>
    </xf>
    <xf numFmtId="2" fontId="23" fillId="11" borderId="26" xfId="1" applyNumberFormat="1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9" fontId="0" fillId="8" borderId="0" xfId="2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20" xfId="0" applyFont="1" applyBorder="1" applyAlignment="1"/>
    <xf numFmtId="2" fontId="1" fillId="0" borderId="20" xfId="0" applyNumberFormat="1" applyFont="1" applyBorder="1" applyAlignment="1">
      <alignment horizontal="center"/>
    </xf>
    <xf numFmtId="0" fontId="3" fillId="8" borderId="32" xfId="0" applyFont="1" applyFill="1" applyBorder="1" applyAlignment="1"/>
    <xf numFmtId="2" fontId="3" fillId="8" borderId="33" xfId="0" applyNumberFormat="1" applyFont="1" applyFill="1" applyBorder="1" applyAlignment="1">
      <alignment horizontal="center"/>
    </xf>
    <xf numFmtId="2" fontId="3" fillId="8" borderId="34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2" fontId="0" fillId="0" borderId="19" xfId="1" applyNumberFormat="1" applyFon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0" fontId="10" fillId="0" borderId="35" xfId="0" applyFont="1" applyBorder="1" applyAlignment="1"/>
    <xf numFmtId="2" fontId="1" fillId="0" borderId="36" xfId="0" applyNumberFormat="1" applyFont="1" applyBorder="1" applyAlignment="1">
      <alignment horizontal="center"/>
    </xf>
    <xf numFmtId="2" fontId="1" fillId="0" borderId="37" xfId="0" applyNumberFormat="1" applyFont="1" applyBorder="1" applyAlignment="1">
      <alignment horizontal="left"/>
    </xf>
    <xf numFmtId="0" fontId="10" fillId="0" borderId="38" xfId="0" applyFont="1" applyBorder="1" applyAlignment="1"/>
    <xf numFmtId="2" fontId="1" fillId="0" borderId="39" xfId="0" applyNumberFormat="1" applyFont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0" fillId="0" borderId="40" xfId="0" applyFont="1" applyBorder="1" applyAlignment="1"/>
    <xf numFmtId="0" fontId="21" fillId="0" borderId="41" xfId="0" applyFont="1" applyBorder="1" applyAlignment="1"/>
    <xf numFmtId="0" fontId="0" fillId="0" borderId="41" xfId="0" applyFont="1" applyBorder="1" applyAlignment="1"/>
    <xf numFmtId="0" fontId="0" fillId="0" borderId="42" xfId="0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9</xdr:row>
      <xdr:rowOff>120650</xdr:rowOff>
    </xdr:from>
    <xdr:to>
      <xdr:col>8</xdr:col>
      <xdr:colOff>419100</xdr:colOff>
      <xdr:row>14</xdr:row>
      <xdr:rowOff>57150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85F26E7E-60CA-41D7-A425-680E26898AEA}"/>
            </a:ext>
          </a:extLst>
        </xdr:cNvPr>
        <xdr:cNvSpPr txBox="1"/>
      </xdr:nvSpPr>
      <xdr:spPr>
        <a:xfrm>
          <a:off x="4660900" y="5962650"/>
          <a:ext cx="4254500" cy="7937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Foi utilizado o Solver, tendo o MLT [R$] Total como Função Objetivo, as quantidades ótimas de horas de cada tipo de operação</a:t>
          </a:r>
          <a:r>
            <a:rPr lang="pt-BR" sz="1100" baseline="0"/>
            <a:t> </a:t>
          </a:r>
          <a:r>
            <a:rPr lang="pt-BR" sz="1100"/>
            <a:t>como Variáveis de decisão e as Restrições concedidas. O mix ótimo resultou apenas na produção de P3, descontinuando a produção</a:t>
          </a:r>
          <a:r>
            <a:rPr lang="pt-BR" sz="1100" baseline="0"/>
            <a:t> de P1 e P2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6"/>
  <sheetViews>
    <sheetView workbookViewId="0">
      <selection activeCell="C6" sqref="C6"/>
    </sheetView>
  </sheetViews>
  <sheetFormatPr baseColWidth="10" defaultColWidth="14.5" defaultRowHeight="15.75" customHeight="1"/>
  <cols>
    <col min="1" max="1" width="23.5" customWidth="1"/>
    <col min="5" max="5" width="17.33203125" customWidth="1"/>
  </cols>
  <sheetData>
    <row r="1" spans="1:12" ht="15.75" customHeight="1">
      <c r="A1" s="3" t="s">
        <v>0</v>
      </c>
      <c r="B1" s="4" t="s">
        <v>5</v>
      </c>
      <c r="C1" s="5"/>
      <c r="D1" s="8" t="s">
        <v>6</v>
      </c>
      <c r="E1" s="9">
        <v>9442646</v>
      </c>
    </row>
    <row r="2" spans="1:12" ht="15.75" customHeight="1">
      <c r="A2" s="12"/>
      <c r="B2" s="16" t="s">
        <v>14</v>
      </c>
      <c r="C2" s="19"/>
      <c r="D2" s="19"/>
      <c r="E2" s="21">
        <v>9834448</v>
      </c>
    </row>
    <row r="3" spans="1:12" ht="15.75" customHeight="1">
      <c r="A3" s="22"/>
      <c r="B3" s="23" t="s">
        <v>19</v>
      </c>
      <c r="C3" s="24"/>
      <c r="D3" s="24"/>
      <c r="E3" s="25">
        <v>9834726</v>
      </c>
    </row>
    <row r="4" spans="1:12" ht="15.75" customHeight="1">
      <c r="K4" s="2" t="s">
        <v>21</v>
      </c>
    </row>
    <row r="5" spans="1:12" ht="15.75" customHeight="1">
      <c r="A5" s="2" t="s">
        <v>22</v>
      </c>
      <c r="B5" s="2" t="s">
        <v>23</v>
      </c>
      <c r="C5" s="2" t="s">
        <v>24</v>
      </c>
      <c r="E5" s="2" t="s">
        <v>25</v>
      </c>
      <c r="F5" s="2" t="s">
        <v>1</v>
      </c>
      <c r="G5" s="2" t="s">
        <v>2</v>
      </c>
      <c r="H5" s="2" t="s">
        <v>3</v>
      </c>
      <c r="J5" s="26"/>
      <c r="K5" s="2" t="s">
        <v>26</v>
      </c>
    </row>
    <row r="6" spans="1:12" ht="15.75" customHeight="1">
      <c r="A6" s="27" t="s">
        <v>1</v>
      </c>
      <c r="B6" s="27" t="s">
        <v>27</v>
      </c>
      <c r="C6" s="27">
        <v>100</v>
      </c>
      <c r="E6" s="27" t="s">
        <v>28</v>
      </c>
      <c r="F6" s="27">
        <v>8</v>
      </c>
      <c r="G6" s="27">
        <v>50</v>
      </c>
      <c r="H6" s="27" t="s">
        <v>29</v>
      </c>
      <c r="I6" s="10" t="s">
        <v>30</v>
      </c>
      <c r="J6" s="27" t="s">
        <v>28</v>
      </c>
      <c r="K6" s="27">
        <v>19.22</v>
      </c>
    </row>
    <row r="7" spans="1:12" ht="15.75" customHeight="1">
      <c r="A7" s="27" t="s">
        <v>2</v>
      </c>
      <c r="B7" s="27" t="s">
        <v>31</v>
      </c>
      <c r="C7" s="27">
        <v>500</v>
      </c>
      <c r="E7" s="27" t="s">
        <v>32</v>
      </c>
      <c r="F7" s="27">
        <v>5</v>
      </c>
      <c r="G7" s="27" t="s">
        <v>29</v>
      </c>
      <c r="H7" s="27">
        <v>3</v>
      </c>
      <c r="J7" s="27" t="s">
        <v>32</v>
      </c>
      <c r="K7" s="27">
        <v>7.13</v>
      </c>
    </row>
    <row r="8" spans="1:12" ht="15.75" customHeight="1">
      <c r="A8" s="27" t="s">
        <v>3</v>
      </c>
      <c r="B8" s="27" t="s">
        <v>27</v>
      </c>
      <c r="C8" s="27">
        <v>3000</v>
      </c>
      <c r="E8" s="27" t="s">
        <v>33</v>
      </c>
      <c r="F8" s="27">
        <v>10</v>
      </c>
      <c r="G8" s="27">
        <v>20</v>
      </c>
      <c r="H8" s="27" t="s">
        <v>29</v>
      </c>
      <c r="J8" s="27" t="s">
        <v>33</v>
      </c>
      <c r="K8" s="27">
        <v>31.86</v>
      </c>
    </row>
    <row r="9" spans="1:12" ht="15.75" customHeight="1">
      <c r="E9" s="27" t="s">
        <v>34</v>
      </c>
      <c r="F9" s="27">
        <v>2</v>
      </c>
      <c r="G9" s="27" t="s">
        <v>29</v>
      </c>
      <c r="H9" s="27">
        <v>25</v>
      </c>
      <c r="J9" s="27" t="s">
        <v>34</v>
      </c>
      <c r="K9" s="27">
        <v>0.79</v>
      </c>
    </row>
    <row r="11" spans="1:12" ht="15.75" customHeight="1">
      <c r="A11" s="2" t="s">
        <v>35</v>
      </c>
      <c r="B11" s="2" t="s">
        <v>36</v>
      </c>
      <c r="D11" s="1"/>
      <c r="E11" s="17" t="s">
        <v>37</v>
      </c>
      <c r="G11" s="13" t="s">
        <v>38</v>
      </c>
      <c r="H11" s="29"/>
      <c r="I11" s="29"/>
      <c r="J11" s="29"/>
      <c r="K11" s="29"/>
      <c r="L11" s="6"/>
    </row>
    <row r="12" spans="1:12" ht="15.75" customHeight="1">
      <c r="A12" s="27" t="s">
        <v>41</v>
      </c>
      <c r="B12" s="27">
        <v>2000</v>
      </c>
      <c r="D12" s="20" t="s">
        <v>28</v>
      </c>
      <c r="E12" s="30">
        <f>(C6*F6)/60+(C7*G6)/60</f>
        <v>430</v>
      </c>
      <c r="G12" s="31"/>
      <c r="H12" s="32" t="s">
        <v>1</v>
      </c>
      <c r="I12" s="32" t="s">
        <v>2</v>
      </c>
      <c r="J12" s="32" t="s">
        <v>3</v>
      </c>
      <c r="K12" s="32" t="s">
        <v>12</v>
      </c>
      <c r="L12" s="32" t="s">
        <v>44</v>
      </c>
    </row>
    <row r="13" spans="1:12" ht="15.75" customHeight="1">
      <c r="A13" s="33" t="s">
        <v>45</v>
      </c>
      <c r="B13" s="27">
        <v>2000</v>
      </c>
      <c r="D13" s="20" t="s">
        <v>32</v>
      </c>
      <c r="E13" s="30">
        <f>(C6*F7+C8*H7)/60</f>
        <v>158.33333333333334</v>
      </c>
      <c r="G13" s="27" t="s">
        <v>49</v>
      </c>
      <c r="H13" s="27">
        <v>0.2</v>
      </c>
      <c r="I13" s="27">
        <v>3</v>
      </c>
      <c r="J13" s="27" t="s">
        <v>29</v>
      </c>
      <c r="K13" s="34">
        <v>0.18</v>
      </c>
      <c r="L13" s="27">
        <v>1.2</v>
      </c>
    </row>
    <row r="14" spans="1:12" ht="15.75" customHeight="1">
      <c r="A14" s="27" t="s">
        <v>50</v>
      </c>
      <c r="B14" s="27">
        <v>500</v>
      </c>
      <c r="D14" s="20" t="s">
        <v>33</v>
      </c>
      <c r="E14" s="30">
        <f>(C6*F8+G8*C7)/60</f>
        <v>183.33333333333334</v>
      </c>
      <c r="G14" s="27" t="s">
        <v>52</v>
      </c>
      <c r="H14" s="27" t="s">
        <v>29</v>
      </c>
      <c r="I14" s="27" t="s">
        <v>29</v>
      </c>
      <c r="J14" s="27">
        <v>0.1</v>
      </c>
      <c r="K14" s="34">
        <v>0.18</v>
      </c>
      <c r="L14" s="27">
        <v>15</v>
      </c>
    </row>
    <row r="15" spans="1:12" ht="15.75" customHeight="1">
      <c r="A15" s="27" t="s">
        <v>53</v>
      </c>
      <c r="B15" s="27">
        <v>1100</v>
      </c>
      <c r="D15" s="20" t="s">
        <v>34</v>
      </c>
      <c r="E15" s="30">
        <f>(C6*F9+H9*C8)/60</f>
        <v>1253.3333333333333</v>
      </c>
      <c r="G15" s="2" t="s">
        <v>55</v>
      </c>
      <c r="H15" s="36">
        <f t="shared" ref="H15:J15" si="0">H16-H17</f>
        <v>0.1968</v>
      </c>
      <c r="I15" s="36">
        <f t="shared" si="0"/>
        <v>2.952</v>
      </c>
      <c r="J15" s="36">
        <f t="shared" si="0"/>
        <v>1.23</v>
      </c>
      <c r="K15" s="26"/>
      <c r="L15" s="26"/>
    </row>
    <row r="16" spans="1:12" ht="15.75" customHeight="1">
      <c r="A16" s="27" t="s">
        <v>56</v>
      </c>
      <c r="B16" s="27">
        <f>1100+1520</f>
        <v>2620</v>
      </c>
      <c r="D16" s="17" t="s">
        <v>57</v>
      </c>
      <c r="E16" s="37">
        <f>SUM(E12:E15)</f>
        <v>2025</v>
      </c>
      <c r="H16">
        <f>H13*L13</f>
        <v>0.24</v>
      </c>
      <c r="I16">
        <f>I13*L13</f>
        <v>3.5999999999999996</v>
      </c>
      <c r="J16">
        <f>J14*L14</f>
        <v>1.5</v>
      </c>
    </row>
    <row r="17" spans="1:10" ht="15.75" customHeight="1">
      <c r="A17" s="2" t="s">
        <v>60</v>
      </c>
      <c r="B17" s="2">
        <f>SUM(B12:B16)</f>
        <v>8220</v>
      </c>
      <c r="G17" s="10" t="s">
        <v>12</v>
      </c>
      <c r="H17">
        <f>K13*H16</f>
        <v>4.3199999999999995E-2</v>
      </c>
      <c r="I17">
        <f>K13*I16</f>
        <v>0.64799999999999991</v>
      </c>
      <c r="J17">
        <f>K14*J16</f>
        <v>0.27</v>
      </c>
    </row>
    <row r="19" spans="1:10" ht="15.75" customHeight="1">
      <c r="A19" s="13" t="s">
        <v>82</v>
      </c>
      <c r="B19" s="14"/>
      <c r="C19" s="15"/>
    </row>
    <row r="20" spans="1:10" ht="15.75" customHeight="1">
      <c r="A20" s="2" t="s">
        <v>1</v>
      </c>
      <c r="B20" s="2" t="s">
        <v>2</v>
      </c>
      <c r="C20" s="2" t="s">
        <v>3</v>
      </c>
    </row>
    <row r="21" spans="1:10" ht="15.75" customHeight="1">
      <c r="A21" s="39">
        <v>14.43</v>
      </c>
      <c r="B21" s="39">
        <v>47.5</v>
      </c>
      <c r="C21" s="39">
        <v>5.59</v>
      </c>
    </row>
    <row r="26" spans="1:10" ht="15.75" customHeight="1">
      <c r="F26">
        <f>24*12</f>
        <v>288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49"/>
  <sheetViews>
    <sheetView tabSelected="1" zoomScaleNormal="100" workbookViewId="0">
      <selection activeCell="B32" sqref="B32"/>
    </sheetView>
  </sheetViews>
  <sheetFormatPr baseColWidth="10" defaultColWidth="14.5" defaultRowHeight="15.75" customHeight="1"/>
  <cols>
    <col min="1" max="1" width="18.5" customWidth="1"/>
    <col min="2" max="2" width="24.1640625" customWidth="1"/>
    <col min="7" max="7" width="18.5" customWidth="1"/>
    <col min="9" max="9" width="27.33203125" customWidth="1"/>
    <col min="10" max="11" width="15.83203125" customWidth="1"/>
    <col min="12" max="12" width="16.83203125" customWidth="1"/>
  </cols>
  <sheetData>
    <row r="1" spans="1:14" ht="15.75" customHeight="1">
      <c r="J1" s="13" t="s">
        <v>13</v>
      </c>
      <c r="K1" s="14"/>
      <c r="L1" s="15"/>
    </row>
    <row r="2" spans="1:14" ht="15.75" customHeight="1">
      <c r="B2" s="1"/>
      <c r="C2" s="2" t="s">
        <v>1</v>
      </c>
      <c r="D2" s="2" t="s">
        <v>2</v>
      </c>
      <c r="E2" s="2" t="s">
        <v>3</v>
      </c>
      <c r="G2" s="7" t="s">
        <v>4</v>
      </c>
      <c r="J2" s="2" t="s">
        <v>1</v>
      </c>
      <c r="K2" s="2" t="s">
        <v>2</v>
      </c>
      <c r="L2" s="2" t="s">
        <v>3</v>
      </c>
    </row>
    <row r="3" spans="1:14" ht="15.75" customHeight="1">
      <c r="B3" s="1"/>
      <c r="C3" s="2" t="s">
        <v>10</v>
      </c>
      <c r="D3" s="2" t="s">
        <v>11</v>
      </c>
      <c r="E3" s="2" t="s">
        <v>10</v>
      </c>
      <c r="G3" s="10" t="s">
        <v>12</v>
      </c>
      <c r="H3" s="11">
        <v>0.18</v>
      </c>
      <c r="I3" s="92" t="s">
        <v>109</v>
      </c>
      <c r="J3" s="26">
        <f>Dados!C6*Dados!A21</f>
        <v>1443</v>
      </c>
      <c r="K3" s="26">
        <f>Dados!C7*Dados!B21</f>
        <v>23750</v>
      </c>
      <c r="L3" s="26">
        <f>Dados!C8*Dados!C21</f>
        <v>16770</v>
      </c>
      <c r="M3" s="121">
        <f>SUM(J3:L3)</f>
        <v>41963</v>
      </c>
      <c r="N3" s="64" t="s">
        <v>108</v>
      </c>
    </row>
    <row r="4" spans="1:14" ht="15.75" customHeight="1">
      <c r="B4" s="17" t="s">
        <v>15</v>
      </c>
      <c r="C4" s="18"/>
      <c r="D4" s="18"/>
      <c r="E4" s="18"/>
      <c r="G4" s="10" t="s">
        <v>16</v>
      </c>
      <c r="H4" s="11">
        <v>0.02</v>
      </c>
      <c r="J4" s="120">
        <f>J3/$M$3</f>
        <v>3.4387436551247527E-2</v>
      </c>
      <c r="K4" s="120">
        <f t="shared" ref="K4:M4" si="0">K3/$M$3</f>
        <v>0.56597478731263251</v>
      </c>
      <c r="L4" s="120">
        <f t="shared" si="0"/>
        <v>0.39963777613611989</v>
      </c>
      <c r="M4" s="120">
        <f t="shared" si="0"/>
        <v>1</v>
      </c>
    </row>
    <row r="5" spans="1:14" ht="15.75" customHeight="1">
      <c r="B5" s="20" t="s">
        <v>17</v>
      </c>
      <c r="C5" s="18">
        <f>(Dados!K6)/60*Dados!F6</f>
        <v>2.5626666666666664</v>
      </c>
      <c r="D5" s="18">
        <f>Dados!K6/60*Dados!G6</f>
        <v>16.016666666666666</v>
      </c>
      <c r="E5" s="18"/>
      <c r="G5" s="10" t="s">
        <v>20</v>
      </c>
      <c r="H5" s="11">
        <v>0.01</v>
      </c>
    </row>
    <row r="6" spans="1:14" ht="15.75" customHeight="1">
      <c r="B6" s="20" t="s">
        <v>39</v>
      </c>
      <c r="C6" s="18">
        <f>Dados!K7/60*Dados!F7</f>
        <v>0.59416666666666662</v>
      </c>
      <c r="D6" s="18"/>
      <c r="E6" s="18">
        <f>Dados!K7/60*Dados!H7</f>
        <v>0.35649999999999998</v>
      </c>
      <c r="G6" s="10" t="s">
        <v>42</v>
      </c>
      <c r="H6" s="11">
        <v>6.4999999999999997E-3</v>
      </c>
    </row>
    <row r="7" spans="1:14" ht="15.75" customHeight="1">
      <c r="B7" s="20" t="s">
        <v>43</v>
      </c>
      <c r="C7" s="18">
        <f>Dados!K8/60*Dados!F8</f>
        <v>5.3100000000000005</v>
      </c>
      <c r="D7" s="18">
        <f>Dados!K8/60*Dados!G8</f>
        <v>10.620000000000001</v>
      </c>
      <c r="E7" s="18"/>
      <c r="G7" s="10" t="s">
        <v>46</v>
      </c>
      <c r="H7" s="11">
        <v>0.04</v>
      </c>
      <c r="J7" s="110" t="s">
        <v>111</v>
      </c>
      <c r="K7" s="110"/>
      <c r="L7" s="111"/>
      <c r="M7" s="28"/>
    </row>
    <row r="8" spans="1:14" ht="15.75" customHeight="1" thickBot="1">
      <c r="B8" s="20" t="s">
        <v>48</v>
      </c>
      <c r="C8" s="18">
        <f>Dados!K9/60*Dados!F9</f>
        <v>2.6333333333333334E-2</v>
      </c>
      <c r="D8" s="18"/>
      <c r="E8" s="18">
        <f>Dados!K9/60*Dados!H9</f>
        <v>0.32916666666666666</v>
      </c>
      <c r="H8" s="35">
        <f>SUM(H3:H7)</f>
        <v>0.25650000000000001</v>
      </c>
      <c r="I8" s="94"/>
      <c r="J8" s="127" t="s">
        <v>1</v>
      </c>
      <c r="K8" s="127" t="s">
        <v>2</v>
      </c>
      <c r="L8" s="127" t="s">
        <v>3</v>
      </c>
      <c r="M8" s="128"/>
    </row>
    <row r="9" spans="1:14" ht="15.75" customHeight="1">
      <c r="B9" s="17" t="s">
        <v>51</v>
      </c>
      <c r="C9" s="18">
        <f>Dados!H15</f>
        <v>0.1968</v>
      </c>
      <c r="D9" s="18">
        <f>Dados!I15</f>
        <v>2.952</v>
      </c>
      <c r="E9" s="18">
        <f>Dados!J15</f>
        <v>1.23</v>
      </c>
      <c r="I9" s="131" t="s">
        <v>118</v>
      </c>
      <c r="J9" s="132">
        <f>J3/M3*Dados!B17</f>
        <v>282.66472845125469</v>
      </c>
      <c r="K9" s="132">
        <f>K3/M3*Dados!B17</f>
        <v>4652.3127517098392</v>
      </c>
      <c r="L9" s="132">
        <f>L3/M3*Dados!B17</f>
        <v>3285.0225198389057</v>
      </c>
      <c r="M9" s="133">
        <f>SUM(J9:L9)</f>
        <v>8220</v>
      </c>
    </row>
    <row r="10" spans="1:14" ht="15.75" customHeight="1">
      <c r="B10" s="17" t="s">
        <v>59</v>
      </c>
      <c r="C10" s="38">
        <f t="shared" ref="C10:E10" si="1">SUM(C5:C9)</f>
        <v>8.6899666666666668</v>
      </c>
      <c r="D10" s="38">
        <f t="shared" si="1"/>
        <v>29.588666666666668</v>
      </c>
      <c r="E10" s="38">
        <f t="shared" si="1"/>
        <v>1.9156666666666666</v>
      </c>
      <c r="I10" s="134" t="s">
        <v>106</v>
      </c>
      <c r="J10" s="129">
        <f>C10*B32</f>
        <v>868.99666666666667</v>
      </c>
      <c r="K10" s="129">
        <f>D10*B33</f>
        <v>14794.333333333334</v>
      </c>
      <c r="L10" s="129">
        <f>E10*B34</f>
        <v>5747</v>
      </c>
      <c r="M10" s="135">
        <f>SUM(J10:L10)</f>
        <v>21410.33</v>
      </c>
    </row>
    <row r="11" spans="1:14" ht="15.75" customHeight="1" thickBot="1">
      <c r="B11" s="122" t="s">
        <v>117</v>
      </c>
      <c r="C11" s="123">
        <f>J9/Dados!C6</f>
        <v>2.8266472845125468</v>
      </c>
      <c r="D11" s="123">
        <f>K9/Dados!C7</f>
        <v>9.304625503419679</v>
      </c>
      <c r="E11" s="123">
        <f>L9/Dados!C8</f>
        <v>1.0950075066129685</v>
      </c>
      <c r="I11" s="134" t="s">
        <v>4</v>
      </c>
      <c r="J11" s="130">
        <f>$H$8*J3</f>
        <v>370.12950000000001</v>
      </c>
      <c r="K11" s="130">
        <f t="shared" ref="K11:L11" si="2">$H$8*K3</f>
        <v>6091.875</v>
      </c>
      <c r="L11" s="130">
        <f t="shared" si="2"/>
        <v>4301.5050000000001</v>
      </c>
      <c r="M11" s="135">
        <f>SUM(J11:L11)</f>
        <v>10763.5095</v>
      </c>
    </row>
    <row r="12" spans="1:14" ht="15.75" customHeight="1" thickBot="1">
      <c r="B12" s="124" t="s">
        <v>61</v>
      </c>
      <c r="C12" s="125">
        <f>SUM(C10:C11)</f>
        <v>11.516613951179213</v>
      </c>
      <c r="D12" s="125">
        <f t="shared" ref="D12:E12" si="3">SUM(D10:D11)</f>
        <v>38.893292170086347</v>
      </c>
      <c r="E12" s="126">
        <f t="shared" si="3"/>
        <v>3.0106741732796349</v>
      </c>
      <c r="I12" s="136" t="s">
        <v>107</v>
      </c>
      <c r="J12" s="130">
        <f>J9+J10+J11</f>
        <v>1521.7908951179213</v>
      </c>
      <c r="K12" s="130">
        <f>K9+K10+K11</f>
        <v>25538.521085043172</v>
      </c>
      <c r="L12" s="130">
        <f>L9+L10+L11</f>
        <v>13333.527519838906</v>
      </c>
      <c r="M12" s="135">
        <f>SUM(J12:L12)</f>
        <v>40393.839500000002</v>
      </c>
    </row>
    <row r="13" spans="1:14" ht="16" customHeight="1" thickBot="1">
      <c r="A13" s="94"/>
      <c r="B13" s="109"/>
      <c r="C13" s="93"/>
      <c r="D13" s="93"/>
      <c r="E13" s="93"/>
      <c r="I13" s="137"/>
      <c r="J13" s="138" t="s">
        <v>119</v>
      </c>
      <c r="K13" s="139"/>
      <c r="L13" s="139"/>
      <c r="M13" s="140"/>
    </row>
    <row r="14" spans="1:14" ht="15.75" customHeight="1">
      <c r="A14" s="95"/>
      <c r="B14" s="96"/>
      <c r="C14" s="97"/>
      <c r="D14" s="97"/>
      <c r="E14" s="97"/>
    </row>
    <row r="15" spans="1:14" ht="15.75" customHeight="1">
      <c r="A15" s="95"/>
      <c r="B15" s="96"/>
      <c r="C15" s="97"/>
      <c r="D15" s="97"/>
      <c r="E15" s="97"/>
    </row>
    <row r="16" spans="1:14" ht="15.75" customHeight="1" thickBot="1">
      <c r="A16" s="95"/>
    </row>
    <row r="17" spans="1:12" ht="15.75" customHeight="1" thickBot="1">
      <c r="A17" s="112"/>
      <c r="B17" s="113" t="s">
        <v>110</v>
      </c>
      <c r="C17" s="114"/>
      <c r="D17" s="114"/>
      <c r="E17" s="114"/>
      <c r="F17" s="114"/>
      <c r="G17" s="115"/>
    </row>
    <row r="18" spans="1:12" ht="15.75" customHeight="1" thickBot="1">
      <c r="A18" s="98"/>
      <c r="B18" s="99" t="s">
        <v>1</v>
      </c>
      <c r="C18" s="100"/>
      <c r="D18" s="101" t="s">
        <v>2</v>
      </c>
      <c r="E18" s="100"/>
      <c r="F18" s="101" t="s">
        <v>3</v>
      </c>
      <c r="G18" s="102"/>
    </row>
    <row r="19" spans="1:12" ht="15.75" customHeight="1">
      <c r="A19" s="1"/>
      <c r="B19" s="32" t="s">
        <v>10</v>
      </c>
      <c r="C19" s="32" t="s">
        <v>8</v>
      </c>
      <c r="D19" s="32" t="s">
        <v>62</v>
      </c>
      <c r="E19" s="32" t="s">
        <v>8</v>
      </c>
      <c r="F19" s="32" t="s">
        <v>10</v>
      </c>
      <c r="G19" s="32" t="s">
        <v>8</v>
      </c>
      <c r="J19" s="52"/>
      <c r="K19" s="52"/>
      <c r="L19" s="52"/>
    </row>
    <row r="20" spans="1:12" ht="28" customHeight="1">
      <c r="A20" s="20" t="s">
        <v>63</v>
      </c>
      <c r="B20" s="18">
        <f>C12</f>
        <v>11.516613951179213</v>
      </c>
      <c r="C20" s="40">
        <f>B20/B23</f>
        <v>0.79810214491886444</v>
      </c>
      <c r="D20" s="18">
        <f>D12</f>
        <v>38.893292170086347</v>
      </c>
      <c r="E20" s="40">
        <f>D20/D23</f>
        <v>0.8188061509491863</v>
      </c>
      <c r="F20" s="18">
        <f>E12</f>
        <v>3.0106741732796349</v>
      </c>
      <c r="G20" s="40">
        <f>F20/F23</f>
        <v>0.53858214191048925</v>
      </c>
      <c r="J20" s="52"/>
      <c r="K20" s="52"/>
      <c r="L20" s="52"/>
    </row>
    <row r="21" spans="1:12" ht="15.75" customHeight="1">
      <c r="A21" s="20" t="s">
        <v>4</v>
      </c>
      <c r="B21" s="18">
        <f>$H$8*B23</f>
        <v>3.701295</v>
      </c>
      <c r="C21" s="40">
        <f>B21/B23</f>
        <v>0.25650000000000001</v>
      </c>
      <c r="D21" s="18">
        <f>$H$8*D23</f>
        <v>12.18375</v>
      </c>
      <c r="E21" s="40">
        <f>D21/D23</f>
        <v>0.25650000000000001</v>
      </c>
      <c r="F21" s="18">
        <f>$H$8*F23</f>
        <v>1.433835</v>
      </c>
      <c r="G21" s="40">
        <f>F21/F23</f>
        <v>0.25650000000000001</v>
      </c>
    </row>
    <row r="22" spans="1:12" ht="13">
      <c r="A22" s="20" t="s">
        <v>64</v>
      </c>
      <c r="B22" s="18">
        <f t="shared" ref="B22:G22" si="4">SUM(B20:B21)</f>
        <v>15.217908951179213</v>
      </c>
      <c r="C22" s="40">
        <f t="shared" si="4"/>
        <v>1.0546021449188645</v>
      </c>
      <c r="D22" s="18">
        <f t="shared" si="4"/>
        <v>51.077042170086344</v>
      </c>
      <c r="E22" s="40">
        <f t="shared" si="4"/>
        <v>1.0753061509491864</v>
      </c>
      <c r="F22" s="18">
        <f t="shared" si="4"/>
        <v>4.4445091732796351</v>
      </c>
      <c r="G22" s="40">
        <f t="shared" si="4"/>
        <v>0.7950821419104892</v>
      </c>
    </row>
    <row r="23" spans="1:12" ht="13">
      <c r="A23" s="20" t="s">
        <v>112</v>
      </c>
      <c r="B23" s="18">
        <f>B26</f>
        <v>14.43</v>
      </c>
      <c r="C23" s="34">
        <v>1</v>
      </c>
      <c r="D23" s="18">
        <f>D26</f>
        <v>47.5</v>
      </c>
      <c r="E23" s="34">
        <v>1</v>
      </c>
      <c r="F23" s="18">
        <f>F26</f>
        <v>5.59</v>
      </c>
      <c r="G23" s="34">
        <v>1</v>
      </c>
    </row>
    <row r="24" spans="1:12" ht="18">
      <c r="A24" s="65" t="s">
        <v>83</v>
      </c>
      <c r="B24" s="66">
        <f t="shared" ref="B24:G24" si="5">B23-B22</f>
        <v>-0.78790895117921345</v>
      </c>
      <c r="C24" s="67">
        <f>B24/B23</f>
        <v>-5.4602144918864413E-2</v>
      </c>
      <c r="D24" s="66">
        <f t="shared" si="5"/>
        <v>-3.5770421700863437</v>
      </c>
      <c r="E24" s="67">
        <f t="shared" si="5"/>
        <v>-7.5306150949186357E-2</v>
      </c>
      <c r="F24" s="66">
        <f t="shared" si="5"/>
        <v>1.1454908267203647</v>
      </c>
      <c r="G24" s="67">
        <f t="shared" si="5"/>
        <v>0.2049178580895108</v>
      </c>
    </row>
    <row r="25" spans="1:12" ht="19" thickBot="1">
      <c r="A25" s="103"/>
      <c r="F25" s="104"/>
      <c r="G25" s="105"/>
    </row>
    <row r="26" spans="1:12" ht="18">
      <c r="A26" s="116" t="s">
        <v>91</v>
      </c>
      <c r="B26" s="117">
        <f>Dados!A21</f>
        <v>14.43</v>
      </c>
      <c r="D26" s="117">
        <f>Dados!B21</f>
        <v>47.5</v>
      </c>
      <c r="F26" s="118">
        <f>Dados!C21</f>
        <v>5.59</v>
      </c>
      <c r="G26" s="105"/>
    </row>
    <row r="27" spans="1:12" ht="18">
      <c r="A27" s="119" t="s">
        <v>113</v>
      </c>
      <c r="B27" s="119"/>
      <c r="C27" s="119"/>
      <c r="D27" s="119"/>
      <c r="E27" s="119"/>
      <c r="F27" s="119"/>
      <c r="G27" s="105"/>
    </row>
    <row r="28" spans="1:12" ht="15.75" customHeight="1">
      <c r="A28" s="103"/>
      <c r="B28" s="104"/>
      <c r="C28" s="105"/>
      <c r="D28" s="104"/>
      <c r="E28" s="105"/>
      <c r="F28" s="104"/>
      <c r="G28" s="105"/>
    </row>
    <row r="30" spans="1:12" ht="15.75" customHeight="1">
      <c r="A30" s="106" t="s">
        <v>65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8"/>
    </row>
    <row r="31" spans="1:12" ht="15.75" customHeight="1">
      <c r="A31" s="1"/>
      <c r="B31" s="2" t="s">
        <v>66</v>
      </c>
      <c r="C31" s="2" t="s">
        <v>67</v>
      </c>
      <c r="D31" s="2" t="s">
        <v>68</v>
      </c>
      <c r="E31" s="2" t="s">
        <v>69</v>
      </c>
      <c r="F31" s="2" t="s">
        <v>92</v>
      </c>
      <c r="G31" s="2" t="s">
        <v>93</v>
      </c>
      <c r="H31" s="2" t="s">
        <v>94</v>
      </c>
      <c r="I31" s="2" t="s">
        <v>95</v>
      </c>
      <c r="J31" s="2" t="s">
        <v>96</v>
      </c>
      <c r="K31" s="2" t="s">
        <v>97</v>
      </c>
    </row>
    <row r="32" spans="1:12" ht="15.75" customHeight="1">
      <c r="A32" s="20" t="s">
        <v>1</v>
      </c>
      <c r="B32" s="26">
        <f>Dados!C6</f>
        <v>100</v>
      </c>
      <c r="C32" s="18">
        <f>B26</f>
        <v>14.43</v>
      </c>
      <c r="D32" s="62">
        <f>B32*C32</f>
        <v>1443</v>
      </c>
      <c r="E32" s="40">
        <f>D32/$D$35</f>
        <v>3.4387436551247527E-2</v>
      </c>
      <c r="F32" s="18">
        <f>B22</f>
        <v>15.217908951179213</v>
      </c>
      <c r="G32" s="18">
        <f>F32*B32</f>
        <v>1521.7908951179213</v>
      </c>
      <c r="H32" s="18">
        <f>C32-F32</f>
        <v>-0.78790895117921345</v>
      </c>
      <c r="I32" s="40">
        <f>H32/C32</f>
        <v>-5.4602144918864413E-2</v>
      </c>
      <c r="J32" s="18">
        <f>H32*B32</f>
        <v>-78.790895117921337</v>
      </c>
      <c r="K32" s="40">
        <f>J32/$J$35</f>
        <v>-5.021213261353525E-2</v>
      </c>
    </row>
    <row r="33" spans="1:12" ht="15.75" customHeight="1">
      <c r="A33" s="20" t="s">
        <v>2</v>
      </c>
      <c r="B33" s="26">
        <f>Dados!C7</f>
        <v>500</v>
      </c>
      <c r="C33" s="18">
        <f>D26</f>
        <v>47.5</v>
      </c>
      <c r="D33" s="62">
        <f t="shared" ref="D33:D34" si="6">B33*C33</f>
        <v>23750</v>
      </c>
      <c r="E33" s="40">
        <f>D33/$D$35</f>
        <v>0.56597478731263251</v>
      </c>
      <c r="F33" s="18">
        <f>D22</f>
        <v>51.077042170086344</v>
      </c>
      <c r="G33" s="18">
        <f t="shared" ref="G33:G34" si="7">F33*B33</f>
        <v>25538.521085043172</v>
      </c>
      <c r="H33" s="18">
        <f>C33-F33</f>
        <v>-3.5770421700863437</v>
      </c>
      <c r="I33" s="40">
        <f>H33/C33</f>
        <v>-7.530615094918619E-2</v>
      </c>
      <c r="J33" s="18">
        <f>H33*B33</f>
        <v>-1788.5210850431718</v>
      </c>
      <c r="K33" s="40">
        <f>J33/$J$35</f>
        <v>-1.1397948680477048</v>
      </c>
    </row>
    <row r="34" spans="1:12" ht="15.75" customHeight="1">
      <c r="A34" s="20" t="s">
        <v>3</v>
      </c>
      <c r="B34" s="26">
        <f>Dados!C8</f>
        <v>3000</v>
      </c>
      <c r="C34" s="18">
        <f>F26</f>
        <v>5.59</v>
      </c>
      <c r="D34" s="62">
        <f t="shared" si="6"/>
        <v>16770</v>
      </c>
      <c r="E34" s="40">
        <f>D34/$D$35</f>
        <v>0.39963777613611989</v>
      </c>
      <c r="F34" s="18">
        <f>F22</f>
        <v>4.4445091732796351</v>
      </c>
      <c r="G34" s="90">
        <f t="shared" si="7"/>
        <v>13333.527519838904</v>
      </c>
      <c r="H34" s="18">
        <f>C34-F34</f>
        <v>1.1454908267203647</v>
      </c>
      <c r="I34" s="40">
        <f>H34/C34</f>
        <v>0.20491785808951068</v>
      </c>
      <c r="J34" s="18">
        <f>H34*B34</f>
        <v>3436.4724801610942</v>
      </c>
      <c r="K34" s="40">
        <f>J34/$J$35</f>
        <v>2.19000700066124</v>
      </c>
    </row>
    <row r="35" spans="1:12" ht="15.75" customHeight="1">
      <c r="A35" s="1"/>
      <c r="B35" s="26"/>
      <c r="C35" s="26"/>
      <c r="D35" s="62">
        <f>SUM(D32:D34)</f>
        <v>41963</v>
      </c>
      <c r="E35" s="26"/>
      <c r="F35" s="26"/>
      <c r="G35" s="91">
        <f>SUM(G32:G34)</f>
        <v>40393.839499999995</v>
      </c>
      <c r="H35" s="26"/>
      <c r="I35" s="89" t="s">
        <v>105</v>
      </c>
      <c r="J35" s="46">
        <f>SUM(J32:J34)</f>
        <v>1569.1605000000011</v>
      </c>
      <c r="K35" s="26"/>
    </row>
    <row r="37" spans="1:12" ht="15.75" customHeight="1">
      <c r="E37" s="68" t="s">
        <v>84</v>
      </c>
      <c r="L37" s="63"/>
    </row>
    <row r="38" spans="1:12" ht="15.75" customHeight="1">
      <c r="B38" s="61">
        <f>C10+B21+C11</f>
        <v>15.217908951179213</v>
      </c>
      <c r="D38" s="61"/>
      <c r="E38" s="68" t="s">
        <v>85</v>
      </c>
      <c r="F38" s="63"/>
      <c r="G38" s="63"/>
      <c r="H38" s="63"/>
      <c r="I38" s="63"/>
      <c r="J38" s="63"/>
      <c r="K38" s="63"/>
      <c r="L38" s="63"/>
    </row>
    <row r="39" spans="1:12" ht="15.75" customHeight="1">
      <c r="B39">
        <f>B38*B32</f>
        <v>1521.7908951179213</v>
      </c>
      <c r="D39" s="61"/>
      <c r="E39" s="68" t="s">
        <v>86</v>
      </c>
      <c r="F39" s="63"/>
      <c r="G39" s="63"/>
      <c r="H39" s="63"/>
      <c r="I39" s="63"/>
      <c r="J39" s="63"/>
      <c r="K39" s="63"/>
      <c r="L39" s="63"/>
    </row>
    <row r="40" spans="1:12" ht="15.75" customHeight="1">
      <c r="D40" s="61"/>
      <c r="E40" s="68" t="s">
        <v>87</v>
      </c>
      <c r="F40" s="63"/>
      <c r="G40" s="63"/>
      <c r="H40" s="63"/>
      <c r="I40" s="63"/>
      <c r="J40" s="63"/>
      <c r="K40" s="63"/>
    </row>
    <row r="41" spans="1:12" ht="15.75" customHeight="1">
      <c r="E41" s="68" t="s">
        <v>88</v>
      </c>
    </row>
    <row r="42" spans="1:12" ht="15.75" customHeight="1">
      <c r="E42" s="68" t="s">
        <v>89</v>
      </c>
    </row>
    <row r="43" spans="1:12" ht="15.75" customHeight="1">
      <c r="E43" s="68" t="s">
        <v>90</v>
      </c>
    </row>
    <row r="45" spans="1:12" ht="15.75" customHeight="1">
      <c r="E45" s="68" t="s">
        <v>114</v>
      </c>
    </row>
    <row r="46" spans="1:12" ht="15.75" customHeight="1">
      <c r="C46">
        <f>C11*Dados!C6</f>
        <v>282.66472845125469</v>
      </c>
      <c r="E46" s="68" t="s">
        <v>115</v>
      </c>
    </row>
    <row r="47" spans="1:12" ht="15.75" customHeight="1">
      <c r="C47">
        <f>D11*Dados!C7</f>
        <v>4652.3127517098392</v>
      </c>
      <c r="E47" s="87" t="s">
        <v>116</v>
      </c>
    </row>
    <row r="48" spans="1:12" ht="15.75" customHeight="1">
      <c r="C48">
        <f>E11*Dados!C8</f>
        <v>3285.0225198389057</v>
      </c>
    </row>
    <row r="49" spans="3:3" ht="15.75" customHeight="1">
      <c r="C49">
        <f>SUM(C46:C48)</f>
        <v>8220</v>
      </c>
    </row>
  </sheetData>
  <mergeCells count="7">
    <mergeCell ref="A30:K30"/>
    <mergeCell ref="J7:L7"/>
    <mergeCell ref="A27:F27"/>
    <mergeCell ref="B18:C18"/>
    <mergeCell ref="D18:E18"/>
    <mergeCell ref="F18:G18"/>
    <mergeCell ref="B17:G1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3"/>
  <sheetViews>
    <sheetView workbookViewId="0">
      <selection activeCell="G9" sqref="G9"/>
    </sheetView>
  </sheetViews>
  <sheetFormatPr baseColWidth="10" defaultColWidth="14.5" defaultRowHeight="15.75" customHeight="1"/>
  <cols>
    <col min="1" max="1" width="33.83203125" customWidth="1"/>
  </cols>
  <sheetData>
    <row r="1" spans="1:8" ht="18">
      <c r="A1" s="70"/>
      <c r="B1" s="71" t="s">
        <v>1</v>
      </c>
      <c r="C1" s="72"/>
      <c r="D1" s="71" t="s">
        <v>2</v>
      </c>
      <c r="E1" s="72"/>
      <c r="F1" s="71" t="s">
        <v>3</v>
      </c>
      <c r="G1" s="72"/>
    </row>
    <row r="2" spans="1:8" ht="18">
      <c r="A2" s="73"/>
      <c r="B2" s="74" t="s">
        <v>7</v>
      </c>
      <c r="C2" s="74" t="s">
        <v>8</v>
      </c>
      <c r="D2" s="74" t="s">
        <v>7</v>
      </c>
      <c r="E2" s="74" t="s">
        <v>8</v>
      </c>
      <c r="F2" s="74" t="s">
        <v>7</v>
      </c>
      <c r="G2" s="74" t="s">
        <v>8</v>
      </c>
    </row>
    <row r="3" spans="1:8" ht="18">
      <c r="A3" s="75" t="s">
        <v>9</v>
      </c>
      <c r="B3" s="76">
        <f>'Custeio pleno ( CF x fat)'!J3</f>
        <v>1443</v>
      </c>
      <c r="C3" s="83">
        <v>1</v>
      </c>
      <c r="D3" s="76">
        <f>'Custeio pleno ( CF x fat)'!K3</f>
        <v>23750</v>
      </c>
      <c r="E3" s="83">
        <v>1</v>
      </c>
      <c r="F3" s="76">
        <f>'Custeio pleno ( CF x fat)'!L3</f>
        <v>16770</v>
      </c>
      <c r="G3" s="83">
        <v>1</v>
      </c>
    </row>
    <row r="4" spans="1:8" ht="18">
      <c r="A4" s="75" t="s">
        <v>18</v>
      </c>
      <c r="B4" s="76">
        <f>'Custeio pleno ( CF x fat)'!G32</f>
        <v>1521.7908951179213</v>
      </c>
      <c r="C4" s="83">
        <f>B4/B3</f>
        <v>1.0546021449188643</v>
      </c>
      <c r="D4" s="76">
        <f>'Custeio pleno ( CF x fat)'!G33</f>
        <v>25538.521085043172</v>
      </c>
      <c r="E4" s="83">
        <f>D4/D3</f>
        <v>1.0753061509491861</v>
      </c>
      <c r="F4" s="76">
        <f>'Custeio pleno ( CF x fat)'!G34</f>
        <v>13333.527519838904</v>
      </c>
      <c r="G4" s="83">
        <f>F4/F3</f>
        <v>0.7950821419104892</v>
      </c>
      <c r="H4" s="85">
        <f>B4+D4+F4</f>
        <v>40393.839499999995</v>
      </c>
    </row>
    <row r="5" spans="1:8" ht="18">
      <c r="A5" s="75" t="s">
        <v>40</v>
      </c>
      <c r="B5" s="77">
        <f>B3-B4</f>
        <v>-78.790895117921309</v>
      </c>
      <c r="C5" s="84">
        <f>C3-C4</f>
        <v>-5.4602144918864282E-2</v>
      </c>
      <c r="D5" s="77">
        <f>D3-D4</f>
        <v>-1788.5210850431722</v>
      </c>
      <c r="E5" s="77">
        <f>E3-E4</f>
        <v>-7.5306150949186135E-2</v>
      </c>
      <c r="F5" s="77">
        <f>F3-F4</f>
        <v>3436.4724801610955</v>
      </c>
      <c r="G5" s="84">
        <f>G3-G4</f>
        <v>0.2049178580895108</v>
      </c>
      <c r="H5" s="50">
        <f>B5+D5+F5</f>
        <v>1569.160500000002</v>
      </c>
    </row>
    <row r="6" spans="1:8" ht="15.75" customHeight="1">
      <c r="A6" s="78" t="s">
        <v>47</v>
      </c>
      <c r="B6" s="79"/>
      <c r="C6" s="79"/>
      <c r="D6" s="79"/>
      <c r="E6" s="79"/>
      <c r="F6" s="79"/>
      <c r="G6" s="80"/>
    </row>
    <row r="7" spans="1:8" ht="18">
      <c r="A7" s="75" t="s">
        <v>40</v>
      </c>
      <c r="B7" s="76">
        <f t="shared" ref="B7:G7" si="0">B5</f>
        <v>-78.790895117921309</v>
      </c>
      <c r="C7" s="83">
        <f t="shared" si="0"/>
        <v>-5.4602144918864282E-2</v>
      </c>
      <c r="D7" s="76">
        <f t="shared" si="0"/>
        <v>-1788.5210850431722</v>
      </c>
      <c r="E7" s="83">
        <f t="shared" si="0"/>
        <v>-7.5306150949186135E-2</v>
      </c>
      <c r="F7" s="76">
        <f t="shared" si="0"/>
        <v>3436.4724801610955</v>
      </c>
      <c r="G7" s="83">
        <f t="shared" si="0"/>
        <v>0.2049178580895108</v>
      </c>
      <c r="H7" s="50">
        <f>B7+D7+F7</f>
        <v>1569.160500000002</v>
      </c>
    </row>
    <row r="8" spans="1:8" ht="18">
      <c r="A8" s="75" t="s">
        <v>54</v>
      </c>
      <c r="B8" s="76">
        <f>-'Custeio pleno ( CF x fat)'!C11*'Custeio pleno ( CF x fat)'!B32</f>
        <v>-282.66472845125469</v>
      </c>
      <c r="C8" s="83">
        <f>-B8/B3</f>
        <v>0.1958868527035722</v>
      </c>
      <c r="D8" s="76">
        <f>-'Custeio pleno ( CF x fat)'!D11*'Custeio pleno ( CF x fat)'!B33</f>
        <v>-4652.3127517098392</v>
      </c>
      <c r="E8" s="83">
        <f>-D8/D3</f>
        <v>0.19588685270357217</v>
      </c>
      <c r="F8" s="76">
        <f>-'Custeio pleno ( CF x fat)'!E11*'Custeio pleno ( CF x fat)'!B34</f>
        <v>-3285.0225198389057</v>
      </c>
      <c r="G8" s="83">
        <f>-F8/F3</f>
        <v>0.1958868527035722</v>
      </c>
      <c r="H8" s="50">
        <f>B8+D8+F8</f>
        <v>-8220</v>
      </c>
    </row>
    <row r="9" spans="1:8" ht="45" customHeight="1">
      <c r="A9" s="81" t="s">
        <v>58</v>
      </c>
      <c r="B9" s="77">
        <f>SUM(B7:B8)</f>
        <v>-361.455623569176</v>
      </c>
      <c r="C9" s="84">
        <f>B9/B3</f>
        <v>-0.25048899762243659</v>
      </c>
      <c r="D9" s="77">
        <f>SUM(D7:D8)</f>
        <v>-6440.8338367530114</v>
      </c>
      <c r="E9" s="84">
        <f>D9/D3</f>
        <v>-0.27119300365275839</v>
      </c>
      <c r="F9" s="82">
        <f>SUM(F7:F8)</f>
        <v>151.44996032218978</v>
      </c>
      <c r="G9" s="84">
        <f>F9/F3</f>
        <v>9.0310053859385675E-3</v>
      </c>
      <c r="H9" s="50">
        <f>B9+D9+F9</f>
        <v>-6650.8394999999982</v>
      </c>
    </row>
    <row r="11" spans="1:8" ht="15.75" customHeight="1">
      <c r="B11" s="7"/>
    </row>
    <row r="13" spans="1:8" ht="15.75" customHeight="1">
      <c r="B13" s="69">
        <f>B8+D8+F8</f>
        <v>-8220</v>
      </c>
    </row>
  </sheetData>
  <mergeCells count="4">
    <mergeCell ref="B1:C1"/>
    <mergeCell ref="D1:E1"/>
    <mergeCell ref="F1:G1"/>
    <mergeCell ref="A6:G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DAC48-CAAA-482F-868E-55B4A173CE63}">
  <dimension ref="A1:J32"/>
  <sheetViews>
    <sheetView workbookViewId="0">
      <selection activeCell="D31" sqref="D31"/>
    </sheetView>
  </sheetViews>
  <sheetFormatPr baseColWidth="10" defaultColWidth="8.83203125" defaultRowHeight="13"/>
  <cols>
    <col min="1" max="1" width="15.5" bestFit="1" customWidth="1"/>
    <col min="2" max="2" width="28.5" bestFit="1" customWidth="1"/>
    <col min="3" max="4" width="14.5" bestFit="1" customWidth="1"/>
    <col min="5" max="5" width="13.5" bestFit="1" customWidth="1"/>
    <col min="6" max="6" width="15.1640625" bestFit="1" customWidth="1"/>
    <col min="7" max="7" width="9.5" bestFit="1" customWidth="1"/>
    <col min="8" max="8" width="10.1640625" bestFit="1" customWidth="1"/>
    <col min="9" max="9" width="21.5" bestFit="1" customWidth="1"/>
    <col min="10" max="10" width="10" bestFit="1" customWidth="1"/>
    <col min="11" max="11" width="11.83203125" bestFit="1" customWidth="1"/>
  </cols>
  <sheetData>
    <row r="1" spans="1:10">
      <c r="J1" s="61"/>
    </row>
    <row r="2" spans="1:10">
      <c r="J2" s="61"/>
    </row>
    <row r="4" spans="1:10" ht="14" thickBot="1"/>
    <row r="5" spans="1:10" ht="14" thickBot="1">
      <c r="A5" s="43" t="s">
        <v>72</v>
      </c>
      <c r="B5" s="43" t="s">
        <v>73</v>
      </c>
      <c r="C5" s="51" t="s">
        <v>98</v>
      </c>
      <c r="D5" s="51" t="s">
        <v>99</v>
      </c>
      <c r="F5" s="2" t="s">
        <v>25</v>
      </c>
      <c r="G5" s="2" t="s">
        <v>1</v>
      </c>
      <c r="H5" s="2" t="s">
        <v>2</v>
      </c>
      <c r="I5" s="2" t="s">
        <v>3</v>
      </c>
    </row>
    <row r="6" spans="1:10">
      <c r="A6" s="47">
        <v>0</v>
      </c>
      <c r="B6" s="48" t="s">
        <v>1</v>
      </c>
      <c r="C6" s="86">
        <f>'Custeio pleno ( CF x fat)'!B24</f>
        <v>-0.78790895117921345</v>
      </c>
      <c r="D6" s="52">
        <f>C6*A6</f>
        <v>0</v>
      </c>
      <c r="F6" s="27" t="s">
        <v>28</v>
      </c>
      <c r="G6" s="27">
        <v>8</v>
      </c>
      <c r="H6" s="27">
        <v>50</v>
      </c>
      <c r="I6" s="27">
        <v>0</v>
      </c>
      <c r="J6" s="10" t="s">
        <v>30</v>
      </c>
    </row>
    <row r="7" spans="1:10">
      <c r="A7" s="47">
        <v>0</v>
      </c>
      <c r="B7" s="48" t="s">
        <v>2</v>
      </c>
      <c r="C7" s="86">
        <f>'Custeio pleno ( CF x fat)'!D24</f>
        <v>-3.5770421700863437</v>
      </c>
      <c r="D7" s="52">
        <f t="shared" ref="D7:D8" si="0">C7*A7</f>
        <v>0</v>
      </c>
      <c r="F7" s="27" t="s">
        <v>32</v>
      </c>
      <c r="G7" s="27">
        <v>5</v>
      </c>
      <c r="H7" s="27">
        <v>0</v>
      </c>
      <c r="I7" s="27">
        <v>3</v>
      </c>
    </row>
    <row r="8" spans="1:10">
      <c r="A8" s="47">
        <v>3360.0000001054764</v>
      </c>
      <c r="B8" s="48" t="s">
        <v>3</v>
      </c>
      <c r="C8" s="86">
        <f>'Custeio pleno ( CF x fat)'!F24</f>
        <v>1.1454908267203647</v>
      </c>
      <c r="D8" s="52">
        <f t="shared" si="0"/>
        <v>3848.8491779012479</v>
      </c>
      <c r="F8" s="27" t="s">
        <v>33</v>
      </c>
      <c r="G8" s="27">
        <v>10</v>
      </c>
      <c r="H8" s="27">
        <v>20</v>
      </c>
      <c r="I8" s="27">
        <v>0</v>
      </c>
    </row>
    <row r="9" spans="1:10" ht="14" thickBot="1">
      <c r="A9" s="41"/>
      <c r="B9" s="41"/>
      <c r="D9">
        <f>SUM(D6:D8)</f>
        <v>3848.8491779012479</v>
      </c>
      <c r="F9" s="27" t="s">
        <v>34</v>
      </c>
      <c r="G9" s="27">
        <v>2</v>
      </c>
      <c r="H9" s="27">
        <v>0</v>
      </c>
      <c r="I9" s="27">
        <v>25</v>
      </c>
    </row>
    <row r="10" spans="1:10" ht="14" thickBot="1">
      <c r="A10" s="42" t="s">
        <v>70</v>
      </c>
      <c r="B10" s="43" t="s">
        <v>71</v>
      </c>
      <c r="C10" s="43" t="s">
        <v>74</v>
      </c>
    </row>
    <row r="11" spans="1:10" ht="14" thickBot="1">
      <c r="A11" s="44" t="s">
        <v>28</v>
      </c>
      <c r="B11" s="45">
        <v>140</v>
      </c>
      <c r="C11" s="49">
        <f>($A$6*G6+$A$7*H6+$A$8*I6)/60</f>
        <v>0</v>
      </c>
    </row>
    <row r="12" spans="1:10" ht="14" thickBot="1">
      <c r="A12" s="44" t="s">
        <v>32</v>
      </c>
      <c r="B12" s="45">
        <v>200</v>
      </c>
      <c r="C12" s="49">
        <f>($A$6*G7+$A$7*H7+$A$8*I7)/60</f>
        <v>168.00000000527382</v>
      </c>
    </row>
    <row r="13" spans="1:10" ht="14" thickBot="1">
      <c r="A13" s="44" t="s">
        <v>33</v>
      </c>
      <c r="B13" s="45">
        <v>120</v>
      </c>
      <c r="C13" s="49">
        <f>($A$6*G8+$A$7*H8+$A$8*I8)/60</f>
        <v>0</v>
      </c>
    </row>
    <row r="14" spans="1:10" ht="14" thickBot="1">
      <c r="A14" s="44" t="s">
        <v>34</v>
      </c>
      <c r="B14" s="45">
        <v>1400</v>
      </c>
      <c r="C14" s="49">
        <f>($A$6*G9+$A$7*H9+$A$8*I9)/60</f>
        <v>1400.0000000439484</v>
      </c>
    </row>
    <row r="18" spans="4:7" ht="16">
      <c r="D18" s="68" t="s">
        <v>84</v>
      </c>
    </row>
    <row r="19" spans="4:7" ht="16">
      <c r="D19" s="68" t="s">
        <v>85</v>
      </c>
    </row>
    <row r="20" spans="4:7" ht="16">
      <c r="D20" s="68" t="s">
        <v>86</v>
      </c>
    </row>
    <row r="21" spans="4:7" ht="16">
      <c r="D21" s="68" t="s">
        <v>87</v>
      </c>
    </row>
    <row r="22" spans="4:7" ht="16">
      <c r="D22" s="68" t="s">
        <v>88</v>
      </c>
    </row>
    <row r="23" spans="4:7" ht="16">
      <c r="D23" s="68" t="s">
        <v>89</v>
      </c>
    </row>
    <row r="24" spans="4:7" ht="16">
      <c r="D24" s="68" t="s">
        <v>90</v>
      </c>
    </row>
    <row r="26" spans="4:7" ht="16">
      <c r="D26" s="68" t="s">
        <v>100</v>
      </c>
    </row>
    <row r="27" spans="4:7" ht="16">
      <c r="D27" s="68" t="s">
        <v>101</v>
      </c>
    </row>
    <row r="29" spans="4:7" ht="16">
      <c r="D29" s="68" t="s">
        <v>102</v>
      </c>
    </row>
    <row r="30" spans="4:7" ht="16">
      <c r="D30" s="68" t="s">
        <v>104</v>
      </c>
    </row>
    <row r="31" spans="4:7" ht="16">
      <c r="D31" s="87" t="s">
        <v>103</v>
      </c>
      <c r="E31" s="88"/>
      <c r="F31" s="88"/>
      <c r="G31" s="88"/>
    </row>
    <row r="32" spans="4:7" ht="16">
      <c r="D32" s="68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72240-61D8-46C4-B385-27376530D0F7}">
  <dimension ref="A1:D11"/>
  <sheetViews>
    <sheetView workbookViewId="0">
      <selection activeCell="A11" sqref="A11:B11"/>
    </sheetView>
  </sheetViews>
  <sheetFormatPr baseColWidth="10" defaultColWidth="8.83203125" defaultRowHeight="13"/>
  <cols>
    <col min="2" max="2" width="16.33203125" customWidth="1"/>
    <col min="3" max="3" width="16.83203125" customWidth="1"/>
    <col min="4" max="4" width="25.83203125" customWidth="1"/>
  </cols>
  <sheetData>
    <row r="1" spans="1:4" ht="16">
      <c r="A1" s="54" t="s">
        <v>75</v>
      </c>
      <c r="B1" s="54"/>
      <c r="C1" s="54"/>
      <c r="D1" s="54"/>
    </row>
    <row r="2" spans="1:4">
      <c r="A2" s="55" t="s">
        <v>80</v>
      </c>
      <c r="B2" s="56"/>
      <c r="C2" s="56"/>
      <c r="D2" s="56"/>
    </row>
    <row r="3" spans="1:4" ht="16">
      <c r="A3" s="54" t="s">
        <v>76</v>
      </c>
      <c r="B3" s="54"/>
      <c r="C3" s="54"/>
      <c r="D3" s="54"/>
    </row>
    <row r="4" spans="1:4" ht="75.75" customHeight="1">
      <c r="A4" s="53" t="s">
        <v>79</v>
      </c>
      <c r="B4" s="53"/>
      <c r="C4" s="53"/>
      <c r="D4" s="53"/>
    </row>
    <row r="5" spans="1:4" ht="16">
      <c r="A5" s="54" t="s">
        <v>77</v>
      </c>
      <c r="B5" s="54"/>
      <c r="C5" s="54"/>
      <c r="D5" s="54"/>
    </row>
    <row r="6" spans="1:4" ht="33.75" customHeight="1">
      <c r="A6" s="53" t="s">
        <v>81</v>
      </c>
      <c r="B6" s="57"/>
      <c r="C6" s="57"/>
      <c r="D6" s="57"/>
    </row>
    <row r="7" spans="1:4" ht="16">
      <c r="A7" s="54" t="s">
        <v>78</v>
      </c>
      <c r="B7" s="54"/>
      <c r="C7" s="54"/>
      <c r="D7" s="54"/>
    </row>
    <row r="8" spans="1:4">
      <c r="A8" s="58" t="s">
        <v>72</v>
      </c>
      <c r="B8" s="58"/>
      <c r="C8" s="58" t="s">
        <v>73</v>
      </c>
      <c r="D8" s="58"/>
    </row>
    <row r="9" spans="1:4">
      <c r="A9" s="60">
        <v>0</v>
      </c>
      <c r="B9" s="60"/>
      <c r="C9" s="59" t="s">
        <v>1</v>
      </c>
      <c r="D9" s="59"/>
    </row>
    <row r="10" spans="1:4">
      <c r="A10" s="60">
        <v>0</v>
      </c>
      <c r="B10" s="60"/>
      <c r="C10" s="59" t="s">
        <v>2</v>
      </c>
      <c r="D10" s="59"/>
    </row>
    <row r="11" spans="1:4">
      <c r="A11" s="60">
        <v>3360</v>
      </c>
      <c r="B11" s="60"/>
      <c r="C11" s="59" t="s">
        <v>3</v>
      </c>
      <c r="D11" s="59"/>
    </row>
  </sheetData>
  <mergeCells count="15">
    <mergeCell ref="C11:D11"/>
    <mergeCell ref="A8:B8"/>
    <mergeCell ref="A9:B9"/>
    <mergeCell ref="A10:B10"/>
    <mergeCell ref="A11:B11"/>
    <mergeCell ref="A6:D6"/>
    <mergeCell ref="A7:D7"/>
    <mergeCell ref="C8:D8"/>
    <mergeCell ref="C9:D9"/>
    <mergeCell ref="C10:D10"/>
    <mergeCell ref="A4:D4"/>
    <mergeCell ref="A3:D3"/>
    <mergeCell ref="A1:D1"/>
    <mergeCell ref="A2:D2"/>
    <mergeCell ref="A5:D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Dados</vt:lpstr>
      <vt:lpstr>Custeio pleno ( CF x fat)</vt:lpstr>
      <vt:lpstr>Resultado</vt:lpstr>
      <vt:lpstr>Mix Ótimo</vt:lpstr>
      <vt:lpstr>Respostas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2020-03-25T22:54:55Z</dcterms:created>
  <dcterms:modified xsi:type="dcterms:W3CDTF">2020-04-02T14:40:57Z</dcterms:modified>
</cp:coreProperties>
</file>