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lscar\Documents\FEA\GRADUAÇÃO FEA 2018\Planejamento e Orçamento\Aula 4 Projeção Demonstrativos Financeiros\"/>
    </mc:Choice>
  </mc:AlternateContent>
  <bookViews>
    <workbookView xWindow="4430" yWindow="0" windowWidth="18610" windowHeight="9120" xr2:uid="{00000000-000D-0000-FFFF-FFFF00000000}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2" i="1" s="1"/>
  <c r="G61" i="1"/>
  <c r="G59" i="1"/>
  <c r="F65" i="1"/>
  <c r="F62" i="1" s="1"/>
  <c r="F61" i="1"/>
  <c r="F58" i="1" s="1"/>
  <c r="F59" i="1"/>
  <c r="E65" i="1"/>
  <c r="E62" i="1" s="1"/>
  <c r="E61" i="1"/>
  <c r="E59" i="1"/>
  <c r="D62" i="1"/>
  <c r="D65" i="1"/>
  <c r="D58" i="1"/>
  <c r="D61" i="1"/>
  <c r="D59" i="1"/>
  <c r="C62" i="1"/>
  <c r="C65" i="1"/>
  <c r="C63" i="1"/>
  <c r="C58" i="1"/>
  <c r="C61" i="1"/>
  <c r="C59" i="1"/>
  <c r="E55" i="1"/>
  <c r="F55" i="1"/>
  <c r="G55" i="1"/>
  <c r="D55" i="1"/>
  <c r="C55" i="1"/>
  <c r="D54" i="1"/>
  <c r="E54" i="1"/>
  <c r="F54" i="1"/>
  <c r="G54" i="1"/>
  <c r="C54" i="1"/>
  <c r="D53" i="1"/>
  <c r="E53" i="1"/>
  <c r="F53" i="1"/>
  <c r="G53" i="1"/>
  <c r="C53" i="1"/>
  <c r="D52" i="1"/>
  <c r="E52" i="1"/>
  <c r="F52" i="1"/>
  <c r="G52" i="1"/>
  <c r="C52" i="1"/>
  <c r="D51" i="1"/>
  <c r="E51" i="1"/>
  <c r="F51" i="1"/>
  <c r="G51" i="1"/>
  <c r="C51" i="1"/>
  <c r="D48" i="1"/>
  <c r="E48" i="1"/>
  <c r="F48" i="1"/>
  <c r="G48" i="1"/>
  <c r="C48" i="1"/>
  <c r="D47" i="1"/>
  <c r="E47" i="1"/>
  <c r="F47" i="1"/>
  <c r="G47" i="1"/>
  <c r="C47" i="1"/>
  <c r="D46" i="1"/>
  <c r="E46" i="1"/>
  <c r="F46" i="1"/>
  <c r="G46" i="1"/>
  <c r="C46" i="1"/>
  <c r="D45" i="1"/>
  <c r="E45" i="1"/>
  <c r="F45" i="1"/>
  <c r="G45" i="1"/>
  <c r="C45" i="1"/>
  <c r="D44" i="1"/>
  <c r="E44" i="1"/>
  <c r="F44" i="1"/>
  <c r="G44" i="1"/>
  <c r="C44" i="1"/>
  <c r="D43" i="1"/>
  <c r="E43" i="1"/>
  <c r="F43" i="1"/>
  <c r="G43" i="1"/>
  <c r="C43" i="1"/>
  <c r="D42" i="1"/>
  <c r="E42" i="1"/>
  <c r="F42" i="1"/>
  <c r="G42" i="1"/>
  <c r="C42" i="1"/>
  <c r="D41" i="1"/>
  <c r="E41" i="1"/>
  <c r="F41" i="1"/>
  <c r="G41" i="1"/>
  <c r="C41" i="1"/>
  <c r="D40" i="1"/>
  <c r="E40" i="1"/>
  <c r="F40" i="1"/>
  <c r="G40" i="1"/>
  <c r="C40" i="1"/>
  <c r="D39" i="1"/>
  <c r="E39" i="1"/>
  <c r="F39" i="1"/>
  <c r="G39" i="1"/>
  <c r="C39" i="1"/>
  <c r="G58" i="1" l="1"/>
  <c r="E58" i="1"/>
  <c r="F50" i="1"/>
  <c r="F57" i="1" s="1"/>
  <c r="G50" i="1"/>
  <c r="G57" i="1" s="1"/>
  <c r="D38" i="1"/>
  <c r="D50" i="1" s="1"/>
  <c r="D57" i="1" s="1"/>
  <c r="E38" i="1"/>
  <c r="E50" i="1" s="1"/>
  <c r="E57" i="1" s="1"/>
  <c r="F38" i="1"/>
  <c r="G38" i="1"/>
  <c r="C38" i="1"/>
  <c r="C50" i="1" s="1"/>
  <c r="C57" i="1" s="1"/>
  <c r="B72" i="1"/>
  <c r="A51" i="1" l="1"/>
  <c r="A42" i="1"/>
  <c r="A41" i="1"/>
  <c r="A40" i="1"/>
  <c r="B75" i="1"/>
  <c r="B70" i="1" s="1"/>
  <c r="B58" i="1"/>
  <c r="G27" i="1" l="1"/>
  <c r="D7" i="1" l="1"/>
  <c r="G7" i="1"/>
  <c r="F7" i="1"/>
  <c r="E7" i="1"/>
  <c r="C7" i="1"/>
  <c r="D14" i="1"/>
  <c r="E14" i="1" s="1"/>
  <c r="F14" i="1" s="1"/>
  <c r="G14" i="1" s="1"/>
  <c r="C24" i="1" l="1"/>
  <c r="D15" i="1"/>
  <c r="E15" i="1"/>
  <c r="F15" i="1"/>
  <c r="G15" i="1"/>
  <c r="C15" i="1"/>
  <c r="D13" i="1"/>
  <c r="E13" i="1"/>
  <c r="F13" i="1"/>
  <c r="G13" i="1"/>
  <c r="D12" i="1"/>
  <c r="E12" i="1"/>
  <c r="F12" i="1"/>
  <c r="F11" i="1" s="1"/>
  <c r="F23" i="1" s="1"/>
  <c r="G12" i="1"/>
  <c r="G11" i="1" s="1"/>
  <c r="G23" i="1" s="1"/>
  <c r="C12" i="1"/>
  <c r="C13" i="1"/>
  <c r="E3" i="1"/>
  <c r="F3" i="1"/>
  <c r="G3" i="1"/>
  <c r="D3" i="1"/>
  <c r="C3" i="1"/>
  <c r="D11" i="1" l="1"/>
  <c r="D10" i="1" s="1"/>
  <c r="C11" i="1"/>
  <c r="C23" i="1" s="1"/>
  <c r="E11" i="1"/>
  <c r="E23" i="1" s="1"/>
  <c r="D8" i="1"/>
  <c r="D9" i="1" s="1"/>
  <c r="D23" i="1"/>
  <c r="D6" i="1"/>
  <c r="E6" i="1"/>
  <c r="C8" i="1"/>
  <c r="C9" i="1" s="1"/>
  <c r="G8" i="1"/>
  <c r="G9" i="1" s="1"/>
  <c r="F8" i="1"/>
  <c r="F9" i="1" s="1"/>
  <c r="G6" i="1"/>
  <c r="F6" i="1"/>
  <c r="E8" i="1"/>
  <c r="E9" i="1" s="1"/>
  <c r="F10" i="1"/>
  <c r="C10" i="1"/>
  <c r="E10" i="1"/>
  <c r="G10" i="1"/>
  <c r="D18" i="1" l="1"/>
  <c r="D20" i="1" s="1"/>
  <c r="D21" i="1" s="1"/>
  <c r="C18" i="1"/>
  <c r="C20" i="1" s="1"/>
  <c r="C21" i="1" s="1"/>
  <c r="G18" i="1"/>
  <c r="G19" i="1" s="1"/>
  <c r="F18" i="1"/>
  <c r="F19" i="1" s="1"/>
  <c r="E18" i="1"/>
  <c r="E19" i="1" s="1"/>
  <c r="D19" i="1"/>
  <c r="D22" i="1"/>
  <c r="D26" i="1"/>
  <c r="C19" i="1"/>
  <c r="G20" i="1" l="1"/>
  <c r="G21" i="1" s="1"/>
  <c r="G26" i="1" s="1"/>
  <c r="G28" i="1" s="1"/>
  <c r="F20" i="1"/>
  <c r="F21" i="1" s="1"/>
  <c r="F26" i="1" s="1"/>
  <c r="E20" i="1"/>
  <c r="E21" i="1" s="1"/>
  <c r="E22" i="1" s="1"/>
  <c r="D29" i="1"/>
  <c r="C22" i="1"/>
  <c r="C26" i="1"/>
  <c r="C29" i="1" s="1"/>
  <c r="G22" i="1" l="1"/>
  <c r="F22" i="1"/>
  <c r="E26" i="1"/>
  <c r="F29" i="1"/>
  <c r="E29" i="1" l="1"/>
  <c r="G29" i="1" l="1"/>
  <c r="B30" i="1" s="1"/>
  <c r="B34" i="1" l="1"/>
  <c r="B31" i="1" s="1"/>
  <c r="B64" i="1" l="1"/>
  <c r="B32" i="1" l="1"/>
  <c r="B65" i="1"/>
  <c r="B62" i="1" s="1"/>
  <c r="C66" i="1" l="1"/>
</calcChain>
</file>

<file path=xl/sharedStrings.xml><?xml version="1.0" encoding="utf-8"?>
<sst xmlns="http://schemas.openxmlformats.org/spreadsheetml/2006/main" count="66" uniqueCount="63">
  <si>
    <t>Período:</t>
  </si>
  <si>
    <t>Receita</t>
  </si>
  <si>
    <t>Quantidade</t>
  </si>
  <si>
    <t>Preço</t>
  </si>
  <si>
    <t>G</t>
  </si>
  <si>
    <t>(-) CMV</t>
  </si>
  <si>
    <t>(=) Lucro Bruto</t>
  </si>
  <si>
    <t>(-) Despesas Operacionais</t>
  </si>
  <si>
    <t>(-) Despesa de Depreciação</t>
  </si>
  <si>
    <t>Equipamentos Existentes</t>
  </si>
  <si>
    <t>Imóveis</t>
  </si>
  <si>
    <t>Novos Equipamentos</t>
  </si>
  <si>
    <t>(-) Despesa de Amortização</t>
  </si>
  <si>
    <t>(-) Despesa Administrativa</t>
  </si>
  <si>
    <t>(-)Despesa de Marketing</t>
  </si>
  <si>
    <t>Margem Bruta</t>
  </si>
  <si>
    <t>(=) LAJIR</t>
  </si>
  <si>
    <t>(-) IR</t>
  </si>
  <si>
    <t>(=) Lucro Líquido</t>
  </si>
  <si>
    <t>Margem Operacional</t>
  </si>
  <si>
    <t>Margem Líquida</t>
  </si>
  <si>
    <t>(+) Depreciacao e Amortização</t>
  </si>
  <si>
    <t>(-) CAPEX</t>
  </si>
  <si>
    <t>(-) Investimento Capital de Giro</t>
  </si>
  <si>
    <t>(=) Fluxo de Caixa Livre</t>
  </si>
  <si>
    <t>Fluxo de Caixa Livre + Perpetuidade</t>
  </si>
  <si>
    <t>Perpetuidade (Custo de Capital = 20%a.a.)</t>
  </si>
  <si>
    <t>g (tx de Crescimento Nominal)</t>
  </si>
  <si>
    <t>VALOR ECONOMICO</t>
  </si>
  <si>
    <t>Ativo</t>
  </si>
  <si>
    <t>Ativo Fixo</t>
  </si>
  <si>
    <t>Passivo</t>
  </si>
  <si>
    <t>Passivo Circulante</t>
  </si>
  <si>
    <t>WACC</t>
  </si>
  <si>
    <t>Proporção Capital de Terceiros</t>
  </si>
  <si>
    <t>Proporção Capital Próprio</t>
  </si>
  <si>
    <t>Custo de Capital de Terceiros</t>
  </si>
  <si>
    <t>IR</t>
  </si>
  <si>
    <t>Custo de Capital de Terceiros Liq IR</t>
  </si>
  <si>
    <t>Custo de Capital Próprio</t>
  </si>
  <si>
    <t>Custo de Capital (taxas Nominais)</t>
  </si>
  <si>
    <t>Contratação/Amortização de dívida</t>
  </si>
  <si>
    <t>(-) Despesas de Juros</t>
  </si>
  <si>
    <t>(=) Lucro Operacional</t>
  </si>
  <si>
    <t>(=) LAIR</t>
  </si>
  <si>
    <t>Dividendos</t>
  </si>
  <si>
    <t>Exigível LP</t>
  </si>
  <si>
    <t>Patrimônio Líquido</t>
  </si>
  <si>
    <t>Ativo Circulante Operacional</t>
  </si>
  <si>
    <t>Caixa</t>
  </si>
  <si>
    <t>(=) Lucro Líquido Não Alavancado</t>
  </si>
  <si>
    <t>(-) Despesa de Juros Líq IR</t>
  </si>
  <si>
    <t>(+/-) Contratação/Amortização de Dívida</t>
  </si>
  <si>
    <t>(-) Dividendos</t>
  </si>
  <si>
    <t>(=) Caixa</t>
  </si>
  <si>
    <t>(-) Dívida</t>
  </si>
  <si>
    <t>(=) PL A mercado</t>
  </si>
  <si>
    <t>(I) Valuation</t>
  </si>
  <si>
    <t>II) Projeção Dívida</t>
  </si>
  <si>
    <t>III) Projeção DRE</t>
  </si>
  <si>
    <t>IV) Projeção de Caixa</t>
  </si>
  <si>
    <t>V) Projeção Balanço Patrimonial</t>
  </si>
  <si>
    <t>I-house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</si>
</sst>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;[Red]\-&quot;R$&quot;\ #,##0"/>
    <numFmt numFmtId="165" formatCode="_-* #,##0.00_-;\-* #,##0.00_-;_-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166" fontId="2" fillId="0" borderId="1" xfId="1" applyNumberFormat="1" applyFont="1" applyBorder="1"/>
    <xf numFmtId="0" fontId="0" fillId="0" borderId="1" xfId="0" applyBorder="1"/>
    <xf numFmtId="166" fontId="0" fillId="0" borderId="1" xfId="1" applyNumberFormat="1" applyFont="1" applyBorder="1"/>
    <xf numFmtId="10" fontId="0" fillId="0" borderId="1" xfId="2" applyNumberFormat="1" applyFont="1" applyBorder="1"/>
    <xf numFmtId="166" fontId="0" fillId="0" borderId="1" xfId="0" applyNumberFormat="1" applyBorder="1"/>
    <xf numFmtId="166" fontId="2" fillId="0" borderId="1" xfId="0" applyNumberFormat="1" applyFont="1" applyBorder="1"/>
    <xf numFmtId="0" fontId="3" fillId="0" borderId="1" xfId="0" applyFont="1" applyBorder="1"/>
    <xf numFmtId="9" fontId="3" fillId="0" borderId="1" xfId="2" applyFont="1" applyBorder="1"/>
    <xf numFmtId="10" fontId="2" fillId="0" borderId="1" xfId="2" applyNumberFormat="1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/>
    <xf numFmtId="166" fontId="0" fillId="0" borderId="0" xfId="1" applyNumberFormat="1" applyFont="1" applyFill="1" applyBorder="1"/>
    <xf numFmtId="166" fontId="2" fillId="0" borderId="0" xfId="0" applyNumberFormat="1" applyFont="1" applyFill="1" applyBorder="1"/>
    <xf numFmtId="166" fontId="0" fillId="0" borderId="0" xfId="0" applyNumberFormat="1"/>
    <xf numFmtId="166" fontId="1" fillId="0" borderId="0" xfId="1" applyNumberFormat="1" applyFont="1"/>
    <xf numFmtId="166" fontId="1" fillId="0" borderId="0" xfId="1" applyNumberFormat="1" applyFont="1" applyFill="1" applyBorder="1"/>
    <xf numFmtId="0" fontId="4" fillId="0" borderId="0" xfId="0" applyFont="1" applyFill="1"/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9" fontId="0" fillId="0" borderId="6" xfId="0" applyNumberFormat="1" applyBorder="1"/>
    <xf numFmtId="10" fontId="0" fillId="0" borderId="6" xfId="0" applyNumberFormat="1" applyBorder="1"/>
    <xf numFmtId="10" fontId="0" fillId="0" borderId="6" xfId="2" applyNumberFormat="1" applyFont="1" applyBorder="1"/>
    <xf numFmtId="0" fontId="0" fillId="0" borderId="7" xfId="0" applyBorder="1"/>
    <xf numFmtId="10" fontId="0" fillId="0" borderId="8" xfId="0" applyNumberFormat="1" applyBorder="1"/>
    <xf numFmtId="164" fontId="2" fillId="2" borderId="1" xfId="0" applyNumberFormat="1" applyFont="1" applyFill="1" applyBorder="1"/>
    <xf numFmtId="164" fontId="0" fillId="0" borderId="0" xfId="0" applyNumberFormat="1"/>
    <xf numFmtId="166" fontId="0" fillId="0" borderId="0" xfId="1" applyNumberFormat="1" applyFont="1" applyFill="1" applyBorder="1" applyAlignment="1">
      <alignment horizontal="left"/>
    </xf>
    <xf numFmtId="0" fontId="2" fillId="0" borderId="0" xfId="0" applyFont="1" applyBorder="1"/>
    <xf numFmtId="166" fontId="2" fillId="0" borderId="0" xfId="0" applyNumberFormat="1" applyFont="1" applyBorder="1"/>
    <xf numFmtId="0" fontId="0" fillId="0" borderId="0" xfId="0" applyFont="1" applyBorder="1"/>
    <xf numFmtId="166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Border="1"/>
    <xf numFmtId="0" fontId="2" fillId="0" borderId="9" xfId="0" applyFont="1" applyBorder="1"/>
    <xf numFmtId="166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9" fontId="0" fillId="0" borderId="11" xfId="0" applyNumberFormat="1" applyBorder="1"/>
    <xf numFmtId="166" fontId="0" fillId="0" borderId="11" xfId="0" applyNumberFormat="1" applyBorder="1"/>
    <xf numFmtId="166" fontId="2" fillId="0" borderId="10" xfId="0" applyNumberFormat="1" applyFont="1" applyBorder="1"/>
    <xf numFmtId="0" fontId="2" fillId="0" borderId="1" xfId="0" applyFont="1" applyFill="1" applyBorder="1"/>
    <xf numFmtId="164" fontId="0" fillId="0" borderId="1" xfId="0" applyNumberFormat="1" applyBorder="1"/>
    <xf numFmtId="0" fontId="2" fillId="2" borderId="12" xfId="0" applyFont="1" applyFill="1" applyBorder="1"/>
    <xf numFmtId="164" fontId="2" fillId="2" borderId="12" xfId="0" applyNumberFormat="1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0" fillId="0" borderId="0" xfId="0" applyFill="1"/>
    <xf numFmtId="0" fontId="2" fillId="0" borderId="13" xfId="0" applyFont="1" applyFill="1" applyBorder="1"/>
    <xf numFmtId="164" fontId="0" fillId="0" borderId="13" xfId="0" applyNumberFormat="1" applyBorder="1"/>
    <xf numFmtId="0" fontId="2" fillId="0" borderId="14" xfId="0" applyFont="1" applyFill="1" applyBorder="1"/>
    <xf numFmtId="166" fontId="2" fillId="0" borderId="14" xfId="1" applyNumberFormat="1" applyFont="1" applyFill="1" applyBorder="1"/>
    <xf numFmtId="0" fontId="0" fillId="0" borderId="15" xfId="0" applyFont="1" applyFill="1" applyBorder="1"/>
    <xf numFmtId="166" fontId="0" fillId="0" borderId="15" xfId="0" applyNumberFormat="1" applyFont="1" applyFill="1" applyBorder="1"/>
    <xf numFmtId="0" fontId="0" fillId="0" borderId="16" xfId="0" applyFont="1" applyFill="1" applyBorder="1"/>
    <xf numFmtId="166" fontId="0" fillId="0" borderId="16" xfId="0" applyNumberFormat="1" applyFont="1" applyFill="1" applyBorder="1"/>
    <xf numFmtId="166" fontId="0" fillId="0" borderId="16" xfId="0" applyNumberFormat="1" applyFont="1" applyBorder="1"/>
    <xf numFmtId="166" fontId="1" fillId="0" borderId="0" xfId="1" applyNumberFormat="1" applyFont="1" applyBorder="1"/>
    <xf numFmtId="166" fontId="0" fillId="0" borderId="15" xfId="1" applyNumberFormat="1" applyFont="1" applyFill="1" applyBorder="1"/>
    <xf numFmtId="166" fontId="0" fillId="0" borderId="15" xfId="1" applyNumberFormat="1" applyFont="1" applyBorder="1"/>
    <xf numFmtId="166" fontId="0" fillId="0" borderId="16" xfId="1" applyNumberFormat="1" applyFont="1" applyBorder="1"/>
    <xf numFmtId="166" fontId="0" fillId="0" borderId="16" xfId="0" applyNumberFormat="1" applyBorder="1"/>
    <xf numFmtId="164" fontId="0" fillId="0" borderId="0" xfId="0" applyNumberFormat="1" applyBorder="1"/>
    <xf numFmtId="166" fontId="2" fillId="0" borderId="2" xfId="0" applyNumberFormat="1" applyFont="1" applyFill="1" applyBorder="1"/>
    <xf numFmtId="0" fontId="2" fillId="2" borderId="1" xfId="0" applyFont="1" applyFill="1" applyBorder="1"/>
    <xf numFmtId="0" fontId="0" fillId="3" borderId="5" xfId="0" applyFill="1" applyBorder="1"/>
    <xf numFmtId="9" fontId="0" fillId="3" borderId="6" xfId="0" applyNumberFormat="1" applyFill="1" applyBorder="1"/>
    <xf numFmtId="0" fontId="5" fillId="4" borderId="10" xfId="0" applyFont="1" applyFill="1" applyBorder="1"/>
    <xf numFmtId="0" fontId="2" fillId="4" borderId="10" xfId="0" applyFont="1" applyFill="1" applyBorder="1"/>
    <xf numFmtId="0" fontId="6" fillId="4" borderId="12" xfId="0" applyFont="1" applyFill="1" applyBorder="1"/>
    <xf numFmtId="164" fontId="7" fillId="4" borderId="12" xfId="0" applyNumberFormat="1" applyFont="1" applyFill="1" applyBorder="1"/>
    <xf numFmtId="0" fontId="8" fillId="4" borderId="0" xfId="0" applyFont="1" applyFill="1"/>
    <xf numFmtId="166" fontId="2" fillId="4" borderId="10" xfId="0" applyNumberFormat="1" applyFont="1" applyFill="1" applyBorder="1"/>
    <xf numFmtId="0" fontId="5" fillId="4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A49" zoomScale="80" zoomScaleNormal="80" zoomScaleSheetLayoutView="80" zoomScalePageLayoutView="80" workbookViewId="0">
      <selection activeCell="G65" sqref="G65"/>
    </sheetView>
  </sheetViews>
  <sheetFormatPr defaultRowHeight="14.5" x14ac:dyDescent="0.35"/>
  <cols>
    <col min="1" max="2" width="35.453125" customWidth="1"/>
    <col min="3" max="3" width="18.6328125" customWidth="1"/>
    <col min="4" max="6" width="17" customWidth="1"/>
    <col min="7" max="7" width="15" bestFit="1" customWidth="1"/>
  </cols>
  <sheetData>
    <row r="1" spans="1:8" ht="18.5" x14ac:dyDescent="0.45">
      <c r="A1" s="77" t="s">
        <v>57</v>
      </c>
      <c r="B1" s="79" t="s">
        <v>62</v>
      </c>
      <c r="C1" s="79"/>
      <c r="D1" s="79"/>
      <c r="E1" s="79"/>
      <c r="F1" s="79"/>
      <c r="G1" s="79"/>
    </row>
    <row r="2" spans="1:8" s="3" customFormat="1" x14ac:dyDescent="0.35">
      <c r="A2" s="4" t="s">
        <v>0</v>
      </c>
      <c r="B2" s="4"/>
      <c r="C2" s="4">
        <v>1</v>
      </c>
      <c r="D2" s="4">
        <v>2</v>
      </c>
      <c r="E2" s="4">
        <v>3</v>
      </c>
      <c r="F2" s="4">
        <v>4</v>
      </c>
      <c r="G2" s="4">
        <v>5</v>
      </c>
    </row>
    <row r="3" spans="1:8" s="3" customFormat="1" x14ac:dyDescent="0.35">
      <c r="A3" s="4" t="s">
        <v>1</v>
      </c>
      <c r="B3" s="4"/>
      <c r="C3" s="5">
        <f>C4*C5</f>
        <v>27500000</v>
      </c>
      <c r="D3" s="5">
        <f>D4*D5</f>
        <v>34450000</v>
      </c>
      <c r="E3" s="5">
        <f t="shared" ref="E3:G3" si="0">E4*E5</f>
        <v>42750000</v>
      </c>
      <c r="F3" s="5">
        <f t="shared" si="0"/>
        <v>49300000</v>
      </c>
      <c r="G3" s="5">
        <f t="shared" si="0"/>
        <v>53400000</v>
      </c>
    </row>
    <row r="4" spans="1:8" x14ac:dyDescent="0.35">
      <c r="A4" s="6" t="s">
        <v>2</v>
      </c>
      <c r="B4" s="6"/>
      <c r="C4" s="7">
        <v>110000</v>
      </c>
      <c r="D4" s="7">
        <v>130000</v>
      </c>
      <c r="E4" s="7">
        <v>150000</v>
      </c>
      <c r="F4" s="7">
        <v>170000</v>
      </c>
      <c r="G4" s="7">
        <v>178000</v>
      </c>
    </row>
    <row r="5" spans="1:8" x14ac:dyDescent="0.35">
      <c r="A5" s="6" t="s">
        <v>3</v>
      </c>
      <c r="B5" s="6"/>
      <c r="C5" s="6">
        <v>250</v>
      </c>
      <c r="D5" s="6">
        <v>265</v>
      </c>
      <c r="E5" s="6">
        <v>285</v>
      </c>
      <c r="F5" s="6">
        <v>290</v>
      </c>
      <c r="G5" s="6">
        <v>300</v>
      </c>
    </row>
    <row r="6" spans="1:8" x14ac:dyDescent="0.35">
      <c r="A6" s="6" t="s">
        <v>4</v>
      </c>
      <c r="B6" s="6"/>
      <c r="C6" s="6"/>
      <c r="D6" s="8">
        <f>D3/C3-1</f>
        <v>0.25272727272727269</v>
      </c>
      <c r="E6" s="8">
        <f t="shared" ref="E6:G6" si="1">E3/D3-1</f>
        <v>0.24092888243831645</v>
      </c>
      <c r="F6" s="8">
        <f t="shared" si="1"/>
        <v>0.15321637426900581</v>
      </c>
      <c r="G6" s="8">
        <f t="shared" si="1"/>
        <v>8.3164300202839714E-2</v>
      </c>
    </row>
    <row r="7" spans="1:8" x14ac:dyDescent="0.35">
      <c r="A7" s="6" t="s">
        <v>5</v>
      </c>
      <c r="B7" s="6"/>
      <c r="C7" s="9">
        <f>-120*C4</f>
        <v>-13200000</v>
      </c>
      <c r="D7" s="9">
        <f>-140*D4</f>
        <v>-18200000</v>
      </c>
      <c r="E7" s="9">
        <f>-155*E4</f>
        <v>-23250000</v>
      </c>
      <c r="F7" s="9">
        <f>-160*F4</f>
        <v>-27200000</v>
      </c>
      <c r="G7" s="9">
        <f>-165*G4</f>
        <v>-29370000</v>
      </c>
    </row>
    <row r="8" spans="1:8" s="3" customFormat="1" x14ac:dyDescent="0.35">
      <c r="A8" s="4" t="s">
        <v>6</v>
      </c>
      <c r="B8" s="4"/>
      <c r="C8" s="10">
        <f>C3+C7</f>
        <v>14300000</v>
      </c>
      <c r="D8" s="10">
        <f t="shared" ref="D8:G8" si="2">D3+D7</f>
        <v>16250000</v>
      </c>
      <c r="E8" s="10">
        <f t="shared" si="2"/>
        <v>19500000</v>
      </c>
      <c r="F8" s="10">
        <f t="shared" si="2"/>
        <v>22100000</v>
      </c>
      <c r="G8" s="10">
        <f t="shared" si="2"/>
        <v>24030000</v>
      </c>
    </row>
    <row r="9" spans="1:8" x14ac:dyDescent="0.35">
      <c r="A9" s="11" t="s">
        <v>15</v>
      </c>
      <c r="B9" s="11"/>
      <c r="C9" s="12">
        <f>C8/C3</f>
        <v>0.52</v>
      </c>
      <c r="D9" s="12">
        <f t="shared" ref="D9:G9" si="3">D8/D3</f>
        <v>0.47169811320754718</v>
      </c>
      <c r="E9" s="12">
        <f t="shared" si="3"/>
        <v>0.45614035087719296</v>
      </c>
      <c r="F9" s="12">
        <f t="shared" si="3"/>
        <v>0.44827586206896552</v>
      </c>
      <c r="G9" s="12">
        <f t="shared" si="3"/>
        <v>0.45</v>
      </c>
    </row>
    <row r="10" spans="1:8" x14ac:dyDescent="0.35">
      <c r="A10" s="4" t="s">
        <v>7</v>
      </c>
      <c r="B10" s="4"/>
      <c r="C10" s="10">
        <f>C11+C15+C16+C17</f>
        <v>-6590000</v>
      </c>
      <c r="D10" s="10">
        <f t="shared" ref="D10:G10" si="4">D11+D15+D16+D17</f>
        <v>-7690000</v>
      </c>
      <c r="E10" s="10">
        <f t="shared" si="4"/>
        <v>-9040000</v>
      </c>
      <c r="F10" s="10">
        <f t="shared" si="4"/>
        <v>-10240000</v>
      </c>
      <c r="G10" s="10">
        <f t="shared" si="4"/>
        <v>-11440000</v>
      </c>
    </row>
    <row r="11" spans="1:8" x14ac:dyDescent="0.35">
      <c r="A11" s="6" t="s">
        <v>8</v>
      </c>
      <c r="B11" s="6"/>
      <c r="C11" s="7">
        <f>-SUM(C12:C14)</f>
        <v>-790000</v>
      </c>
      <c r="D11" s="7">
        <f t="shared" ref="D11:G11" si="5">-SUM(D12:D14)</f>
        <v>-1290000</v>
      </c>
      <c r="E11" s="7">
        <f t="shared" si="5"/>
        <v>-1840000</v>
      </c>
      <c r="F11" s="7">
        <f t="shared" si="5"/>
        <v>-2440000</v>
      </c>
      <c r="G11" s="7">
        <f t="shared" si="5"/>
        <v>-3090000</v>
      </c>
    </row>
    <row r="12" spans="1:8" x14ac:dyDescent="0.35">
      <c r="A12" s="6" t="s">
        <v>9</v>
      </c>
      <c r="B12" s="6"/>
      <c r="C12" s="7">
        <f>7500000/10</f>
        <v>750000</v>
      </c>
      <c r="D12" s="7">
        <f t="shared" ref="D12:G12" si="6">7500000/10</f>
        <v>750000</v>
      </c>
      <c r="E12" s="7">
        <f t="shared" si="6"/>
        <v>750000</v>
      </c>
      <c r="F12" s="7">
        <f t="shared" si="6"/>
        <v>750000</v>
      </c>
      <c r="G12" s="7">
        <f t="shared" si="6"/>
        <v>750000</v>
      </c>
    </row>
    <row r="13" spans="1:8" x14ac:dyDescent="0.35">
      <c r="A13" s="6" t="s">
        <v>10</v>
      </c>
      <c r="B13" s="6"/>
      <c r="C13" s="7">
        <f>1000000/25</f>
        <v>40000</v>
      </c>
      <c r="D13" s="7">
        <f t="shared" ref="D13:G13" si="7">1000000/25</f>
        <v>40000</v>
      </c>
      <c r="E13" s="7">
        <f t="shared" si="7"/>
        <v>40000</v>
      </c>
      <c r="F13" s="7">
        <f t="shared" si="7"/>
        <v>40000</v>
      </c>
      <c r="G13" s="7">
        <f t="shared" si="7"/>
        <v>40000</v>
      </c>
    </row>
    <row r="14" spans="1:8" x14ac:dyDescent="0.35">
      <c r="A14" s="6" t="s">
        <v>11</v>
      </c>
      <c r="B14" s="6"/>
      <c r="C14" s="7">
        <v>0</v>
      </c>
      <c r="D14" s="7">
        <f>5000000/10</f>
        <v>500000</v>
      </c>
      <c r="E14" s="7">
        <f>D14+5500000/10</f>
        <v>1050000</v>
      </c>
      <c r="F14" s="7">
        <f>E14+6000000/10</f>
        <v>1650000</v>
      </c>
      <c r="G14" s="7">
        <f>F14+6500000/10</f>
        <v>2300000</v>
      </c>
    </row>
    <row r="15" spans="1:8" x14ac:dyDescent="0.35">
      <c r="A15" s="6" t="s">
        <v>12</v>
      </c>
      <c r="B15" s="6"/>
      <c r="C15" s="7">
        <f>-15000000/10</f>
        <v>-1500000</v>
      </c>
      <c r="D15" s="7">
        <f t="shared" ref="D15:G15" si="8">-15000000/10</f>
        <v>-1500000</v>
      </c>
      <c r="E15" s="7">
        <f t="shared" si="8"/>
        <v>-1500000</v>
      </c>
      <c r="F15" s="7">
        <f t="shared" si="8"/>
        <v>-1500000</v>
      </c>
      <c r="G15" s="7">
        <f t="shared" si="8"/>
        <v>-1500000</v>
      </c>
    </row>
    <row r="16" spans="1:8" x14ac:dyDescent="0.35">
      <c r="A16" s="6" t="s">
        <v>13</v>
      </c>
      <c r="B16" s="6"/>
      <c r="C16" s="7">
        <v>-1800000</v>
      </c>
      <c r="D16" s="7">
        <v>-2100000</v>
      </c>
      <c r="E16" s="7">
        <v>-2400000</v>
      </c>
      <c r="F16" s="7">
        <v>-2700000</v>
      </c>
      <c r="G16" s="7">
        <v>-3000000</v>
      </c>
      <c r="H16" s="1"/>
    </row>
    <row r="17" spans="1:7" x14ac:dyDescent="0.35">
      <c r="A17" s="6" t="s">
        <v>14</v>
      </c>
      <c r="B17" s="6"/>
      <c r="C17" s="7">
        <v>-2500000</v>
      </c>
      <c r="D17" s="7">
        <v>-2800000</v>
      </c>
      <c r="E17" s="7">
        <v>-3300000</v>
      </c>
      <c r="F17" s="7">
        <v>-3600000</v>
      </c>
      <c r="G17" s="7">
        <v>-3850000</v>
      </c>
    </row>
    <row r="18" spans="1:7" s="3" customFormat="1" x14ac:dyDescent="0.35">
      <c r="A18" s="4" t="s">
        <v>16</v>
      </c>
      <c r="B18" s="4"/>
      <c r="C18" s="5">
        <f>C8+C10</f>
        <v>7710000</v>
      </c>
      <c r="D18" s="5">
        <f t="shared" ref="D18:G18" si="9">D8+D10</f>
        <v>8560000</v>
      </c>
      <c r="E18" s="5">
        <f t="shared" si="9"/>
        <v>10460000</v>
      </c>
      <c r="F18" s="5">
        <f t="shared" si="9"/>
        <v>11860000</v>
      </c>
      <c r="G18" s="5">
        <f t="shared" si="9"/>
        <v>12590000</v>
      </c>
    </row>
    <row r="19" spans="1:7" s="2" customFormat="1" x14ac:dyDescent="0.35">
      <c r="A19" s="11" t="s">
        <v>19</v>
      </c>
      <c r="B19" s="11"/>
      <c r="C19" s="12">
        <f>C18/C3</f>
        <v>0.28036363636363637</v>
      </c>
      <c r="D19" s="12">
        <f t="shared" ref="D19:G19" si="10">D18/D3</f>
        <v>0.24847605224963715</v>
      </c>
      <c r="E19" s="12">
        <f t="shared" si="10"/>
        <v>0.24467836257309941</v>
      </c>
      <c r="F19" s="12">
        <f t="shared" si="10"/>
        <v>0.24056795131845843</v>
      </c>
      <c r="G19" s="12">
        <f t="shared" si="10"/>
        <v>0.23576779026217229</v>
      </c>
    </row>
    <row r="20" spans="1:7" x14ac:dyDescent="0.35">
      <c r="A20" s="6" t="s">
        <v>17</v>
      </c>
      <c r="B20" s="6"/>
      <c r="C20" s="9">
        <f>-34%*C18</f>
        <v>-2621400</v>
      </c>
      <c r="D20" s="9">
        <f t="shared" ref="D20:G20" si="11">-34%*D18</f>
        <v>-2910400</v>
      </c>
      <c r="E20" s="9">
        <f t="shared" si="11"/>
        <v>-3556400.0000000005</v>
      </c>
      <c r="F20" s="9">
        <f t="shared" si="11"/>
        <v>-4032400.0000000005</v>
      </c>
      <c r="G20" s="9">
        <f t="shared" si="11"/>
        <v>-4280600</v>
      </c>
    </row>
    <row r="21" spans="1:7" s="3" customFormat="1" x14ac:dyDescent="0.35">
      <c r="A21" s="4" t="s">
        <v>50</v>
      </c>
      <c r="B21" s="4"/>
      <c r="C21" s="10">
        <f>C18+C20</f>
        <v>5088600</v>
      </c>
      <c r="D21" s="10">
        <f t="shared" ref="D21:G21" si="12">D18+D20</f>
        <v>5649600</v>
      </c>
      <c r="E21" s="10">
        <f t="shared" si="12"/>
        <v>6903600</v>
      </c>
      <c r="F21" s="10">
        <f t="shared" si="12"/>
        <v>7827600</v>
      </c>
      <c r="G21" s="10">
        <f t="shared" si="12"/>
        <v>8309400</v>
      </c>
    </row>
    <row r="22" spans="1:7" s="2" customFormat="1" x14ac:dyDescent="0.35">
      <c r="A22" s="11" t="s">
        <v>20</v>
      </c>
      <c r="B22" s="11"/>
      <c r="C22" s="12">
        <f>C21/C3</f>
        <v>0.18504000000000001</v>
      </c>
      <c r="D22" s="12">
        <f t="shared" ref="D22:G22" si="13">D21/D3</f>
        <v>0.16399419448476052</v>
      </c>
      <c r="E22" s="12">
        <f t="shared" si="13"/>
        <v>0.16148771929824562</v>
      </c>
      <c r="F22" s="12">
        <f t="shared" si="13"/>
        <v>0.15877484787018256</v>
      </c>
      <c r="G22" s="12">
        <f t="shared" si="13"/>
        <v>0.1556067415730337</v>
      </c>
    </row>
    <row r="23" spans="1:7" x14ac:dyDescent="0.35">
      <c r="A23" s="6" t="s">
        <v>21</v>
      </c>
      <c r="B23" s="6"/>
      <c r="C23" s="9">
        <f>-C11-C15</f>
        <v>2290000</v>
      </c>
      <c r="D23" s="9">
        <f t="shared" ref="D23:G23" si="14">-D11-D15</f>
        <v>2790000</v>
      </c>
      <c r="E23" s="9">
        <f t="shared" si="14"/>
        <v>3340000</v>
      </c>
      <c r="F23" s="9">
        <f t="shared" si="14"/>
        <v>3940000</v>
      </c>
      <c r="G23" s="9">
        <f t="shared" si="14"/>
        <v>4590000</v>
      </c>
    </row>
    <row r="24" spans="1:7" x14ac:dyDescent="0.35">
      <c r="A24" s="6" t="s">
        <v>22</v>
      </c>
      <c r="B24" s="6"/>
      <c r="C24" s="7">
        <f>-5000000</f>
        <v>-5000000</v>
      </c>
      <c r="D24" s="7">
        <v>-5500000</v>
      </c>
      <c r="E24" s="7">
        <v>-6000000</v>
      </c>
      <c r="F24" s="7">
        <v>-6500000</v>
      </c>
      <c r="G24" s="7">
        <v>-7000000</v>
      </c>
    </row>
    <row r="25" spans="1:7" x14ac:dyDescent="0.35">
      <c r="A25" s="6" t="s">
        <v>23</v>
      </c>
      <c r="B25" s="6"/>
      <c r="C25" s="7">
        <v>-1000000</v>
      </c>
      <c r="D25" s="7">
        <v>-200000</v>
      </c>
      <c r="E25" s="7">
        <v>-300000</v>
      </c>
      <c r="F25" s="7">
        <v>-200000</v>
      </c>
      <c r="G25" s="7">
        <v>-100000</v>
      </c>
    </row>
    <row r="26" spans="1:7" s="3" customFormat="1" ht="15.65" customHeight="1" x14ac:dyDescent="0.35">
      <c r="A26" s="4" t="s">
        <v>24</v>
      </c>
      <c r="B26" s="4"/>
      <c r="C26" s="10">
        <f>C21+C23+C24+C25</f>
        <v>1378600</v>
      </c>
      <c r="D26" s="10">
        <f t="shared" ref="D26:G26" si="15">D21+D23+D24+D25</f>
        <v>2739600</v>
      </c>
      <c r="E26" s="10">
        <f t="shared" si="15"/>
        <v>3943600</v>
      </c>
      <c r="F26" s="10">
        <f t="shared" si="15"/>
        <v>5067600</v>
      </c>
      <c r="G26" s="10">
        <f t="shared" si="15"/>
        <v>5799400</v>
      </c>
    </row>
    <row r="27" spans="1:7" s="3" customFormat="1" ht="15.65" customHeight="1" x14ac:dyDescent="0.35">
      <c r="A27" s="4" t="s">
        <v>27</v>
      </c>
      <c r="B27" s="4"/>
      <c r="C27" s="10"/>
      <c r="D27" s="13"/>
      <c r="E27" s="13"/>
      <c r="F27" s="13"/>
      <c r="G27" s="13">
        <f>1.03*1.05-1</f>
        <v>8.1500000000000128E-2</v>
      </c>
    </row>
    <row r="28" spans="1:7" s="3" customFormat="1" x14ac:dyDescent="0.35">
      <c r="A28" s="4" t="s">
        <v>26</v>
      </c>
      <c r="B28" s="4"/>
      <c r="C28" s="4"/>
      <c r="D28" s="4"/>
      <c r="E28" s="4"/>
      <c r="F28" s="4"/>
      <c r="G28" s="5">
        <f>G26*(1+G27)/(B70-G27)</f>
        <v>52928701.265822843</v>
      </c>
    </row>
    <row r="29" spans="1:7" s="3" customFormat="1" x14ac:dyDescent="0.35">
      <c r="A29" s="4" t="s">
        <v>25</v>
      </c>
      <c r="B29" s="4"/>
      <c r="C29" s="10">
        <f>C26+C28</f>
        <v>1378600</v>
      </c>
      <c r="D29" s="10">
        <f t="shared" ref="D29:G29" si="16">D26+D28</f>
        <v>2739600</v>
      </c>
      <c r="E29" s="10">
        <f t="shared" si="16"/>
        <v>3943600</v>
      </c>
      <c r="F29" s="10">
        <f t="shared" si="16"/>
        <v>5067600</v>
      </c>
      <c r="G29" s="10">
        <f t="shared" si="16"/>
        <v>58728101.265822843</v>
      </c>
    </row>
    <row r="30" spans="1:7" ht="15" thickBot="1" x14ac:dyDescent="0.4">
      <c r="A30" s="49" t="s">
        <v>28</v>
      </c>
      <c r="B30" s="50">
        <f>NPV(B70,C29:G29)</f>
        <v>31378881.745845728</v>
      </c>
      <c r="C30" s="50"/>
      <c r="D30" s="50"/>
      <c r="E30" s="50"/>
      <c r="F30" s="50"/>
      <c r="G30" s="50"/>
    </row>
    <row r="31" spans="1:7" s="53" customFormat="1" ht="15" thickTop="1" x14ac:dyDescent="0.35">
      <c r="A31" s="51" t="s">
        <v>55</v>
      </c>
      <c r="B31" s="69">
        <f>B34</f>
        <v>0</v>
      </c>
      <c r="C31" s="52"/>
      <c r="D31" s="52"/>
      <c r="E31" s="52"/>
      <c r="F31" s="52"/>
      <c r="G31" s="52"/>
    </row>
    <row r="32" spans="1:7" s="53" customFormat="1" x14ac:dyDescent="0.35">
      <c r="A32" s="70" t="s">
        <v>56</v>
      </c>
      <c r="B32" s="31">
        <f>B30-B31</f>
        <v>31378881.745845728</v>
      </c>
      <c r="C32" s="52"/>
      <c r="D32" s="52"/>
      <c r="E32" s="52"/>
      <c r="F32" s="52"/>
      <c r="G32" s="52"/>
    </row>
    <row r="33" spans="1:7" s="53" customFormat="1" x14ac:dyDescent="0.35">
      <c r="A33" s="51"/>
      <c r="B33" s="52"/>
      <c r="C33" s="52"/>
      <c r="D33" s="52"/>
      <c r="E33" s="52"/>
      <c r="F33" s="52"/>
      <c r="G33" s="52"/>
    </row>
    <row r="34" spans="1:7" s="22" customFormat="1" ht="19" thickBot="1" x14ac:dyDescent="0.5">
      <c r="A34" s="75" t="s">
        <v>58</v>
      </c>
      <c r="B34" s="76">
        <f t="shared" ref="B34" si="17">B30*$B$71</f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ht="15" thickTop="1" x14ac:dyDescent="0.35">
      <c r="A35" s="54" t="s">
        <v>41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35">
      <c r="A36" s="47" t="s">
        <v>42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8" spans="1:7" s="3" customFormat="1" ht="15" customHeight="1" thickBot="1" x14ac:dyDescent="0.5">
      <c r="A38" s="73" t="s">
        <v>59</v>
      </c>
      <c r="B38" s="74"/>
      <c r="C38" s="74">
        <f>C2</f>
        <v>1</v>
      </c>
      <c r="D38" s="74">
        <f t="shared" ref="D38:G38" si="18">D2</f>
        <v>2</v>
      </c>
      <c r="E38" s="74">
        <f t="shared" si="18"/>
        <v>3</v>
      </c>
      <c r="F38" s="74">
        <f t="shared" si="18"/>
        <v>4</v>
      </c>
      <c r="G38" s="74">
        <f t="shared" si="18"/>
        <v>5</v>
      </c>
    </row>
    <row r="39" spans="1:7" s="3" customFormat="1" ht="15" thickTop="1" x14ac:dyDescent="0.35">
      <c r="A39" s="34" t="s">
        <v>1</v>
      </c>
      <c r="B39" s="34"/>
      <c r="C39" s="35">
        <f>C3</f>
        <v>27500000</v>
      </c>
      <c r="D39" s="35">
        <f t="shared" ref="D39:G39" si="19">D3</f>
        <v>34450000</v>
      </c>
      <c r="E39" s="35">
        <f t="shared" si="19"/>
        <v>42750000</v>
      </c>
      <c r="F39" s="35">
        <f t="shared" si="19"/>
        <v>49300000</v>
      </c>
      <c r="G39" s="35">
        <f t="shared" si="19"/>
        <v>53400000</v>
      </c>
    </row>
    <row r="40" spans="1:7" s="16" customFormat="1" x14ac:dyDescent="0.35">
      <c r="A40" s="36" t="str">
        <f>A7</f>
        <v>(-) CMV</v>
      </c>
      <c r="B40" s="36"/>
      <c r="C40" s="37">
        <f>C7</f>
        <v>-13200000</v>
      </c>
      <c r="D40" s="37">
        <f t="shared" ref="D40:G40" si="20">D7</f>
        <v>-18200000</v>
      </c>
      <c r="E40" s="37">
        <f t="shared" si="20"/>
        <v>-23250000</v>
      </c>
      <c r="F40" s="37">
        <f t="shared" si="20"/>
        <v>-27200000</v>
      </c>
      <c r="G40" s="37">
        <f t="shared" si="20"/>
        <v>-29370000</v>
      </c>
    </row>
    <row r="41" spans="1:7" s="3" customFormat="1" x14ac:dyDescent="0.35">
      <c r="A41" s="34" t="str">
        <f>A8</f>
        <v>(=) Lucro Bruto</v>
      </c>
      <c r="B41" s="34"/>
      <c r="C41" s="35">
        <f>C39+C40</f>
        <v>14300000</v>
      </c>
      <c r="D41" s="35">
        <f t="shared" ref="D41:G41" si="21">D39+D40</f>
        <v>16250000</v>
      </c>
      <c r="E41" s="35">
        <f t="shared" si="21"/>
        <v>19500000</v>
      </c>
      <c r="F41" s="35">
        <f t="shared" si="21"/>
        <v>22100000</v>
      </c>
      <c r="G41" s="35">
        <f t="shared" si="21"/>
        <v>24030000</v>
      </c>
    </row>
    <row r="42" spans="1:7" s="16" customFormat="1" x14ac:dyDescent="0.35">
      <c r="A42" s="36" t="str">
        <f>A10</f>
        <v>(-) Despesas Operacionais</v>
      </c>
      <c r="B42" s="36"/>
      <c r="C42" s="37">
        <f>C10</f>
        <v>-6590000</v>
      </c>
      <c r="D42" s="37">
        <f t="shared" ref="D42:G42" si="22">D10</f>
        <v>-7690000</v>
      </c>
      <c r="E42" s="37">
        <f t="shared" si="22"/>
        <v>-9040000</v>
      </c>
      <c r="F42" s="37">
        <f t="shared" si="22"/>
        <v>-10240000</v>
      </c>
      <c r="G42" s="37">
        <f t="shared" si="22"/>
        <v>-11440000</v>
      </c>
    </row>
    <row r="43" spans="1:7" s="3" customFormat="1" x14ac:dyDescent="0.35">
      <c r="A43" s="34" t="s">
        <v>43</v>
      </c>
      <c r="B43" s="34"/>
      <c r="C43" s="35">
        <f>C41+C42</f>
        <v>7710000</v>
      </c>
      <c r="D43" s="35">
        <f t="shared" ref="D43:G43" si="23">D41+D42</f>
        <v>8560000</v>
      </c>
      <c r="E43" s="35">
        <f t="shared" si="23"/>
        <v>10460000</v>
      </c>
      <c r="F43" s="35">
        <f t="shared" si="23"/>
        <v>11860000</v>
      </c>
      <c r="G43" s="35">
        <f t="shared" si="23"/>
        <v>12590000</v>
      </c>
    </row>
    <row r="44" spans="1:7" s="16" customFormat="1" x14ac:dyDescent="0.35">
      <c r="A44" s="36" t="s">
        <v>42</v>
      </c>
      <c r="B44" s="36"/>
      <c r="C44" s="38">
        <f>C36</f>
        <v>0</v>
      </c>
      <c r="D44" s="38">
        <f t="shared" ref="D44:G44" si="24">D36</f>
        <v>0</v>
      </c>
      <c r="E44" s="38">
        <f t="shared" si="24"/>
        <v>0</v>
      </c>
      <c r="F44" s="38">
        <f t="shared" si="24"/>
        <v>0</v>
      </c>
      <c r="G44" s="38">
        <f t="shared" si="24"/>
        <v>0</v>
      </c>
    </row>
    <row r="45" spans="1:7" x14ac:dyDescent="0.35">
      <c r="A45" s="34" t="s">
        <v>44</v>
      </c>
      <c r="B45" s="39"/>
      <c r="C45" s="35">
        <f>C43+C44</f>
        <v>7710000</v>
      </c>
      <c r="D45" s="35">
        <f t="shared" ref="D45:G45" si="25">D43+D44</f>
        <v>8560000</v>
      </c>
      <c r="E45" s="35">
        <f t="shared" si="25"/>
        <v>10460000</v>
      </c>
      <c r="F45" s="35">
        <f t="shared" si="25"/>
        <v>11860000</v>
      </c>
      <c r="G45" s="35">
        <f t="shared" si="25"/>
        <v>12590000</v>
      </c>
    </row>
    <row r="46" spans="1:7" s="16" customFormat="1" x14ac:dyDescent="0.35">
      <c r="A46" s="36" t="s">
        <v>17</v>
      </c>
      <c r="B46" s="36"/>
      <c r="C46" s="37">
        <f>-34%*C45</f>
        <v>-2621400</v>
      </c>
      <c r="D46" s="37">
        <f t="shared" ref="D46:G46" si="26">-34%*D45</f>
        <v>-2910400</v>
      </c>
      <c r="E46" s="37">
        <f t="shared" si="26"/>
        <v>-3556400.0000000005</v>
      </c>
      <c r="F46" s="37">
        <f t="shared" si="26"/>
        <v>-4032400.0000000005</v>
      </c>
      <c r="G46" s="37">
        <f t="shared" si="26"/>
        <v>-4280600</v>
      </c>
    </row>
    <row r="47" spans="1:7" s="3" customFormat="1" ht="15" thickBot="1" x14ac:dyDescent="0.4">
      <c r="A47" s="40" t="s">
        <v>18</v>
      </c>
      <c r="B47" s="40"/>
      <c r="C47" s="41">
        <f>C45+C46</f>
        <v>5088600</v>
      </c>
      <c r="D47" s="41">
        <f t="shared" ref="D47:G47" si="27">D45+D46</f>
        <v>5649600</v>
      </c>
      <c r="E47" s="41">
        <f t="shared" si="27"/>
        <v>6903600</v>
      </c>
      <c r="F47" s="41">
        <f t="shared" si="27"/>
        <v>7827600</v>
      </c>
      <c r="G47" s="41">
        <f t="shared" si="27"/>
        <v>8309400</v>
      </c>
    </row>
    <row r="48" spans="1:7" ht="15.5" thickTop="1" thickBot="1" x14ac:dyDescent="0.4">
      <c r="A48" s="43" t="s">
        <v>45</v>
      </c>
      <c r="B48" s="44">
        <v>0.5</v>
      </c>
      <c r="C48" s="45">
        <f>C47*$B$48</f>
        <v>2544300</v>
      </c>
      <c r="D48" s="45">
        <f t="shared" ref="D48:G48" si="28">D47*$B$48</f>
        <v>2824800</v>
      </c>
      <c r="E48" s="45">
        <f t="shared" si="28"/>
        <v>3451800</v>
      </c>
      <c r="F48" s="45">
        <f t="shared" si="28"/>
        <v>3913800</v>
      </c>
      <c r="G48" s="45">
        <f t="shared" si="28"/>
        <v>4154700</v>
      </c>
    </row>
    <row r="49" spans="1:7" ht="15" thickTop="1" x14ac:dyDescent="0.35">
      <c r="A49" s="3"/>
    </row>
    <row r="50" spans="1:7" s="3" customFormat="1" ht="15" thickBot="1" x14ac:dyDescent="0.4">
      <c r="A50" s="74" t="s">
        <v>60</v>
      </c>
      <c r="B50" s="74"/>
      <c r="C50" s="78">
        <f>C38</f>
        <v>1</v>
      </c>
      <c r="D50" s="78">
        <f t="shared" ref="D50:G50" si="29">D38</f>
        <v>2</v>
      </c>
      <c r="E50" s="78">
        <f t="shared" si="29"/>
        <v>3</v>
      </c>
      <c r="F50" s="78">
        <f t="shared" si="29"/>
        <v>4</v>
      </c>
      <c r="G50" s="78">
        <f t="shared" si="29"/>
        <v>5</v>
      </c>
    </row>
    <row r="51" spans="1:7" ht="15" thickTop="1" x14ac:dyDescent="0.35">
      <c r="A51" s="3" t="str">
        <f>A26</f>
        <v>(=) Fluxo de Caixa Livre</v>
      </c>
      <c r="C51" s="19">
        <f>C26</f>
        <v>1378600</v>
      </c>
      <c r="D51" s="19">
        <f t="shared" ref="D51:G51" si="30">D26</f>
        <v>2739600</v>
      </c>
      <c r="E51" s="19">
        <f t="shared" si="30"/>
        <v>3943600</v>
      </c>
      <c r="F51" s="19">
        <f t="shared" si="30"/>
        <v>5067600</v>
      </c>
      <c r="G51" s="19">
        <f t="shared" si="30"/>
        <v>5799400</v>
      </c>
    </row>
    <row r="52" spans="1:7" x14ac:dyDescent="0.35">
      <c r="A52" s="3" t="s">
        <v>51</v>
      </c>
      <c r="C52" s="1">
        <f>C36*(1-0.34)</f>
        <v>0</v>
      </c>
      <c r="D52" s="1">
        <f t="shared" ref="D52:G52" si="31">D36*(1-0.34)</f>
        <v>0</v>
      </c>
      <c r="E52" s="1">
        <f t="shared" si="31"/>
        <v>0</v>
      </c>
      <c r="F52" s="1">
        <f t="shared" si="31"/>
        <v>0</v>
      </c>
      <c r="G52" s="1">
        <f t="shared" si="31"/>
        <v>0</v>
      </c>
    </row>
    <row r="53" spans="1:7" x14ac:dyDescent="0.35">
      <c r="A53" s="3" t="s">
        <v>52</v>
      </c>
      <c r="C53" s="32">
        <f>C35</f>
        <v>0</v>
      </c>
      <c r="D53" s="32">
        <f t="shared" ref="D53:G53" si="32">D35</f>
        <v>0</v>
      </c>
      <c r="E53" s="32">
        <f t="shared" si="32"/>
        <v>0</v>
      </c>
      <c r="F53" s="32">
        <f t="shared" si="32"/>
        <v>0</v>
      </c>
      <c r="G53" s="32">
        <f t="shared" si="32"/>
        <v>0</v>
      </c>
    </row>
    <row r="54" spans="1:7" x14ac:dyDescent="0.35">
      <c r="A54" s="3" t="s">
        <v>53</v>
      </c>
      <c r="C54" s="19">
        <f>-C48</f>
        <v>-2544300</v>
      </c>
      <c r="D54" s="19">
        <f t="shared" ref="D54:G54" si="33">-D48</f>
        <v>-2824800</v>
      </c>
      <c r="E54" s="19">
        <f t="shared" si="33"/>
        <v>-3451800</v>
      </c>
      <c r="F54" s="19">
        <f t="shared" si="33"/>
        <v>-3913800</v>
      </c>
      <c r="G54" s="19">
        <f t="shared" si="33"/>
        <v>-4154700</v>
      </c>
    </row>
    <row r="55" spans="1:7" s="3" customFormat="1" ht="15" thickBot="1" x14ac:dyDescent="0.4">
      <c r="A55" s="42" t="s">
        <v>54</v>
      </c>
      <c r="B55" s="42"/>
      <c r="C55" s="46">
        <f>SUM(C51:C54)</f>
        <v>-1165700</v>
      </c>
      <c r="D55" s="46">
        <f>SUM(D51:D54)</f>
        <v>-85200</v>
      </c>
      <c r="E55" s="46">
        <f t="shared" ref="E55:G55" si="34">SUM(E51:E54)</f>
        <v>491800</v>
      </c>
      <c r="F55" s="46">
        <f t="shared" si="34"/>
        <v>1153800</v>
      </c>
      <c r="G55" s="46">
        <f t="shared" si="34"/>
        <v>1644700</v>
      </c>
    </row>
    <row r="56" spans="1:7" ht="15" thickTop="1" x14ac:dyDescent="0.35">
      <c r="A56" s="3"/>
    </row>
    <row r="57" spans="1:7" ht="15" thickBot="1" x14ac:dyDescent="0.4">
      <c r="A57" s="74" t="s">
        <v>61</v>
      </c>
      <c r="B57" s="74">
        <v>0</v>
      </c>
      <c r="C57" s="78">
        <f>C50</f>
        <v>1</v>
      </c>
      <c r="D57" s="78">
        <f t="shared" ref="D57:G57" si="35">D50</f>
        <v>2</v>
      </c>
      <c r="E57" s="78">
        <f t="shared" si="35"/>
        <v>3</v>
      </c>
      <c r="F57" s="78">
        <f t="shared" si="35"/>
        <v>4</v>
      </c>
      <c r="G57" s="78">
        <f t="shared" si="35"/>
        <v>5</v>
      </c>
    </row>
    <row r="58" spans="1:7" ht="15" thickTop="1" x14ac:dyDescent="0.35">
      <c r="A58" s="14" t="s">
        <v>29</v>
      </c>
      <c r="B58" s="18">
        <f>B60+B61</f>
        <v>25000000</v>
      </c>
      <c r="C58" s="18">
        <f>SUM(C59:C61)</f>
        <v>28544300</v>
      </c>
      <c r="D58" s="18">
        <f t="shared" ref="D58:G58" si="36">SUM(D59:D61)</f>
        <v>31669100</v>
      </c>
      <c r="E58" s="18">
        <f t="shared" si="36"/>
        <v>35320900</v>
      </c>
      <c r="F58" s="18">
        <f t="shared" si="36"/>
        <v>39534700</v>
      </c>
      <c r="G58" s="18">
        <f t="shared" si="36"/>
        <v>43889400</v>
      </c>
    </row>
    <row r="59" spans="1:7" s="16" customFormat="1" x14ac:dyDescent="0.35">
      <c r="A59" s="58" t="s">
        <v>49</v>
      </c>
      <c r="B59" s="59">
        <v>0</v>
      </c>
      <c r="C59" s="59">
        <f>B59+C55</f>
        <v>-1165700</v>
      </c>
      <c r="D59" s="59">
        <f>C59+D55</f>
        <v>-1250900</v>
      </c>
      <c r="E59" s="59">
        <f>D59+E55</f>
        <v>-759100</v>
      </c>
      <c r="F59" s="59">
        <f>E59+F55</f>
        <v>394700</v>
      </c>
      <c r="G59" s="59">
        <f>F59+G55</f>
        <v>2039400</v>
      </c>
    </row>
    <row r="60" spans="1:7" s="20" customFormat="1" x14ac:dyDescent="0.35">
      <c r="A60" s="33" t="s">
        <v>48</v>
      </c>
      <c r="B60" s="21">
        <v>0</v>
      </c>
      <c r="C60" s="63">
        <v>2000000</v>
      </c>
      <c r="D60" s="63">
        <v>2500000</v>
      </c>
      <c r="E60" s="63">
        <v>3000000</v>
      </c>
      <c r="F60" s="63">
        <v>3500000</v>
      </c>
      <c r="G60" s="63">
        <v>3800000</v>
      </c>
    </row>
    <row r="61" spans="1:7" s="16" customFormat="1" x14ac:dyDescent="0.35">
      <c r="A61" s="60" t="s">
        <v>30</v>
      </c>
      <c r="B61" s="61">
        <v>25000000</v>
      </c>
      <c r="C61" s="62">
        <f>B61+C11+C15-C24</f>
        <v>27710000</v>
      </c>
      <c r="D61" s="62">
        <f>C61+D11+D15-D24</f>
        <v>30420000</v>
      </c>
      <c r="E61" s="62">
        <f>D61+E11+E15-E24</f>
        <v>33080000</v>
      </c>
      <c r="F61" s="62">
        <f>E61+F11+F15-F24</f>
        <v>35640000</v>
      </c>
      <c r="G61" s="62">
        <f>F61+G11+G15-G24</f>
        <v>38050000</v>
      </c>
    </row>
    <row r="62" spans="1:7" s="3" customFormat="1" x14ac:dyDescent="0.35">
      <c r="A62" s="56" t="s">
        <v>31</v>
      </c>
      <c r="B62" s="57">
        <f>SUM(B63:B65)</f>
        <v>25000000</v>
      </c>
      <c r="C62" s="57">
        <f>SUM(C63:C65)</f>
        <v>28544300</v>
      </c>
      <c r="D62" s="57">
        <f t="shared" ref="D62:G62" si="37">SUM(D63:D65)</f>
        <v>31669100</v>
      </c>
      <c r="E62" s="57">
        <f t="shared" si="37"/>
        <v>35320900</v>
      </c>
      <c r="F62" s="57">
        <f t="shared" si="37"/>
        <v>39534700</v>
      </c>
      <c r="G62" s="57">
        <f t="shared" si="37"/>
        <v>43889400</v>
      </c>
    </row>
    <row r="63" spans="1:7" s="16" customFormat="1" x14ac:dyDescent="0.35">
      <c r="A63" s="58" t="s">
        <v>32</v>
      </c>
      <c r="B63" s="64"/>
      <c r="C63" s="65">
        <f>1000000</f>
        <v>1000000</v>
      </c>
      <c r="D63" s="65">
        <v>1300000</v>
      </c>
      <c r="E63" s="65">
        <v>1500000</v>
      </c>
      <c r="F63" s="65">
        <v>1800000</v>
      </c>
      <c r="G63" s="65">
        <v>2000000</v>
      </c>
    </row>
    <row r="64" spans="1:7" x14ac:dyDescent="0.35">
      <c r="A64" s="15" t="s">
        <v>46</v>
      </c>
      <c r="B64" s="17">
        <f>B34</f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</row>
    <row r="65" spans="1:7" x14ac:dyDescent="0.35">
      <c r="A65" s="60" t="s">
        <v>47</v>
      </c>
      <c r="B65" s="66">
        <f>25000000-B64</f>
        <v>25000000</v>
      </c>
      <c r="C65" s="67">
        <f>B65+C47-C48</f>
        <v>27544300</v>
      </c>
      <c r="D65" s="67">
        <f>C65+D47-D48</f>
        <v>30369100</v>
      </c>
      <c r="E65" s="67">
        <f>D65+E47-E48</f>
        <v>33820900</v>
      </c>
      <c r="F65" s="67">
        <f>E65+F47-F48</f>
        <v>37734700</v>
      </c>
      <c r="G65" s="67">
        <f>F65+G47-G48</f>
        <v>41889400</v>
      </c>
    </row>
    <row r="66" spans="1:7" x14ac:dyDescent="0.35">
      <c r="C66" s="19">
        <f>C62-C58</f>
        <v>0</v>
      </c>
    </row>
    <row r="69" spans="1:7" ht="15" thickBot="1" x14ac:dyDescent="0.4">
      <c r="A69" s="3" t="s">
        <v>40</v>
      </c>
    </row>
    <row r="70" spans="1:7" x14ac:dyDescent="0.35">
      <c r="A70" s="23" t="s">
        <v>33</v>
      </c>
      <c r="B70" s="24">
        <f>B75*B71+B76*B72</f>
        <v>0.2</v>
      </c>
    </row>
    <row r="71" spans="1:7" x14ac:dyDescent="0.35">
      <c r="A71" s="71" t="s">
        <v>34</v>
      </c>
      <c r="B71" s="72">
        <v>0</v>
      </c>
    </row>
    <row r="72" spans="1:7" x14ac:dyDescent="0.35">
      <c r="A72" s="25" t="s">
        <v>35</v>
      </c>
      <c r="B72" s="26">
        <f>1-B71</f>
        <v>1</v>
      </c>
    </row>
    <row r="73" spans="1:7" x14ac:dyDescent="0.35">
      <c r="A73" s="25" t="s">
        <v>36</v>
      </c>
      <c r="B73" s="27">
        <v>0.17899999999999999</v>
      </c>
    </row>
    <row r="74" spans="1:7" x14ac:dyDescent="0.35">
      <c r="A74" s="25" t="s">
        <v>37</v>
      </c>
      <c r="B74" s="26">
        <v>0.34</v>
      </c>
    </row>
    <row r="75" spans="1:7" x14ac:dyDescent="0.35">
      <c r="A75" s="25" t="s">
        <v>38</v>
      </c>
      <c r="B75" s="28">
        <f>B73*(1-B74)</f>
        <v>0.11813999999999998</v>
      </c>
    </row>
    <row r="76" spans="1:7" ht="15" thickBot="1" x14ac:dyDescent="0.4">
      <c r="A76" s="29" t="s">
        <v>39</v>
      </c>
      <c r="B76" s="30">
        <v>0.2</v>
      </c>
    </row>
  </sheetData>
  <mergeCells count="1">
    <mergeCell ref="B1:G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liliam carrete</dc:creator>
  <cp:lastModifiedBy>liliam carrete</cp:lastModifiedBy>
  <cp:lastPrinted>2016-02-28T21:14:53Z</cp:lastPrinted>
  <dcterms:created xsi:type="dcterms:W3CDTF">2016-02-27T12:07:57Z</dcterms:created>
  <dcterms:modified xsi:type="dcterms:W3CDTF">2018-02-05T14:29:48Z</dcterms:modified>
</cp:coreProperties>
</file>