
<file path=[Content_Types].xml><?xml version="1.0" encoding="utf-8"?>
<Types xmlns="http://schemas.openxmlformats.org/package/2006/content-types"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7436138-8729-42BB-9F35-C786187CF525}" xr6:coauthVersionLast="45" xr6:coauthVersionMax="45" xr10:uidLastSave="{00000000-0000-0000-0000-000000000000}"/>
  <bookViews>
    <workbookView xWindow="-120" yWindow="-120" windowWidth="20730" windowHeight="11160" xr2:uid="{1143331B-A56B-4083-831E-F2903833BE98}"/>
  </bookViews>
  <sheets>
    <sheet name="Exercício 1" sheetId="6" r:id="rId1"/>
    <sheet name="Exercício 2" sheetId="7" r:id="rId2"/>
    <sheet name="Exercício 3" sheetId="8" r:id="rId3"/>
    <sheet name="Exercício 4" sheetId="2" r:id="rId4"/>
    <sheet name="Exercício 5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8" l="1"/>
  <c r="M22" i="8"/>
  <c r="U18" i="8"/>
  <c r="U16" i="8"/>
  <c r="S16" i="8"/>
  <c r="U15" i="8"/>
  <c r="U14" i="8"/>
  <c r="S14" i="8"/>
  <c r="R15" i="8"/>
  <c r="R14" i="8"/>
  <c r="U13" i="8"/>
  <c r="S13" i="8"/>
  <c r="U11" i="8"/>
  <c r="U12" i="8"/>
  <c r="U10" i="8"/>
  <c r="N10" i="8"/>
  <c r="U9" i="8"/>
  <c r="S9" i="8"/>
  <c r="U8" i="8"/>
  <c r="U7" i="8"/>
  <c r="S7" i="8"/>
  <c r="R7" i="8"/>
  <c r="U6" i="8"/>
  <c r="S6" i="8"/>
  <c r="U5" i="8"/>
  <c r="O5" i="8"/>
  <c r="O18" i="8" s="1"/>
  <c r="U4" i="8"/>
  <c r="S4" i="8"/>
  <c r="R4" i="8"/>
  <c r="P18" i="8"/>
  <c r="M18" i="8"/>
  <c r="T3" i="8"/>
  <c r="S3" i="8"/>
  <c r="U3" i="8" s="1"/>
  <c r="N3" i="8"/>
  <c r="B21" i="8"/>
  <c r="B22" i="8"/>
  <c r="J18" i="8"/>
  <c r="E18" i="8"/>
  <c r="G18" i="8"/>
  <c r="D18" i="8"/>
  <c r="B18" i="8"/>
  <c r="J17" i="8"/>
  <c r="H17" i="8"/>
  <c r="J15" i="8"/>
  <c r="J16" i="8"/>
  <c r="J14" i="8"/>
  <c r="H16" i="8"/>
  <c r="I15" i="8"/>
  <c r="I14" i="8"/>
  <c r="G14" i="8"/>
  <c r="J13" i="8"/>
  <c r="H13" i="8"/>
  <c r="J12" i="8"/>
  <c r="I12" i="8"/>
  <c r="J11" i="8"/>
  <c r="I11" i="8"/>
  <c r="H11" i="8"/>
  <c r="J10" i="8"/>
  <c r="C10" i="8"/>
  <c r="J9" i="8"/>
  <c r="H9" i="8"/>
  <c r="J8" i="8"/>
  <c r="H8" i="8"/>
  <c r="J7" i="8"/>
  <c r="G7" i="8"/>
  <c r="J6" i="8"/>
  <c r="H6" i="8"/>
  <c r="J5" i="8"/>
  <c r="D5" i="8"/>
  <c r="J4" i="8"/>
  <c r="H4" i="8"/>
  <c r="G4" i="8"/>
  <c r="J3" i="8"/>
  <c r="I3" i="8"/>
  <c r="H3" i="8"/>
  <c r="C3" i="8"/>
  <c r="C17" i="7"/>
  <c r="B17" i="7"/>
  <c r="C15" i="7"/>
  <c r="C14" i="7"/>
  <c r="B15" i="7"/>
  <c r="B14" i="7"/>
  <c r="C13" i="7"/>
  <c r="B22" i="6"/>
  <c r="B21" i="6"/>
  <c r="B17" i="6"/>
  <c r="B14" i="6"/>
  <c r="B13" i="6"/>
  <c r="B12" i="6"/>
  <c r="B11" i="6"/>
  <c r="B7" i="6"/>
  <c r="R18" i="8" l="1"/>
  <c r="E37" i="4" l="1"/>
  <c r="E36" i="4"/>
  <c r="E35" i="4"/>
  <c r="E34" i="4"/>
  <c r="E31" i="4"/>
  <c r="E32" i="4"/>
  <c r="E30" i="4"/>
  <c r="C32" i="4"/>
  <c r="D32" i="4"/>
  <c r="B32" i="4"/>
  <c r="C31" i="4"/>
  <c r="D31" i="4"/>
  <c r="B31" i="4"/>
  <c r="C30" i="4"/>
  <c r="D30" i="4"/>
  <c r="B30" i="4"/>
  <c r="C25" i="4"/>
  <c r="D25" i="4"/>
  <c r="B25" i="4"/>
  <c r="C24" i="4"/>
  <c r="D24" i="4"/>
  <c r="B24" i="4"/>
  <c r="C23" i="4"/>
  <c r="D23" i="4"/>
  <c r="B23" i="4"/>
  <c r="C22" i="4"/>
  <c r="D22" i="4"/>
  <c r="B22" i="4"/>
  <c r="C21" i="4"/>
  <c r="D21" i="4"/>
  <c r="B21" i="4"/>
  <c r="E17" i="4"/>
  <c r="D17" i="4"/>
  <c r="C17" i="4"/>
  <c r="B17" i="4"/>
  <c r="D16" i="4"/>
  <c r="C15" i="4"/>
  <c r="B14" i="4"/>
  <c r="D12" i="4"/>
  <c r="D11" i="4"/>
  <c r="C11" i="4"/>
  <c r="B11" i="4"/>
  <c r="C10" i="4"/>
  <c r="C12" i="4" s="1"/>
  <c r="D10" i="4"/>
  <c r="B10" i="4"/>
  <c r="B12" i="4" s="1"/>
  <c r="E12" i="4" s="1"/>
  <c r="I25" i="2" l="1"/>
  <c r="J25" i="2"/>
  <c r="H25" i="2"/>
  <c r="K25" i="2" s="1"/>
  <c r="I24" i="2"/>
  <c r="J24" i="2"/>
  <c r="H24" i="2"/>
  <c r="I23" i="2"/>
  <c r="J23" i="2"/>
  <c r="H23" i="2"/>
  <c r="K23" i="2" s="1"/>
  <c r="I22" i="2"/>
  <c r="J22" i="2"/>
  <c r="H22" i="2"/>
  <c r="I21" i="2"/>
  <c r="J21" i="2"/>
  <c r="H21" i="2"/>
  <c r="K21" i="2" s="1"/>
  <c r="I20" i="2"/>
  <c r="J20" i="2"/>
  <c r="H20" i="2"/>
  <c r="K20" i="2"/>
  <c r="I12" i="2"/>
  <c r="J12" i="2"/>
  <c r="K12" i="2"/>
  <c r="H12" i="2"/>
  <c r="I11" i="2"/>
  <c r="J11" i="2"/>
  <c r="K11" i="2"/>
  <c r="H11" i="2"/>
  <c r="I10" i="2"/>
  <c r="J10" i="2"/>
  <c r="K10" i="2"/>
  <c r="H10" i="2"/>
  <c r="I9" i="2"/>
  <c r="J9" i="2"/>
  <c r="K9" i="2"/>
  <c r="H9" i="2"/>
  <c r="I8" i="2"/>
  <c r="J8" i="2"/>
  <c r="K8" i="2"/>
  <c r="H8" i="2"/>
  <c r="K7" i="2"/>
  <c r="I7" i="2"/>
  <c r="J7" i="2"/>
  <c r="H7" i="2"/>
  <c r="E23" i="2"/>
  <c r="K4" i="2" s="1"/>
  <c r="E24" i="2"/>
  <c r="K5" i="2" s="1"/>
  <c r="E25" i="2"/>
  <c r="K6" i="2" s="1"/>
  <c r="E26" i="2"/>
  <c r="E27" i="2"/>
  <c r="E28" i="2"/>
  <c r="E29" i="2"/>
  <c r="E30" i="2"/>
  <c r="E31" i="2"/>
  <c r="E22" i="2"/>
  <c r="J3" i="2" s="1"/>
  <c r="J16" i="2" s="1"/>
  <c r="I6" i="2" l="1"/>
  <c r="I19" i="2" s="1"/>
  <c r="J6" i="2"/>
  <c r="J19" i="2" s="1"/>
  <c r="H6" i="2"/>
  <c r="H19" i="2" s="1"/>
  <c r="K19" i="2" s="1"/>
  <c r="J5" i="2"/>
  <c r="J18" i="2" s="1"/>
  <c r="I5" i="2"/>
  <c r="I18" i="2" s="1"/>
  <c r="H5" i="2"/>
  <c r="H18" i="2" s="1"/>
  <c r="H4" i="2"/>
  <c r="H17" i="2" s="1"/>
  <c r="J4" i="2"/>
  <c r="J17" i="2" s="1"/>
  <c r="J26" i="2" s="1"/>
  <c r="J32" i="2" s="1"/>
  <c r="J33" i="2" s="1"/>
  <c r="J34" i="2" s="1"/>
  <c r="I4" i="2"/>
  <c r="I17" i="2" s="1"/>
  <c r="I3" i="2"/>
  <c r="I16" i="2" s="1"/>
  <c r="H3" i="2"/>
  <c r="H16" i="2" s="1"/>
  <c r="K3" i="2"/>
  <c r="K24" i="2"/>
  <c r="K22" i="2"/>
  <c r="K18" i="2" l="1"/>
  <c r="K17" i="2"/>
  <c r="I26" i="2"/>
  <c r="I32" i="2" s="1"/>
  <c r="I33" i="2" s="1"/>
  <c r="I34" i="2" s="1"/>
  <c r="H26" i="2"/>
  <c r="H32" i="2" s="1"/>
  <c r="H33" i="2" s="1"/>
  <c r="H34" i="2" s="1"/>
  <c r="K16" i="2"/>
  <c r="K26" i="2" s="1"/>
</calcChain>
</file>

<file path=xl/sharedStrings.xml><?xml version="1.0" encoding="utf-8"?>
<sst xmlns="http://schemas.openxmlformats.org/spreadsheetml/2006/main" count="229" uniqueCount="143">
  <si>
    <t>Taxa de aplicação de CIF</t>
  </si>
  <si>
    <t>Levantamento das atividades relevantes de cada departamento</t>
  </si>
  <si>
    <t>Departamentos</t>
  </si>
  <si>
    <t>Atividades</t>
  </si>
  <si>
    <t>Custos</t>
  </si>
  <si>
    <t>Compras</t>
  </si>
  <si>
    <t>Almoxarifado</t>
  </si>
  <si>
    <t>Adm. Produção</t>
  </si>
  <si>
    <t>Corte e Costura</t>
  </si>
  <si>
    <t>Acabamento</t>
  </si>
  <si>
    <t>•Comprar materiais</t>
  </si>
  <si>
    <t>•Desenvolver Fornecedores</t>
  </si>
  <si>
    <t>•Receber materiais</t>
  </si>
  <si>
    <t>•Movimentar materiais</t>
  </si>
  <si>
    <t>•Programar produção</t>
  </si>
  <si>
    <t>•Controlar produção</t>
  </si>
  <si>
    <t>•Cortar</t>
  </si>
  <si>
    <t>•Costurar</t>
  </si>
  <si>
    <t>•Acabar</t>
  </si>
  <si>
    <t>•Despachar produtos</t>
  </si>
  <si>
    <t>Camisetas</t>
  </si>
  <si>
    <t>Vestidos</t>
  </si>
  <si>
    <t>Calças</t>
  </si>
  <si>
    <t>Custo com matérias-primas</t>
  </si>
  <si>
    <t>$ 4,00 por unidade</t>
  </si>
  <si>
    <t>R$ 30,00 por unidade</t>
  </si>
  <si>
    <t>R$ 8,00 por unidade</t>
  </si>
  <si>
    <t>Quantidades fabricadas</t>
  </si>
  <si>
    <t>Custo com mão-de-obra direta</t>
  </si>
  <si>
    <t>$ 2,00 por unidade</t>
  </si>
  <si>
    <t>R$ 7,00 por unidade</t>
  </si>
  <si>
    <t>R$ 3,00 por unidade</t>
  </si>
  <si>
    <t>Custos Diretos</t>
  </si>
  <si>
    <t>Custos Indiretos</t>
  </si>
  <si>
    <t>•Nº de pedidos</t>
  </si>
  <si>
    <t>•Nº de fornecedores</t>
  </si>
  <si>
    <t>•Nº de recebimentos</t>
  </si>
  <si>
    <t>•Nº de requisições</t>
  </si>
  <si>
    <t>•Nº de produtos</t>
  </si>
  <si>
    <t>•Nº de lotes</t>
  </si>
  <si>
    <t>•Tempo de corte</t>
  </si>
  <si>
    <t>•Tempo de costura</t>
  </si>
  <si>
    <t>•Tempo de acabamento</t>
  </si>
  <si>
    <t>•Tempo de despacho</t>
  </si>
  <si>
    <t>Direcionadores de Custos</t>
  </si>
  <si>
    <t>Itens</t>
  </si>
  <si>
    <t>Total</t>
  </si>
  <si>
    <t>nº de pedidos</t>
  </si>
  <si>
    <t>nº de fornecedores</t>
  </si>
  <si>
    <t>nº de recebimentos</t>
  </si>
  <si>
    <t>nº de requisições</t>
  </si>
  <si>
    <t>nº de produtos</t>
  </si>
  <si>
    <t>nº de lotes</t>
  </si>
  <si>
    <t>horas utilizadas para cortar</t>
  </si>
  <si>
    <t>horas utilizadas para costurar</t>
  </si>
  <si>
    <t>horas utilizadas para acabar</t>
  </si>
  <si>
    <t>horas utilizadas para despachar</t>
  </si>
  <si>
    <t>Cálculo das Porcentagens para Rateio dos Custos Indiretos</t>
  </si>
  <si>
    <t>Rateio dos Custos indiretos</t>
  </si>
  <si>
    <t>total</t>
  </si>
  <si>
    <t>Custos indiretos unitários</t>
  </si>
  <si>
    <t>Custo total</t>
  </si>
  <si>
    <t>Custos Unitários/Totais</t>
  </si>
  <si>
    <t>15.000</t>
  </si>
  <si>
    <t>13.000</t>
  </si>
  <si>
    <t>12.000</t>
  </si>
  <si>
    <t>17.500</t>
  </si>
  <si>
    <t>18.000</t>
  </si>
  <si>
    <t>14.000</t>
  </si>
  <si>
    <t>30.000</t>
  </si>
  <si>
    <t>27.000</t>
  </si>
  <si>
    <t>25.000</t>
  </si>
  <si>
    <t>Preço de Venda</t>
  </si>
  <si>
    <t>Peças</t>
  </si>
  <si>
    <t>Barrotes</t>
  </si>
  <si>
    <t>Ripas</t>
  </si>
  <si>
    <t>Quantidades Produzidas</t>
  </si>
  <si>
    <t>Quantidades vendidas</t>
  </si>
  <si>
    <t>Estoque inicial</t>
  </si>
  <si>
    <t>Custos específicos</t>
  </si>
  <si>
    <t>Custos específicos (por unidade)</t>
  </si>
  <si>
    <t>R$ 6,90</t>
  </si>
  <si>
    <t>R$ 4,10</t>
  </si>
  <si>
    <t>R$ 1,20</t>
  </si>
  <si>
    <t>Valor de Venda</t>
  </si>
  <si>
    <t>(-) Custo de processamento adicional</t>
  </si>
  <si>
    <t>Valor realizável líquido no ponto de separação</t>
  </si>
  <si>
    <t>Proporção</t>
  </si>
  <si>
    <t>Custos conjuntos rateados</t>
  </si>
  <si>
    <t>52.400/123.100</t>
  </si>
  <si>
    <t>32.700/ 123.100</t>
  </si>
  <si>
    <t>38.000/ 123.100</t>
  </si>
  <si>
    <t>Alocação de Custos</t>
  </si>
  <si>
    <t xml:space="preserve">Barrotes </t>
  </si>
  <si>
    <t>Custos Conjuntos Rateados</t>
  </si>
  <si>
    <t>Custos Totais</t>
  </si>
  <si>
    <t>Quanidades fabricadas</t>
  </si>
  <si>
    <t>Custo unitário</t>
  </si>
  <si>
    <t>DRE</t>
  </si>
  <si>
    <t>Receitas</t>
  </si>
  <si>
    <t>(-) CPV</t>
  </si>
  <si>
    <t>(=) Lucro Bruto</t>
  </si>
  <si>
    <t>(-) Despesas Operacionais</t>
  </si>
  <si>
    <t>(=) Lucro Operacional antes IR</t>
  </si>
  <si>
    <t>(-) Provisão IR e CSSL (34%)</t>
  </si>
  <si>
    <t>(=) Lucro Líquido</t>
  </si>
  <si>
    <t>Margem Líquida</t>
  </si>
  <si>
    <t>Data</t>
  </si>
  <si>
    <t>Entrada</t>
  </si>
  <si>
    <t>Saída</t>
  </si>
  <si>
    <t>Saldo</t>
  </si>
  <si>
    <t>Qtde</t>
  </si>
  <si>
    <t>Pr. Unitário</t>
  </si>
  <si>
    <t>Produto X</t>
  </si>
  <si>
    <t>Produto Y</t>
  </si>
  <si>
    <t>Fixos</t>
  </si>
  <si>
    <t>Variáveis</t>
  </si>
  <si>
    <t>Nível previsto de atividades (em horas)</t>
  </si>
  <si>
    <t>Questão a</t>
  </si>
  <si>
    <t>Resposta</t>
  </si>
  <si>
    <t>Questão b</t>
  </si>
  <si>
    <t>Taxa estimada a partir de 19.000 horas</t>
  </si>
  <si>
    <t>Total dos custos fixos</t>
  </si>
  <si>
    <t>Total dos custos variáveis</t>
  </si>
  <si>
    <t>Total dos custos</t>
  </si>
  <si>
    <t>taxa de aplicação dos CIFs considerando-se 19.000 horas</t>
  </si>
  <si>
    <t>Questão c</t>
  </si>
  <si>
    <t>Custos indiretos aplicados</t>
  </si>
  <si>
    <t>ajustado para um nível de atividade de 19.000 horas</t>
  </si>
  <si>
    <t>Questão d</t>
  </si>
  <si>
    <t>custos indiretos reais</t>
  </si>
  <si>
    <t>Variação</t>
  </si>
  <si>
    <t>(-) CDV</t>
  </si>
  <si>
    <t>(=) Margem de Contribuição unitária</t>
  </si>
  <si>
    <t>Fator restritivo (tempo de fabricação)</t>
  </si>
  <si>
    <t>(=) Margem de contribuição por fator restritivo</t>
  </si>
  <si>
    <t>Receita unitária</t>
  </si>
  <si>
    <t>UEPS(LIFO)</t>
  </si>
  <si>
    <t>DRE-Baseando-se UEPS</t>
  </si>
  <si>
    <t>Receita</t>
  </si>
  <si>
    <t>(=) Lucro bruto</t>
  </si>
  <si>
    <t>PEPS (FIFO)</t>
  </si>
  <si>
    <t>DRE-Baseando-se PEPS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</si>
</sst>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3" xfId="0" applyBorder="1"/>
    <xf numFmtId="3" fontId="0" fillId="0" borderId="4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0" fillId="0" borderId="5" xfId="0" applyBorder="1"/>
    <xf numFmtId="4" fontId="0" fillId="0" borderId="6" xfId="0" applyNumberFormat="1" applyBorder="1" applyAlignment="1">
      <alignment horizontal="center"/>
    </xf>
    <xf numFmtId="4" fontId="0" fillId="0" borderId="0" xfId="0" applyNumberFormat="1"/>
    <xf numFmtId="4" fontId="0" fillId="0" borderId="8" xfId="0" applyNumberFormat="1" applyBorder="1" applyAlignment="1">
      <alignment horizontal="center"/>
    </xf>
    <xf numFmtId="0" fontId="0" fillId="0" borderId="4" xfId="0" applyBorder="1"/>
    <xf numFmtId="4" fontId="0" fillId="0" borderId="9" xfId="0" applyNumberFormat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8" xfId="1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/>
    <xf numFmtId="4" fontId="0" fillId="0" borderId="5" xfId="0" applyNumberFormat="1" applyBorder="1"/>
    <xf numFmtId="10" fontId="0" fillId="0" borderId="9" xfId="1" applyNumberFormat="1" applyFont="1" applyBorder="1" applyAlignment="1">
      <alignment horizontal="center"/>
    </xf>
    <xf numFmtId="4" fontId="0" fillId="0" borderId="0" xfId="0" applyNumberFormat="1" applyFill="1" applyBorder="1"/>
    <xf numFmtId="4" fontId="0" fillId="0" borderId="0" xfId="0" applyNumberFormat="1" applyBorder="1" applyAlignment="1">
      <alignment horizontal="center"/>
    </xf>
    <xf numFmtId="4" fontId="0" fillId="0" borderId="8" xfId="1" applyNumberFormat="1" applyFont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4" fontId="0" fillId="0" borderId="4" xfId="1" applyNumberFormat="1" applyFon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9" xfId="0" applyNumberFormat="1" applyBorder="1"/>
    <xf numFmtId="4" fontId="0" fillId="0" borderId="6" xfId="0" applyNumberFormat="1" applyBorder="1"/>
    <xf numFmtId="0" fontId="0" fillId="0" borderId="5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" fontId="0" fillId="2" borderId="8" xfId="0" applyNumberFormat="1" applyFill="1" applyBorder="1"/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0" fontId="0" fillId="0" borderId="0" xfId="0" applyNumberFormat="1"/>
    <xf numFmtId="3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0" borderId="3" xfId="0" applyFont="1" applyBorder="1"/>
    <xf numFmtId="0" fontId="5" fillId="0" borderId="5" xfId="0" applyFont="1" applyBorder="1"/>
    <xf numFmtId="4" fontId="5" fillId="0" borderId="4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4" fillId="0" borderId="4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14" xfId="0" applyFill="1" applyBorder="1" applyAlignment="1">
      <alignment horizontal="center"/>
    </xf>
    <xf numFmtId="4" fontId="0" fillId="5" borderId="0" xfId="0" applyNumberFormat="1" applyFill="1" applyBorder="1" applyAlignment="1">
      <alignment horizontal="center"/>
    </xf>
    <xf numFmtId="4" fontId="0" fillId="5" borderId="15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4" fontId="0" fillId="3" borderId="15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4" fontId="0" fillId="4" borderId="15" xfId="0" applyNumberForma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4" fontId="0" fillId="6" borderId="0" xfId="0" applyNumberFormat="1" applyFill="1" applyBorder="1" applyAlignment="1">
      <alignment horizontal="center"/>
    </xf>
    <xf numFmtId="4" fontId="0" fillId="6" borderId="15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4" fontId="0" fillId="7" borderId="12" xfId="0" applyNumberFormat="1" applyFill="1" applyBorder="1" applyAlignment="1">
      <alignment horizontal="center"/>
    </xf>
    <xf numFmtId="4" fontId="0" fillId="7" borderId="13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1419225</xdr:colOff>
          <xdr:row>9</xdr:row>
          <xdr:rowOff>114300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1A0D4691-B5DD-460D-AD87-24C48AAF2B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14DB6-E68F-4787-8B25-DC447F291106}">
  <dimension ref="A1:G22"/>
  <sheetViews>
    <sheetView tabSelected="1" workbookViewId="0">
      <selection activeCell="B1" sqref="B1"/>
    </sheetView>
  </sheetViews>
  <sheetFormatPr defaultRowHeight="15" x14ac:dyDescent="0.25"/>
  <cols>
    <col min="1" max="1" width="53" style="83" customWidth="1"/>
    <col min="2" max="2" width="16.28515625" style="83" customWidth="1"/>
    <col min="3" max="3" width="12.7109375" style="83" customWidth="1"/>
    <col min="4" max="4" width="9.5703125" style="83" bestFit="1" customWidth="1"/>
    <col min="5" max="5" width="11.28515625" style="83" customWidth="1"/>
    <col min="6" max="6" width="13" style="83" customWidth="1"/>
    <col min="7" max="16384" width="9.140625" style="83"/>
  </cols>
  <sheetData>
    <row r="1" spans="1:7" x14ac:dyDescent="0.25">
      <c r="A1" s="88" t="s">
        <v>4</v>
      </c>
      <c r="B1" s="89"/>
      <c r="C1" s="82"/>
      <c r="D1" s="84"/>
      <c r="E1" s="84"/>
      <c r="F1" s="85"/>
      <c r="G1" s="86"/>
    </row>
    <row r="2" spans="1:7" x14ac:dyDescent="0.25">
      <c r="A2" s="90" t="s">
        <v>115</v>
      </c>
      <c r="B2" s="111">
        <v>3900000</v>
      </c>
      <c r="C2" s="85"/>
      <c r="D2" s="85"/>
      <c r="E2" s="85"/>
      <c r="F2" s="85"/>
      <c r="G2" s="86"/>
    </row>
    <row r="3" spans="1:7" x14ac:dyDescent="0.25">
      <c r="A3" s="90" t="s">
        <v>116</v>
      </c>
      <c r="B3" s="91">
        <v>5500000</v>
      </c>
      <c r="C3" s="85"/>
      <c r="D3" s="87"/>
      <c r="E3" s="85"/>
      <c r="F3" s="85"/>
      <c r="G3" s="86"/>
    </row>
    <row r="4" spans="1:7" ht="15.75" thickBot="1" x14ac:dyDescent="0.3">
      <c r="A4" s="92" t="s">
        <v>117</v>
      </c>
      <c r="B4" s="93">
        <v>16000</v>
      </c>
      <c r="C4" s="85"/>
      <c r="D4" s="87"/>
      <c r="E4" s="85"/>
      <c r="F4" s="85"/>
      <c r="G4" s="86"/>
    </row>
    <row r="5" spans="1:7" ht="15.75" thickBot="1" x14ac:dyDescent="0.3">
      <c r="A5" s="82"/>
      <c r="B5" s="87"/>
      <c r="C5" s="85"/>
      <c r="D5" s="87"/>
      <c r="E5" s="85"/>
      <c r="F5" s="85"/>
      <c r="G5" s="86"/>
    </row>
    <row r="6" spans="1:7" x14ac:dyDescent="0.25">
      <c r="A6" s="94" t="s">
        <v>118</v>
      </c>
      <c r="B6" s="95" t="s">
        <v>119</v>
      </c>
      <c r="C6" s="85"/>
      <c r="D6" s="87"/>
      <c r="E6" s="85"/>
      <c r="F6" s="85"/>
      <c r="G6" s="86"/>
    </row>
    <row r="7" spans="1:7" ht="15.75" thickBot="1" x14ac:dyDescent="0.3">
      <c r="A7" s="96" t="s">
        <v>0</v>
      </c>
      <c r="B7" s="97">
        <f>(B2+B3)/B4</f>
        <v>587.5</v>
      </c>
      <c r="C7" s="85"/>
      <c r="D7" s="87"/>
      <c r="E7" s="85"/>
      <c r="F7" s="85"/>
      <c r="G7" s="86"/>
    </row>
    <row r="8" spans="1:7" ht="15.75" thickBot="1" x14ac:dyDescent="0.3">
      <c r="A8" s="82"/>
      <c r="B8" s="87"/>
      <c r="C8" s="85"/>
      <c r="D8" s="87"/>
      <c r="E8" s="85"/>
      <c r="F8" s="85"/>
      <c r="G8" s="86"/>
    </row>
    <row r="9" spans="1:7" x14ac:dyDescent="0.25">
      <c r="A9" s="98" t="s">
        <v>120</v>
      </c>
      <c r="B9" s="99" t="s">
        <v>119</v>
      </c>
      <c r="C9" s="86"/>
      <c r="D9" s="86"/>
      <c r="E9" s="86"/>
      <c r="F9" s="86"/>
      <c r="G9" s="86"/>
    </row>
    <row r="10" spans="1:7" x14ac:dyDescent="0.25">
      <c r="A10" s="100" t="s">
        <v>121</v>
      </c>
      <c r="B10" s="101"/>
      <c r="C10" s="86"/>
      <c r="D10" s="86"/>
      <c r="E10" s="86"/>
      <c r="F10" s="86"/>
      <c r="G10" s="86"/>
    </row>
    <row r="11" spans="1:7" x14ac:dyDescent="0.25">
      <c r="A11" s="102" t="s">
        <v>122</v>
      </c>
      <c r="B11" s="104">
        <f>B2</f>
        <v>3900000</v>
      </c>
    </row>
    <row r="12" spans="1:7" x14ac:dyDescent="0.25">
      <c r="A12" s="102" t="s">
        <v>123</v>
      </c>
      <c r="B12" s="104">
        <f>(B3/B4)*19000</f>
        <v>6531250</v>
      </c>
      <c r="C12" s="83" t="s">
        <v>128</v>
      </c>
    </row>
    <row r="13" spans="1:7" x14ac:dyDescent="0.25">
      <c r="A13" s="102" t="s">
        <v>124</v>
      </c>
      <c r="B13" s="104">
        <f>B11+B12</f>
        <v>10431250</v>
      </c>
    </row>
    <row r="14" spans="1:7" ht="15.75" thickBot="1" x14ac:dyDescent="0.3">
      <c r="A14" s="103" t="s">
        <v>125</v>
      </c>
      <c r="B14" s="105">
        <f>B13/19000</f>
        <v>549.01315789473688</v>
      </c>
    </row>
    <row r="15" spans="1:7" ht="15.75" thickBot="1" x14ac:dyDescent="0.3"/>
    <row r="16" spans="1:7" x14ac:dyDescent="0.25">
      <c r="A16" s="106" t="s">
        <v>126</v>
      </c>
      <c r="B16" s="107" t="s">
        <v>119</v>
      </c>
    </row>
    <row r="17" spans="1:2" ht="15.75" thickBot="1" x14ac:dyDescent="0.3">
      <c r="A17" s="103" t="s">
        <v>127</v>
      </c>
      <c r="B17" s="105">
        <f>19000*B7</f>
        <v>11162500</v>
      </c>
    </row>
    <row r="18" spans="1:2" ht="15.75" thickBot="1" x14ac:dyDescent="0.3"/>
    <row r="19" spans="1:2" x14ac:dyDescent="0.25">
      <c r="A19" s="109" t="s">
        <v>129</v>
      </c>
      <c r="B19" s="107"/>
    </row>
    <row r="20" spans="1:2" x14ac:dyDescent="0.25">
      <c r="A20" s="110" t="s">
        <v>130</v>
      </c>
      <c r="B20" s="104">
        <v>11800000</v>
      </c>
    </row>
    <row r="21" spans="1:2" x14ac:dyDescent="0.25">
      <c r="A21" s="110" t="s">
        <v>127</v>
      </c>
      <c r="B21" s="104">
        <f>B17</f>
        <v>11162500</v>
      </c>
    </row>
    <row r="22" spans="1:2" ht="15.75" thickBot="1" x14ac:dyDescent="0.3">
      <c r="A22" s="108" t="s">
        <v>131</v>
      </c>
      <c r="B22" s="105">
        <f>B20-B21</f>
        <v>637500</v>
      </c>
    </row>
  </sheetData>
  <mergeCells count="1">
    <mergeCell ref="D1:E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528CC-B7B9-46F0-95CB-71D752D629FD}">
  <dimension ref="A11:C17"/>
  <sheetViews>
    <sheetView showGridLines="0" workbookViewId="0">
      <selection activeCell="A20" sqref="A20"/>
    </sheetView>
  </sheetViews>
  <sheetFormatPr defaultRowHeight="15" x14ac:dyDescent="0.25"/>
  <cols>
    <col min="1" max="1" width="44" customWidth="1"/>
    <col min="2" max="2" width="21" customWidth="1"/>
    <col min="3" max="3" width="23.5703125" customWidth="1"/>
  </cols>
  <sheetData>
    <row r="11" spans="1:3" ht="15.75" thickBot="1" x14ac:dyDescent="0.3"/>
    <row r="12" spans="1:3" x14ac:dyDescent="0.25">
      <c r="A12" s="20" t="s">
        <v>98</v>
      </c>
      <c r="B12" s="14" t="s">
        <v>113</v>
      </c>
      <c r="C12" s="15" t="s">
        <v>114</v>
      </c>
    </row>
    <row r="13" spans="1:3" x14ac:dyDescent="0.25">
      <c r="A13" s="25" t="s">
        <v>136</v>
      </c>
      <c r="B13" s="7">
        <v>189000</v>
      </c>
      <c r="C13" s="3">
        <f>249000</f>
        <v>249000</v>
      </c>
    </row>
    <row r="14" spans="1:3" x14ac:dyDescent="0.25">
      <c r="A14" s="25" t="s">
        <v>132</v>
      </c>
      <c r="B14" s="7">
        <f>(15250+6000+3750)</f>
        <v>25000</v>
      </c>
      <c r="C14" s="3">
        <f>(31750+12000+11250)</f>
        <v>55000</v>
      </c>
    </row>
    <row r="15" spans="1:3" x14ac:dyDescent="0.25">
      <c r="A15" s="25" t="s">
        <v>133</v>
      </c>
      <c r="B15" s="7">
        <f>B13-B14</f>
        <v>164000</v>
      </c>
      <c r="C15" s="3">
        <f>C13-C14</f>
        <v>194000</v>
      </c>
    </row>
    <row r="16" spans="1:3" x14ac:dyDescent="0.25">
      <c r="A16" s="25" t="s">
        <v>134</v>
      </c>
      <c r="B16" s="7">
        <v>60</v>
      </c>
      <c r="C16" s="3">
        <v>90</v>
      </c>
    </row>
    <row r="17" spans="1:3" ht="15.75" thickBot="1" x14ac:dyDescent="0.3">
      <c r="A17" s="42" t="s">
        <v>135</v>
      </c>
      <c r="B17" s="9">
        <f>B15/B16</f>
        <v>2733.3333333333335</v>
      </c>
      <c r="C17" s="5">
        <f>C15/C16</f>
        <v>2155.5555555555557</v>
      </c>
    </row>
  </sheetData>
  <pageMargins left="0.511811024" right="0.511811024" top="0.78740157499999996" bottom="0.78740157499999996" header="0.31496062000000002" footer="0.31496062000000002"/>
  <drawing r:id="rId1"/>
  <legacyDrawing r:id="rId2"/>
  <oleObjects>
    <mc:AlternateContent xmlns:mc="http://schemas.openxmlformats.org/markup-compatibility/2006">
      <mc:Choice Requires="x14">
        <oleObject progId="Word.Document.12" shapeId="7169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1419225</xdr:colOff>
                <xdr:row>9</xdr:row>
                <xdr:rowOff>114300</xdr:rowOff>
              </to>
            </anchor>
          </objectPr>
        </oleObject>
      </mc:Choice>
      <mc:Fallback>
        <oleObject progId="Word.Document.12" shapeId="716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84754-D5F8-4E36-A13A-D1F5E9DB863D}">
  <dimension ref="A1:U23"/>
  <sheetViews>
    <sheetView showGridLines="0" topLeftCell="G1" workbookViewId="0">
      <selection activeCell="I26" sqref="I26"/>
    </sheetView>
  </sheetViews>
  <sheetFormatPr defaultRowHeight="15" x14ac:dyDescent="0.25"/>
  <cols>
    <col min="1" max="1" width="15.140625" customWidth="1"/>
    <col min="2" max="2" width="13.85546875" customWidth="1"/>
    <col min="3" max="3" width="14" customWidth="1"/>
    <col min="6" max="6" width="13.28515625" customWidth="1"/>
    <col min="9" max="9" width="14.28515625" customWidth="1"/>
    <col min="10" max="10" width="13.140625" customWidth="1"/>
    <col min="12" max="12" width="21" customWidth="1"/>
    <col min="13" max="13" width="13" customWidth="1"/>
    <col min="14" max="14" width="12.85546875" customWidth="1"/>
    <col min="15" max="15" width="10.140625" customWidth="1"/>
    <col min="16" max="16" width="10" customWidth="1"/>
    <col min="17" max="17" width="14.5703125" customWidth="1"/>
    <col min="18" max="18" width="10.28515625" customWidth="1"/>
    <col min="20" max="20" width="14.5703125" customWidth="1"/>
    <col min="21" max="21" width="14" customWidth="1"/>
  </cols>
  <sheetData>
    <row r="1" spans="1:21" x14ac:dyDescent="0.25">
      <c r="A1" s="112" t="s">
        <v>137</v>
      </c>
      <c r="B1" s="113" t="s">
        <v>108</v>
      </c>
      <c r="C1" s="113"/>
      <c r="D1" s="113"/>
      <c r="E1" s="113" t="s">
        <v>109</v>
      </c>
      <c r="F1" s="113"/>
      <c r="G1" s="113"/>
      <c r="H1" s="113" t="s">
        <v>110</v>
      </c>
      <c r="I1" s="113"/>
      <c r="J1" s="114"/>
      <c r="L1" s="112" t="s">
        <v>141</v>
      </c>
      <c r="M1" s="113" t="s">
        <v>108</v>
      </c>
      <c r="N1" s="113"/>
      <c r="O1" s="113"/>
      <c r="P1" s="113" t="s">
        <v>109</v>
      </c>
      <c r="Q1" s="113"/>
      <c r="R1" s="113"/>
      <c r="S1" s="113" t="s">
        <v>110</v>
      </c>
      <c r="T1" s="113"/>
      <c r="U1" s="114"/>
    </row>
    <row r="2" spans="1:21" s="81" customFormat="1" x14ac:dyDescent="0.25">
      <c r="A2" s="115" t="s">
        <v>107</v>
      </c>
      <c r="B2" s="22" t="s">
        <v>111</v>
      </c>
      <c r="C2" s="22" t="s">
        <v>112</v>
      </c>
      <c r="D2" s="22" t="s">
        <v>46</v>
      </c>
      <c r="E2" s="22" t="s">
        <v>111</v>
      </c>
      <c r="F2" s="22" t="s">
        <v>112</v>
      </c>
      <c r="G2" s="22" t="s">
        <v>46</v>
      </c>
      <c r="H2" s="22" t="s">
        <v>111</v>
      </c>
      <c r="I2" s="22" t="s">
        <v>112</v>
      </c>
      <c r="J2" s="116" t="s">
        <v>46</v>
      </c>
      <c r="L2" s="115" t="s">
        <v>107</v>
      </c>
      <c r="M2" s="22" t="s">
        <v>111</v>
      </c>
      <c r="N2" s="22" t="s">
        <v>112</v>
      </c>
      <c r="O2" s="22" t="s">
        <v>46</v>
      </c>
      <c r="P2" s="22" t="s">
        <v>111</v>
      </c>
      <c r="Q2" s="22" t="s">
        <v>112</v>
      </c>
      <c r="R2" s="22" t="s">
        <v>46</v>
      </c>
      <c r="S2" s="22" t="s">
        <v>111</v>
      </c>
      <c r="T2" s="22" t="s">
        <v>112</v>
      </c>
      <c r="U2" s="116" t="s">
        <v>46</v>
      </c>
    </row>
    <row r="3" spans="1:21" x14ac:dyDescent="0.25">
      <c r="A3" s="117">
        <v>4</v>
      </c>
      <c r="B3" s="118">
        <v>900</v>
      </c>
      <c r="C3" s="118">
        <f>D3/B3</f>
        <v>11</v>
      </c>
      <c r="D3" s="118">
        <v>9900</v>
      </c>
      <c r="E3" s="118"/>
      <c r="F3" s="118"/>
      <c r="G3" s="118"/>
      <c r="H3" s="118">
        <f>B3</f>
        <v>900</v>
      </c>
      <c r="I3" s="118">
        <f>C3</f>
        <v>11</v>
      </c>
      <c r="J3" s="119">
        <f>H3*I3</f>
        <v>9900</v>
      </c>
      <c r="L3" s="117">
        <v>4</v>
      </c>
      <c r="M3" s="118">
        <v>900</v>
      </c>
      <c r="N3" s="118">
        <f>O3/M3</f>
        <v>11</v>
      </c>
      <c r="O3" s="118">
        <v>9900</v>
      </c>
      <c r="P3" s="118"/>
      <c r="Q3" s="118"/>
      <c r="R3" s="118"/>
      <c r="S3" s="118">
        <f>M3</f>
        <v>900</v>
      </c>
      <c r="T3" s="118">
        <f>N3</f>
        <v>11</v>
      </c>
      <c r="U3" s="119">
        <f>S3*T3</f>
        <v>9900</v>
      </c>
    </row>
    <row r="4" spans="1:21" x14ac:dyDescent="0.25">
      <c r="A4" s="120">
        <v>11</v>
      </c>
      <c r="B4" s="121"/>
      <c r="C4" s="121"/>
      <c r="D4" s="121"/>
      <c r="E4" s="121">
        <v>210</v>
      </c>
      <c r="F4" s="121">
        <v>11</v>
      </c>
      <c r="G4" s="121">
        <f>E4*F4</f>
        <v>2310</v>
      </c>
      <c r="H4" s="121">
        <f>H3-E4</f>
        <v>690</v>
      </c>
      <c r="I4" s="121">
        <v>11</v>
      </c>
      <c r="J4" s="122">
        <f>H4*I4</f>
        <v>7590</v>
      </c>
      <c r="L4" s="120">
        <v>11</v>
      </c>
      <c r="M4" s="121"/>
      <c r="N4" s="121"/>
      <c r="O4" s="121"/>
      <c r="P4" s="121">
        <v>210</v>
      </c>
      <c r="Q4" s="121">
        <v>11</v>
      </c>
      <c r="R4" s="121">
        <f>P4*Q4</f>
        <v>2310</v>
      </c>
      <c r="S4" s="121">
        <f>S3-P4</f>
        <v>690</v>
      </c>
      <c r="T4" s="121">
        <v>11</v>
      </c>
      <c r="U4" s="122">
        <f>S4*T4</f>
        <v>7590</v>
      </c>
    </row>
    <row r="5" spans="1:21" x14ac:dyDescent="0.25">
      <c r="A5" s="123">
        <v>14</v>
      </c>
      <c r="B5" s="124">
        <v>420</v>
      </c>
      <c r="C5" s="124">
        <v>13.5</v>
      </c>
      <c r="D5" s="124">
        <f>B5*C5</f>
        <v>5670</v>
      </c>
      <c r="E5" s="124"/>
      <c r="F5" s="124"/>
      <c r="G5" s="124"/>
      <c r="H5" s="124">
        <v>420</v>
      </c>
      <c r="I5" s="124">
        <v>13.5</v>
      </c>
      <c r="J5" s="125">
        <f>D5</f>
        <v>5670</v>
      </c>
      <c r="L5" s="123">
        <v>14</v>
      </c>
      <c r="M5" s="124">
        <v>420</v>
      </c>
      <c r="N5" s="124">
        <v>13.5</v>
      </c>
      <c r="O5" s="124">
        <f>M5*N5</f>
        <v>5670</v>
      </c>
      <c r="P5" s="124"/>
      <c r="Q5" s="124"/>
      <c r="R5" s="124"/>
      <c r="S5" s="124">
        <v>420</v>
      </c>
      <c r="T5" s="124">
        <v>13.5</v>
      </c>
      <c r="U5" s="125">
        <f>S5*T5</f>
        <v>5670</v>
      </c>
    </row>
    <row r="6" spans="1:21" x14ac:dyDescent="0.25">
      <c r="A6" s="123"/>
      <c r="B6" s="124"/>
      <c r="C6" s="124"/>
      <c r="D6" s="124"/>
      <c r="E6" s="124"/>
      <c r="F6" s="124"/>
      <c r="G6" s="124"/>
      <c r="H6" s="124">
        <f>H4+H5</f>
        <v>1110</v>
      </c>
      <c r="I6" s="124"/>
      <c r="J6" s="125">
        <f>J4+J5</f>
        <v>13260</v>
      </c>
      <c r="L6" s="123"/>
      <c r="M6" s="124"/>
      <c r="N6" s="124"/>
      <c r="O6" s="124"/>
      <c r="P6" s="124"/>
      <c r="Q6" s="124"/>
      <c r="R6" s="124"/>
      <c r="S6" s="124">
        <f>S4+S5</f>
        <v>1110</v>
      </c>
      <c r="T6" s="124"/>
      <c r="U6" s="125">
        <f>U4+U5</f>
        <v>13260</v>
      </c>
    </row>
    <row r="7" spans="1:21" x14ac:dyDescent="0.25">
      <c r="A7" s="126">
        <v>17</v>
      </c>
      <c r="B7" s="127"/>
      <c r="C7" s="127"/>
      <c r="D7" s="127"/>
      <c r="E7" s="127">
        <v>180</v>
      </c>
      <c r="F7" s="127">
        <v>13.5</v>
      </c>
      <c r="G7" s="127">
        <f>E7*F7</f>
        <v>2430</v>
      </c>
      <c r="H7" s="127">
        <v>690</v>
      </c>
      <c r="I7" s="127">
        <v>11</v>
      </c>
      <c r="J7" s="128">
        <f>H7*I7</f>
        <v>7590</v>
      </c>
      <c r="L7" s="126">
        <v>17</v>
      </c>
      <c r="M7" s="127"/>
      <c r="N7" s="127"/>
      <c r="O7" s="127"/>
      <c r="P7" s="127">
        <v>180</v>
      </c>
      <c r="Q7" s="127">
        <v>11</v>
      </c>
      <c r="R7" s="127">
        <f>P7*Q7</f>
        <v>1980</v>
      </c>
      <c r="S7" s="127">
        <f>S4-P7</f>
        <v>510</v>
      </c>
      <c r="T7" s="127">
        <v>11</v>
      </c>
      <c r="U7" s="128">
        <f>S7*T7</f>
        <v>5610</v>
      </c>
    </row>
    <row r="8" spans="1:21" x14ac:dyDescent="0.25">
      <c r="A8" s="126"/>
      <c r="B8" s="127"/>
      <c r="C8" s="127"/>
      <c r="D8" s="127"/>
      <c r="E8" s="127"/>
      <c r="F8" s="127"/>
      <c r="G8" s="127"/>
      <c r="H8" s="127">
        <f>H5-E7</f>
        <v>240</v>
      </c>
      <c r="I8" s="127">
        <v>13.5</v>
      </c>
      <c r="J8" s="128">
        <f>H8*I8</f>
        <v>3240</v>
      </c>
      <c r="L8" s="126"/>
      <c r="M8" s="127"/>
      <c r="N8" s="127"/>
      <c r="O8" s="127"/>
      <c r="P8" s="127"/>
      <c r="Q8" s="127"/>
      <c r="R8" s="127"/>
      <c r="S8" s="127">
        <v>420</v>
      </c>
      <c r="T8" s="127">
        <v>13.5</v>
      </c>
      <c r="U8" s="128">
        <f>S8*T8</f>
        <v>5670</v>
      </c>
    </row>
    <row r="9" spans="1:21" x14ac:dyDescent="0.25">
      <c r="A9" s="126"/>
      <c r="B9" s="127"/>
      <c r="C9" s="127"/>
      <c r="D9" s="127"/>
      <c r="E9" s="127"/>
      <c r="F9" s="127"/>
      <c r="G9" s="127"/>
      <c r="H9" s="127">
        <f>H7+H8</f>
        <v>930</v>
      </c>
      <c r="I9" s="127"/>
      <c r="J9" s="128">
        <f>J7+J8</f>
        <v>10830</v>
      </c>
      <c r="L9" s="126"/>
      <c r="M9" s="127"/>
      <c r="N9" s="127"/>
      <c r="O9" s="127"/>
      <c r="P9" s="127"/>
      <c r="Q9" s="127"/>
      <c r="R9" s="127"/>
      <c r="S9" s="127">
        <f>S7+S8</f>
        <v>930</v>
      </c>
      <c r="T9" s="127"/>
      <c r="U9" s="127">
        <f t="shared" ref="T9:U9" si="0">U7+U8</f>
        <v>11280</v>
      </c>
    </row>
    <row r="10" spans="1:21" x14ac:dyDescent="0.25">
      <c r="A10" s="129">
        <v>24</v>
      </c>
      <c r="B10" s="130">
        <v>600</v>
      </c>
      <c r="C10" s="130">
        <f>D10/B10</f>
        <v>12.8</v>
      </c>
      <c r="D10" s="130">
        <v>7680</v>
      </c>
      <c r="E10" s="130"/>
      <c r="F10" s="130"/>
      <c r="G10" s="130"/>
      <c r="H10" s="130">
        <v>690</v>
      </c>
      <c r="I10" s="130">
        <v>11</v>
      </c>
      <c r="J10" s="131">
        <f>H10*I10</f>
        <v>7590</v>
      </c>
      <c r="L10" s="129">
        <v>24</v>
      </c>
      <c r="M10" s="130">
        <v>600</v>
      </c>
      <c r="N10" s="130">
        <f>O10/M10</f>
        <v>12.8</v>
      </c>
      <c r="O10" s="130">
        <v>7680</v>
      </c>
      <c r="P10" s="130"/>
      <c r="Q10" s="130"/>
      <c r="R10" s="130"/>
      <c r="S10" s="130">
        <v>510</v>
      </c>
      <c r="T10" s="130">
        <v>11</v>
      </c>
      <c r="U10" s="131">
        <f>S10*T10</f>
        <v>5610</v>
      </c>
    </row>
    <row r="11" spans="1:21" x14ac:dyDescent="0.25">
      <c r="A11" s="129"/>
      <c r="B11" s="130"/>
      <c r="C11" s="130"/>
      <c r="D11" s="130"/>
      <c r="E11" s="130"/>
      <c r="F11" s="130"/>
      <c r="G11" s="130"/>
      <c r="H11" s="130">
        <f>H8</f>
        <v>240</v>
      </c>
      <c r="I11" s="130">
        <f>I8</f>
        <v>13.5</v>
      </c>
      <c r="J11" s="131">
        <f>H11*I11</f>
        <v>3240</v>
      </c>
      <c r="L11" s="129"/>
      <c r="M11" s="130"/>
      <c r="N11" s="130"/>
      <c r="O11" s="130"/>
      <c r="P11" s="130"/>
      <c r="Q11" s="130"/>
      <c r="R11" s="130"/>
      <c r="S11" s="130">
        <v>420</v>
      </c>
      <c r="T11" s="130">
        <v>13.5</v>
      </c>
      <c r="U11" s="131">
        <f t="shared" ref="U11:U12" si="1">S11*T11</f>
        <v>5670</v>
      </c>
    </row>
    <row r="12" spans="1:21" x14ac:dyDescent="0.25">
      <c r="A12" s="129"/>
      <c r="B12" s="130"/>
      <c r="C12" s="130"/>
      <c r="D12" s="130"/>
      <c r="E12" s="130"/>
      <c r="F12" s="130"/>
      <c r="G12" s="130"/>
      <c r="H12" s="130">
        <v>600</v>
      </c>
      <c r="I12" s="130">
        <f>C10</f>
        <v>12.8</v>
      </c>
      <c r="J12" s="131">
        <f>H12*I12</f>
        <v>7680</v>
      </c>
      <c r="L12" s="129"/>
      <c r="M12" s="130"/>
      <c r="N12" s="130"/>
      <c r="O12" s="130"/>
      <c r="P12" s="130"/>
      <c r="Q12" s="130"/>
      <c r="R12" s="130"/>
      <c r="S12" s="130">
        <v>600</v>
      </c>
      <c r="T12" s="130">
        <v>12.8</v>
      </c>
      <c r="U12" s="131">
        <f t="shared" si="1"/>
        <v>7680</v>
      </c>
    </row>
    <row r="13" spans="1:21" x14ac:dyDescent="0.25">
      <c r="A13" s="129"/>
      <c r="B13" s="130"/>
      <c r="C13" s="130"/>
      <c r="D13" s="130"/>
      <c r="E13" s="130"/>
      <c r="F13" s="130"/>
      <c r="G13" s="130"/>
      <c r="H13" s="130">
        <f>H10+H11+H12</f>
        <v>1530</v>
      </c>
      <c r="I13" s="130"/>
      <c r="J13" s="131">
        <f>J10+J11+J12</f>
        <v>18510</v>
      </c>
      <c r="L13" s="129"/>
      <c r="M13" s="130"/>
      <c r="N13" s="130"/>
      <c r="O13" s="130"/>
      <c r="P13" s="130"/>
      <c r="Q13" s="130"/>
      <c r="R13" s="130"/>
      <c r="S13" s="130">
        <f>SUM(S10:S12)</f>
        <v>1530</v>
      </c>
      <c r="T13" s="130"/>
      <c r="U13" s="131">
        <f>SUM(U10:U12)</f>
        <v>18960</v>
      </c>
    </row>
    <row r="14" spans="1:21" x14ac:dyDescent="0.25">
      <c r="A14" s="123">
        <v>29</v>
      </c>
      <c r="B14" s="124"/>
      <c r="C14" s="124"/>
      <c r="D14" s="124"/>
      <c r="E14" s="124">
        <v>540</v>
      </c>
      <c r="F14" s="124">
        <v>12.8</v>
      </c>
      <c r="G14" s="124">
        <f>E14*F14</f>
        <v>6912</v>
      </c>
      <c r="H14" s="124">
        <v>690</v>
      </c>
      <c r="I14" s="124">
        <f>I10</f>
        <v>11</v>
      </c>
      <c r="J14" s="125">
        <f>H14*I14</f>
        <v>7590</v>
      </c>
      <c r="L14" s="123">
        <v>29</v>
      </c>
      <c r="M14" s="124"/>
      <c r="N14" s="124"/>
      <c r="O14" s="124"/>
      <c r="P14" s="124">
        <v>510</v>
      </c>
      <c r="Q14" s="124">
        <v>11</v>
      </c>
      <c r="R14" s="124">
        <f>P14*Q14</f>
        <v>5610</v>
      </c>
      <c r="S14" s="124">
        <f>S11-P15</f>
        <v>390</v>
      </c>
      <c r="T14" s="124">
        <v>13.5</v>
      </c>
      <c r="U14" s="125">
        <f>S14*T14</f>
        <v>5265</v>
      </c>
    </row>
    <row r="15" spans="1:21" x14ac:dyDescent="0.25">
      <c r="A15" s="123"/>
      <c r="B15" s="124"/>
      <c r="C15" s="124"/>
      <c r="D15" s="124"/>
      <c r="E15" s="124"/>
      <c r="F15" s="124"/>
      <c r="G15" s="124"/>
      <c r="H15" s="124">
        <v>240</v>
      </c>
      <c r="I15" s="124">
        <f>I11</f>
        <v>13.5</v>
      </c>
      <c r="J15" s="125">
        <f t="shared" ref="J15:J16" si="2">H15*I15</f>
        <v>3240</v>
      </c>
      <c r="L15" s="123"/>
      <c r="M15" s="124"/>
      <c r="N15" s="124"/>
      <c r="O15" s="124"/>
      <c r="P15" s="124">
        <v>30</v>
      </c>
      <c r="Q15" s="124">
        <v>13.5</v>
      </c>
      <c r="R15" s="124">
        <f>P15*Q15</f>
        <v>405</v>
      </c>
      <c r="S15" s="124">
        <v>600</v>
      </c>
      <c r="T15" s="124">
        <v>12.8</v>
      </c>
      <c r="U15" s="125">
        <f>S15*T15</f>
        <v>7680</v>
      </c>
    </row>
    <row r="16" spans="1:21" x14ac:dyDescent="0.25">
      <c r="A16" s="123"/>
      <c r="B16" s="124"/>
      <c r="C16" s="124"/>
      <c r="D16" s="124"/>
      <c r="E16" s="124"/>
      <c r="F16" s="124"/>
      <c r="G16" s="124"/>
      <c r="H16" s="124">
        <f>H12-E14</f>
        <v>60</v>
      </c>
      <c r="I16" s="124">
        <v>12.8</v>
      </c>
      <c r="J16" s="125">
        <f t="shared" si="2"/>
        <v>768</v>
      </c>
      <c r="L16" s="123"/>
      <c r="M16" s="124"/>
      <c r="N16" s="124"/>
      <c r="O16" s="124"/>
      <c r="P16" s="124"/>
      <c r="Q16" s="124"/>
      <c r="R16" s="124"/>
      <c r="S16" s="124">
        <f>S14+S15</f>
        <v>990</v>
      </c>
      <c r="T16" s="124"/>
      <c r="U16" s="125">
        <f>U14+U15</f>
        <v>12945</v>
      </c>
    </row>
    <row r="17" spans="1:21" x14ac:dyDescent="0.25">
      <c r="A17" s="123"/>
      <c r="B17" s="124"/>
      <c r="C17" s="124"/>
      <c r="D17" s="124"/>
      <c r="E17" s="124"/>
      <c r="F17" s="124"/>
      <c r="G17" s="124"/>
      <c r="H17" s="124">
        <f>SUM(H14:H16)</f>
        <v>990</v>
      </c>
      <c r="I17" s="124"/>
      <c r="J17" s="125">
        <f t="shared" ref="I17:J17" si="3">SUM(J14:J16)</f>
        <v>11598</v>
      </c>
      <c r="L17" s="123"/>
      <c r="M17" s="124"/>
      <c r="N17" s="124"/>
      <c r="O17" s="124"/>
      <c r="P17" s="124"/>
      <c r="Q17" s="124"/>
      <c r="R17" s="124"/>
      <c r="S17" s="124"/>
      <c r="T17" s="124"/>
      <c r="U17" s="125"/>
    </row>
    <row r="18" spans="1:21" ht="15.75" thickBot="1" x14ac:dyDescent="0.3">
      <c r="A18" s="132" t="s">
        <v>46</v>
      </c>
      <c r="B18" s="133">
        <f>SUM(B3:B17)</f>
        <v>1920</v>
      </c>
      <c r="C18" s="133"/>
      <c r="D18" s="133">
        <f t="shared" ref="C18:E18" si="4">SUM(D3:D17)</f>
        <v>23250</v>
      </c>
      <c r="E18" s="133">
        <f t="shared" si="4"/>
        <v>930</v>
      </c>
      <c r="F18" s="133"/>
      <c r="G18" s="133">
        <f t="shared" ref="G18:H18" si="5">SUM(G3:G17)</f>
        <v>11652</v>
      </c>
      <c r="H18" s="133">
        <v>990</v>
      </c>
      <c r="I18" s="133"/>
      <c r="J18" s="134">
        <f>J17</f>
        <v>11598</v>
      </c>
      <c r="L18" s="132" t="s">
        <v>46</v>
      </c>
      <c r="M18" s="133">
        <f>SUM(M3:M17)</f>
        <v>1920</v>
      </c>
      <c r="N18" s="133"/>
      <c r="O18" s="133">
        <f t="shared" ref="O18" si="6">SUM(O3:O17)</f>
        <v>23250</v>
      </c>
      <c r="P18" s="133">
        <f t="shared" ref="P18" si="7">SUM(P3:P17)</f>
        <v>930</v>
      </c>
      <c r="Q18" s="133"/>
      <c r="R18" s="133">
        <f t="shared" ref="R18" si="8">SUM(R3:R17)</f>
        <v>10305</v>
      </c>
      <c r="S18" s="133">
        <v>990</v>
      </c>
      <c r="T18" s="133"/>
      <c r="U18" s="134">
        <f>U16</f>
        <v>12945</v>
      </c>
    </row>
    <row r="19" spans="1:21" ht="15.75" thickBot="1" x14ac:dyDescent="0.3"/>
    <row r="20" spans="1:21" ht="15.75" x14ac:dyDescent="0.25">
      <c r="A20" s="59" t="s">
        <v>138</v>
      </c>
      <c r="B20" s="59"/>
      <c r="L20" s="135" t="s">
        <v>142</v>
      </c>
      <c r="M20" s="15"/>
    </row>
    <row r="21" spans="1:21" ht="15.75" x14ac:dyDescent="0.25">
      <c r="A21" s="59" t="s">
        <v>139</v>
      </c>
      <c r="B21" s="61">
        <f>B22+B23</f>
        <v>92550</v>
      </c>
      <c r="L21" s="136" t="s">
        <v>139</v>
      </c>
      <c r="M21" s="3">
        <v>92550</v>
      </c>
    </row>
    <row r="22" spans="1:21" ht="15.75" x14ac:dyDescent="0.25">
      <c r="A22" s="59" t="s">
        <v>100</v>
      </c>
      <c r="B22" s="61">
        <f>G18+41350</f>
        <v>53002</v>
      </c>
      <c r="L22" s="136" t="s">
        <v>100</v>
      </c>
      <c r="M22" s="3">
        <f>R18+41350</f>
        <v>51655</v>
      </c>
    </row>
    <row r="23" spans="1:21" ht="16.5" thickBot="1" x14ac:dyDescent="0.3">
      <c r="A23" s="59" t="s">
        <v>140</v>
      </c>
      <c r="B23" s="61">
        <v>39548</v>
      </c>
      <c r="C23" s="6"/>
      <c r="L23" s="137" t="s">
        <v>140</v>
      </c>
      <c r="M23" s="5">
        <f>M21-M22</f>
        <v>40895</v>
      </c>
    </row>
  </sheetData>
  <mergeCells count="6">
    <mergeCell ref="B1:D1"/>
    <mergeCell ref="E1:G1"/>
    <mergeCell ref="H1:J1"/>
    <mergeCell ref="M1:O1"/>
    <mergeCell ref="P1:R1"/>
    <mergeCell ref="S1:U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4A65E-B86F-4FB5-BDCF-D4DBD9E827B6}">
  <dimension ref="A1:L34"/>
  <sheetViews>
    <sheetView showGridLines="0" topLeftCell="C15" workbookViewId="0">
      <selection activeCell="E33" sqref="E33"/>
    </sheetView>
  </sheetViews>
  <sheetFormatPr defaultRowHeight="15" x14ac:dyDescent="0.25"/>
  <cols>
    <col min="1" max="1" width="29.42578125" customWidth="1"/>
    <col min="2" max="2" width="26.28515625" bestFit="1" customWidth="1"/>
    <col min="3" max="3" width="17" bestFit="1" customWidth="1"/>
    <col min="4" max="4" width="23.85546875" bestFit="1" customWidth="1"/>
    <col min="5" max="5" width="11.42578125" customWidth="1"/>
    <col min="7" max="7" width="53.42578125" bestFit="1" customWidth="1"/>
    <col min="8" max="8" width="11.140625" customWidth="1"/>
    <col min="9" max="9" width="10.85546875" customWidth="1"/>
    <col min="10" max="10" width="10.5703125" customWidth="1"/>
    <col min="11" max="11" width="11.7109375" customWidth="1"/>
    <col min="12" max="12" width="15.42578125" bestFit="1" customWidth="1"/>
  </cols>
  <sheetData>
    <row r="1" spans="1:12" ht="15.75" thickBot="1" x14ac:dyDescent="0.3">
      <c r="A1" s="48" t="s">
        <v>45</v>
      </c>
      <c r="B1" s="49" t="s">
        <v>20</v>
      </c>
      <c r="C1" s="49" t="s">
        <v>21</v>
      </c>
      <c r="D1" s="50" t="s">
        <v>22</v>
      </c>
      <c r="G1" s="26" t="s">
        <v>57</v>
      </c>
    </row>
    <row r="2" spans="1:12" x14ac:dyDescent="0.25">
      <c r="A2" s="51" t="s">
        <v>27</v>
      </c>
      <c r="B2" s="52">
        <v>25000</v>
      </c>
      <c r="C2" s="52">
        <v>6000</v>
      </c>
      <c r="D2" s="53">
        <v>9000</v>
      </c>
      <c r="G2" s="28" t="s">
        <v>45</v>
      </c>
      <c r="H2" s="29" t="s">
        <v>20</v>
      </c>
      <c r="I2" s="29" t="s">
        <v>21</v>
      </c>
      <c r="J2" s="29" t="s">
        <v>22</v>
      </c>
      <c r="K2" s="29" t="s">
        <v>46</v>
      </c>
      <c r="L2" s="30" t="s">
        <v>33</v>
      </c>
    </row>
    <row r="3" spans="1:12" x14ac:dyDescent="0.25">
      <c r="A3" s="51" t="s">
        <v>32</v>
      </c>
      <c r="B3" s="52"/>
      <c r="C3" s="52"/>
      <c r="D3" s="53"/>
      <c r="G3" s="31" t="s">
        <v>47</v>
      </c>
      <c r="H3" s="27">
        <f>B22/$E$22</f>
        <v>0.5</v>
      </c>
      <c r="I3" s="27">
        <f t="shared" ref="I3:K3" si="0">C22/$E$22</f>
        <v>0.22727272727272727</v>
      </c>
      <c r="J3" s="27">
        <f t="shared" si="0"/>
        <v>0.27272727272727271</v>
      </c>
      <c r="K3" s="27">
        <f t="shared" si="0"/>
        <v>1</v>
      </c>
      <c r="L3" s="3">
        <v>15000</v>
      </c>
    </row>
    <row r="4" spans="1:12" x14ac:dyDescent="0.25">
      <c r="A4" s="51" t="s">
        <v>23</v>
      </c>
      <c r="B4" s="52" t="s">
        <v>24</v>
      </c>
      <c r="C4" s="52" t="s">
        <v>25</v>
      </c>
      <c r="D4" s="53" t="s">
        <v>26</v>
      </c>
      <c r="G4" s="31" t="s">
        <v>48</v>
      </c>
      <c r="H4" s="27">
        <f>B23/$E$23</f>
        <v>0.34285714285714286</v>
      </c>
      <c r="I4" s="27">
        <f t="shared" ref="I4:K4" si="1">C23/$E$23</f>
        <v>0.22857142857142856</v>
      </c>
      <c r="J4" s="27">
        <f t="shared" si="1"/>
        <v>0.42857142857142855</v>
      </c>
      <c r="K4" s="27">
        <f t="shared" si="1"/>
        <v>1</v>
      </c>
      <c r="L4" s="3">
        <v>13000</v>
      </c>
    </row>
    <row r="5" spans="1:12" ht="15.75" thickBot="1" x14ac:dyDescent="0.3">
      <c r="A5" s="54" t="s">
        <v>28</v>
      </c>
      <c r="B5" s="55" t="s">
        <v>29</v>
      </c>
      <c r="C5" s="55" t="s">
        <v>30</v>
      </c>
      <c r="D5" s="56" t="s">
        <v>31</v>
      </c>
      <c r="G5" s="31" t="s">
        <v>49</v>
      </c>
      <c r="H5" s="27">
        <f>B24/$E$24</f>
        <v>0.46153846153846156</v>
      </c>
      <c r="I5" s="27">
        <f t="shared" ref="I5:K5" si="2">C24/$E$24</f>
        <v>0.30769230769230771</v>
      </c>
      <c r="J5" s="27">
        <f t="shared" si="2"/>
        <v>0.23076923076923078</v>
      </c>
      <c r="K5" s="27">
        <f t="shared" si="2"/>
        <v>1</v>
      </c>
      <c r="L5" s="3">
        <v>12000</v>
      </c>
    </row>
    <row r="6" spans="1:12" x14ac:dyDescent="0.25">
      <c r="A6" s="21"/>
      <c r="B6" s="22"/>
      <c r="C6" s="21"/>
      <c r="D6" s="22"/>
      <c r="G6" s="31" t="s">
        <v>50</v>
      </c>
      <c r="H6" s="27">
        <f>B25/$E$25</f>
        <v>0.375</v>
      </c>
      <c r="I6" s="27">
        <f t="shared" ref="I6:K6" si="3">C25/$E$25</f>
        <v>0.33333333333333331</v>
      </c>
      <c r="J6" s="27">
        <f t="shared" si="3"/>
        <v>0.29166666666666669</v>
      </c>
      <c r="K6" s="27">
        <f t="shared" si="3"/>
        <v>1</v>
      </c>
      <c r="L6" s="3">
        <v>17500</v>
      </c>
    </row>
    <row r="7" spans="1:12" ht="15.75" thickBot="1" x14ac:dyDescent="0.3">
      <c r="A7" t="s">
        <v>33</v>
      </c>
      <c r="G7" s="31" t="s">
        <v>51</v>
      </c>
      <c r="H7" s="27">
        <f>B26/$E$26</f>
        <v>0.33333333333333331</v>
      </c>
      <c r="I7" s="27">
        <f t="shared" ref="I7:J7" si="4">C26/$E$26</f>
        <v>0.33333333333333331</v>
      </c>
      <c r="J7" s="27">
        <f t="shared" si="4"/>
        <v>0.33333333333333331</v>
      </c>
      <c r="K7" s="27">
        <f>E26/$E$26</f>
        <v>1</v>
      </c>
      <c r="L7" s="3">
        <v>18000</v>
      </c>
    </row>
    <row r="8" spans="1:12" x14ac:dyDescent="0.25">
      <c r="A8" s="13" t="s">
        <v>1</v>
      </c>
      <c r="B8" s="23"/>
      <c r="C8" s="23"/>
      <c r="D8" s="24"/>
      <c r="G8" s="31" t="s">
        <v>52</v>
      </c>
      <c r="H8" s="27">
        <f>B27/$E$27</f>
        <v>0.3</v>
      </c>
      <c r="I8" s="27">
        <f t="shared" ref="I8:K8" si="5">C27/$E$27</f>
        <v>0.4</v>
      </c>
      <c r="J8" s="27">
        <f t="shared" si="5"/>
        <v>0.3</v>
      </c>
      <c r="K8" s="27">
        <f t="shared" si="5"/>
        <v>1</v>
      </c>
      <c r="L8" s="3">
        <v>14000</v>
      </c>
    </row>
    <row r="9" spans="1:12" x14ac:dyDescent="0.25">
      <c r="A9" s="25" t="s">
        <v>2</v>
      </c>
      <c r="B9" s="12" t="s">
        <v>3</v>
      </c>
      <c r="C9" s="12" t="s">
        <v>4</v>
      </c>
      <c r="D9" s="8" t="s">
        <v>44</v>
      </c>
      <c r="G9" s="31" t="s">
        <v>53</v>
      </c>
      <c r="H9" s="27">
        <f>B28/$E$28</f>
        <v>0.31746031746031744</v>
      </c>
      <c r="I9" s="27">
        <f t="shared" ref="I9:K9" si="6">C28/$E$28</f>
        <v>0.3968253968253968</v>
      </c>
      <c r="J9" s="27">
        <f t="shared" si="6"/>
        <v>0.2857142857142857</v>
      </c>
      <c r="K9" s="27">
        <f t="shared" si="6"/>
        <v>1</v>
      </c>
      <c r="L9" s="3">
        <v>30000</v>
      </c>
    </row>
    <row r="10" spans="1:12" x14ac:dyDescent="0.25">
      <c r="A10" s="79" t="s">
        <v>5</v>
      </c>
      <c r="B10" s="11" t="s">
        <v>10</v>
      </c>
      <c r="C10" s="57" t="s">
        <v>63</v>
      </c>
      <c r="D10" s="8" t="s">
        <v>34</v>
      </c>
      <c r="G10" s="31" t="s">
        <v>54</v>
      </c>
      <c r="H10" s="27">
        <f>B29/$E$29</f>
        <v>0.25</v>
      </c>
      <c r="I10" s="27">
        <f t="shared" ref="I10:K10" si="7">C29/$E$29</f>
        <v>0.375</v>
      </c>
      <c r="J10" s="27">
        <f t="shared" si="7"/>
        <v>0.375</v>
      </c>
      <c r="K10" s="27">
        <f t="shared" si="7"/>
        <v>1</v>
      </c>
      <c r="L10" s="3">
        <v>27000</v>
      </c>
    </row>
    <row r="11" spans="1:12" x14ac:dyDescent="0.25">
      <c r="A11" s="79"/>
      <c r="B11" s="11" t="s">
        <v>11</v>
      </c>
      <c r="C11" s="57" t="s">
        <v>64</v>
      </c>
      <c r="D11" s="8" t="s">
        <v>35</v>
      </c>
      <c r="G11" s="31" t="s">
        <v>55</v>
      </c>
      <c r="H11" s="27">
        <f>B30/$E$30</f>
        <v>0.26666666666666666</v>
      </c>
      <c r="I11" s="27">
        <f t="shared" ref="I11:K11" si="8">C30/$E$30</f>
        <v>0.46666666666666667</v>
      </c>
      <c r="J11" s="27">
        <f t="shared" si="8"/>
        <v>0.26666666666666666</v>
      </c>
      <c r="K11" s="27">
        <f t="shared" si="8"/>
        <v>1</v>
      </c>
      <c r="L11" s="3">
        <v>15000</v>
      </c>
    </row>
    <row r="12" spans="1:12" ht="15.75" thickBot="1" x14ac:dyDescent="0.3">
      <c r="A12" s="79" t="s">
        <v>6</v>
      </c>
      <c r="B12" s="11" t="s">
        <v>12</v>
      </c>
      <c r="C12" s="57" t="s">
        <v>65</v>
      </c>
      <c r="D12" s="8" t="s">
        <v>36</v>
      </c>
      <c r="G12" s="32" t="s">
        <v>56</v>
      </c>
      <c r="H12" s="33">
        <f>B31/$E$31</f>
        <v>0.33333333333333331</v>
      </c>
      <c r="I12" s="33">
        <f t="shared" ref="I12:K12" si="9">C31/$E$31</f>
        <v>0.33333333333333331</v>
      </c>
      <c r="J12" s="33">
        <f t="shared" si="9"/>
        <v>0.33333333333333331</v>
      </c>
      <c r="K12" s="33">
        <f t="shared" si="9"/>
        <v>1</v>
      </c>
      <c r="L12" s="5">
        <v>25000</v>
      </c>
    </row>
    <row r="13" spans="1:12" x14ac:dyDescent="0.25">
      <c r="A13" s="79"/>
      <c r="B13" s="11" t="s">
        <v>13</v>
      </c>
      <c r="C13" s="57" t="s">
        <v>66</v>
      </c>
      <c r="D13" s="8" t="s">
        <v>37</v>
      </c>
    </row>
    <row r="14" spans="1:12" ht="15.75" thickBot="1" x14ac:dyDescent="0.3">
      <c r="A14" s="79" t="s">
        <v>7</v>
      </c>
      <c r="B14" s="11" t="s">
        <v>14</v>
      </c>
      <c r="C14" s="57" t="s">
        <v>67</v>
      </c>
      <c r="D14" s="8" t="s">
        <v>38</v>
      </c>
      <c r="G14" s="34" t="s">
        <v>58</v>
      </c>
    </row>
    <row r="15" spans="1:12" x14ac:dyDescent="0.25">
      <c r="A15" s="79"/>
      <c r="B15" s="11" t="s">
        <v>15</v>
      </c>
      <c r="C15" s="57" t="s">
        <v>68</v>
      </c>
      <c r="D15" s="8" t="s">
        <v>39</v>
      </c>
      <c r="G15" s="28" t="s">
        <v>45</v>
      </c>
      <c r="H15" s="29" t="s">
        <v>20</v>
      </c>
      <c r="I15" s="29" t="s">
        <v>21</v>
      </c>
      <c r="J15" s="29" t="s">
        <v>22</v>
      </c>
      <c r="K15" s="30" t="s">
        <v>46</v>
      </c>
      <c r="L15" s="35"/>
    </row>
    <row r="16" spans="1:12" x14ac:dyDescent="0.25">
      <c r="A16" s="79" t="s">
        <v>8</v>
      </c>
      <c r="B16" s="11" t="s">
        <v>16</v>
      </c>
      <c r="C16" s="57" t="s">
        <v>69</v>
      </c>
      <c r="D16" s="8" t="s">
        <v>40</v>
      </c>
      <c r="G16" s="31" t="s">
        <v>47</v>
      </c>
      <c r="H16" s="36">
        <f>H3*$L$3</f>
        <v>7500</v>
      </c>
      <c r="I16" s="36">
        <f t="shared" ref="I16:J16" si="10">I3*$L$3</f>
        <v>3409.090909090909</v>
      </c>
      <c r="J16" s="36">
        <f t="shared" si="10"/>
        <v>4090.9090909090905</v>
      </c>
      <c r="K16" s="38">
        <f>SUM(H16:J16)</f>
        <v>14999.999999999998</v>
      </c>
      <c r="L16" s="35"/>
    </row>
    <row r="17" spans="1:12" x14ac:dyDescent="0.25">
      <c r="A17" s="79"/>
      <c r="B17" s="11" t="s">
        <v>17</v>
      </c>
      <c r="C17" s="57" t="s">
        <v>70</v>
      </c>
      <c r="D17" s="8" t="s">
        <v>41</v>
      </c>
      <c r="G17" s="31" t="s">
        <v>48</v>
      </c>
      <c r="H17" s="36">
        <f>H4*$L$4</f>
        <v>4457.1428571428569</v>
      </c>
      <c r="I17" s="36">
        <f t="shared" ref="I17:J17" si="11">I4*$L$4</f>
        <v>2971.4285714285716</v>
      </c>
      <c r="J17" s="36">
        <f t="shared" si="11"/>
        <v>5571.4285714285716</v>
      </c>
      <c r="K17" s="38">
        <f t="shared" ref="K17:K25" si="12">SUM(H17:J17)</f>
        <v>13000</v>
      </c>
      <c r="L17" s="35"/>
    </row>
    <row r="18" spans="1:12" x14ac:dyDescent="0.25">
      <c r="A18" s="79" t="s">
        <v>9</v>
      </c>
      <c r="B18" s="11" t="s">
        <v>18</v>
      </c>
      <c r="C18" s="57" t="s">
        <v>63</v>
      </c>
      <c r="D18" s="8" t="s">
        <v>42</v>
      </c>
      <c r="G18" s="31" t="s">
        <v>49</v>
      </c>
      <c r="H18" s="36">
        <f>H5*$L$5</f>
        <v>5538.461538461539</v>
      </c>
      <c r="I18" s="36">
        <f t="shared" ref="I18:J18" si="13">I5*$L$5</f>
        <v>3692.3076923076924</v>
      </c>
      <c r="J18" s="36">
        <f t="shared" si="13"/>
        <v>2769.2307692307695</v>
      </c>
      <c r="K18" s="38">
        <f t="shared" si="12"/>
        <v>12000</v>
      </c>
      <c r="L18" s="35"/>
    </row>
    <row r="19" spans="1:12" ht="15.75" thickBot="1" x14ac:dyDescent="0.3">
      <c r="A19" s="80"/>
      <c r="B19" s="18" t="s">
        <v>19</v>
      </c>
      <c r="C19" s="58" t="s">
        <v>71</v>
      </c>
      <c r="D19" s="10" t="s">
        <v>43</v>
      </c>
      <c r="G19" s="31" t="s">
        <v>50</v>
      </c>
      <c r="H19" s="36">
        <f>H6*$L$6</f>
        <v>6562.5</v>
      </c>
      <c r="I19" s="36">
        <f t="shared" ref="I19:J19" si="14">I6*$L$6</f>
        <v>5833.333333333333</v>
      </c>
      <c r="J19" s="36">
        <f t="shared" si="14"/>
        <v>5104.166666666667</v>
      </c>
      <c r="K19" s="38">
        <f t="shared" si="12"/>
        <v>17500</v>
      </c>
      <c r="L19" s="35"/>
    </row>
    <row r="20" spans="1:12" ht="15.75" thickBot="1" x14ac:dyDescent="0.3">
      <c r="G20" s="31" t="s">
        <v>51</v>
      </c>
      <c r="H20" s="36">
        <f>H7*$L$7</f>
        <v>6000</v>
      </c>
      <c r="I20" s="36">
        <f t="shared" ref="I20:J20" si="15">I7*$L$7</f>
        <v>6000</v>
      </c>
      <c r="J20" s="36">
        <f t="shared" si="15"/>
        <v>6000</v>
      </c>
      <c r="K20" s="38">
        <f t="shared" si="12"/>
        <v>18000</v>
      </c>
      <c r="L20" s="35"/>
    </row>
    <row r="21" spans="1:12" x14ac:dyDescent="0.25">
      <c r="A21" s="20" t="s">
        <v>45</v>
      </c>
      <c r="B21" s="14" t="s">
        <v>20</v>
      </c>
      <c r="C21" s="14" t="s">
        <v>21</v>
      </c>
      <c r="D21" s="14" t="s">
        <v>22</v>
      </c>
      <c r="E21" s="15" t="s">
        <v>46</v>
      </c>
      <c r="G21" s="31" t="s">
        <v>52</v>
      </c>
      <c r="H21" s="36">
        <f>H8*$L$8</f>
        <v>4200</v>
      </c>
      <c r="I21" s="36">
        <f t="shared" ref="I21:J21" si="16">I8*$L$8</f>
        <v>5600</v>
      </c>
      <c r="J21" s="36">
        <f t="shared" si="16"/>
        <v>4200</v>
      </c>
      <c r="K21" s="38">
        <f t="shared" si="12"/>
        <v>14000</v>
      </c>
      <c r="L21" s="35"/>
    </row>
    <row r="22" spans="1:12" x14ac:dyDescent="0.25">
      <c r="A22" s="1" t="s">
        <v>47</v>
      </c>
      <c r="B22" s="12">
        <v>55</v>
      </c>
      <c r="C22" s="12">
        <v>25</v>
      </c>
      <c r="D22" s="12">
        <v>30</v>
      </c>
      <c r="E22" s="16">
        <f>SUM(B22:D22)</f>
        <v>110</v>
      </c>
      <c r="G22" s="31" t="s">
        <v>53</v>
      </c>
      <c r="H22" s="36">
        <f>H9*$L$9</f>
        <v>9523.8095238095229</v>
      </c>
      <c r="I22" s="36">
        <f t="shared" ref="I22:J22" si="17">I9*$L$9</f>
        <v>11904.761904761905</v>
      </c>
      <c r="J22" s="36">
        <f t="shared" si="17"/>
        <v>8571.4285714285706</v>
      </c>
      <c r="K22" s="38">
        <f t="shared" si="12"/>
        <v>30000</v>
      </c>
      <c r="L22" s="35"/>
    </row>
    <row r="23" spans="1:12" x14ac:dyDescent="0.25">
      <c r="A23" s="1" t="s">
        <v>48</v>
      </c>
      <c r="B23" s="12">
        <v>12</v>
      </c>
      <c r="C23" s="12">
        <v>8</v>
      </c>
      <c r="D23" s="12">
        <v>15</v>
      </c>
      <c r="E23" s="16">
        <f t="shared" ref="E23:E31" si="18">SUM(B23:D23)</f>
        <v>35</v>
      </c>
      <c r="G23" s="31" t="s">
        <v>54</v>
      </c>
      <c r="H23" s="36">
        <f>H10*$L$10</f>
        <v>6750</v>
      </c>
      <c r="I23" s="36">
        <f t="shared" ref="I23:J23" si="19">I10*$L$10</f>
        <v>10125</v>
      </c>
      <c r="J23" s="36">
        <f t="shared" si="19"/>
        <v>10125</v>
      </c>
      <c r="K23" s="38">
        <f t="shared" si="12"/>
        <v>27000</v>
      </c>
      <c r="L23" s="35"/>
    </row>
    <row r="24" spans="1:12" x14ac:dyDescent="0.25">
      <c r="A24" s="1" t="s">
        <v>49</v>
      </c>
      <c r="B24" s="12">
        <v>30</v>
      </c>
      <c r="C24" s="12">
        <v>20</v>
      </c>
      <c r="D24" s="12">
        <v>15</v>
      </c>
      <c r="E24" s="16">
        <f t="shared" si="18"/>
        <v>65</v>
      </c>
      <c r="G24" s="31" t="s">
        <v>55</v>
      </c>
      <c r="H24" s="36">
        <f>H11*$L$11</f>
        <v>4000</v>
      </c>
      <c r="I24" s="36">
        <f t="shared" ref="I24:J24" si="20">I11*$L$11</f>
        <v>7000</v>
      </c>
      <c r="J24" s="36">
        <f t="shared" si="20"/>
        <v>4000</v>
      </c>
      <c r="K24" s="38">
        <f t="shared" si="12"/>
        <v>15000</v>
      </c>
      <c r="L24" s="35"/>
    </row>
    <row r="25" spans="1:12" x14ac:dyDescent="0.25">
      <c r="A25" s="1" t="s">
        <v>50</v>
      </c>
      <c r="B25" s="12">
        <v>90</v>
      </c>
      <c r="C25" s="12">
        <v>80</v>
      </c>
      <c r="D25" s="12">
        <v>70</v>
      </c>
      <c r="E25" s="16">
        <f t="shared" si="18"/>
        <v>240</v>
      </c>
      <c r="G25" s="31" t="s">
        <v>56</v>
      </c>
      <c r="H25" s="36">
        <f>H12*$L$12</f>
        <v>8333.3333333333321</v>
      </c>
      <c r="I25" s="36">
        <f t="shared" ref="I25:J25" si="21">I12*$L$12</f>
        <v>8333.3333333333321</v>
      </c>
      <c r="J25" s="36">
        <f t="shared" si="21"/>
        <v>8333.3333333333321</v>
      </c>
      <c r="K25" s="38">
        <f t="shared" si="12"/>
        <v>24999.999999999996</v>
      </c>
      <c r="L25" s="35"/>
    </row>
    <row r="26" spans="1:12" ht="15.75" thickBot="1" x14ac:dyDescent="0.3">
      <c r="A26" s="1" t="s">
        <v>51</v>
      </c>
      <c r="B26" s="12">
        <v>1</v>
      </c>
      <c r="C26" s="12">
        <v>1</v>
      </c>
      <c r="D26" s="12">
        <v>1</v>
      </c>
      <c r="E26" s="16">
        <f t="shared" si="18"/>
        <v>3</v>
      </c>
      <c r="G26" s="39" t="s">
        <v>59</v>
      </c>
      <c r="H26" s="40">
        <f>SUM(H16:H25)</f>
        <v>62865.247252747242</v>
      </c>
      <c r="I26" s="40">
        <f t="shared" ref="I26:K26" si="22">SUM(I16:I25)</f>
        <v>64869.255744255745</v>
      </c>
      <c r="J26" s="40">
        <f t="shared" si="22"/>
        <v>58765.497002996999</v>
      </c>
      <c r="K26" s="41">
        <f t="shared" si="22"/>
        <v>186500</v>
      </c>
    </row>
    <row r="27" spans="1:12" x14ac:dyDescent="0.25">
      <c r="A27" s="1" t="s">
        <v>52</v>
      </c>
      <c r="B27" s="12">
        <v>15</v>
      </c>
      <c r="C27" s="12">
        <v>20</v>
      </c>
      <c r="D27" s="12">
        <v>15</v>
      </c>
      <c r="E27" s="16">
        <f t="shared" si="18"/>
        <v>50</v>
      </c>
    </row>
    <row r="28" spans="1:12" x14ac:dyDescent="0.25">
      <c r="A28" s="1" t="s">
        <v>53</v>
      </c>
      <c r="B28" s="12">
        <v>2000</v>
      </c>
      <c r="C28" s="12">
        <v>2500</v>
      </c>
      <c r="D28" s="12">
        <v>1800</v>
      </c>
      <c r="E28" s="16">
        <f t="shared" si="18"/>
        <v>6300</v>
      </c>
      <c r="G28" s="37" t="s">
        <v>62</v>
      </c>
      <c r="H28" s="7" t="s">
        <v>20</v>
      </c>
      <c r="I28" s="7" t="s">
        <v>21</v>
      </c>
      <c r="J28" s="7" t="s">
        <v>22</v>
      </c>
    </row>
    <row r="29" spans="1:12" x14ac:dyDescent="0.25">
      <c r="A29" s="1" t="s">
        <v>54</v>
      </c>
      <c r="B29" s="12">
        <v>3000</v>
      </c>
      <c r="C29" s="12">
        <v>4500</v>
      </c>
      <c r="D29" s="12">
        <v>4500</v>
      </c>
      <c r="E29" s="16">
        <f t="shared" si="18"/>
        <v>12000</v>
      </c>
      <c r="G29" s="37" t="s">
        <v>32</v>
      </c>
      <c r="H29" s="12"/>
      <c r="I29" s="12"/>
      <c r="J29" s="12"/>
    </row>
    <row r="30" spans="1:12" x14ac:dyDescent="0.25">
      <c r="A30" s="1" t="s">
        <v>55</v>
      </c>
      <c r="B30" s="12">
        <v>4000</v>
      </c>
      <c r="C30" s="12">
        <v>7000</v>
      </c>
      <c r="D30" s="12">
        <v>4000</v>
      </c>
      <c r="E30" s="16">
        <f t="shared" si="18"/>
        <v>15000</v>
      </c>
      <c r="G30" s="12" t="s">
        <v>23</v>
      </c>
      <c r="H30" s="43">
        <v>4</v>
      </c>
      <c r="I30" s="43">
        <v>30</v>
      </c>
      <c r="J30" s="43">
        <v>8</v>
      </c>
    </row>
    <row r="31" spans="1:12" ht="15.75" thickBot="1" x14ac:dyDescent="0.3">
      <c r="A31" s="4" t="s">
        <v>56</v>
      </c>
      <c r="B31" s="17">
        <v>50</v>
      </c>
      <c r="C31" s="17">
        <v>50</v>
      </c>
      <c r="D31" s="17">
        <v>50</v>
      </c>
      <c r="E31" s="19">
        <f t="shared" si="18"/>
        <v>150</v>
      </c>
      <c r="G31" s="12" t="s">
        <v>28</v>
      </c>
      <c r="H31" s="43">
        <v>2</v>
      </c>
      <c r="I31" s="43">
        <v>7</v>
      </c>
      <c r="J31" s="43">
        <v>3</v>
      </c>
    </row>
    <row r="32" spans="1:12" x14ac:dyDescent="0.25">
      <c r="A32" s="21"/>
      <c r="B32" s="21"/>
      <c r="C32" s="21"/>
      <c r="D32" s="21"/>
      <c r="E32" s="21"/>
      <c r="G32" s="44" t="s">
        <v>60</v>
      </c>
      <c r="H32" s="45">
        <f>H26/25000</f>
        <v>2.5146098901098899</v>
      </c>
      <c r="I32" s="45">
        <f>I26/6000</f>
        <v>10.811542624042625</v>
      </c>
      <c r="J32" s="45">
        <f>J26/9000</f>
        <v>6.5294996669996666</v>
      </c>
    </row>
    <row r="33" spans="7:10" x14ac:dyDescent="0.25">
      <c r="G33" s="46" t="s">
        <v>46</v>
      </c>
      <c r="H33" s="43">
        <f>SUM(H30:H32)</f>
        <v>8.5146098901098899</v>
      </c>
      <c r="I33" s="43">
        <f t="shared" ref="I33:J33" si="23">SUM(I30:I32)</f>
        <v>47.811542624042623</v>
      </c>
      <c r="J33" s="43">
        <f t="shared" si="23"/>
        <v>17.529499666999666</v>
      </c>
    </row>
    <row r="34" spans="7:10" x14ac:dyDescent="0.25">
      <c r="G34" s="44" t="s">
        <v>61</v>
      </c>
      <c r="H34" s="47">
        <f>H33*25000</f>
        <v>212865.24725274724</v>
      </c>
      <c r="I34" s="47">
        <f>I33*6000</f>
        <v>286869.25574425573</v>
      </c>
      <c r="J34" s="47">
        <f>J33*9000</f>
        <v>157765.497002997</v>
      </c>
    </row>
  </sheetData>
  <mergeCells count="5">
    <mergeCell ref="A14:A15"/>
    <mergeCell ref="A16:A17"/>
    <mergeCell ref="A18:A19"/>
    <mergeCell ref="A10:A11"/>
    <mergeCell ref="A12:A1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24CDD-32A6-4BC6-BE66-7E0DDC4245F3}">
  <dimension ref="A1:F37"/>
  <sheetViews>
    <sheetView showGridLines="0" workbookViewId="0">
      <selection activeCell="H27" sqref="H27"/>
    </sheetView>
  </sheetViews>
  <sheetFormatPr defaultRowHeight="15" x14ac:dyDescent="0.25"/>
  <cols>
    <col min="1" max="1" width="42.85546875" bestFit="1" customWidth="1"/>
    <col min="2" max="2" width="15.7109375" customWidth="1"/>
    <col min="3" max="3" width="16.28515625" customWidth="1"/>
    <col min="4" max="4" width="16.140625" customWidth="1"/>
    <col min="5" max="5" width="12.5703125" customWidth="1"/>
  </cols>
  <sheetData>
    <row r="1" spans="1:6" ht="15.75" x14ac:dyDescent="0.25">
      <c r="A1" s="70" t="s">
        <v>45</v>
      </c>
      <c r="B1" s="62" t="s">
        <v>73</v>
      </c>
      <c r="C1" s="62" t="s">
        <v>74</v>
      </c>
      <c r="D1" s="63" t="s">
        <v>75</v>
      </c>
    </row>
    <row r="2" spans="1:6" ht="15.75" x14ac:dyDescent="0.25">
      <c r="A2" s="64" t="s">
        <v>72</v>
      </c>
      <c r="B2" s="61">
        <v>20</v>
      </c>
      <c r="C2" s="61">
        <v>15</v>
      </c>
      <c r="D2" s="66">
        <v>5</v>
      </c>
    </row>
    <row r="3" spans="1:6" ht="15.75" x14ac:dyDescent="0.25">
      <c r="A3" s="64" t="s">
        <v>76</v>
      </c>
      <c r="B3" s="68">
        <v>4000</v>
      </c>
      <c r="C3" s="68">
        <v>3000</v>
      </c>
      <c r="D3" s="69">
        <v>10000</v>
      </c>
    </row>
    <row r="4" spans="1:6" ht="15.75" x14ac:dyDescent="0.25">
      <c r="A4" s="64" t="s">
        <v>77</v>
      </c>
      <c r="B4" s="68">
        <v>3000</v>
      </c>
      <c r="C4" s="68">
        <v>1500</v>
      </c>
      <c r="D4" s="69">
        <v>6400</v>
      </c>
    </row>
    <row r="5" spans="1:6" ht="15.75" x14ac:dyDescent="0.25">
      <c r="A5" s="64" t="s">
        <v>78</v>
      </c>
      <c r="B5" s="60">
        <v>0</v>
      </c>
      <c r="C5" s="60">
        <v>0</v>
      </c>
      <c r="D5" s="65">
        <v>0</v>
      </c>
    </row>
    <row r="6" spans="1:6" ht="16.5" thickBot="1" x14ac:dyDescent="0.3">
      <c r="A6" s="67" t="s">
        <v>80</v>
      </c>
      <c r="B6" s="71" t="s">
        <v>81</v>
      </c>
      <c r="C6" s="71" t="s">
        <v>82</v>
      </c>
      <c r="D6" s="72" t="s">
        <v>83</v>
      </c>
    </row>
    <row r="8" spans="1:6" ht="15.75" thickBot="1" x14ac:dyDescent="0.3"/>
    <row r="9" spans="1:6" x14ac:dyDescent="0.25">
      <c r="A9" s="13"/>
      <c r="B9" s="14" t="s">
        <v>73</v>
      </c>
      <c r="C9" s="14" t="s">
        <v>74</v>
      </c>
      <c r="D9" s="14" t="s">
        <v>75</v>
      </c>
      <c r="E9" s="24"/>
    </row>
    <row r="10" spans="1:6" x14ac:dyDescent="0.25">
      <c r="A10" s="1" t="s">
        <v>84</v>
      </c>
      <c r="B10" s="7">
        <f>B2*B3</f>
        <v>80000</v>
      </c>
      <c r="C10" s="7">
        <f t="shared" ref="C10:D10" si="0">C2*C3</f>
        <v>45000</v>
      </c>
      <c r="D10" s="7">
        <f t="shared" si="0"/>
        <v>50000</v>
      </c>
      <c r="E10" s="3"/>
    </row>
    <row r="11" spans="1:6" x14ac:dyDescent="0.25">
      <c r="A11" s="1" t="s">
        <v>85</v>
      </c>
      <c r="B11" s="7">
        <f>6.9*B3</f>
        <v>27600</v>
      </c>
      <c r="C11" s="7">
        <f>4.1*C3</f>
        <v>12299.999999999998</v>
      </c>
      <c r="D11" s="7">
        <f>1.2*D3</f>
        <v>12000</v>
      </c>
      <c r="E11" s="3" t="s">
        <v>46</v>
      </c>
    </row>
    <row r="12" spans="1:6" x14ac:dyDescent="0.25">
      <c r="A12" s="1" t="s">
        <v>86</v>
      </c>
      <c r="B12" s="7">
        <f>B10-B11</f>
        <v>52400</v>
      </c>
      <c r="C12" s="7">
        <f t="shared" ref="C12:D12" si="1">C10-C11</f>
        <v>32700</v>
      </c>
      <c r="D12" s="7">
        <f t="shared" si="1"/>
        <v>38000</v>
      </c>
      <c r="E12" s="3">
        <f>SUM(B12:D12)</f>
        <v>123100</v>
      </c>
    </row>
    <row r="13" spans="1:6" x14ac:dyDescent="0.25">
      <c r="A13" s="1" t="s">
        <v>87</v>
      </c>
      <c r="B13" s="12"/>
      <c r="C13" s="12"/>
      <c r="D13" s="12"/>
      <c r="E13" s="16"/>
    </row>
    <row r="14" spans="1:6" x14ac:dyDescent="0.25">
      <c r="A14" s="1" t="s">
        <v>89</v>
      </c>
      <c r="B14" s="27">
        <f>B12/E12</f>
        <v>0.42567018683996749</v>
      </c>
      <c r="C14" s="27"/>
      <c r="D14" s="27"/>
      <c r="E14" s="16"/>
    </row>
    <row r="15" spans="1:6" x14ac:dyDescent="0.25">
      <c r="A15" s="1" t="s">
        <v>90</v>
      </c>
      <c r="B15" s="27"/>
      <c r="C15" s="27">
        <f>C12/E12</f>
        <v>0.26563769293257516</v>
      </c>
      <c r="D15" s="27"/>
      <c r="E15" s="16"/>
    </row>
    <row r="16" spans="1:6" x14ac:dyDescent="0.25">
      <c r="A16" s="1" t="s">
        <v>91</v>
      </c>
      <c r="B16" s="27"/>
      <c r="C16" s="27"/>
      <c r="D16" s="27">
        <f>D12/E12</f>
        <v>0.30869212022745735</v>
      </c>
      <c r="E16" s="16" t="s">
        <v>46</v>
      </c>
      <c r="F16" s="73"/>
    </row>
    <row r="17" spans="1:5" ht="15.75" thickBot="1" x14ac:dyDescent="0.3">
      <c r="A17" s="4" t="s">
        <v>88</v>
      </c>
      <c r="B17" s="9">
        <f>60000*B14</f>
        <v>25540.211210398051</v>
      </c>
      <c r="C17" s="9">
        <f>60000*C15</f>
        <v>15938.26157595451</v>
      </c>
      <c r="D17" s="9">
        <f>60000*D16</f>
        <v>18521.527213647441</v>
      </c>
      <c r="E17" s="41">
        <f>SUM(B17:D17)</f>
        <v>60000</v>
      </c>
    </row>
    <row r="19" spans="1:5" ht="15.75" thickBot="1" x14ac:dyDescent="0.3"/>
    <row r="20" spans="1:5" x14ac:dyDescent="0.25">
      <c r="A20" s="20" t="s">
        <v>92</v>
      </c>
      <c r="B20" s="14" t="s">
        <v>73</v>
      </c>
      <c r="C20" s="14" t="s">
        <v>93</v>
      </c>
      <c r="D20" s="15" t="s">
        <v>75</v>
      </c>
    </row>
    <row r="21" spans="1:5" x14ac:dyDescent="0.25">
      <c r="A21" s="25" t="s">
        <v>79</v>
      </c>
      <c r="B21" s="7">
        <f>B11</f>
        <v>27600</v>
      </c>
      <c r="C21" s="7">
        <f t="shared" ref="C21:D21" si="2">C11</f>
        <v>12299.999999999998</v>
      </c>
      <c r="D21" s="3">
        <f t="shared" si="2"/>
        <v>12000</v>
      </c>
    </row>
    <row r="22" spans="1:5" x14ac:dyDescent="0.25">
      <c r="A22" s="25" t="s">
        <v>94</v>
      </c>
      <c r="B22" s="7">
        <f>B17</f>
        <v>25540.211210398051</v>
      </c>
      <c r="C22" s="7">
        <f t="shared" ref="C22:D22" si="3">C17</f>
        <v>15938.26157595451</v>
      </c>
      <c r="D22" s="3">
        <f t="shared" si="3"/>
        <v>18521.527213647441</v>
      </c>
    </row>
    <row r="23" spans="1:5" x14ac:dyDescent="0.25">
      <c r="A23" s="25" t="s">
        <v>95</v>
      </c>
      <c r="B23" s="7">
        <f>SUM(B21:B22)</f>
        <v>53140.211210398047</v>
      </c>
      <c r="C23" s="7">
        <f t="shared" ref="C23:D23" si="4">SUM(C21:C22)</f>
        <v>28238.261575954508</v>
      </c>
      <c r="D23" s="3">
        <f t="shared" si="4"/>
        <v>30521.527213647441</v>
      </c>
    </row>
    <row r="24" spans="1:5" x14ac:dyDescent="0.25">
      <c r="A24" s="25" t="s">
        <v>96</v>
      </c>
      <c r="B24" s="74">
        <f>B3</f>
        <v>4000</v>
      </c>
      <c r="C24" s="74">
        <f t="shared" ref="C24:D24" si="5">C3</f>
        <v>3000</v>
      </c>
      <c r="D24" s="2">
        <f t="shared" si="5"/>
        <v>10000</v>
      </c>
    </row>
    <row r="25" spans="1:5" ht="15.75" thickBot="1" x14ac:dyDescent="0.3">
      <c r="A25" s="42" t="s">
        <v>97</v>
      </c>
      <c r="B25" s="75">
        <f>B23/B24</f>
        <v>13.285052802599512</v>
      </c>
      <c r="C25" s="75">
        <f t="shared" ref="C25:D25" si="6">C23/C24</f>
        <v>9.4127538586515023</v>
      </c>
      <c r="D25" s="76">
        <f t="shared" si="6"/>
        <v>3.0521527213647444</v>
      </c>
    </row>
    <row r="28" spans="1:5" ht="15.75" thickBot="1" x14ac:dyDescent="0.3">
      <c r="A28" s="26"/>
    </row>
    <row r="29" spans="1:5" x14ac:dyDescent="0.25">
      <c r="A29" s="77" t="s">
        <v>98</v>
      </c>
      <c r="B29" s="14" t="s">
        <v>73</v>
      </c>
      <c r="C29" s="14" t="s">
        <v>74</v>
      </c>
      <c r="D29" s="14" t="s">
        <v>75</v>
      </c>
      <c r="E29" s="15" t="s">
        <v>46</v>
      </c>
    </row>
    <row r="30" spans="1:5" x14ac:dyDescent="0.25">
      <c r="A30" s="1" t="s">
        <v>99</v>
      </c>
      <c r="B30" s="7">
        <f>B2*B4</f>
        <v>60000</v>
      </c>
      <c r="C30" s="7">
        <f t="shared" ref="C30:D30" si="7">C2*C4</f>
        <v>22500</v>
      </c>
      <c r="D30" s="7">
        <f t="shared" si="7"/>
        <v>32000</v>
      </c>
      <c r="E30" s="3">
        <f>SUM(B30:D30)</f>
        <v>114500</v>
      </c>
    </row>
    <row r="31" spans="1:5" x14ac:dyDescent="0.25">
      <c r="A31" s="1" t="s">
        <v>100</v>
      </c>
      <c r="B31" s="7">
        <f>B25*B4</f>
        <v>39855.158407798539</v>
      </c>
      <c r="C31" s="7">
        <f t="shared" ref="C31:D31" si="8">C25*C4</f>
        <v>14119.130787977254</v>
      </c>
      <c r="D31" s="7">
        <f t="shared" si="8"/>
        <v>19533.777416734363</v>
      </c>
      <c r="E31" s="3">
        <f t="shared" ref="E31:E32" si="9">SUM(B31:D31)</f>
        <v>73508.066612510156</v>
      </c>
    </row>
    <row r="32" spans="1:5" x14ac:dyDescent="0.25">
      <c r="A32" s="1" t="s">
        <v>101</v>
      </c>
      <c r="B32" s="7">
        <f>B30-B31</f>
        <v>20144.841592201461</v>
      </c>
      <c r="C32" s="7">
        <f t="shared" ref="C32:D32" si="10">C30-C31</f>
        <v>8380.8692120227461</v>
      </c>
      <c r="D32" s="7">
        <f t="shared" si="10"/>
        <v>12466.222583265637</v>
      </c>
      <c r="E32" s="3">
        <f t="shared" si="9"/>
        <v>40991.933387489844</v>
      </c>
    </row>
    <row r="33" spans="1:5" x14ac:dyDescent="0.25">
      <c r="A33" s="1" t="s">
        <v>102</v>
      </c>
      <c r="B33" s="7"/>
      <c r="C33" s="7"/>
      <c r="D33" s="7"/>
      <c r="E33" s="3">
        <v>18000</v>
      </c>
    </row>
    <row r="34" spans="1:5" x14ac:dyDescent="0.25">
      <c r="A34" s="1" t="s">
        <v>103</v>
      </c>
      <c r="B34" s="7"/>
      <c r="C34" s="7"/>
      <c r="D34" s="7"/>
      <c r="E34" s="3">
        <f>E32-E33</f>
        <v>22991.933387489844</v>
      </c>
    </row>
    <row r="35" spans="1:5" x14ac:dyDescent="0.25">
      <c r="A35" s="1" t="s">
        <v>104</v>
      </c>
      <c r="B35" s="7"/>
      <c r="C35" s="7"/>
      <c r="D35" s="7"/>
      <c r="E35" s="3">
        <f>E34*0.34</f>
        <v>7817.2573517465471</v>
      </c>
    </row>
    <row r="36" spans="1:5" x14ac:dyDescent="0.25">
      <c r="A36" s="1" t="s">
        <v>105</v>
      </c>
      <c r="B36" s="7"/>
      <c r="C36" s="7"/>
      <c r="D36" s="7"/>
      <c r="E36" s="3">
        <f>E34-E35</f>
        <v>15174.676035743298</v>
      </c>
    </row>
    <row r="37" spans="1:5" ht="15.75" thickBot="1" x14ac:dyDescent="0.3">
      <c r="A37" s="4"/>
      <c r="B37" s="17"/>
      <c r="C37" s="17"/>
      <c r="D37" s="17" t="s">
        <v>106</v>
      </c>
      <c r="E37" s="78">
        <f>E36/E30</f>
        <v>0.13252992170954844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Exercício 1</vt:lpstr>
      <vt:lpstr>Exercício 2</vt:lpstr>
      <vt:lpstr>Exercício 3</vt:lpstr>
      <vt:lpstr>Exercício 4</vt:lpstr>
      <vt:lpstr>Exercício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2020-11-26T12:14:33Z</dcterms:created>
  <dcterms:modified xsi:type="dcterms:W3CDTF">2020-12-02T23:46:26Z</dcterms:modified>
</cp:coreProperties>
</file>