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avaliação de empresas\"/>
    </mc:Choice>
  </mc:AlternateContent>
  <xr:revisionPtr revIDLastSave="0" documentId="8_{E99BCCC4-3F09-4D5F-B9AE-6F35EC0C2F1F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Caso 1" sheetId="1" r:id="rId1"/>
    <sheet name="Caso 2" sheetId="2" r:id="rId2"/>
    <sheet name="Caso 3" sheetId="3" r:id="rId3"/>
    <sheet name="Caso 4" sheetId="4" r:id="rId4"/>
    <sheet name="Caso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Q10" i="3" s="1"/>
  <c r="Q9" i="3"/>
  <c r="Q7" i="3"/>
  <c r="G17" i="3"/>
  <c r="G8" i="3"/>
  <c r="G6" i="3"/>
  <c r="I23" i="2"/>
  <c r="H21" i="2"/>
  <c r="O19" i="2"/>
  <c r="O18" i="2"/>
  <c r="N16" i="2"/>
  <c r="N14" i="2"/>
  <c r="J20" i="2"/>
  <c r="K20" i="2"/>
  <c r="L20" i="2"/>
  <c r="M20" i="2"/>
  <c r="I20" i="2"/>
  <c r="I16" i="2"/>
  <c r="D30" i="2"/>
  <c r="I14" i="2"/>
  <c r="N24" i="2"/>
  <c r="H25" i="2"/>
  <c r="I28" i="2"/>
  <c r="M25" i="4"/>
  <c r="M24" i="4"/>
  <c r="M20" i="4"/>
  <c r="M19" i="4"/>
  <c r="M21" i="4" s="1"/>
  <c r="D9" i="4"/>
  <c r="M6" i="4" s="1"/>
  <c r="Q18" i="3"/>
  <c r="G7" i="3"/>
  <c r="L6" i="3"/>
  <c r="R25" i="5"/>
  <c r="S17" i="5"/>
  <c r="N17" i="5"/>
  <c r="O17" i="5" s="1"/>
  <c r="P17" i="5" s="1"/>
  <c r="Q17" i="5" s="1"/>
  <c r="R17" i="5" s="1"/>
  <c r="O9" i="5"/>
  <c r="O7" i="5"/>
  <c r="O5" i="5"/>
  <c r="H21" i="5"/>
  <c r="H16" i="5"/>
  <c r="H12" i="5"/>
  <c r="M14" i="5" s="1"/>
  <c r="N14" i="5" s="1"/>
  <c r="H10" i="5"/>
  <c r="H5" i="5"/>
  <c r="H17" i="5" s="1"/>
  <c r="C14" i="1"/>
  <c r="H10" i="1"/>
  <c r="O14" i="5" l="1"/>
  <c r="N15" i="5"/>
  <c r="N16" i="5"/>
  <c r="M23" i="4"/>
  <c r="M26" i="4" s="1"/>
  <c r="M22" i="4"/>
  <c r="M8" i="4"/>
  <c r="N18" i="5"/>
  <c r="O18" i="5" s="1"/>
  <c r="P18" i="5" s="1"/>
  <c r="Q18" i="5" s="1"/>
  <c r="R18" i="5" s="1"/>
  <c r="H13" i="5"/>
  <c r="H14" i="5" s="1"/>
  <c r="H19" i="5" s="1"/>
  <c r="L7" i="3"/>
  <c r="L8" i="3" s="1"/>
  <c r="N20" i="5" l="1"/>
  <c r="P14" i="5"/>
  <c r="O15" i="5"/>
  <c r="O16" i="5" s="1"/>
  <c r="O20" i="5" s="1"/>
  <c r="I8" i="4"/>
  <c r="I13" i="4"/>
  <c r="I14" i="4"/>
  <c r="I7" i="4"/>
  <c r="I6" i="4"/>
  <c r="I21" i="4" s="1"/>
  <c r="I22" i="4" s="1"/>
  <c r="I15" i="4" s="1"/>
  <c r="I17" i="4" l="1"/>
  <c r="M12" i="4" s="1"/>
  <c r="M14" i="4" s="1"/>
  <c r="I10" i="4"/>
  <c r="M10" i="4" s="1"/>
  <c r="Q14" i="5"/>
  <c r="P15" i="5"/>
  <c r="P16" i="5"/>
  <c r="P20" i="5" s="1"/>
  <c r="Q16" i="3"/>
  <c r="Q17" i="3" s="1"/>
  <c r="Q19" i="3" s="1"/>
  <c r="N13" i="2"/>
  <c r="I31" i="2"/>
  <c r="I15" i="2" s="1"/>
  <c r="I17" i="2" s="1"/>
  <c r="J28" i="2"/>
  <c r="K28" i="2" s="1"/>
  <c r="L28" i="2" s="1"/>
  <c r="J29" i="2"/>
  <c r="K29" i="2" s="1"/>
  <c r="L29" i="2" s="1"/>
  <c r="M29" i="2" s="1"/>
  <c r="N29" i="2" s="1"/>
  <c r="I29" i="2"/>
  <c r="N30" i="2"/>
  <c r="L30" i="2"/>
  <c r="M30" i="2" s="1"/>
  <c r="K30" i="2"/>
  <c r="J30" i="2"/>
  <c r="I30" i="2"/>
  <c r="I24" i="2"/>
  <c r="I25" i="2" s="1"/>
  <c r="H24" i="2"/>
  <c r="H10" i="2"/>
  <c r="H8" i="2"/>
  <c r="I8" i="2" s="1"/>
  <c r="J8" i="2" s="1"/>
  <c r="K8" i="2" s="1"/>
  <c r="L8" i="2" s="1"/>
  <c r="M8" i="2" s="1"/>
  <c r="J10" i="2"/>
  <c r="K10" i="2" s="1"/>
  <c r="I10" i="2"/>
  <c r="J14" i="2"/>
  <c r="I13" i="2"/>
  <c r="J13" i="2" s="1"/>
  <c r="K13" i="2" s="1"/>
  <c r="L13" i="2" s="1"/>
  <c r="M13" i="2" s="1"/>
  <c r="I7" i="2"/>
  <c r="J7" i="2" s="1"/>
  <c r="K7" i="2" s="1"/>
  <c r="L7" i="2" s="1"/>
  <c r="M7" i="2" s="1"/>
  <c r="M9" i="1"/>
  <c r="H5" i="2"/>
  <c r="H4" i="2"/>
  <c r="D9" i="2"/>
  <c r="I26" i="2" l="1"/>
  <c r="I9" i="2" s="1"/>
  <c r="H6" i="2"/>
  <c r="J24" i="2"/>
  <c r="J31" i="2"/>
  <c r="J15" i="2" s="1"/>
  <c r="J16" i="2" s="1"/>
  <c r="J17" i="2" s="1"/>
  <c r="R14" i="5"/>
  <c r="Q15" i="5"/>
  <c r="Q16" i="5" s="1"/>
  <c r="Q20" i="5" s="1"/>
  <c r="M28" i="2"/>
  <c r="L31" i="2"/>
  <c r="L15" i="2" s="1"/>
  <c r="K31" i="2"/>
  <c r="K15" i="2" s="1"/>
  <c r="L10" i="2"/>
  <c r="M10" i="2" s="1"/>
  <c r="K14" i="2"/>
  <c r="C31" i="1"/>
  <c r="H18" i="1" s="1"/>
  <c r="S11" i="1" s="1"/>
  <c r="C13" i="1"/>
  <c r="C15" i="1" s="1"/>
  <c r="S14" i="1"/>
  <c r="S9" i="1"/>
  <c r="O9" i="1"/>
  <c r="P9" i="1" s="1"/>
  <c r="Q9" i="1" s="1"/>
  <c r="R9" i="1" s="1"/>
  <c r="N9" i="1"/>
  <c r="C19" i="1"/>
  <c r="H13" i="1" s="1"/>
  <c r="M14" i="1" s="1"/>
  <c r="N14" i="1" s="1"/>
  <c r="O14" i="1" s="1"/>
  <c r="P14" i="1" s="1"/>
  <c r="Q14" i="1" s="1"/>
  <c r="R14" i="1" s="1"/>
  <c r="I6" i="2" l="1"/>
  <c r="H11" i="2"/>
  <c r="H6" i="1"/>
  <c r="M11" i="1" s="1"/>
  <c r="N11" i="1" s="1"/>
  <c r="O11" i="1" s="1"/>
  <c r="P11" i="1" s="1"/>
  <c r="Q11" i="1" s="1"/>
  <c r="R11" i="1" s="1"/>
  <c r="M8" i="1"/>
  <c r="R15" i="5"/>
  <c r="R16" i="5"/>
  <c r="R20" i="5" s="1"/>
  <c r="S14" i="5"/>
  <c r="K24" i="2"/>
  <c r="K25" i="2" s="1"/>
  <c r="K26" i="2" s="1"/>
  <c r="K9" i="2" s="1"/>
  <c r="J25" i="2"/>
  <c r="J26" i="2" s="1"/>
  <c r="J9" i="2" s="1"/>
  <c r="M31" i="2"/>
  <c r="M15" i="2" s="1"/>
  <c r="N28" i="2"/>
  <c r="N31" i="2" s="1"/>
  <c r="N15" i="2" s="1"/>
  <c r="L14" i="2"/>
  <c r="K16" i="2"/>
  <c r="K17" i="2" s="1"/>
  <c r="S15" i="5" l="1"/>
  <c r="S16" i="5" s="1"/>
  <c r="S20" i="5" s="1"/>
  <c r="N22" i="5" s="1"/>
  <c r="N26" i="5" s="1"/>
  <c r="M10" i="1"/>
  <c r="M12" i="1"/>
  <c r="N8" i="1"/>
  <c r="I11" i="2"/>
  <c r="I19" i="2" s="1"/>
  <c r="J6" i="2"/>
  <c r="M14" i="2"/>
  <c r="M16" i="2" s="1"/>
  <c r="L16" i="2"/>
  <c r="L17" i="2" s="1"/>
  <c r="M17" i="2" s="1"/>
  <c r="L24" i="2"/>
  <c r="L25" i="2" s="1"/>
  <c r="L26" i="2" s="1"/>
  <c r="L9" i="2" s="1"/>
  <c r="S23" i="5" l="1"/>
  <c r="S25" i="5"/>
  <c r="R27" i="5" s="1"/>
  <c r="J11" i="2"/>
  <c r="J19" i="2" s="1"/>
  <c r="K6" i="2"/>
  <c r="N10" i="1"/>
  <c r="N12" i="1" s="1"/>
  <c r="N15" i="1" s="1"/>
  <c r="O8" i="1"/>
  <c r="M24" i="2"/>
  <c r="N25" i="2" l="1"/>
  <c r="M25" i="2"/>
  <c r="M26" i="2" s="1"/>
  <c r="M9" i="2" s="1"/>
  <c r="L6" i="2"/>
  <c r="K11" i="2"/>
  <c r="K19" i="2" s="1"/>
  <c r="P8" i="1"/>
  <c r="O10" i="1"/>
  <c r="O12" i="1"/>
  <c r="O15" i="1" s="1"/>
  <c r="L11" i="2" l="1"/>
  <c r="L19" i="2" s="1"/>
  <c r="M6" i="2"/>
  <c r="Q8" i="1"/>
  <c r="P10" i="1"/>
  <c r="P12" i="1"/>
  <c r="P15" i="1" s="1"/>
  <c r="N26" i="2"/>
  <c r="N9" i="2" s="1"/>
  <c r="R8" i="1" l="1"/>
  <c r="Q10" i="1"/>
  <c r="Q12" i="1"/>
  <c r="Q15" i="1" s="1"/>
  <c r="N6" i="2"/>
  <c r="N11" i="2" s="1"/>
  <c r="N19" i="2" s="1"/>
  <c r="M11" i="2"/>
  <c r="M19" i="2" s="1"/>
  <c r="R6" i="1" l="1"/>
  <c r="R10" i="1"/>
  <c r="R12" i="1" s="1"/>
  <c r="R15" i="1" s="1"/>
  <c r="M16" i="1" s="1"/>
  <c r="S6" i="1" l="1"/>
  <c r="R7" i="1"/>
  <c r="S7" i="1" l="1"/>
  <c r="S8" i="1" s="1"/>
  <c r="S10" i="1" l="1"/>
  <c r="S12" i="1"/>
  <c r="S15" i="1" s="1"/>
  <c r="M17" i="1" s="1"/>
  <c r="M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Anônimo</author>
  </authors>
  <commentList>
    <comment ref="R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Desfiz o NOPAT, para encontrar o EBIT de 2012.</t>
        </r>
      </text>
    </comment>
    <comment ref="S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Corrige o EBIT de 2012 pelo g NOPAT da perpetuidade
IR de 33% também da perpetuidade</t>
        </r>
      </text>
    </comment>
  </commentList>
</comments>
</file>

<file path=xl/sharedStrings.xml><?xml version="1.0" encoding="utf-8"?>
<sst xmlns="http://schemas.openxmlformats.org/spreadsheetml/2006/main" count="260" uniqueCount="155">
  <si>
    <t>Perpetuidade</t>
  </si>
  <si>
    <t>Alto Crescimento</t>
  </si>
  <si>
    <t>EBIT</t>
  </si>
  <si>
    <t>Ano</t>
  </si>
  <si>
    <t>IR</t>
  </si>
  <si>
    <t>ROI</t>
  </si>
  <si>
    <t>CAPEX - Deprec</t>
  </si>
  <si>
    <t>Giro</t>
  </si>
  <si>
    <t xml:space="preserve">b NOPAT = </t>
  </si>
  <si>
    <t>CAPEX - Deprec + Giro</t>
  </si>
  <si>
    <t>NOPAT</t>
  </si>
  <si>
    <t>g NOPAT</t>
  </si>
  <si>
    <t>(-) IR</t>
  </si>
  <si>
    <t>a)</t>
  </si>
  <si>
    <t>b)</t>
  </si>
  <si>
    <t>b NOPAT x ROI</t>
  </si>
  <si>
    <t>b NOPAT (2007)</t>
  </si>
  <si>
    <t>g NOPAT (projeção)</t>
  </si>
  <si>
    <t>b NOPAT (projeção)</t>
  </si>
  <si>
    <t>c)</t>
  </si>
  <si>
    <t>WACC</t>
  </si>
  <si>
    <t>ROI (2006 e preojeção)</t>
  </si>
  <si>
    <t>Ke</t>
  </si>
  <si>
    <t>Ki bruto</t>
  </si>
  <si>
    <t>Ki Líquido</t>
  </si>
  <si>
    <t>P/(P+PL)</t>
  </si>
  <si>
    <t>d)</t>
  </si>
  <si>
    <t>Ki Bruto</t>
  </si>
  <si>
    <t>ROI = WACC, pois não criará valor</t>
  </si>
  <si>
    <t xml:space="preserve">g NOPAT = </t>
  </si>
  <si>
    <t>g NOPAT / ROI</t>
  </si>
  <si>
    <t>(-) Reinvestimento</t>
  </si>
  <si>
    <t>(=) NOPAT</t>
  </si>
  <si>
    <t>Taxa de Reinvest. (b)</t>
  </si>
  <si>
    <t>FOCF</t>
  </si>
  <si>
    <t>VP Explícito</t>
  </si>
  <si>
    <t>VP Fluxos</t>
  </si>
  <si>
    <t>VP Perpetuidade</t>
  </si>
  <si>
    <t>VP TOTAL</t>
  </si>
  <si>
    <t>Department Store</t>
  </si>
  <si>
    <t>X4</t>
  </si>
  <si>
    <t>CAPEX</t>
  </si>
  <si>
    <t>Depreciação</t>
  </si>
  <si>
    <t>Receita</t>
  </si>
  <si>
    <t>Rf</t>
  </si>
  <si>
    <t>Duração</t>
  </si>
  <si>
    <t>anos</t>
  </si>
  <si>
    <t>Beta</t>
  </si>
  <si>
    <t>a.a.</t>
  </si>
  <si>
    <t>Cresc Vendas</t>
  </si>
  <si>
    <t>Cresc CAPEX</t>
  </si>
  <si>
    <t>Cresc Depreciação</t>
  </si>
  <si>
    <t>Estável</t>
  </si>
  <si>
    <t>g Fluxo Oper</t>
  </si>
  <si>
    <t>CAPEX = DEPRECIAÇÃO</t>
  </si>
  <si>
    <t>X5</t>
  </si>
  <si>
    <t>X6</t>
  </si>
  <si>
    <t>X7</t>
  </si>
  <si>
    <t>X8</t>
  </si>
  <si>
    <t>X9</t>
  </si>
  <si>
    <t>X10</t>
  </si>
  <si>
    <t>CRESCIMENTO</t>
  </si>
  <si>
    <t>PEPERPETUIDADE</t>
  </si>
  <si>
    <r>
      <t xml:space="preserve">g </t>
    </r>
    <r>
      <rPr>
        <vertAlign val="subscript"/>
        <sz val="11"/>
        <color theme="1"/>
        <rFont val="Calibri"/>
        <family val="2"/>
        <scheme val="minor"/>
      </rPr>
      <t>NOPAT</t>
    </r>
  </si>
  <si>
    <t>Vendas</t>
  </si>
  <si>
    <t>Ki líquido</t>
  </si>
  <si>
    <t>WACC Acum</t>
  </si>
  <si>
    <t>Valor</t>
  </si>
  <si>
    <t>(+) Depreciação</t>
  </si>
  <si>
    <t>(-) Var. Cap Giro</t>
  </si>
  <si>
    <t>(-) CAPEX</t>
  </si>
  <si>
    <t>Var. Giro</t>
  </si>
  <si>
    <t>Rm</t>
  </si>
  <si>
    <t>NÃO BATEU COM A RESPOSTA</t>
  </si>
  <si>
    <t>FALTA O Rm</t>
  </si>
  <si>
    <t>FALTA O cresc receita perp</t>
  </si>
  <si>
    <t>Ghandi Co.</t>
  </si>
  <si>
    <t>PL</t>
  </si>
  <si>
    <t>Dívidas</t>
  </si>
  <si>
    <t>Invest.</t>
  </si>
  <si>
    <t>(-) Invest</t>
  </si>
  <si>
    <t>Prêmio</t>
  </si>
  <si>
    <t>Risco Pais</t>
  </si>
  <si>
    <t>e)</t>
  </si>
  <si>
    <t>P/PL</t>
  </si>
  <si>
    <t>P / (P + PL)</t>
  </si>
  <si>
    <t>Ki Liq</t>
  </si>
  <si>
    <t>f)</t>
  </si>
  <si>
    <t>ROI = WACC</t>
  </si>
  <si>
    <t>g</t>
  </si>
  <si>
    <t>Bally Co.</t>
  </si>
  <si>
    <t>X3</t>
  </si>
  <si>
    <t>Dívida</t>
  </si>
  <si>
    <t>nº ações</t>
  </si>
  <si>
    <t>valor unit</t>
  </si>
  <si>
    <t>Valor Total</t>
  </si>
  <si>
    <t>rating</t>
  </si>
  <si>
    <t>B</t>
  </si>
  <si>
    <t>Ebitda</t>
  </si>
  <si>
    <t>Deprec</t>
  </si>
  <si>
    <t>P/ (P+PL)</t>
  </si>
  <si>
    <t>Rating</t>
  </si>
  <si>
    <t>A</t>
  </si>
  <si>
    <t>Ki (Bruto)</t>
  </si>
  <si>
    <t>Premio</t>
  </si>
  <si>
    <t>WACC atual</t>
  </si>
  <si>
    <t>Ki liq</t>
  </si>
  <si>
    <t>BL = BU + (1 + P/PL x (1-IR)</t>
  </si>
  <si>
    <t xml:space="preserve">BU = </t>
  </si>
  <si>
    <t xml:space="preserve">BL Novo = </t>
  </si>
  <si>
    <t>Valor Atual</t>
  </si>
  <si>
    <t>Valor Novo</t>
  </si>
  <si>
    <t>Incremento</t>
  </si>
  <si>
    <t>FC Atual</t>
  </si>
  <si>
    <t>FC Novo</t>
  </si>
  <si>
    <t>Nintendo</t>
  </si>
  <si>
    <t>Valor PL</t>
  </si>
  <si>
    <t>Saldo Cx</t>
  </si>
  <si>
    <t>b NOPAT</t>
  </si>
  <si>
    <t>Ebit</t>
  </si>
  <si>
    <t>FCO</t>
  </si>
  <si>
    <t>VP</t>
  </si>
  <si>
    <t>g cresc</t>
  </si>
  <si>
    <t>g perp</t>
  </si>
  <si>
    <t>WACC cresc</t>
  </si>
  <si>
    <t>WACC perp</t>
  </si>
  <si>
    <t>Perp</t>
  </si>
  <si>
    <t>b perp</t>
  </si>
  <si>
    <t xml:space="preserve">WACC </t>
  </si>
  <si>
    <t>FC Desc</t>
  </si>
  <si>
    <t>Valor da Empresa</t>
  </si>
  <si>
    <t>Caixa</t>
  </si>
  <si>
    <t>TOTAL</t>
  </si>
  <si>
    <t>Passivo</t>
  </si>
  <si>
    <t>Ação</t>
  </si>
  <si>
    <t>V = FC / WACC</t>
  </si>
  <si>
    <t>EBITDA</t>
  </si>
  <si>
    <t>(-) Deprec</t>
  </si>
  <si>
    <t>(=) EBIT</t>
  </si>
  <si>
    <t>(+) Deprec</t>
  </si>
  <si>
    <t>(=) Fluxo</t>
  </si>
  <si>
    <t xml:space="preserve">Valor = </t>
  </si>
  <si>
    <t>FC x (1 + g)</t>
  </si>
  <si>
    <t>wacc - g</t>
  </si>
  <si>
    <t>60,2 x (1 + g)</t>
  </si>
  <si>
    <t>0,0932 - g</t>
  </si>
  <si>
    <t>60,2 + 60,2g</t>
  </si>
  <si>
    <t xml:space="preserve">1693,91 = </t>
  </si>
  <si>
    <t xml:space="preserve">1693,91 x (0,0932 - g) = </t>
  </si>
  <si>
    <t>157,872412 - 1693,91g - 60,2 - 60,2g = 0</t>
  </si>
  <si>
    <t>97,672412 = 1633,71g</t>
  </si>
  <si>
    <t>g = 97,672412 / 1633,71</t>
  </si>
  <si>
    <t>g = 0,059785649</t>
  </si>
  <si>
    <t>5,5%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</si>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</sst>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0.000"/>
    <numFmt numFmtId="166" formatCode="0.0%"/>
    <numFmt numFmtId="167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0" fontId="0" fillId="2" borderId="0" xfId="0" applyNumberFormat="1" applyFill="1"/>
    <xf numFmtId="10" fontId="0" fillId="2" borderId="0" xfId="2" applyNumberFormat="1" applyFont="1" applyFill="1"/>
    <xf numFmtId="0" fontId="2" fillId="2" borderId="0" xfId="0" applyFont="1" applyFill="1" applyAlignment="1">
      <alignment horizontal="center"/>
    </xf>
    <xf numFmtId="164" fontId="0" fillId="2" borderId="0" xfId="1" applyFont="1" applyFill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0" fontId="2" fillId="3" borderId="4" xfId="2" applyNumberFormat="1" applyFont="1" applyFill="1" applyBorder="1" applyAlignment="1">
      <alignment horizontal="center"/>
    </xf>
    <xf numFmtId="0" fontId="2" fillId="3" borderId="3" xfId="0" applyFont="1" applyFill="1" applyBorder="1" applyAlignment="1"/>
    <xf numFmtId="10" fontId="0" fillId="2" borderId="0" xfId="0" applyNumberFormat="1" applyFill="1" applyAlignment="1">
      <alignment horizontal="center"/>
    </xf>
    <xf numFmtId="10" fontId="2" fillId="3" borderId="4" xfId="0" applyNumberFormat="1" applyFont="1" applyFill="1" applyBorder="1" applyAlignment="1">
      <alignment horizontal="center"/>
    </xf>
    <xf numFmtId="9" fontId="0" fillId="2" borderId="0" xfId="0" applyNumberFormat="1" applyFill="1"/>
    <xf numFmtId="10" fontId="2" fillId="3" borderId="4" xfId="0" applyNumberFormat="1" applyFont="1" applyFill="1" applyBorder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164" fontId="2" fillId="2" borderId="4" xfId="1" applyFont="1" applyFill="1" applyBorder="1"/>
    <xf numFmtId="164" fontId="2" fillId="2" borderId="4" xfId="0" applyNumberFormat="1" applyFont="1" applyFill="1" applyBorder="1"/>
    <xf numFmtId="0" fontId="0" fillId="2" borderId="1" xfId="0" applyFill="1" applyBorder="1"/>
    <xf numFmtId="164" fontId="2" fillId="2" borderId="1" xfId="1" applyFont="1" applyFill="1" applyBorder="1"/>
    <xf numFmtId="0" fontId="2" fillId="2" borderId="0" xfId="0" applyFont="1" applyFill="1"/>
    <xf numFmtId="165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0" fillId="2" borderId="0" xfId="0" applyFill="1" applyAlignment="1">
      <alignment horizontal="center"/>
    </xf>
    <xf numFmtId="164" fontId="2" fillId="3" borderId="3" xfId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6" fontId="0" fillId="2" borderId="0" xfId="2" applyNumberFormat="1" applyFont="1" applyFill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10" fontId="0" fillId="3" borderId="4" xfId="2" applyNumberFormat="1" applyFont="1" applyFill="1" applyBorder="1" applyAlignment="1">
      <alignment horizontal="center"/>
    </xf>
    <xf numFmtId="10" fontId="0" fillId="3" borderId="4" xfId="0" applyNumberFormat="1" applyFill="1" applyBorder="1"/>
    <xf numFmtId="164" fontId="0" fillId="3" borderId="3" xfId="1" applyFont="1" applyFill="1" applyBorder="1" applyAlignment="1">
      <alignment horizontal="center"/>
    </xf>
    <xf numFmtId="164" fontId="0" fillId="3" borderId="4" xfId="1" applyFont="1" applyFill="1" applyBorder="1" applyAlignment="1">
      <alignment horizontal="center"/>
    </xf>
    <xf numFmtId="167" fontId="0" fillId="2" borderId="0" xfId="2" applyNumberFormat="1" applyFont="1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2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3" borderId="5" xfId="1" applyFont="1" applyFill="1" applyBorder="1" applyAlignment="1">
      <alignment horizontal="center"/>
    </xf>
    <xf numFmtId="164" fontId="2" fillId="3" borderId="4" xfId="1" applyFont="1" applyFill="1" applyBorder="1" applyAlignment="1">
      <alignment horizontal="center"/>
    </xf>
    <xf numFmtId="0" fontId="0" fillId="4" borderId="0" xfId="0" applyFill="1"/>
    <xf numFmtId="165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65" fontId="0" fillId="4" borderId="0" xfId="0" applyNumberFormat="1" applyFill="1"/>
    <xf numFmtId="2" fontId="6" fillId="4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10" fontId="6" fillId="2" borderId="0" xfId="0" applyNumberFormat="1" applyFont="1" applyFill="1" applyAlignment="1">
      <alignment horizontal="center"/>
    </xf>
    <xf numFmtId="10" fontId="0" fillId="4" borderId="0" xfId="2" applyNumberFormat="1" applyFont="1" applyFill="1" applyAlignment="1">
      <alignment horizontal="center"/>
    </xf>
    <xf numFmtId="10" fontId="0" fillId="4" borderId="0" xfId="0" applyNumberFormat="1" applyFill="1" applyAlignment="1">
      <alignment horizontal="center"/>
    </xf>
    <xf numFmtId="167" fontId="0" fillId="2" borderId="0" xfId="0" applyNumberFormat="1" applyFill="1"/>
    <xf numFmtId="44" fontId="0" fillId="2" borderId="0" xfId="0" applyNumberFormat="1" applyFill="1"/>
    <xf numFmtId="10" fontId="0" fillId="4" borderId="4" xfId="2" applyNumberFormat="1" applyFon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10" fontId="0" fillId="4" borderId="4" xfId="0" applyNumberForma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T31"/>
  <sheetViews>
    <sheetView topLeftCell="C1" zoomScale="90" zoomScaleNormal="90" workbookViewId="0">
      <selection activeCell="R17" sqref="R17:T22"/>
    </sheetView>
  </sheetViews>
  <sheetFormatPr defaultRowHeight="15" x14ac:dyDescent="0.25"/>
  <cols>
    <col min="1" max="1" width="9.140625" style="1"/>
    <col min="2" max="2" width="21.140625" style="1" bestFit="1" customWidth="1"/>
    <col min="3" max="3" width="11.140625" style="1" bestFit="1" customWidth="1"/>
    <col min="4" max="6" width="9.140625" style="1"/>
    <col min="7" max="7" width="18.5703125" style="1" bestFit="1" customWidth="1"/>
    <col min="8" max="11" width="9.140625" style="1"/>
    <col min="12" max="12" width="18" style="1" bestFit="1" customWidth="1"/>
    <col min="13" max="13" width="12.7109375" style="1" bestFit="1" customWidth="1"/>
    <col min="14" max="18" width="11.140625" style="1" bestFit="1" customWidth="1"/>
    <col min="19" max="19" width="13.28515625" style="1" bestFit="1" customWidth="1"/>
    <col min="20" max="16384" width="9.140625" style="1"/>
  </cols>
  <sheetData>
    <row r="4" spans="2:19" x14ac:dyDescent="0.25">
      <c r="B4" s="42" t="s">
        <v>1</v>
      </c>
      <c r="C4" s="42"/>
      <c r="G4" s="1" t="s">
        <v>8</v>
      </c>
      <c r="H4" s="43" t="s">
        <v>9</v>
      </c>
      <c r="I4" s="43"/>
      <c r="J4" s="43"/>
      <c r="S4" s="1" t="s">
        <v>0</v>
      </c>
    </row>
    <row r="5" spans="2:19" ht="15.75" thickBot="1" x14ac:dyDescent="0.3">
      <c r="B5" s="1" t="s">
        <v>3</v>
      </c>
      <c r="C5" s="1">
        <v>2007</v>
      </c>
      <c r="H5" s="44" t="s">
        <v>10</v>
      </c>
      <c r="I5" s="44"/>
      <c r="J5" s="44"/>
      <c r="M5" s="2">
        <v>2007</v>
      </c>
      <c r="N5" s="2"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</row>
    <row r="6" spans="2:19" ht="15.75" thickBot="1" x14ac:dyDescent="0.3">
      <c r="B6" s="1" t="s">
        <v>2</v>
      </c>
      <c r="C6" s="6">
        <v>231.8</v>
      </c>
      <c r="F6" s="5" t="s">
        <v>13</v>
      </c>
      <c r="G6" s="8" t="s">
        <v>16</v>
      </c>
      <c r="H6" s="9">
        <f>(C10+C11)/C15</f>
        <v>0.58462424347596964</v>
      </c>
      <c r="L6" s="1" t="s">
        <v>2</v>
      </c>
      <c r="R6" s="6">
        <f>R8/(1-C7)</f>
        <v>302.86647368283559</v>
      </c>
      <c r="S6" s="6">
        <f>R6*(1+C29)</f>
        <v>313.19422043542028</v>
      </c>
    </row>
    <row r="7" spans="2:19" x14ac:dyDescent="0.25">
      <c r="B7" s="1" t="s">
        <v>4</v>
      </c>
      <c r="C7" s="3">
        <v>0.25469999999999998</v>
      </c>
      <c r="R7" s="6">
        <f>R6*-C7</f>
        <v>-77.140090847018215</v>
      </c>
      <c r="S7" s="6">
        <f>S6*-C24</f>
        <v>-103.3540927436887</v>
      </c>
    </row>
    <row r="8" spans="2:19" x14ac:dyDescent="0.25">
      <c r="B8" s="1" t="s">
        <v>21</v>
      </c>
      <c r="C8" s="3">
        <v>0.1925</v>
      </c>
      <c r="G8" s="2" t="s">
        <v>29</v>
      </c>
      <c r="H8" s="1" t="s">
        <v>15</v>
      </c>
      <c r="L8" s="2" t="s">
        <v>32</v>
      </c>
      <c r="M8" s="6">
        <f>C15</f>
        <v>172.76054000000002</v>
      </c>
      <c r="N8" s="6">
        <f>M8*(1+H10)</f>
        <v>182.25191768733001</v>
      </c>
      <c r="O8" s="6">
        <f>N8*(1+$H$10)</f>
        <v>192.26474691911307</v>
      </c>
      <c r="P8" s="6">
        <f>O8*(1+$H$10)</f>
        <v>202.82767598247565</v>
      </c>
      <c r="Q8" s="6">
        <f t="shared" ref="Q8" si="0">P8*(1+$H$10)</f>
        <v>213.97092708711486</v>
      </c>
      <c r="R8" s="6">
        <f>Q8*(1+$H$10)</f>
        <v>225.72638283581739</v>
      </c>
      <c r="S8" s="15">
        <f>SUM(S6:S7)</f>
        <v>209.8401276917316</v>
      </c>
    </row>
    <row r="9" spans="2:19" ht="15.75" thickBot="1" x14ac:dyDescent="0.3">
      <c r="B9" s="1" t="s">
        <v>18</v>
      </c>
      <c r="C9" s="3">
        <v>0.28539999999999999</v>
      </c>
      <c r="L9" s="16" t="s">
        <v>11</v>
      </c>
      <c r="M9" s="17">
        <f>H10</f>
        <v>5.4939500000000002E-2</v>
      </c>
      <c r="N9" s="17">
        <f>M9</f>
        <v>5.4939500000000002E-2</v>
      </c>
      <c r="O9" s="17">
        <f t="shared" ref="O9:R9" si="1">N9</f>
        <v>5.4939500000000002E-2</v>
      </c>
      <c r="P9" s="17">
        <f t="shared" si="1"/>
        <v>5.4939500000000002E-2</v>
      </c>
      <c r="Q9" s="17">
        <f t="shared" si="1"/>
        <v>5.4939500000000002E-2</v>
      </c>
      <c r="R9" s="17">
        <f t="shared" si="1"/>
        <v>5.4939500000000002E-2</v>
      </c>
      <c r="S9" s="17">
        <f>C29</f>
        <v>3.4099999999999998E-2</v>
      </c>
    </row>
    <row r="10" spans="2:19" ht="15.75" thickBot="1" x14ac:dyDescent="0.3">
      <c r="B10" s="1" t="s">
        <v>6</v>
      </c>
      <c r="C10" s="1">
        <v>49</v>
      </c>
      <c r="F10" s="5" t="s">
        <v>14</v>
      </c>
      <c r="G10" s="10" t="s">
        <v>17</v>
      </c>
      <c r="H10" s="9">
        <f>C9*C8</f>
        <v>5.4939500000000002E-2</v>
      </c>
      <c r="L10" s="1" t="s">
        <v>31</v>
      </c>
      <c r="M10" s="6">
        <f>M8*-$C$9</f>
        <v>-49.305858116000003</v>
      </c>
      <c r="N10" s="6">
        <f>N8*-$C$9</f>
        <v>-52.014697307963985</v>
      </c>
      <c r="O10" s="6">
        <f>O8*-$C$9</f>
        <v>-54.872358770714868</v>
      </c>
      <c r="P10" s="6">
        <f>P8*-$C$9</f>
        <v>-57.887018725398548</v>
      </c>
      <c r="Q10" s="6">
        <f t="shared" ref="Q10" si="2">Q8*-$C$9</f>
        <v>-61.067302590662578</v>
      </c>
      <c r="R10" s="6">
        <f>R8*-$C$9</f>
        <v>-64.422309661342283</v>
      </c>
      <c r="S10" s="6">
        <f>S8*-H18</f>
        <v>-108.91245592523664</v>
      </c>
    </row>
    <row r="11" spans="2:19" x14ac:dyDescent="0.25">
      <c r="B11" s="1" t="s">
        <v>7</v>
      </c>
      <c r="C11" s="1">
        <v>52</v>
      </c>
      <c r="L11" s="16" t="s">
        <v>33</v>
      </c>
      <c r="M11" s="17">
        <f>H6</f>
        <v>0.58462424347596964</v>
      </c>
      <c r="N11" s="17">
        <f>M11</f>
        <v>0.58462424347596964</v>
      </c>
      <c r="O11" s="17">
        <f>N11</f>
        <v>0.58462424347596964</v>
      </c>
      <c r="P11" s="17">
        <f t="shared" ref="P11:Q11" si="3">O11</f>
        <v>0.58462424347596964</v>
      </c>
      <c r="Q11" s="17">
        <f t="shared" si="3"/>
        <v>0.58462424347596964</v>
      </c>
      <c r="R11" s="17">
        <f>Q11</f>
        <v>0.58462424347596964</v>
      </c>
      <c r="S11" s="17">
        <f>H18</f>
        <v>0.51902587519025878</v>
      </c>
    </row>
    <row r="12" spans="2:19" ht="15.75" thickBot="1" x14ac:dyDescent="0.3">
      <c r="L12" s="5" t="s">
        <v>34</v>
      </c>
      <c r="M12" s="18">
        <f>SUM(M8,M10)</f>
        <v>123.45468188400002</v>
      </c>
      <c r="N12" s="18">
        <f t="shared" ref="N12:S12" si="4">SUM(N8,N10)</f>
        <v>130.23722037936602</v>
      </c>
      <c r="O12" s="18">
        <f t="shared" si="4"/>
        <v>137.3923881483982</v>
      </c>
      <c r="P12" s="18">
        <f t="shared" si="4"/>
        <v>144.94065725707711</v>
      </c>
      <c r="Q12" s="18">
        <f t="shared" si="4"/>
        <v>152.90362449645227</v>
      </c>
      <c r="R12" s="18">
        <f t="shared" si="4"/>
        <v>161.30407317447509</v>
      </c>
      <c r="S12" s="18">
        <f t="shared" si="4"/>
        <v>100.92767176649495</v>
      </c>
    </row>
    <row r="13" spans="2:19" ht="15.75" thickBot="1" x14ac:dyDescent="0.3">
      <c r="B13" s="1" t="s">
        <v>2</v>
      </c>
      <c r="C13" s="6">
        <f>C6</f>
        <v>231.8</v>
      </c>
      <c r="F13" s="5" t="s">
        <v>19</v>
      </c>
      <c r="G13" s="8" t="s">
        <v>20</v>
      </c>
      <c r="H13" s="12">
        <f>C20*C19+(1-C20)*C17</f>
        <v>6.7764305760000004E-2</v>
      </c>
    </row>
    <row r="14" spans="2:19" x14ac:dyDescent="0.25">
      <c r="B14" s="1" t="s">
        <v>12</v>
      </c>
      <c r="C14" s="6">
        <f>C6*C7</f>
        <v>59.039459999999998</v>
      </c>
      <c r="L14" s="16" t="s">
        <v>20</v>
      </c>
      <c r="M14" s="17">
        <f>H13</f>
        <v>6.7764305760000004E-2</v>
      </c>
      <c r="N14" s="17">
        <f>M14</f>
        <v>6.7764305760000004E-2</v>
      </c>
      <c r="O14" s="17">
        <f t="shared" ref="O14:R14" si="5">N14</f>
        <v>6.7764305760000004E-2</v>
      </c>
      <c r="P14" s="17">
        <f t="shared" si="5"/>
        <v>6.7764305760000004E-2</v>
      </c>
      <c r="Q14" s="17">
        <f t="shared" si="5"/>
        <v>6.7764305760000004E-2</v>
      </c>
      <c r="R14" s="17">
        <f t="shared" si="5"/>
        <v>6.7764305760000004E-2</v>
      </c>
      <c r="S14" s="17">
        <f>C28</f>
        <v>6.5699999999999995E-2</v>
      </c>
    </row>
    <row r="15" spans="2:19" ht="15.75" thickBot="1" x14ac:dyDescent="0.3">
      <c r="B15" s="1" t="s">
        <v>10</v>
      </c>
      <c r="C15" s="6">
        <f>C13-C14</f>
        <v>172.76054000000002</v>
      </c>
      <c r="G15" s="2" t="s">
        <v>29</v>
      </c>
      <c r="H15" s="1" t="s">
        <v>15</v>
      </c>
      <c r="L15" s="2" t="s">
        <v>36</v>
      </c>
      <c r="N15" s="6">
        <f>N12/(1+$H$13)^1</f>
        <v>121.97188057027941</v>
      </c>
      <c r="O15" s="6">
        <f>O12/(1+$H$13)^2</f>
        <v>120.50688902855302</v>
      </c>
      <c r="P15" s="6">
        <f>P12/(1+$H$13)^3</f>
        <v>119.05949334750612</v>
      </c>
      <c r="Q15" s="6">
        <f>Q12/(1+$H$13)^4</f>
        <v>117.62948218509048</v>
      </c>
      <c r="R15" s="6">
        <f>R12/(1+$H$13)^5</f>
        <v>116.2166467376652</v>
      </c>
      <c r="S15" s="6">
        <f>(S12/(C28-C29))/((1+H13)^5)</f>
        <v>2301.1566207612177</v>
      </c>
    </row>
    <row r="16" spans="2:19" ht="15.75" thickBot="1" x14ac:dyDescent="0.3">
      <c r="G16" s="2" t="s">
        <v>8</v>
      </c>
      <c r="H16" s="1" t="s">
        <v>30</v>
      </c>
      <c r="L16" s="7" t="s">
        <v>35</v>
      </c>
      <c r="M16" s="19">
        <f>SUM(N15:R15)</f>
        <v>595.3843918690942</v>
      </c>
    </row>
    <row r="17" spans="2:20" ht="15.75" thickBot="1" x14ac:dyDescent="0.3">
      <c r="B17" s="1" t="s">
        <v>22</v>
      </c>
      <c r="C17" s="3">
        <v>7.5600000000000001E-2</v>
      </c>
      <c r="L17" s="7" t="s">
        <v>37</v>
      </c>
      <c r="M17" s="20">
        <f>S15</f>
        <v>2301.1566207612177</v>
      </c>
      <c r="S17" s="5"/>
    </row>
    <row r="18" spans="2:20" ht="15.75" thickBot="1" x14ac:dyDescent="0.3">
      <c r="B18" s="1" t="s">
        <v>23</v>
      </c>
      <c r="C18" s="3">
        <v>4.1700000000000001E-2</v>
      </c>
      <c r="F18" s="5" t="s">
        <v>26</v>
      </c>
      <c r="G18" s="8" t="s">
        <v>8</v>
      </c>
      <c r="H18" s="14">
        <f>C29/C31</f>
        <v>0.51902587519025878</v>
      </c>
      <c r="L18" s="7" t="s">
        <v>38</v>
      </c>
      <c r="M18" s="20">
        <f>SUM(M16:M17)</f>
        <v>2896.5410126303118</v>
      </c>
      <c r="R18" s="21"/>
      <c r="S18" s="22"/>
      <c r="T18" s="21"/>
    </row>
    <row r="19" spans="2:20" ht="15" customHeight="1" x14ac:dyDescent="0.25">
      <c r="B19" s="1" t="s">
        <v>24</v>
      </c>
      <c r="C19" s="3">
        <f>C18*(1-C7)</f>
        <v>3.1079010000000004E-2</v>
      </c>
      <c r="R19" s="45"/>
      <c r="S19" s="45"/>
      <c r="T19" s="45"/>
    </row>
    <row r="20" spans="2:20" x14ac:dyDescent="0.25">
      <c r="B20" s="1" t="s">
        <v>25</v>
      </c>
      <c r="C20" s="3">
        <v>0.17599999999999999</v>
      </c>
      <c r="R20" s="45"/>
      <c r="S20" s="45"/>
      <c r="T20" s="45"/>
    </row>
    <row r="21" spans="2:20" x14ac:dyDescent="0.25">
      <c r="R21" s="45"/>
      <c r="S21" s="45"/>
      <c r="T21" s="45"/>
    </row>
    <row r="22" spans="2:20" x14ac:dyDescent="0.25">
      <c r="B22" s="42" t="s">
        <v>0</v>
      </c>
      <c r="C22" s="42"/>
      <c r="R22" s="45"/>
      <c r="S22" s="45"/>
      <c r="T22" s="45"/>
    </row>
    <row r="24" spans="2:20" x14ac:dyDescent="0.25">
      <c r="B24" s="1" t="s">
        <v>4</v>
      </c>
      <c r="C24" s="13">
        <v>0.33</v>
      </c>
    </row>
    <row r="25" spans="2:20" x14ac:dyDescent="0.25">
      <c r="B25" s="1" t="s">
        <v>22</v>
      </c>
      <c r="C25" s="3">
        <v>7.4099999999999999E-2</v>
      </c>
    </row>
    <row r="26" spans="2:20" x14ac:dyDescent="0.25">
      <c r="B26" s="1" t="s">
        <v>27</v>
      </c>
      <c r="C26" s="3">
        <v>3.9100000000000003E-2</v>
      </c>
    </row>
    <row r="27" spans="2:20" x14ac:dyDescent="0.25">
      <c r="B27" s="1" t="s">
        <v>24</v>
      </c>
      <c r="C27" s="4">
        <v>2.6100000000000002E-2</v>
      </c>
    </row>
    <row r="28" spans="2:20" x14ac:dyDescent="0.25">
      <c r="B28" s="1" t="s">
        <v>20</v>
      </c>
      <c r="C28" s="3">
        <v>6.5699999999999995E-2</v>
      </c>
    </row>
    <row r="29" spans="2:20" x14ac:dyDescent="0.25">
      <c r="B29" s="1" t="s">
        <v>11</v>
      </c>
      <c r="C29" s="11">
        <v>3.4099999999999998E-2</v>
      </c>
    </row>
    <row r="30" spans="2:20" x14ac:dyDescent="0.25">
      <c r="B30" s="1" t="s">
        <v>28</v>
      </c>
    </row>
    <row r="31" spans="2:20" x14ac:dyDescent="0.25">
      <c r="B31" s="1" t="s">
        <v>5</v>
      </c>
      <c r="C31" s="3">
        <f>C28</f>
        <v>6.5699999999999995E-2</v>
      </c>
    </row>
  </sheetData>
  <mergeCells count="5">
    <mergeCell ref="B4:C4"/>
    <mergeCell ref="H4:J4"/>
    <mergeCell ref="H5:J5"/>
    <mergeCell ref="B22:C22"/>
    <mergeCell ref="R19:T2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O38"/>
  <sheetViews>
    <sheetView topLeftCell="A8" workbookViewId="0">
      <selection activeCell="I24" sqref="I24"/>
    </sheetView>
  </sheetViews>
  <sheetFormatPr defaultRowHeight="15" x14ac:dyDescent="0.25"/>
  <cols>
    <col min="1" max="5" width="9.140625" style="1"/>
    <col min="6" max="6" width="9.5703125" style="1" customWidth="1"/>
    <col min="7" max="7" width="12.7109375" style="1" bestFit="1" customWidth="1"/>
    <col min="8" max="8" width="9.5703125" style="51" customWidth="1"/>
    <col min="9" max="13" width="9.5703125" style="1" customWidth="1"/>
    <col min="14" max="14" width="16.42578125" style="1" bestFit="1" customWidth="1"/>
    <col min="15" max="18" width="9.5703125" style="1" customWidth="1"/>
    <col min="19" max="16384" width="9.140625" style="1"/>
  </cols>
  <sheetData>
    <row r="2" spans="3:14" x14ac:dyDescent="0.25">
      <c r="I2" s="48" t="s">
        <v>61</v>
      </c>
      <c r="J2" s="48"/>
      <c r="K2" s="48"/>
      <c r="L2" s="48"/>
      <c r="M2" s="48"/>
      <c r="N2" s="23" t="s">
        <v>62</v>
      </c>
    </row>
    <row r="3" spans="3:14" x14ac:dyDescent="0.25">
      <c r="C3" s="1" t="s">
        <v>39</v>
      </c>
      <c r="H3" s="38" t="s">
        <v>40</v>
      </c>
      <c r="I3" s="2" t="s">
        <v>55</v>
      </c>
      <c r="J3" s="2" t="s">
        <v>56</v>
      </c>
      <c r="K3" s="2" t="s">
        <v>57</v>
      </c>
      <c r="L3" s="2" t="s">
        <v>58</v>
      </c>
      <c r="M3" s="2" t="s">
        <v>59</v>
      </c>
      <c r="N3" s="2" t="s">
        <v>60</v>
      </c>
    </row>
    <row r="4" spans="3:14" x14ac:dyDescent="0.25">
      <c r="D4" s="2" t="s">
        <v>40</v>
      </c>
      <c r="G4" s="2" t="s">
        <v>2</v>
      </c>
      <c r="H4" s="52">
        <f>D5</f>
        <v>532</v>
      </c>
      <c r="I4" s="24"/>
      <c r="J4" s="24"/>
      <c r="K4" s="24"/>
      <c r="L4" s="24"/>
      <c r="M4" s="24"/>
      <c r="N4" s="24"/>
    </row>
    <row r="5" spans="3:14" x14ac:dyDescent="0.25">
      <c r="C5" s="1" t="s">
        <v>2</v>
      </c>
      <c r="D5" s="2">
        <v>532</v>
      </c>
      <c r="G5" s="2" t="s">
        <v>12</v>
      </c>
      <c r="H5" s="52">
        <f>H4*(-D10)</f>
        <v>-191.51999999999998</v>
      </c>
      <c r="I5" s="24"/>
      <c r="J5" s="24"/>
      <c r="K5" s="24"/>
      <c r="L5" s="24"/>
      <c r="M5" s="24"/>
      <c r="N5" s="24"/>
    </row>
    <row r="6" spans="3:14" x14ac:dyDescent="0.25">
      <c r="C6" s="1" t="s">
        <v>41</v>
      </c>
      <c r="D6" s="2">
        <v>310</v>
      </c>
      <c r="G6" s="2" t="s">
        <v>10</v>
      </c>
      <c r="H6" s="52">
        <f>SUM(H4:H5)</f>
        <v>340.48</v>
      </c>
      <c r="I6" s="24">
        <f>H6*(1+I7)</f>
        <v>367.71840000000003</v>
      </c>
      <c r="J6" s="24">
        <f t="shared" ref="J6:M6" si="0">I6*(1+J7)</f>
        <v>397.13587200000006</v>
      </c>
      <c r="K6" s="24">
        <f t="shared" si="0"/>
        <v>428.9067417600001</v>
      </c>
      <c r="L6" s="24">
        <f>K6*(1+L7)</f>
        <v>463.21928110080012</v>
      </c>
      <c r="M6" s="24">
        <f t="shared" si="0"/>
        <v>500.27682358886415</v>
      </c>
      <c r="N6" s="24">
        <f>M6*(1+D24)</f>
        <v>525.29066476830735</v>
      </c>
    </row>
    <row r="7" spans="3:14" ht="18" x14ac:dyDescent="0.35">
      <c r="C7" s="1" t="s">
        <v>42</v>
      </c>
      <c r="D7" s="2">
        <v>207</v>
      </c>
      <c r="G7" s="2" t="s">
        <v>63</v>
      </c>
      <c r="I7" s="25">
        <f>D15</f>
        <v>0.08</v>
      </c>
      <c r="J7" s="25">
        <f>I7</f>
        <v>0.08</v>
      </c>
      <c r="K7" s="25">
        <f t="shared" ref="K7:M7" si="1">J7</f>
        <v>0.08</v>
      </c>
      <c r="L7" s="25">
        <f t="shared" si="1"/>
        <v>0.08</v>
      </c>
      <c r="M7" s="25">
        <f t="shared" si="1"/>
        <v>0.08</v>
      </c>
      <c r="N7" s="25"/>
    </row>
    <row r="8" spans="3:14" x14ac:dyDescent="0.25">
      <c r="C8" s="1" t="s">
        <v>43</v>
      </c>
      <c r="D8" s="2">
        <v>7230</v>
      </c>
      <c r="G8" s="2" t="s">
        <v>68</v>
      </c>
      <c r="H8" s="53">
        <f>D7</f>
        <v>207</v>
      </c>
      <c r="I8" s="29">
        <f>H8*(1+$D$21)</f>
        <v>223.56</v>
      </c>
      <c r="J8" s="29">
        <f>I8*(1+$D$21)</f>
        <v>241.44480000000001</v>
      </c>
      <c r="K8" s="29">
        <f>J8*(1+$D$21)</f>
        <v>260.76038400000004</v>
      </c>
      <c r="L8" s="29">
        <f>K8*(1+$D$21)</f>
        <v>281.62121472000007</v>
      </c>
      <c r="M8" s="29">
        <f>L8*(1+$D$21)</f>
        <v>304.15091189760011</v>
      </c>
      <c r="N8" s="2">
        <v>0</v>
      </c>
    </row>
    <row r="9" spans="3:14" x14ac:dyDescent="0.25">
      <c r="C9" s="1" t="s">
        <v>7</v>
      </c>
      <c r="D9" s="2">
        <f>E9*D8</f>
        <v>1807.5</v>
      </c>
      <c r="E9" s="25">
        <v>0.25</v>
      </c>
      <c r="F9" s="13"/>
      <c r="G9" s="51" t="s">
        <v>69</v>
      </c>
      <c r="H9" s="55">
        <v>0</v>
      </c>
      <c r="I9" s="53">
        <f>-I26</f>
        <v>-144.60000000000014</v>
      </c>
      <c r="J9" s="53">
        <f t="shared" ref="J9:N9" si="2">-J26</f>
        <v>-156.16800000000035</v>
      </c>
      <c r="K9" s="53">
        <f t="shared" si="2"/>
        <v>-168.66144000000031</v>
      </c>
      <c r="L9" s="53">
        <f t="shared" si="2"/>
        <v>-182.15435520000028</v>
      </c>
      <c r="M9" s="53">
        <f t="shared" si="2"/>
        <v>-196.72670361600012</v>
      </c>
      <c r="N9" s="29">
        <f t="shared" si="2"/>
        <v>-132.79052494079997</v>
      </c>
    </row>
    <row r="10" spans="3:14" x14ac:dyDescent="0.25">
      <c r="C10" s="1" t="s">
        <v>4</v>
      </c>
      <c r="D10" s="25">
        <v>0.36</v>
      </c>
      <c r="G10" s="1" t="s">
        <v>70</v>
      </c>
      <c r="H10" s="53">
        <f>-D6</f>
        <v>-310</v>
      </c>
      <c r="I10" s="29">
        <f>H10*(1+$D$20)</f>
        <v>-334.8</v>
      </c>
      <c r="J10" s="29">
        <f t="shared" ref="J10:M10" si="3">I10*(1+$D$20)</f>
        <v>-361.58400000000006</v>
      </c>
      <c r="K10" s="29">
        <f t="shared" si="3"/>
        <v>-390.51072000000011</v>
      </c>
      <c r="L10" s="29">
        <f t="shared" si="3"/>
        <v>-421.75157760000013</v>
      </c>
      <c r="M10" s="29">
        <f t="shared" si="3"/>
        <v>-455.49170380800018</v>
      </c>
      <c r="N10" s="39">
        <v>0</v>
      </c>
    </row>
    <row r="11" spans="3:14" x14ac:dyDescent="0.25">
      <c r="C11" s="1" t="s">
        <v>44</v>
      </c>
      <c r="D11" s="11">
        <v>7.4999999999999997E-2</v>
      </c>
      <c r="G11" s="56" t="s">
        <v>34</v>
      </c>
      <c r="H11" s="55">
        <f>SUM(H6,H8:H10)</f>
        <v>237.48000000000002</v>
      </c>
      <c r="I11" s="57">
        <f t="shared" ref="I11:N11" si="4">SUM(I6,I8:I10)</f>
        <v>111.87839999999989</v>
      </c>
      <c r="J11" s="57">
        <f t="shared" si="4"/>
        <v>120.82867199999964</v>
      </c>
      <c r="K11" s="57">
        <f t="shared" si="4"/>
        <v>130.49496575999967</v>
      </c>
      <c r="L11" s="57">
        <f>SUM(L6,L8:L10)</f>
        <v>140.93456302079983</v>
      </c>
      <c r="M11" s="57">
        <f t="shared" si="4"/>
        <v>152.20932806246395</v>
      </c>
      <c r="N11" s="57">
        <f t="shared" si="4"/>
        <v>392.50013982750738</v>
      </c>
    </row>
    <row r="12" spans="3:14" x14ac:dyDescent="0.25">
      <c r="C12" s="1" t="s">
        <v>81</v>
      </c>
      <c r="D12" s="1" t="s">
        <v>153</v>
      </c>
      <c r="I12" s="2"/>
      <c r="J12" s="2"/>
      <c r="K12" s="2"/>
      <c r="L12" s="2"/>
      <c r="M12" s="2"/>
      <c r="N12" s="2"/>
    </row>
    <row r="13" spans="3:14" x14ac:dyDescent="0.25">
      <c r="C13" s="47" t="s">
        <v>1</v>
      </c>
      <c r="D13" s="47"/>
      <c r="G13" s="2" t="s">
        <v>25</v>
      </c>
      <c r="I13" s="25">
        <f>D18</f>
        <v>0.5</v>
      </c>
      <c r="J13" s="25">
        <f>I13</f>
        <v>0.5</v>
      </c>
      <c r="K13" s="25">
        <f t="shared" ref="K13:M13" si="5">J13</f>
        <v>0.5</v>
      </c>
      <c r="L13" s="25">
        <f t="shared" si="5"/>
        <v>0.5</v>
      </c>
      <c r="M13" s="25">
        <f t="shared" si="5"/>
        <v>0.5</v>
      </c>
      <c r="N13" s="25">
        <f>D27</f>
        <v>0.25</v>
      </c>
    </row>
    <row r="14" spans="3:14" x14ac:dyDescent="0.25">
      <c r="C14" s="1" t="s">
        <v>45</v>
      </c>
      <c r="D14" s="2">
        <v>5</v>
      </c>
      <c r="E14" s="2" t="s">
        <v>46</v>
      </c>
      <c r="G14" s="2" t="s">
        <v>65</v>
      </c>
      <c r="I14" s="59">
        <f>D17*(1-D10)</f>
        <v>5.9200000000000003E-2</v>
      </c>
      <c r="J14" s="60">
        <f>I14</f>
        <v>5.9200000000000003E-2</v>
      </c>
      <c r="K14" s="60">
        <f t="shared" ref="K14:M14" si="6">J14</f>
        <v>5.9200000000000003E-2</v>
      </c>
      <c r="L14" s="60">
        <f t="shared" si="6"/>
        <v>5.9200000000000003E-2</v>
      </c>
      <c r="M14" s="60">
        <f t="shared" si="6"/>
        <v>5.9200000000000003E-2</v>
      </c>
      <c r="N14" s="11">
        <f>D26*(1-D10)</f>
        <v>5.4400000000000004E-2</v>
      </c>
    </row>
    <row r="15" spans="3:14" x14ac:dyDescent="0.25">
      <c r="C15" s="1" t="s">
        <v>11</v>
      </c>
      <c r="D15" s="25">
        <v>0.08</v>
      </c>
      <c r="E15" s="2"/>
      <c r="G15" s="2" t="s">
        <v>22</v>
      </c>
      <c r="H15" s="38"/>
      <c r="I15" s="11">
        <f>I31</f>
        <v>0.14374999999999999</v>
      </c>
      <c r="J15" s="11">
        <f t="shared" ref="J15:M15" si="7">J31</f>
        <v>0.14374999999999999</v>
      </c>
      <c r="K15" s="11">
        <f t="shared" si="7"/>
        <v>0.14374999999999999</v>
      </c>
      <c r="L15" s="11">
        <f t="shared" si="7"/>
        <v>0.14374999999999999</v>
      </c>
      <c r="M15" s="11">
        <f t="shared" si="7"/>
        <v>0.14374999999999999</v>
      </c>
      <c r="N15" s="11">
        <f>N31</f>
        <v>0.13</v>
      </c>
    </row>
    <row r="16" spans="3:14" x14ac:dyDescent="0.25">
      <c r="C16" s="1" t="s">
        <v>47</v>
      </c>
      <c r="D16" s="2">
        <v>1.25</v>
      </c>
      <c r="E16" s="2"/>
      <c r="G16" s="2" t="s">
        <v>20</v>
      </c>
      <c r="I16" s="60">
        <f>I14*I13+(1-I13)*I15</f>
        <v>0.101475</v>
      </c>
      <c r="J16" s="60">
        <f t="shared" ref="J16:M16" si="8">J14*J13+(1-J13)*J15</f>
        <v>0.101475</v>
      </c>
      <c r="K16" s="60">
        <f t="shared" si="8"/>
        <v>0.101475</v>
      </c>
      <c r="L16" s="60">
        <f t="shared" si="8"/>
        <v>0.101475</v>
      </c>
      <c r="M16" s="60">
        <f t="shared" si="8"/>
        <v>0.101475</v>
      </c>
      <c r="N16" s="11">
        <f>N14*N13+(1-N13)*N15</f>
        <v>0.1111</v>
      </c>
    </row>
    <row r="17" spans="3:15" x14ac:dyDescent="0.25">
      <c r="C17" s="1" t="s">
        <v>27</v>
      </c>
      <c r="D17" s="58">
        <v>9.2499999999999999E-2</v>
      </c>
      <c r="E17" s="2" t="s">
        <v>48</v>
      </c>
      <c r="G17" s="2" t="s">
        <v>66</v>
      </c>
      <c r="I17" s="2">
        <f>1+I16</f>
        <v>1.101475</v>
      </c>
      <c r="J17" s="2">
        <f>I17*(1+J16)</f>
        <v>1.2132471756250001</v>
      </c>
      <c r="K17" s="2">
        <f t="shared" ref="K17:M17" si="9">J17*(1+K16)</f>
        <v>1.336361432771547</v>
      </c>
      <c r="L17" s="2">
        <f t="shared" si="9"/>
        <v>1.4719687091620397</v>
      </c>
      <c r="M17" s="2">
        <f t="shared" si="9"/>
        <v>1.6213367339242577</v>
      </c>
      <c r="N17" s="2"/>
    </row>
    <row r="18" spans="3:15" x14ac:dyDescent="0.25">
      <c r="C18" s="1" t="s">
        <v>25</v>
      </c>
      <c r="D18" s="25">
        <v>0.5</v>
      </c>
      <c r="E18" s="2"/>
      <c r="I18" s="1">
        <v>1</v>
      </c>
      <c r="J18" s="1">
        <v>2</v>
      </c>
      <c r="K18" s="1">
        <v>3</v>
      </c>
      <c r="L18" s="1">
        <v>4</v>
      </c>
      <c r="M18" s="1">
        <v>5</v>
      </c>
      <c r="O18" s="1">
        <f>N11/(N16-D24)</f>
        <v>6423.8975421850637</v>
      </c>
    </row>
    <row r="19" spans="3:15" x14ac:dyDescent="0.25">
      <c r="C19" s="1" t="s">
        <v>49</v>
      </c>
      <c r="D19" s="25">
        <v>0.08</v>
      </c>
      <c r="E19" s="2"/>
      <c r="G19" s="2" t="s">
        <v>36</v>
      </c>
      <c r="I19" s="24">
        <f>I11/I17</f>
        <v>101.57143829864489</v>
      </c>
      <c r="J19" s="24">
        <f>J11/J17</f>
        <v>99.591142207073489</v>
      </c>
      <c r="K19" s="24">
        <f t="shared" ref="K19:M19" si="10">K11/K17</f>
        <v>97.649455124845701</v>
      </c>
      <c r="L19" s="24">
        <f t="shared" si="10"/>
        <v>95.745624308162675</v>
      </c>
      <c r="M19" s="24">
        <f t="shared" si="10"/>
        <v>93.878911689158429</v>
      </c>
      <c r="N19" s="24">
        <f>(N11/(N16-D24))/(M17)</f>
        <v>3962.0995489547468</v>
      </c>
      <c r="O19" s="1">
        <f>O18/((1+M16)^5)</f>
        <v>3962.0995489547468</v>
      </c>
    </row>
    <row r="20" spans="3:15" ht="15.75" thickBot="1" x14ac:dyDescent="0.3">
      <c r="C20" s="1" t="s">
        <v>50</v>
      </c>
      <c r="D20" s="25">
        <v>0.08</v>
      </c>
      <c r="E20" s="2"/>
      <c r="I20" s="39">
        <f>I11/((1+I16)^I18)</f>
        <v>101.57143829864489</v>
      </c>
      <c r="J20" s="39">
        <f t="shared" ref="J20:M20" si="11">J11/((1+J16)^J18)</f>
        <v>99.591142207073489</v>
      </c>
      <c r="K20" s="39">
        <f t="shared" si="11"/>
        <v>97.649455124845701</v>
      </c>
      <c r="L20" s="39">
        <f t="shared" si="11"/>
        <v>95.745624308162675</v>
      </c>
      <c r="M20" s="39">
        <f t="shared" si="11"/>
        <v>93.878911689158429</v>
      </c>
    </row>
    <row r="21" spans="3:15" ht="15.75" thickBot="1" x14ac:dyDescent="0.3">
      <c r="C21" s="1" t="s">
        <v>51</v>
      </c>
      <c r="D21" s="25">
        <v>0.08</v>
      </c>
      <c r="E21" s="2"/>
      <c r="G21" s="28" t="s">
        <v>67</v>
      </c>
      <c r="H21" s="49">
        <f>SUM(I19:N19)</f>
        <v>4450.5361205826321</v>
      </c>
      <c r="I21" s="50"/>
    </row>
    <row r="22" spans="3:15" x14ac:dyDescent="0.25">
      <c r="G22" s="1" t="s">
        <v>154</v>
      </c>
      <c r="I22" s="1">
        <v>1000</v>
      </c>
    </row>
    <row r="23" spans="3:15" x14ac:dyDescent="0.25">
      <c r="C23" s="47" t="s">
        <v>52</v>
      </c>
      <c r="D23" s="47"/>
      <c r="I23" s="62">
        <f>H21/I22</f>
        <v>4.4505361205826324</v>
      </c>
    </row>
    <row r="24" spans="3:15" x14ac:dyDescent="0.25">
      <c r="C24" s="1" t="s">
        <v>53</v>
      </c>
      <c r="D24" s="13">
        <v>0.05</v>
      </c>
      <c r="G24" s="1" t="s">
        <v>64</v>
      </c>
      <c r="H24" s="52">
        <f>D8</f>
        <v>7230</v>
      </c>
      <c r="I24" s="24">
        <f>H24*(1+$D$19)</f>
        <v>7808.4000000000005</v>
      </c>
      <c r="J24" s="24">
        <f>I24*(1+$D$19)</f>
        <v>8433.0720000000019</v>
      </c>
      <c r="K24" s="24">
        <f>J24*(1+$D$19)</f>
        <v>9107.7177600000032</v>
      </c>
      <c r="L24" s="24">
        <f t="shared" ref="L24:M24" si="12">K24*(1+$D$19)</f>
        <v>9836.3351808000043</v>
      </c>
      <c r="M24" s="24">
        <f t="shared" si="12"/>
        <v>10623.241995264005</v>
      </c>
      <c r="N24" s="2">
        <f>M24*(1+D24)</f>
        <v>11154.404095027205</v>
      </c>
    </row>
    <row r="25" spans="3:15" x14ac:dyDescent="0.25">
      <c r="C25" s="1" t="s">
        <v>47</v>
      </c>
      <c r="D25" s="1">
        <v>1</v>
      </c>
      <c r="G25" s="1" t="s">
        <v>7</v>
      </c>
      <c r="H25" s="52">
        <f>H24*$E$9</f>
        <v>1807.5</v>
      </c>
      <c r="I25" s="24">
        <f t="shared" ref="I25:N25" si="13">I24*$E$9</f>
        <v>1952.1000000000001</v>
      </c>
      <c r="J25" s="24">
        <f t="shared" si="13"/>
        <v>2108.2680000000005</v>
      </c>
      <c r="K25" s="24">
        <f t="shared" si="13"/>
        <v>2276.9294400000008</v>
      </c>
      <c r="L25" s="24">
        <f t="shared" si="13"/>
        <v>2459.0837952000011</v>
      </c>
      <c r="M25" s="24">
        <f t="shared" si="13"/>
        <v>2655.8104988160012</v>
      </c>
      <c r="N25" s="24">
        <f t="shared" si="13"/>
        <v>2788.6010237568012</v>
      </c>
    </row>
    <row r="26" spans="3:15" x14ac:dyDescent="0.25">
      <c r="C26" s="1" t="s">
        <v>27</v>
      </c>
      <c r="D26" s="3">
        <v>8.5000000000000006E-2</v>
      </c>
      <c r="G26" s="1" t="s">
        <v>71</v>
      </c>
      <c r="H26" s="52"/>
      <c r="I26" s="24">
        <f>I25-H25</f>
        <v>144.60000000000014</v>
      </c>
      <c r="J26" s="24">
        <f t="shared" ref="J26:N26" si="14">J25-I25</f>
        <v>156.16800000000035</v>
      </c>
      <c r="K26" s="24">
        <f t="shared" si="14"/>
        <v>168.66144000000031</v>
      </c>
      <c r="L26" s="24">
        <f t="shared" si="14"/>
        <v>182.15435520000028</v>
      </c>
      <c r="M26" s="24">
        <f t="shared" si="14"/>
        <v>196.72670361600012</v>
      </c>
      <c r="N26" s="24">
        <f t="shared" si="14"/>
        <v>132.79052494079997</v>
      </c>
    </row>
    <row r="27" spans="3:15" x14ac:dyDescent="0.25">
      <c r="C27" s="1" t="s">
        <v>25</v>
      </c>
      <c r="D27" s="13">
        <v>0.25</v>
      </c>
      <c r="H27" s="52"/>
      <c r="I27" s="24"/>
      <c r="J27" s="24"/>
      <c r="K27" s="24"/>
      <c r="L27" s="24"/>
      <c r="M27" s="24"/>
    </row>
    <row r="28" spans="3:15" x14ac:dyDescent="0.25">
      <c r="C28" s="1" t="s">
        <v>54</v>
      </c>
      <c r="G28" s="1" t="s">
        <v>72</v>
      </c>
      <c r="H28" s="54"/>
      <c r="I28" s="30">
        <f>I29+5.5%</f>
        <v>0.13</v>
      </c>
      <c r="J28" s="30">
        <f>I28</f>
        <v>0.13</v>
      </c>
      <c r="K28" s="30">
        <f t="shared" ref="K28:N28" si="15">J28</f>
        <v>0.13</v>
      </c>
      <c r="L28" s="30">
        <f t="shared" si="15"/>
        <v>0.13</v>
      </c>
      <c r="M28" s="30">
        <f t="shared" si="15"/>
        <v>0.13</v>
      </c>
      <c r="N28" s="30">
        <f t="shared" si="15"/>
        <v>0.13</v>
      </c>
    </row>
    <row r="29" spans="3:15" x14ac:dyDescent="0.25">
      <c r="G29" s="1" t="s">
        <v>44</v>
      </c>
      <c r="I29" s="11">
        <f>D11</f>
        <v>7.4999999999999997E-2</v>
      </c>
      <c r="J29" s="11">
        <f>I29</f>
        <v>7.4999999999999997E-2</v>
      </c>
      <c r="K29" s="11">
        <f t="shared" ref="K29:N29" si="16">J29</f>
        <v>7.4999999999999997E-2</v>
      </c>
      <c r="L29" s="11">
        <f t="shared" si="16"/>
        <v>7.4999999999999997E-2</v>
      </c>
      <c r="M29" s="11">
        <f t="shared" si="16"/>
        <v>7.4999999999999997E-2</v>
      </c>
      <c r="N29" s="11">
        <f t="shared" si="16"/>
        <v>7.4999999999999997E-2</v>
      </c>
    </row>
    <row r="30" spans="3:15" x14ac:dyDescent="0.25">
      <c r="D30" s="61">
        <f>13%-7.5%</f>
        <v>5.5000000000000007E-2</v>
      </c>
      <c r="G30" s="1" t="s">
        <v>47</v>
      </c>
      <c r="I30" s="2">
        <f>D16</f>
        <v>1.25</v>
      </c>
      <c r="J30" s="2">
        <f>I30</f>
        <v>1.25</v>
      </c>
      <c r="K30" s="2">
        <f t="shared" ref="K30:M30" si="17">J30</f>
        <v>1.25</v>
      </c>
      <c r="L30" s="2">
        <f t="shared" si="17"/>
        <v>1.25</v>
      </c>
      <c r="M30" s="2">
        <f t="shared" si="17"/>
        <v>1.25</v>
      </c>
      <c r="N30" s="2">
        <f>D25</f>
        <v>1</v>
      </c>
    </row>
    <row r="31" spans="3:15" x14ac:dyDescent="0.25">
      <c r="G31" s="1" t="s">
        <v>22</v>
      </c>
      <c r="I31" s="11">
        <f>(I28-I29)*I30+I29</f>
        <v>0.14374999999999999</v>
      </c>
      <c r="J31" s="11">
        <f t="shared" ref="J31:N31" si="18">(J28-J29)*J30+J29</f>
        <v>0.14374999999999999</v>
      </c>
      <c r="K31" s="11">
        <f t="shared" si="18"/>
        <v>0.14374999999999999</v>
      </c>
      <c r="L31" s="11">
        <f t="shared" si="18"/>
        <v>0.14374999999999999</v>
      </c>
      <c r="M31" s="11">
        <f t="shared" si="18"/>
        <v>0.14374999999999999</v>
      </c>
      <c r="N31" s="11">
        <f t="shared" si="18"/>
        <v>0.13</v>
      </c>
    </row>
    <row r="32" spans="3:15" x14ac:dyDescent="0.25">
      <c r="I32" s="4"/>
    </row>
    <row r="34" spans="7:9" x14ac:dyDescent="0.25">
      <c r="G34" s="46" t="s">
        <v>73</v>
      </c>
      <c r="H34" s="46"/>
      <c r="I34" s="46"/>
    </row>
    <row r="36" spans="7:9" x14ac:dyDescent="0.25">
      <c r="G36" s="46" t="s">
        <v>74</v>
      </c>
      <c r="H36" s="46"/>
      <c r="I36" s="46"/>
    </row>
    <row r="38" spans="7:9" x14ac:dyDescent="0.25">
      <c r="G38" s="46" t="s">
        <v>75</v>
      </c>
      <c r="H38" s="46"/>
      <c r="I38" s="46"/>
    </row>
  </sheetData>
  <mergeCells count="7">
    <mergeCell ref="G36:I36"/>
    <mergeCell ref="G38:I38"/>
    <mergeCell ref="C13:D13"/>
    <mergeCell ref="C23:D23"/>
    <mergeCell ref="I2:M2"/>
    <mergeCell ref="H21:I21"/>
    <mergeCell ref="G34:I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21"/>
  <sheetViews>
    <sheetView topLeftCell="A2" workbookViewId="0">
      <selection activeCell="L20" sqref="L20"/>
    </sheetView>
  </sheetViews>
  <sheetFormatPr defaultRowHeight="15" x14ac:dyDescent="0.25"/>
  <cols>
    <col min="1" max="11" width="9.140625" style="1"/>
    <col min="12" max="12" width="10.5703125" style="1" bestFit="1" customWidth="1"/>
    <col min="13" max="13" width="10.140625" style="1" bestFit="1" customWidth="1"/>
    <col min="14" max="15" width="9.140625" style="1"/>
    <col min="16" max="16" width="10.28515625" style="1" bestFit="1" customWidth="1"/>
    <col min="17" max="16384" width="9.140625" style="1"/>
  </cols>
  <sheetData>
    <row r="3" spans="2:17" x14ac:dyDescent="0.25">
      <c r="C3" s="1" t="s">
        <v>76</v>
      </c>
    </row>
    <row r="5" spans="2:17" x14ac:dyDescent="0.25">
      <c r="C5" s="1">
        <v>2009</v>
      </c>
    </row>
    <row r="6" spans="2:17" x14ac:dyDescent="0.25">
      <c r="B6" s="1" t="s">
        <v>2</v>
      </c>
      <c r="C6" s="1">
        <v>632.20000000000005</v>
      </c>
      <c r="F6" s="1" t="s">
        <v>10</v>
      </c>
      <c r="G6" s="1">
        <f>C6*(1-C7)</f>
        <v>442.54</v>
      </c>
      <c r="K6" s="1" t="s">
        <v>10</v>
      </c>
      <c r="L6" s="6">
        <f>G6*(1+C11)</f>
        <v>464.66700000000003</v>
      </c>
      <c r="O6" s="1" t="s">
        <v>83</v>
      </c>
      <c r="P6" s="1" t="s">
        <v>27</v>
      </c>
      <c r="Q6" s="13">
        <v>0.12</v>
      </c>
    </row>
    <row r="7" spans="2:17" ht="15.75" thickBot="1" x14ac:dyDescent="0.3">
      <c r="B7" s="1" t="s">
        <v>4</v>
      </c>
      <c r="C7" s="13">
        <v>0.3</v>
      </c>
      <c r="F7" s="1" t="s">
        <v>79</v>
      </c>
      <c r="G7" s="1">
        <f>SUM(C8:C9)</f>
        <v>4809.3</v>
      </c>
      <c r="K7" s="1" t="s">
        <v>80</v>
      </c>
      <c r="L7" s="6">
        <f>L6*-G17</f>
        <v>-252.48824999999999</v>
      </c>
      <c r="M7" s="62"/>
      <c r="P7" s="1" t="s">
        <v>86</v>
      </c>
      <c r="Q7" s="4">
        <f>Q6*(1-C7)</f>
        <v>8.3999999999999991E-2</v>
      </c>
    </row>
    <row r="8" spans="2:17" ht="15.75" thickBot="1" x14ac:dyDescent="0.3">
      <c r="B8" s="1" t="s">
        <v>77</v>
      </c>
      <c r="C8" s="1">
        <v>3432.1</v>
      </c>
      <c r="E8" s="2" t="s">
        <v>13</v>
      </c>
      <c r="F8" s="65" t="s">
        <v>5</v>
      </c>
      <c r="G8" s="63">
        <f>G6/G7</f>
        <v>9.2017549331503551E-2</v>
      </c>
      <c r="J8" s="2" t="s">
        <v>19</v>
      </c>
      <c r="K8" s="35" t="s">
        <v>34</v>
      </c>
      <c r="L8" s="36">
        <f>SUM(L6:L7)</f>
        <v>212.17875000000004</v>
      </c>
      <c r="P8" s="1" t="s">
        <v>84</v>
      </c>
      <c r="Q8" s="3">
        <v>0.79179999999999995</v>
      </c>
    </row>
    <row r="9" spans="2:17" ht="15.75" thickBot="1" x14ac:dyDescent="0.3">
      <c r="B9" s="1" t="s">
        <v>78</v>
      </c>
      <c r="C9" s="1">
        <v>1377.2</v>
      </c>
      <c r="P9" s="1" t="s">
        <v>85</v>
      </c>
      <c r="Q9" s="1">
        <f>Q8/(1+Q8)</f>
        <v>0.44190199799084723</v>
      </c>
    </row>
    <row r="10" spans="2:17" ht="15.75" thickBot="1" x14ac:dyDescent="0.3">
      <c r="P10" s="66" t="s">
        <v>20</v>
      </c>
      <c r="Q10" s="67">
        <f>Q7*Q9+(1-Q9)*L19</f>
        <v>0.15598961937716263</v>
      </c>
    </row>
    <row r="11" spans="2:17" x14ac:dyDescent="0.25">
      <c r="B11" s="1" t="s">
        <v>11</v>
      </c>
      <c r="C11" s="64">
        <v>0.05</v>
      </c>
      <c r="F11" s="1" t="s">
        <v>8</v>
      </c>
      <c r="G11" s="43" t="s">
        <v>9</v>
      </c>
      <c r="H11" s="43"/>
      <c r="I11" s="43"/>
      <c r="K11" s="40"/>
      <c r="L11" s="40"/>
      <c r="M11" s="40"/>
    </row>
    <row r="12" spans="2:17" x14ac:dyDescent="0.25">
      <c r="G12" s="44" t="s">
        <v>10</v>
      </c>
      <c r="H12" s="44"/>
      <c r="I12" s="44"/>
      <c r="O12" s="46"/>
      <c r="P12" s="46"/>
      <c r="Q12" s="46"/>
    </row>
    <row r="14" spans="2:17" x14ac:dyDescent="0.25">
      <c r="F14" s="2" t="s">
        <v>29</v>
      </c>
      <c r="G14" s="1" t="s">
        <v>15</v>
      </c>
      <c r="K14" s="2"/>
    </row>
    <row r="15" spans="2:17" x14ac:dyDescent="0.25">
      <c r="J15" s="1" t="s">
        <v>26</v>
      </c>
      <c r="K15" s="1" t="s">
        <v>47</v>
      </c>
      <c r="L15" s="1">
        <v>1.17</v>
      </c>
      <c r="O15" s="1" t="s">
        <v>87</v>
      </c>
      <c r="P15" s="1" t="s">
        <v>88</v>
      </c>
    </row>
    <row r="16" spans="2:17" ht="15.75" thickBot="1" x14ac:dyDescent="0.3">
      <c r="K16" s="1" t="s">
        <v>44</v>
      </c>
      <c r="L16" s="3">
        <v>0.105</v>
      </c>
      <c r="M16" s="3"/>
      <c r="P16" s="1" t="s">
        <v>20</v>
      </c>
      <c r="Q16" s="3">
        <f>Q10</f>
        <v>0.15598961937716263</v>
      </c>
    </row>
    <row r="17" spans="5:17" ht="15.75" thickBot="1" x14ac:dyDescent="0.3">
      <c r="E17" s="2" t="s">
        <v>14</v>
      </c>
      <c r="F17" s="31" t="s">
        <v>8</v>
      </c>
      <c r="G17" s="34">
        <f>C11/G8</f>
        <v>0.54337461020472722</v>
      </c>
      <c r="K17" s="1" t="s">
        <v>81</v>
      </c>
      <c r="L17" s="13">
        <v>0.04</v>
      </c>
      <c r="M17" s="13"/>
      <c r="P17" s="1" t="s">
        <v>5</v>
      </c>
      <c r="Q17" s="3">
        <f>Q16</f>
        <v>0.15598961937716263</v>
      </c>
    </row>
    <row r="18" spans="5:17" ht="15.75" thickBot="1" x14ac:dyDescent="0.3">
      <c r="K18" s="1" t="s">
        <v>82</v>
      </c>
      <c r="L18" s="3">
        <v>5.2299999999999999E-2</v>
      </c>
      <c r="M18" s="3"/>
      <c r="P18" s="1" t="s">
        <v>11</v>
      </c>
      <c r="Q18" s="13">
        <f>C11</f>
        <v>0.05</v>
      </c>
    </row>
    <row r="19" spans="5:17" ht="15.75" thickBot="1" x14ac:dyDescent="0.3">
      <c r="K19" s="31" t="s">
        <v>22</v>
      </c>
      <c r="L19" s="34">
        <f>L16+L15*(L17+L18)</f>
        <v>0.21299099999999999</v>
      </c>
      <c r="M19" s="3"/>
      <c r="P19" s="1" t="s">
        <v>118</v>
      </c>
      <c r="Q19" s="3">
        <f>Q18/Q17</f>
        <v>0.32053414964175597</v>
      </c>
    </row>
    <row r="20" spans="5:17" x14ac:dyDescent="0.25">
      <c r="L20" s="3"/>
      <c r="P20" s="2"/>
    </row>
    <row r="21" spans="5:17" x14ac:dyDescent="0.25">
      <c r="K21" s="46"/>
      <c r="L21" s="46"/>
      <c r="M21" s="46"/>
    </row>
  </sheetData>
  <mergeCells count="4">
    <mergeCell ref="G11:I11"/>
    <mergeCell ref="G12:I12"/>
    <mergeCell ref="K21:M21"/>
    <mergeCell ref="O12:Q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P30"/>
  <sheetViews>
    <sheetView topLeftCell="A6" workbookViewId="0">
      <selection activeCell="J17" sqref="J17"/>
    </sheetView>
  </sheetViews>
  <sheetFormatPr defaultRowHeight="15" x14ac:dyDescent="0.25"/>
  <cols>
    <col min="1" max="2" width="9.140625" style="1"/>
    <col min="3" max="3" width="12.28515625" style="1" customWidth="1"/>
    <col min="4" max="7" width="9.140625" style="1"/>
    <col min="8" max="8" width="11.28515625" style="1" bestFit="1" customWidth="1"/>
    <col min="9" max="11" width="9.140625" style="1"/>
    <col min="12" max="12" width="10.85546875" style="1" bestFit="1" customWidth="1"/>
    <col min="13" max="13" width="13.28515625" style="1" bestFit="1" customWidth="1"/>
    <col min="14" max="14" width="9.140625" style="1"/>
    <col min="15" max="15" width="20.140625" style="1" bestFit="1" customWidth="1"/>
    <col min="16" max="16" width="11.7109375" style="1" bestFit="1" customWidth="1"/>
    <col min="17" max="16384" width="9.140625" style="1"/>
  </cols>
  <sheetData>
    <row r="3" spans="3:15" x14ac:dyDescent="0.25">
      <c r="C3" s="1" t="s">
        <v>90</v>
      </c>
    </row>
    <row r="5" spans="3:15" x14ac:dyDescent="0.25">
      <c r="D5" s="1" t="s">
        <v>91</v>
      </c>
    </row>
    <row r="6" spans="3:15" x14ac:dyDescent="0.25">
      <c r="C6" s="1" t="s">
        <v>92</v>
      </c>
      <c r="D6" s="1">
        <v>1180</v>
      </c>
      <c r="G6" s="1" t="s">
        <v>13</v>
      </c>
      <c r="H6" s="1" t="s">
        <v>100</v>
      </c>
      <c r="I6" s="4">
        <f>D6/(D6+D9)</f>
        <v>0.74031783475854973</v>
      </c>
      <c r="K6" s="1" t="s">
        <v>19</v>
      </c>
      <c r="L6" s="1" t="s">
        <v>110</v>
      </c>
      <c r="M6" s="1">
        <f>D9+D6</f>
        <v>1593.91</v>
      </c>
    </row>
    <row r="7" spans="3:15" x14ac:dyDescent="0.25">
      <c r="C7" s="1" t="s">
        <v>93</v>
      </c>
      <c r="D7" s="1">
        <v>45.99</v>
      </c>
      <c r="H7" s="1" t="s">
        <v>106</v>
      </c>
      <c r="I7" s="4">
        <f>D11*(1-D21)</f>
        <v>6.1859999999999998E-2</v>
      </c>
      <c r="L7" s="1" t="s">
        <v>112</v>
      </c>
      <c r="M7" s="41">
        <v>100</v>
      </c>
    </row>
    <row r="8" spans="3:15" x14ac:dyDescent="0.25">
      <c r="C8" s="1" t="s">
        <v>94</v>
      </c>
      <c r="D8" s="1">
        <v>9</v>
      </c>
      <c r="H8" s="1" t="s">
        <v>22</v>
      </c>
      <c r="I8" s="3">
        <f>D15*D23+D22</f>
        <v>0.191</v>
      </c>
      <c r="L8" s="1" t="s">
        <v>111</v>
      </c>
      <c r="M8" s="1">
        <f>SUM(M6:M7)</f>
        <v>1693.91</v>
      </c>
    </row>
    <row r="9" spans="3:15" ht="15.75" thickBot="1" x14ac:dyDescent="0.3">
      <c r="C9" s="1" t="s">
        <v>95</v>
      </c>
      <c r="D9" s="1">
        <f>D7*D8</f>
        <v>413.91</v>
      </c>
    </row>
    <row r="10" spans="3:15" ht="15.75" thickBot="1" x14ac:dyDescent="0.3">
      <c r="C10" s="1" t="s">
        <v>96</v>
      </c>
      <c r="D10" s="1" t="s">
        <v>97</v>
      </c>
      <c r="H10" s="32" t="s">
        <v>105</v>
      </c>
      <c r="I10" s="33">
        <f>I7*I6+(1-I6)*I8</f>
        <v>9.5395354819280881E-2</v>
      </c>
      <c r="L10" s="1" t="s">
        <v>113</v>
      </c>
      <c r="M10" s="26">
        <f>M6*I10</f>
        <v>152.05161000000001</v>
      </c>
      <c r="O10" s="1" t="s">
        <v>135</v>
      </c>
    </row>
    <row r="11" spans="3:15" x14ac:dyDescent="0.25">
      <c r="C11" s="1" t="s">
        <v>103</v>
      </c>
      <c r="D11" s="3">
        <v>0.1031</v>
      </c>
    </row>
    <row r="12" spans="3:15" x14ac:dyDescent="0.25">
      <c r="C12" s="1" t="s">
        <v>98</v>
      </c>
      <c r="D12" s="1">
        <v>236</v>
      </c>
      <c r="L12" s="1" t="s">
        <v>114</v>
      </c>
      <c r="M12" s="26">
        <f>M8*I17</f>
        <v>157.94482159074525</v>
      </c>
    </row>
    <row r="13" spans="3:15" x14ac:dyDescent="0.25">
      <c r="C13" s="1" t="s">
        <v>99</v>
      </c>
      <c r="D13" s="1">
        <v>109</v>
      </c>
      <c r="G13" s="1" t="s">
        <v>14</v>
      </c>
      <c r="H13" s="1" t="s">
        <v>100</v>
      </c>
      <c r="I13" s="4">
        <f>D17</f>
        <v>0.5</v>
      </c>
    </row>
    <row r="14" spans="3:15" x14ac:dyDescent="0.25">
      <c r="C14" s="1" t="s">
        <v>41</v>
      </c>
      <c r="D14" s="1">
        <v>125</v>
      </c>
      <c r="H14" s="1" t="s">
        <v>106</v>
      </c>
      <c r="I14" s="4">
        <f>D19*(1-D21)</f>
        <v>4.5059999999999996E-2</v>
      </c>
      <c r="L14" s="1" t="s">
        <v>89</v>
      </c>
      <c r="M14" s="37">
        <f>(M12-M10)/M10</f>
        <v>3.8757969026077643E-2</v>
      </c>
    </row>
    <row r="15" spans="3:15" x14ac:dyDescent="0.25">
      <c r="C15" s="1" t="s">
        <v>47</v>
      </c>
      <c r="D15" s="1">
        <v>2.2000000000000002</v>
      </c>
      <c r="H15" s="1" t="s">
        <v>22</v>
      </c>
      <c r="I15" s="3">
        <f>I22*D23+D22</f>
        <v>0.14142549402358479</v>
      </c>
    </row>
    <row r="16" spans="3:15" ht="15.75" thickBot="1" x14ac:dyDescent="0.3">
      <c r="L16" s="40"/>
      <c r="M16" s="40"/>
      <c r="N16" s="40"/>
    </row>
    <row r="17" spans="3:16" ht="15.75" thickBot="1" x14ac:dyDescent="0.3">
      <c r="C17" s="1" t="s">
        <v>100</v>
      </c>
      <c r="D17" s="13">
        <v>0.5</v>
      </c>
      <c r="H17" s="32" t="s">
        <v>105</v>
      </c>
      <c r="I17" s="33">
        <f>I14*I13+(1-I13)*I15</f>
        <v>9.3242747011792387E-2</v>
      </c>
      <c r="K17" s="3"/>
      <c r="L17" s="3"/>
      <c r="M17" s="3"/>
    </row>
    <row r="18" spans="3:16" x14ac:dyDescent="0.25">
      <c r="C18" s="1" t="s">
        <v>101</v>
      </c>
      <c r="D18" s="1" t="s">
        <v>102</v>
      </c>
      <c r="M18" s="3"/>
    </row>
    <row r="19" spans="3:16" x14ac:dyDescent="0.25">
      <c r="C19" s="1" t="s">
        <v>103</v>
      </c>
      <c r="D19" s="3">
        <v>7.51E-2</v>
      </c>
      <c r="H19" s="47"/>
      <c r="I19" s="47"/>
      <c r="J19" s="47"/>
      <c r="L19" s="1" t="s">
        <v>136</v>
      </c>
      <c r="M19" s="26">
        <f>D12</f>
        <v>236</v>
      </c>
      <c r="O19" s="1" t="s">
        <v>141</v>
      </c>
      <c r="P19" s="21" t="s">
        <v>142</v>
      </c>
    </row>
    <row r="20" spans="3:16" x14ac:dyDescent="0.25">
      <c r="H20" s="1" t="s">
        <v>107</v>
      </c>
      <c r="L20" s="1" t="s">
        <v>137</v>
      </c>
      <c r="M20" s="26">
        <f>-D13</f>
        <v>-109</v>
      </c>
      <c r="P20" s="27" t="s">
        <v>143</v>
      </c>
    </row>
    <row r="21" spans="3:16" x14ac:dyDescent="0.25">
      <c r="C21" s="1" t="s">
        <v>4</v>
      </c>
      <c r="D21" s="13">
        <v>0.4</v>
      </c>
      <c r="H21" s="1" t="s">
        <v>108</v>
      </c>
      <c r="I21" s="1">
        <f>D15/(1+(I6/(1-I6))*(1-D21))</f>
        <v>0.81165334117709986</v>
      </c>
      <c r="L21" s="1" t="s">
        <v>138</v>
      </c>
      <c r="M21" s="26">
        <f>SUM(M19:M20)</f>
        <v>127</v>
      </c>
    </row>
    <row r="22" spans="3:16" x14ac:dyDescent="0.25">
      <c r="C22" s="1" t="s">
        <v>44</v>
      </c>
      <c r="D22" s="13">
        <v>7.0000000000000007E-2</v>
      </c>
      <c r="H22" s="1" t="s">
        <v>109</v>
      </c>
      <c r="I22" s="1">
        <f>I21*(1+(I13/(1-I13))*(1-D21))</f>
        <v>1.2986453458833598</v>
      </c>
      <c r="L22" s="1" t="s">
        <v>12</v>
      </c>
      <c r="M22" s="26">
        <f>M21*-D21</f>
        <v>-50.800000000000004</v>
      </c>
      <c r="O22" s="27" t="s">
        <v>147</v>
      </c>
      <c r="P22" s="21" t="s">
        <v>144</v>
      </c>
    </row>
    <row r="23" spans="3:16" x14ac:dyDescent="0.25">
      <c r="C23" s="1" t="s">
        <v>104</v>
      </c>
      <c r="D23" s="3">
        <v>5.5E-2</v>
      </c>
      <c r="L23" s="1" t="s">
        <v>32</v>
      </c>
      <c r="M23" s="26">
        <f>SUM(M21:M22)</f>
        <v>76.199999999999989</v>
      </c>
      <c r="P23" s="27" t="s">
        <v>145</v>
      </c>
    </row>
    <row r="24" spans="3:16" x14ac:dyDescent="0.25">
      <c r="L24" s="1" t="s">
        <v>139</v>
      </c>
      <c r="M24" s="26">
        <f>D13</f>
        <v>109</v>
      </c>
    </row>
    <row r="25" spans="3:16" x14ac:dyDescent="0.25">
      <c r="L25" s="1" t="s">
        <v>70</v>
      </c>
      <c r="M25" s="26">
        <f>-D14</f>
        <v>-125</v>
      </c>
      <c r="O25" s="27" t="s">
        <v>148</v>
      </c>
      <c r="P25" s="1" t="s">
        <v>146</v>
      </c>
    </row>
    <row r="26" spans="3:16" x14ac:dyDescent="0.25">
      <c r="L26" s="1" t="s">
        <v>140</v>
      </c>
      <c r="M26" s="26">
        <f>SUM(M23:M25)</f>
        <v>60.199999999999989</v>
      </c>
      <c r="O26" s="1" t="s">
        <v>149</v>
      </c>
    </row>
    <row r="27" spans="3:16" x14ac:dyDescent="0.25">
      <c r="O27" s="1" t="s">
        <v>150</v>
      </c>
    </row>
    <row r="28" spans="3:16" x14ac:dyDescent="0.25">
      <c r="O28" s="1" t="s">
        <v>151</v>
      </c>
    </row>
    <row r="29" spans="3:16" x14ac:dyDescent="0.25">
      <c r="O29" s="1" t="s">
        <v>151</v>
      </c>
    </row>
    <row r="30" spans="3:16" x14ac:dyDescent="0.25">
      <c r="O30" s="1" t="s">
        <v>152</v>
      </c>
    </row>
  </sheetData>
  <mergeCells count="1">
    <mergeCell ref="H19:J1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S27"/>
  <sheetViews>
    <sheetView tabSelected="1" topLeftCell="A9" workbookViewId="0">
      <selection activeCell="R28" sqref="R28"/>
    </sheetView>
  </sheetViews>
  <sheetFormatPr defaultRowHeight="15" x14ac:dyDescent="0.25"/>
  <cols>
    <col min="1" max="10" width="9.140625" style="1"/>
    <col min="11" max="11" width="10.28515625" style="1" bestFit="1" customWidth="1"/>
    <col min="12" max="16384" width="9.140625" style="1"/>
  </cols>
  <sheetData>
    <row r="4" spans="2:19" ht="15.75" thickBot="1" x14ac:dyDescent="0.3">
      <c r="C4" s="1" t="s">
        <v>115</v>
      </c>
    </row>
    <row r="5" spans="2:19" ht="15.75" thickBot="1" x14ac:dyDescent="0.3">
      <c r="F5" s="1" t="s">
        <v>13</v>
      </c>
      <c r="G5" s="32" t="s">
        <v>11</v>
      </c>
      <c r="H5" s="33">
        <f>C11*C12</f>
        <v>4.2700000000000004E-3</v>
      </c>
      <c r="J5" s="1" t="s">
        <v>19</v>
      </c>
      <c r="K5" s="1" t="s">
        <v>85</v>
      </c>
      <c r="L5" s="13">
        <v>0.2</v>
      </c>
      <c r="N5" s="1" t="s">
        <v>122</v>
      </c>
      <c r="O5" s="3">
        <f>L6*L7</f>
        <v>0.03</v>
      </c>
    </row>
    <row r="6" spans="2:19" x14ac:dyDescent="0.25">
      <c r="K6" s="1" t="s">
        <v>118</v>
      </c>
      <c r="L6" s="13">
        <v>0.4</v>
      </c>
    </row>
    <row r="7" spans="2:19" x14ac:dyDescent="0.25">
      <c r="C7" s="1">
        <v>2005</v>
      </c>
      <c r="F7" s="1" t="s">
        <v>14</v>
      </c>
      <c r="G7" s="1" t="s">
        <v>119</v>
      </c>
      <c r="H7" s="1">
        <v>100</v>
      </c>
      <c r="K7" s="1" t="s">
        <v>5</v>
      </c>
      <c r="L7" s="3">
        <v>7.4999999999999997E-2</v>
      </c>
      <c r="N7" s="1" t="s">
        <v>86</v>
      </c>
      <c r="O7" s="37">
        <f>L8*(1-H8)</f>
        <v>2.0099999999999996E-2</v>
      </c>
    </row>
    <row r="8" spans="2:19" x14ac:dyDescent="0.25">
      <c r="B8" s="1" t="s">
        <v>116</v>
      </c>
      <c r="C8" s="1">
        <v>1600</v>
      </c>
      <c r="G8" s="1" t="s">
        <v>4</v>
      </c>
      <c r="H8" s="13">
        <v>0.33</v>
      </c>
      <c r="K8" s="1" t="s">
        <v>23</v>
      </c>
      <c r="L8" s="13">
        <v>0.03</v>
      </c>
    </row>
    <row r="9" spans="2:19" x14ac:dyDescent="0.25">
      <c r="B9" s="1" t="s">
        <v>92</v>
      </c>
      <c r="C9" s="1">
        <v>0</v>
      </c>
      <c r="K9" s="1" t="s">
        <v>123</v>
      </c>
      <c r="L9" s="13">
        <v>0.02</v>
      </c>
      <c r="N9" s="1" t="s">
        <v>127</v>
      </c>
      <c r="O9" s="3">
        <f>L9/L7</f>
        <v>0.26666666666666666</v>
      </c>
    </row>
    <row r="10" spans="2:19" x14ac:dyDescent="0.25">
      <c r="B10" s="1" t="s">
        <v>117</v>
      </c>
      <c r="C10" s="1">
        <v>717</v>
      </c>
      <c r="G10" s="1" t="s">
        <v>10</v>
      </c>
      <c r="H10" s="1">
        <f>H7*(1-H8)</f>
        <v>67</v>
      </c>
      <c r="K10" s="1" t="s">
        <v>124</v>
      </c>
      <c r="L10" s="3">
        <v>6.4899999999999999E-2</v>
      </c>
    </row>
    <row r="11" spans="2:19" x14ac:dyDescent="0.25">
      <c r="B11" s="1" t="s">
        <v>118</v>
      </c>
      <c r="C11" s="13">
        <v>0.05</v>
      </c>
      <c r="H11" s="3"/>
      <c r="K11" s="1" t="s">
        <v>125</v>
      </c>
      <c r="L11" s="3">
        <v>5.8400000000000001E-2</v>
      </c>
    </row>
    <row r="12" spans="2:19" x14ac:dyDescent="0.25">
      <c r="B12" s="1" t="s">
        <v>5</v>
      </c>
      <c r="C12" s="3">
        <v>8.5400000000000004E-2</v>
      </c>
      <c r="G12" s="1" t="s">
        <v>10</v>
      </c>
      <c r="H12" s="41">
        <f>H10</f>
        <v>67</v>
      </c>
    </row>
    <row r="13" spans="2:19" x14ac:dyDescent="0.25">
      <c r="B13" s="1" t="s">
        <v>22</v>
      </c>
      <c r="C13" s="3">
        <v>6.8000000000000005E-2</v>
      </c>
      <c r="G13" s="1" t="s">
        <v>80</v>
      </c>
      <c r="H13" s="41">
        <f>H12*-C11</f>
        <v>-3.35</v>
      </c>
      <c r="M13" s="27">
        <v>0</v>
      </c>
      <c r="N13" s="27">
        <v>1</v>
      </c>
      <c r="O13" s="27">
        <v>2</v>
      </c>
      <c r="P13" s="27">
        <v>3</v>
      </c>
      <c r="Q13" s="27">
        <v>4</v>
      </c>
      <c r="R13" s="27">
        <v>5</v>
      </c>
      <c r="S13" s="27" t="s">
        <v>126</v>
      </c>
    </row>
    <row r="14" spans="2:19" x14ac:dyDescent="0.25">
      <c r="G14" s="1" t="s">
        <v>120</v>
      </c>
      <c r="H14" s="41">
        <f>SUM(H12:H13)</f>
        <v>63.65</v>
      </c>
      <c r="I14" s="40"/>
      <c r="L14" s="1" t="s">
        <v>10</v>
      </c>
      <c r="M14" s="29">
        <f>H12</f>
        <v>67</v>
      </c>
      <c r="N14" s="29">
        <f>M14*(1+$O$5)</f>
        <v>69.010000000000005</v>
      </c>
      <c r="O14" s="29">
        <f t="shared" ref="O14:R14" si="0">N14*(1+$O$5)</f>
        <v>71.080300000000008</v>
      </c>
      <c r="P14" s="29">
        <f t="shared" si="0"/>
        <v>73.212709000000004</v>
      </c>
      <c r="Q14" s="29">
        <f t="shared" si="0"/>
        <v>75.409090270000007</v>
      </c>
      <c r="R14" s="29">
        <f t="shared" si="0"/>
        <v>77.671362978100007</v>
      </c>
      <c r="S14" s="29">
        <f>R14*(1+L9)</f>
        <v>79.224790237662006</v>
      </c>
    </row>
    <row r="15" spans="2:19" x14ac:dyDescent="0.25">
      <c r="L15" s="1" t="s">
        <v>80</v>
      </c>
      <c r="N15" s="29">
        <f>N14*-$L$6</f>
        <v>-27.604000000000003</v>
      </c>
      <c r="O15" s="29">
        <f>O14*-$L$6</f>
        <v>-28.432120000000005</v>
      </c>
      <c r="P15" s="29">
        <f>P14*-$L$6</f>
        <v>-29.285083600000004</v>
      </c>
      <c r="Q15" s="29">
        <f>Q14*-$L$6</f>
        <v>-30.163636108000006</v>
      </c>
      <c r="R15" s="29">
        <f>R14*-$L$6</f>
        <v>-31.068545191240005</v>
      </c>
      <c r="S15" s="29">
        <f>S14*-O9</f>
        <v>-21.1266107300432</v>
      </c>
    </row>
    <row r="16" spans="2:19" x14ac:dyDescent="0.25">
      <c r="G16" s="1" t="s">
        <v>22</v>
      </c>
      <c r="H16" s="4">
        <f>C13</f>
        <v>6.8000000000000005E-2</v>
      </c>
      <c r="L16" s="1" t="s">
        <v>120</v>
      </c>
      <c r="N16" s="29">
        <f>SUM(N14:N15)</f>
        <v>41.406000000000006</v>
      </c>
      <c r="O16" s="29">
        <f t="shared" ref="O16:S16" si="1">SUM(O14:O15)</f>
        <v>42.648180000000004</v>
      </c>
      <c r="P16" s="29">
        <f t="shared" si="1"/>
        <v>43.927625399999997</v>
      </c>
      <c r="Q16" s="29">
        <f t="shared" si="1"/>
        <v>45.245454162000001</v>
      </c>
      <c r="R16" s="29">
        <f t="shared" si="1"/>
        <v>46.602817786860001</v>
      </c>
      <c r="S16" s="29">
        <f t="shared" si="1"/>
        <v>58.098179507618809</v>
      </c>
    </row>
    <row r="17" spans="7:19" x14ac:dyDescent="0.25">
      <c r="G17" s="1" t="s">
        <v>89</v>
      </c>
      <c r="H17" s="3">
        <f>H5</f>
        <v>4.2700000000000004E-3</v>
      </c>
      <c r="L17" s="1" t="s">
        <v>128</v>
      </c>
      <c r="N17" s="3">
        <f>L10</f>
        <v>6.4899999999999999E-2</v>
      </c>
      <c r="O17" s="3">
        <f>N17</f>
        <v>6.4899999999999999E-2</v>
      </c>
      <c r="P17" s="3">
        <f t="shared" ref="P17:R17" si="2">O17</f>
        <v>6.4899999999999999E-2</v>
      </c>
      <c r="Q17" s="3">
        <f t="shared" si="2"/>
        <v>6.4899999999999999E-2</v>
      </c>
      <c r="R17" s="3">
        <f t="shared" si="2"/>
        <v>6.4899999999999999E-2</v>
      </c>
      <c r="S17" s="3">
        <f>L11</f>
        <v>5.8400000000000001E-2</v>
      </c>
    </row>
    <row r="18" spans="7:19" x14ac:dyDescent="0.25">
      <c r="L18" s="1" t="s">
        <v>66</v>
      </c>
      <c r="N18" s="3">
        <f>(1+N17)</f>
        <v>1.0649</v>
      </c>
      <c r="O18" s="1">
        <f>N18*(1+O17)</f>
        <v>1.13401201</v>
      </c>
      <c r="P18" s="1">
        <f t="shared" ref="P18:R18" si="3">O18*(1+P17)</f>
        <v>1.2076093894489999</v>
      </c>
      <c r="Q18" s="1">
        <f t="shared" si="3"/>
        <v>1.2859832388242398</v>
      </c>
      <c r="R18" s="1">
        <f t="shared" si="3"/>
        <v>1.3694435510239329</v>
      </c>
    </row>
    <row r="19" spans="7:19" x14ac:dyDescent="0.25">
      <c r="G19" s="1" t="s">
        <v>121</v>
      </c>
      <c r="H19" s="1">
        <f>H14/(H16-H17)</f>
        <v>998.74470422093191</v>
      </c>
    </row>
    <row r="20" spans="7:19" x14ac:dyDescent="0.25">
      <c r="L20" s="1" t="s">
        <v>129</v>
      </c>
      <c r="N20" s="1">
        <f>N16/N18</f>
        <v>38.882524180674245</v>
      </c>
      <c r="O20" s="1">
        <f t="shared" ref="O20:R20" si="4">O16/O18</f>
        <v>37.608226036336248</v>
      </c>
      <c r="P20" s="1">
        <f t="shared" si="4"/>
        <v>36.375690503733999</v>
      </c>
      <c r="Q20" s="1">
        <f t="shared" si="4"/>
        <v>35.183548895526364</v>
      </c>
      <c r="R20" s="1">
        <f t="shared" si="4"/>
        <v>34.030477380403944</v>
      </c>
      <c r="S20" s="1">
        <f>(S16/(S17-L9))/R18</f>
        <v>1104.8089010651975</v>
      </c>
    </row>
    <row r="21" spans="7:19" x14ac:dyDescent="0.25">
      <c r="H21" s="1">
        <f>63.65/0.0637</f>
        <v>999.21507064364198</v>
      </c>
    </row>
    <row r="22" spans="7:19" x14ac:dyDescent="0.25">
      <c r="L22" s="1" t="s">
        <v>130</v>
      </c>
      <c r="N22" s="1">
        <f>SUM(N20:S20)</f>
        <v>1286.8893680618723</v>
      </c>
    </row>
    <row r="23" spans="7:19" x14ac:dyDescent="0.25">
      <c r="Q23" s="1" t="s">
        <v>133</v>
      </c>
      <c r="R23" s="13">
        <v>0.2</v>
      </c>
      <c r="S23" s="1">
        <f>R23*N26</f>
        <v>400.77787361237449</v>
      </c>
    </row>
    <row r="24" spans="7:19" x14ac:dyDescent="0.25">
      <c r="L24" s="1" t="s">
        <v>131</v>
      </c>
      <c r="N24" s="41">
        <v>717</v>
      </c>
    </row>
    <row r="25" spans="7:19" x14ac:dyDescent="0.25">
      <c r="Q25" s="1" t="s">
        <v>77</v>
      </c>
      <c r="R25" s="13">
        <f>1-R23</f>
        <v>0.8</v>
      </c>
      <c r="S25" s="1">
        <f>R25*N26</f>
        <v>1603.111494449498</v>
      </c>
    </row>
    <row r="26" spans="7:19" x14ac:dyDescent="0.25">
      <c r="L26" s="1" t="s">
        <v>132</v>
      </c>
      <c r="N26" s="41">
        <f>N22+N24</f>
        <v>2003.8893680618723</v>
      </c>
    </row>
    <row r="27" spans="7:19" x14ac:dyDescent="0.25">
      <c r="Q27" s="1" t="s">
        <v>134</v>
      </c>
      <c r="R27" s="1">
        <f>S25/142</f>
        <v>11.28951756654576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Caso 1</vt:lpstr>
      <vt:lpstr>Caso 2</vt:lpstr>
      <vt:lpstr>Caso 3</vt:lpstr>
      <vt:lpstr>Caso 4</vt:lpstr>
      <vt:lpstr>Caso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Anônimo</dc:creator>
  <cp:lastModifiedBy>Usuário do Windows</cp:lastModifiedBy>
  <dcterms:created xsi:type="dcterms:W3CDTF">2016-05-06T16:53:31Z</dcterms:created>
  <dcterms:modified xsi:type="dcterms:W3CDTF">2020-11-10T20:42:01Z</dcterms:modified>
</cp:coreProperties>
</file>