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ackup\Margarete\disciplinas\2020_2\LES560\margem\"/>
    </mc:Choice>
  </mc:AlternateContent>
  <bookViews>
    <workbookView xWindow="0" yWindow="0" windowWidth="20490" windowHeight="7650"/>
  </bookViews>
  <sheets>
    <sheet name="DADOSBASICOS" sheetId="1" r:id="rId1"/>
    <sheet name="CALCULO2014" sheetId="3" r:id="rId2"/>
    <sheet name="TENDENCIA_MÉDIAMOVEL2ANOS" sheetId="4" r:id="rId3"/>
    <sheet name="TENDENCIA_MÉDIAMOVEL4ANOS" sheetId="5" r:id="rId4"/>
  </sheets>
  <calcPr calcId="162913"/>
</workbook>
</file>

<file path=xl/calcChain.xml><?xml version="1.0" encoding="utf-8"?>
<calcChain xmlns="http://schemas.openxmlformats.org/spreadsheetml/2006/main">
  <c r="V7" i="1" l="1"/>
  <c r="O20" i="1" l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B17" i="3" l="1"/>
  <c r="B16" i="3"/>
  <c r="AB6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R7" i="1"/>
  <c r="R6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B11" i="3"/>
  <c r="B8" i="3"/>
  <c r="B10" i="3" s="1"/>
  <c r="B7" i="3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6" i="1"/>
  <c r="B12" i="3"/>
  <c r="J4" i="3"/>
  <c r="G4" i="3"/>
  <c r="D4" i="3"/>
  <c r="B15" i="3" l="1"/>
  <c r="B14" i="3"/>
  <c r="B13" i="3"/>
  <c r="J20" i="1" l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<sst xmlns="http://schemas.openxmlformats.org/spreadsheetml/2006/main" count="122" uniqueCount="69">
  <si>
    <t>-</t>
  </si>
  <si>
    <t>Subprodutos</t>
  </si>
  <si>
    <t>Mil t</t>
  </si>
  <si>
    <t>Milhões US$</t>
  </si>
  <si>
    <t>FCOJ</t>
  </si>
  <si>
    <t>NFC</t>
  </si>
  <si>
    <t>Laranja</t>
  </si>
  <si>
    <t>Cotação</t>
  </si>
  <si>
    <t>R$/cx.</t>
  </si>
  <si>
    <t>Safra</t>
  </si>
  <si>
    <t>RendimentoIndustrial</t>
  </si>
  <si>
    <t>Cxs/t FCOJ</t>
  </si>
  <si>
    <t>DÓLAR</t>
  </si>
  <si>
    <t>R$/US$</t>
  </si>
  <si>
    <t>As exportações de NFC iniciaram a partir de 2002, antes era só suco concentrado.</t>
  </si>
  <si>
    <t>1)</t>
  </si>
  <si>
    <t>Receita Exportadora</t>
  </si>
  <si>
    <t>2)</t>
  </si>
  <si>
    <t>NFC em equivalente t FCOJ</t>
  </si>
  <si>
    <t>3)</t>
  </si>
  <si>
    <t>4)</t>
  </si>
  <si>
    <t>4) Calcular o preço médio de exportação: US$/t</t>
  </si>
  <si>
    <t>5)</t>
  </si>
  <si>
    <t>6)</t>
  </si>
  <si>
    <t>5) Calcular o preço médio ao produtor em: US$/t FCOJ</t>
  </si>
  <si>
    <t>Preço no Varejo</t>
  </si>
  <si>
    <t>Norte-Americano</t>
  </si>
  <si>
    <t>US$/gal</t>
  </si>
  <si>
    <t>US$/Eq T fcoj</t>
  </si>
  <si>
    <t>6) Calcular o markup da indústria de suco de laranja (com subprodutos).</t>
  </si>
  <si>
    <t>7)</t>
  </si>
  <si>
    <t>7) Calcular a margem relativa da indústria</t>
  </si>
  <si>
    <t>8) Cacular a margem relativa da indústria (sob a margem total)</t>
  </si>
  <si>
    <t>8)</t>
  </si>
  <si>
    <t>MEMÓRIA DE CÁLCULO</t>
  </si>
  <si>
    <t>TABELA BÁSICA DO CÁLCULO DE MARGEM DE COMERCIALIZAÇÃO &amp; MARKUP DA INDÚSTRIA DE SUCO DE LARANJA</t>
  </si>
  <si>
    <t>EXPORTAÇÃO</t>
  </si>
  <si>
    <t>subprodutos</t>
  </si>
  <si>
    <t>US$/t  FCOJ</t>
  </si>
  <si>
    <t>RECEITA</t>
  </si>
  <si>
    <t>VOLUME</t>
  </si>
  <si>
    <t>EQUIVALENTE</t>
  </si>
  <si>
    <t>t FCOJ</t>
  </si>
  <si>
    <t>US$/t FCOJ</t>
  </si>
  <si>
    <t xml:space="preserve">PREÇO </t>
  </si>
  <si>
    <t>PRODUTOR</t>
  </si>
  <si>
    <t>US$/t</t>
  </si>
  <si>
    <t>MARKUP</t>
  </si>
  <si>
    <t>INDUSTRIAL</t>
  </si>
  <si>
    <t>%</t>
  </si>
  <si>
    <t>MARGEM</t>
  </si>
  <si>
    <t>RELATIVA</t>
  </si>
  <si>
    <t>INDUSTRIA</t>
  </si>
  <si>
    <t>MÉDIO INDUSTRIA</t>
  </si>
  <si>
    <t>PREÇO FOB</t>
  </si>
  <si>
    <t>TOTAL</t>
  </si>
  <si>
    <t>CADEIA</t>
  </si>
  <si>
    <t>X VAREJO</t>
  </si>
  <si>
    <t>9)</t>
  </si>
  <si>
    <t>9) Calculo da margem total relativa do suco de laranja</t>
  </si>
  <si>
    <t>10)</t>
  </si>
  <si>
    <t>10) Participação do produtor no total cadeia</t>
  </si>
  <si>
    <t>(6)</t>
  </si>
  <si>
    <t>(7)</t>
  </si>
  <si>
    <t>(8)</t>
  </si>
  <si>
    <t>(9)</t>
  </si>
  <si>
    <t>(10)</t>
  </si>
  <si>
    <t>Veja a memoria de cálculo na pasta CALCULO2014</t>
  </si>
  <si>
    <t>VAREJO (total)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</si>
</sst>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4" fontId="0" fillId="0" borderId="0" xfId="0" applyNumberFormat="1"/>
    <xf numFmtId="43" fontId="0" fillId="0" borderId="0" xfId="1" applyFont="1"/>
    <xf numFmtId="0" fontId="16" fillId="0" borderId="0" xfId="0" applyFont="1" applyAlignment="1">
      <alignment horizontal="center"/>
    </xf>
    <xf numFmtId="0" fontId="0" fillId="0" borderId="10" xfId="0" applyBorder="1"/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4" fontId="0" fillId="0" borderId="0" xfId="0" applyNumberFormat="1" applyBorder="1"/>
    <xf numFmtId="43" fontId="0" fillId="0" borderId="0" xfId="1" applyFont="1" applyBorder="1"/>
    <xf numFmtId="4" fontId="0" fillId="0" borderId="10" xfId="0" applyNumberFormat="1" applyBorder="1"/>
    <xf numFmtId="43" fontId="0" fillId="0" borderId="10" xfId="1" applyFont="1" applyBorder="1"/>
    <xf numFmtId="4" fontId="19" fillId="0" borderId="0" xfId="0" applyNumberFormat="1" applyFont="1"/>
    <xf numFmtId="0" fontId="18" fillId="0" borderId="0" xfId="0" applyFont="1" applyAlignment="1">
      <alignment horizontal="justify" vertical="center"/>
    </xf>
    <xf numFmtId="0" fontId="16" fillId="33" borderId="10" xfId="0" applyFont="1" applyFill="1" applyBorder="1" applyAlignment="1">
      <alignment horizontal="center"/>
    </xf>
    <xf numFmtId="4" fontId="0" fillId="33" borderId="10" xfId="0" applyNumberFormat="1" applyFill="1" applyBorder="1"/>
    <xf numFmtId="43" fontId="16" fillId="0" borderId="0" xfId="1" applyFont="1"/>
    <xf numFmtId="43" fontId="0" fillId="0" borderId="0" xfId="0" applyNumberFormat="1"/>
    <xf numFmtId="9" fontId="0" fillId="0" borderId="0" xfId="43" applyFont="1"/>
    <xf numFmtId="10" fontId="0" fillId="0" borderId="0" xfId="43" applyNumberFormat="1" applyFont="1"/>
    <xf numFmtId="0" fontId="16" fillId="0" borderId="0" xfId="0" applyFont="1" applyFill="1" applyBorder="1" applyAlignment="1">
      <alignment horizontal="center"/>
    </xf>
    <xf numFmtId="0" fontId="0" fillId="0" borderId="11" xfId="0" applyBorder="1"/>
    <xf numFmtId="0" fontId="16" fillId="0" borderId="0" xfId="0" applyFont="1"/>
    <xf numFmtId="0" fontId="0" fillId="0" borderId="0" xfId="0" applyAlignment="1">
      <alignment horizontal="left"/>
    </xf>
    <xf numFmtId="0" fontId="20" fillId="0" borderId="0" xfId="0" applyFont="1"/>
    <xf numFmtId="0" fontId="16" fillId="0" borderId="0" xfId="0" quotePrefix="1" applyFont="1" applyAlignment="1">
      <alignment horizontal="center"/>
    </xf>
    <xf numFmtId="9" fontId="14" fillId="0" borderId="0" xfId="43" applyFont="1"/>
    <xf numFmtId="10" fontId="14" fillId="0" borderId="0" xfId="43" applyNumberFormat="1" applyFont="1"/>
    <xf numFmtId="0" fontId="16" fillId="0" borderId="10" xfId="0" applyFont="1" applyFill="1" applyBorder="1" applyAlignment="1">
      <alignment horizontal="center"/>
    </xf>
    <xf numFmtId="9" fontId="14" fillId="0" borderId="10" xfId="43" applyFont="1" applyBorder="1"/>
    <xf numFmtId="10" fontId="14" fillId="0" borderId="10" xfId="43" applyNumberFormat="1" applyFont="1" applyBorder="1"/>
    <xf numFmtId="0" fontId="16" fillId="0" borderId="0" xfId="0" applyFont="1" applyAlignment="1">
      <alignment horizontal="center"/>
    </xf>
    <xf numFmtId="43" fontId="0" fillId="0" borderId="0" xfId="0" applyNumberFormat="1" applyBorder="1"/>
    <xf numFmtId="43" fontId="0" fillId="0" borderId="10" xfId="0" applyNumberFormat="1" applyBorder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44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Incorreto" xfId="8" builtinId="27" customBuiltin="1"/>
    <cellStyle name="Neutra" xfId="9" builtinId="28" customBuiltin="1"/>
    <cellStyle name="Normal" xfId="0" builtinId="0"/>
    <cellStyle name="Nota" xfId="16" builtinId="10" customBuiltin="1"/>
    <cellStyle name="Porcentagem" xfId="43" builtinId="5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Evolução dos Preços - US$/t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DADOSBASICOS!$O$4</c:f>
              <c:strCache>
                <c:ptCount val="1"/>
                <c:pt idx="0">
                  <c:v>Laranja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DADOSBASICOS!$A$6:$A$20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DADOSBASICOS!$O$6:$O$20</c:f>
              <c:numCache>
                <c:formatCode>_(* #,##0.00_);_(* \(#,##0.00\);_(* "-"??_);_(@_)</c:formatCode>
                <c:ptCount val="15"/>
                <c:pt idx="0">
                  <c:v>212.31803211563985</c:v>
                </c:pt>
                <c:pt idx="1">
                  <c:v>624.83389745887598</c:v>
                </c:pt>
                <c:pt idx="2">
                  <c:v>469.65710621733069</c:v>
                </c:pt>
                <c:pt idx="3">
                  <c:v>734.43063823895864</c:v>
                </c:pt>
                <c:pt idx="4">
                  <c:v>556.38227848101269</c:v>
                </c:pt>
                <c:pt idx="5">
                  <c:v>792.95849532191221</c:v>
                </c:pt>
                <c:pt idx="6">
                  <c:v>1158.0082319925164</c:v>
                </c:pt>
                <c:pt idx="7">
                  <c:v>1456.1029300513746</c:v>
                </c:pt>
                <c:pt idx="8">
                  <c:v>1102.6303808301241</c:v>
                </c:pt>
                <c:pt idx="9">
                  <c:v>835.86657477601648</c:v>
                </c:pt>
                <c:pt idx="10">
                  <c:v>1997.7583003240914</c:v>
                </c:pt>
                <c:pt idx="11">
                  <c:v>2160.1701673952448</c:v>
                </c:pt>
                <c:pt idx="12">
                  <c:v>849.01965581926447</c:v>
                </c:pt>
                <c:pt idx="13">
                  <c:v>857.39989754973112</c:v>
                </c:pt>
                <c:pt idx="14">
                  <c:v>886.77697462540482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7B-4F7D-A84D-432DA090A49B}"/>
            </c:ext>
          </c:extLst>
        </c:ser>
        <c:ser>
          <c:idx val="3"/>
          <c:order val="2"/>
          <c:tx>
            <c:strRef>
              <c:f>DADOSBASICOS!$T$4</c:f>
              <c:strCache>
                <c:ptCount val="1"/>
                <c:pt idx="0">
                  <c:v>MÉDIO INDUSTRIA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DADOSBASICOS!$A$6:$A$20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DADOSBASICOS!$T$6:$T$20</c:f>
              <c:numCache>
                <c:formatCode>_(* #,##0.00_);_(* \(#,##0.00\);_(* "-"??_);_(@_)</c:formatCode>
                <c:ptCount val="15"/>
                <c:pt idx="0">
                  <c:v>857.16963212191729</c:v>
                </c:pt>
                <c:pt idx="1">
                  <c:v>810.90432104913327</c:v>
                </c:pt>
                <c:pt idx="2">
                  <c:v>998.39324034438062</c:v>
                </c:pt>
                <c:pt idx="3">
                  <c:v>933.63727900991057</c:v>
                </c:pt>
                <c:pt idx="4">
                  <c:v>997.76206194856593</c:v>
                </c:pt>
                <c:pt idx="5">
                  <c:v>974.20578816643774</c:v>
                </c:pt>
                <c:pt idx="6">
                  <c:v>1041.3049082368973</c:v>
                </c:pt>
                <c:pt idx="7">
                  <c:v>978.72469733452795</c:v>
                </c:pt>
                <c:pt idx="8">
                  <c:v>1129.3331438011166</c:v>
                </c:pt>
                <c:pt idx="9">
                  <c:v>1167.6543421933864</c:v>
                </c:pt>
                <c:pt idx="10">
                  <c:v>1265.5566201250251</c:v>
                </c:pt>
                <c:pt idx="11">
                  <c:v>1354.2493543988539</c:v>
                </c:pt>
                <c:pt idx="12">
                  <c:v>1439.3724227969119</c:v>
                </c:pt>
                <c:pt idx="13">
                  <c:v>1268.7354425167148</c:v>
                </c:pt>
                <c:pt idx="14">
                  <c:v>1408.4145180070136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7B-4F7D-A84D-432DA090A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28815"/>
        <c:axId val="87929647"/>
      </c:lineChart>
      <c:lineChart>
        <c:grouping val="standard"/>
        <c:varyColors val="0"/>
        <c:ser>
          <c:idx val="2"/>
          <c:order val="1"/>
          <c:tx>
            <c:strRef>
              <c:f>DADOSBASICOS!$Q$3</c:f>
              <c:strCache>
                <c:ptCount val="1"/>
                <c:pt idx="0">
                  <c:v>Preço no Varejo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DADOSBASICOS!$A$6:$A$20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DADOSBASICOS!$Q$6:$Q$20</c:f>
              <c:numCache>
                <c:formatCode>_(* #,##0.00_);_(* \(#,##0.00\);_(* "-"??_);_(@_)</c:formatCode>
                <c:ptCount val="15"/>
                <c:pt idx="0">
                  <c:v>6178.7430000000004</c:v>
                </c:pt>
                <c:pt idx="1">
                  <c:v>6207.0209999999997</c:v>
                </c:pt>
                <c:pt idx="2">
                  <c:v>6221.1600000000008</c:v>
                </c:pt>
                <c:pt idx="3">
                  <c:v>6136.326</c:v>
                </c:pt>
                <c:pt idx="4">
                  <c:v>6235.2990000000009</c:v>
                </c:pt>
                <c:pt idx="5">
                  <c:v>6631.1910000000007</c:v>
                </c:pt>
                <c:pt idx="6">
                  <c:v>8073.3690000000006</c:v>
                </c:pt>
                <c:pt idx="7">
                  <c:v>8356.1490000000013</c:v>
                </c:pt>
                <c:pt idx="8">
                  <c:v>7931.9790000000012</c:v>
                </c:pt>
                <c:pt idx="9">
                  <c:v>7790.5889999999999</c:v>
                </c:pt>
                <c:pt idx="10">
                  <c:v>8327.8709999999992</c:v>
                </c:pt>
                <c:pt idx="11">
                  <c:v>8610.6509999999998</c:v>
                </c:pt>
                <c:pt idx="12">
                  <c:v>8327.8709999999992</c:v>
                </c:pt>
                <c:pt idx="13">
                  <c:v>8808.5970000000016</c:v>
                </c:pt>
                <c:pt idx="14">
                  <c:v>8766.18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7B-4F7D-A84D-432DA090A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788159"/>
        <c:axId val="220787327"/>
      </c:lineChart>
      <c:catAx>
        <c:axId val="87928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7929647"/>
        <c:crosses val="autoZero"/>
        <c:auto val="1"/>
        <c:lblAlgn val="ctr"/>
        <c:lblOffset val="100"/>
        <c:noMultiLvlLbl val="0"/>
      </c:catAx>
      <c:valAx>
        <c:axId val="879296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7928815"/>
        <c:crosses val="autoZero"/>
        <c:crossBetween val="between"/>
      </c:valAx>
      <c:valAx>
        <c:axId val="220787327"/>
        <c:scaling>
          <c:orientation val="minMax"/>
        </c:scaling>
        <c:delete val="0"/>
        <c:axPos val="r"/>
        <c:numFmt formatCode="_(* #,##0.00_);_(* \(#,##0.0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788159"/>
        <c:crosses val="max"/>
        <c:crossBetween val="between"/>
      </c:valAx>
      <c:catAx>
        <c:axId val="22078815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078732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EVOLUÇÃO DAS COTAÇÕES - MÉDIA MÓVEL DE 4 ANOS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DADOSBASICOS!$O$4</c:f>
              <c:strCache>
                <c:ptCount val="1"/>
                <c:pt idx="0">
                  <c:v>Laranja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movingAvg"/>
            <c:period val="4"/>
            <c:dispRSqr val="0"/>
            <c:dispEq val="0"/>
          </c:trendline>
          <c:cat>
            <c:numRef>
              <c:f>DADOSBASICOS!$W$6:$W$20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DADOSBASICOS!$O$6:$O$20</c:f>
              <c:numCache>
                <c:formatCode>_(* #,##0.00_);_(* \(#,##0.00\);_(* "-"??_);_(@_)</c:formatCode>
                <c:ptCount val="15"/>
                <c:pt idx="0">
                  <c:v>212.31803211563985</c:v>
                </c:pt>
                <c:pt idx="1">
                  <c:v>624.83389745887598</c:v>
                </c:pt>
                <c:pt idx="2">
                  <c:v>469.65710621733069</c:v>
                </c:pt>
                <c:pt idx="3">
                  <c:v>734.43063823895864</c:v>
                </c:pt>
                <c:pt idx="4">
                  <c:v>556.38227848101269</c:v>
                </c:pt>
                <c:pt idx="5">
                  <c:v>792.95849532191221</c:v>
                </c:pt>
                <c:pt idx="6">
                  <c:v>1158.0082319925164</c:v>
                </c:pt>
                <c:pt idx="7">
                  <c:v>1456.1029300513746</c:v>
                </c:pt>
                <c:pt idx="8">
                  <c:v>1102.6303808301241</c:v>
                </c:pt>
                <c:pt idx="9">
                  <c:v>835.86657477601648</c:v>
                </c:pt>
                <c:pt idx="10">
                  <c:v>1997.7583003240914</c:v>
                </c:pt>
                <c:pt idx="11">
                  <c:v>2160.1701673952448</c:v>
                </c:pt>
                <c:pt idx="12">
                  <c:v>849.01965581926447</c:v>
                </c:pt>
                <c:pt idx="13">
                  <c:v>857.39989754973112</c:v>
                </c:pt>
                <c:pt idx="14">
                  <c:v>886.77697462540482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CC-427D-BD38-3716F4A8CF39}"/>
            </c:ext>
          </c:extLst>
        </c:ser>
        <c:ser>
          <c:idx val="2"/>
          <c:order val="1"/>
          <c:tx>
            <c:strRef>
              <c:f>DADOSBASICOS!$T$4</c:f>
              <c:strCache>
                <c:ptCount val="1"/>
                <c:pt idx="0">
                  <c:v>MÉDIO INDUSTRIA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movingAvg"/>
            <c:period val="4"/>
            <c:dispRSqr val="0"/>
            <c:dispEq val="0"/>
          </c:trendline>
          <c:cat>
            <c:numRef>
              <c:f>DADOSBASICOS!$W$6:$W$20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DADOSBASICOS!$T$6:$T$20</c:f>
              <c:numCache>
                <c:formatCode>_(* #,##0.00_);_(* \(#,##0.00\);_(* "-"??_);_(@_)</c:formatCode>
                <c:ptCount val="15"/>
                <c:pt idx="0">
                  <c:v>857.16963212191729</c:v>
                </c:pt>
                <c:pt idx="1">
                  <c:v>810.90432104913327</c:v>
                </c:pt>
                <c:pt idx="2">
                  <c:v>998.39324034438062</c:v>
                </c:pt>
                <c:pt idx="3">
                  <c:v>933.63727900991057</c:v>
                </c:pt>
                <c:pt idx="4">
                  <c:v>997.76206194856593</c:v>
                </c:pt>
                <c:pt idx="5">
                  <c:v>974.20578816643774</c:v>
                </c:pt>
                <c:pt idx="6">
                  <c:v>1041.3049082368973</c:v>
                </c:pt>
                <c:pt idx="7">
                  <c:v>978.72469733452795</c:v>
                </c:pt>
                <c:pt idx="8">
                  <c:v>1129.3331438011166</c:v>
                </c:pt>
                <c:pt idx="9">
                  <c:v>1167.6543421933864</c:v>
                </c:pt>
                <c:pt idx="10">
                  <c:v>1265.5566201250251</c:v>
                </c:pt>
                <c:pt idx="11">
                  <c:v>1354.2493543988539</c:v>
                </c:pt>
                <c:pt idx="12">
                  <c:v>1439.3724227969119</c:v>
                </c:pt>
                <c:pt idx="13">
                  <c:v>1268.7354425167148</c:v>
                </c:pt>
                <c:pt idx="14">
                  <c:v>1408.4145180070136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CC-427D-BD38-3716F4A8C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38799"/>
        <c:axId val="87939215"/>
      </c:lineChart>
      <c:lineChart>
        <c:grouping val="standard"/>
        <c:varyColors val="0"/>
        <c:ser>
          <c:idx val="3"/>
          <c:order val="2"/>
          <c:tx>
            <c:strRef>
              <c:f>DADOSBASICOS!$Q$3</c:f>
              <c:strCache>
                <c:ptCount val="1"/>
                <c:pt idx="0">
                  <c:v>Preço no Varejo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movingAvg"/>
            <c:period val="4"/>
            <c:dispRSqr val="0"/>
            <c:dispEq val="0"/>
          </c:trendline>
          <c:cat>
            <c:numRef>
              <c:f>DADOSBASICOS!$W$6:$W$20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DADOSBASICOS!$Q$6:$Q$20</c:f>
              <c:numCache>
                <c:formatCode>_(* #,##0.00_);_(* \(#,##0.00\);_(* "-"??_);_(@_)</c:formatCode>
                <c:ptCount val="15"/>
                <c:pt idx="0">
                  <c:v>6178.7430000000004</c:v>
                </c:pt>
                <c:pt idx="1">
                  <c:v>6207.0209999999997</c:v>
                </c:pt>
                <c:pt idx="2">
                  <c:v>6221.1600000000008</c:v>
                </c:pt>
                <c:pt idx="3">
                  <c:v>6136.326</c:v>
                </c:pt>
                <c:pt idx="4">
                  <c:v>6235.2990000000009</c:v>
                </c:pt>
                <c:pt idx="5">
                  <c:v>6631.1910000000007</c:v>
                </c:pt>
                <c:pt idx="6">
                  <c:v>8073.3690000000006</c:v>
                </c:pt>
                <c:pt idx="7">
                  <c:v>8356.1490000000013</c:v>
                </c:pt>
                <c:pt idx="8">
                  <c:v>7931.9790000000012</c:v>
                </c:pt>
                <c:pt idx="9">
                  <c:v>7790.5889999999999</c:v>
                </c:pt>
                <c:pt idx="10">
                  <c:v>8327.8709999999992</c:v>
                </c:pt>
                <c:pt idx="11">
                  <c:v>8610.6509999999998</c:v>
                </c:pt>
                <c:pt idx="12">
                  <c:v>8327.8709999999992</c:v>
                </c:pt>
                <c:pt idx="13">
                  <c:v>8808.5970000000016</c:v>
                </c:pt>
                <c:pt idx="14">
                  <c:v>8766.18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CC-427D-BD38-3716F4A8C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32095"/>
        <c:axId val="86940495"/>
      </c:lineChart>
      <c:catAx>
        <c:axId val="879387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7939215"/>
        <c:crosses val="autoZero"/>
        <c:auto val="1"/>
        <c:lblAlgn val="ctr"/>
        <c:lblOffset val="100"/>
        <c:noMultiLvlLbl val="0"/>
      </c:catAx>
      <c:valAx>
        <c:axId val="879392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7938799"/>
        <c:crosses val="autoZero"/>
        <c:crossBetween val="between"/>
      </c:valAx>
      <c:valAx>
        <c:axId val="86940495"/>
        <c:scaling>
          <c:orientation val="minMax"/>
        </c:scaling>
        <c:delete val="0"/>
        <c:axPos val="r"/>
        <c:numFmt formatCode="_(* #,##0.00_);_(* \(#,##0.0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9632095"/>
        <c:crosses val="max"/>
        <c:crossBetween val="between"/>
      </c:valAx>
      <c:catAx>
        <c:axId val="8963209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694049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20</xdr:row>
      <xdr:rowOff>0</xdr:rowOff>
    </xdr:from>
    <xdr:to>
      <xdr:col>13</xdr:col>
      <xdr:colOff>9525</xdr:colOff>
      <xdr:row>20</xdr:row>
      <xdr:rowOff>9525</xdr:rowOff>
    </xdr:to>
    <xdr:pic>
      <xdr:nvPicPr>
        <xdr:cNvPr id="2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2700" y="495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19050</xdr:colOff>
      <xdr:row>20</xdr:row>
      <xdr:rowOff>0</xdr:rowOff>
    </xdr:from>
    <xdr:to>
      <xdr:col>13</xdr:col>
      <xdr:colOff>28575</xdr:colOff>
      <xdr:row>20</xdr:row>
      <xdr:rowOff>9525</xdr:rowOff>
    </xdr:to>
    <xdr:pic>
      <xdr:nvPicPr>
        <xdr:cNvPr id="3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0" y="495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38100</xdr:colOff>
      <xdr:row>20</xdr:row>
      <xdr:rowOff>0</xdr:rowOff>
    </xdr:from>
    <xdr:to>
      <xdr:col>13</xdr:col>
      <xdr:colOff>47625</xdr:colOff>
      <xdr:row>20</xdr:row>
      <xdr:rowOff>9525</xdr:rowOff>
    </xdr:to>
    <xdr:pic>
      <xdr:nvPicPr>
        <xdr:cNvPr id="4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495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6</xdr:row>
      <xdr:rowOff>9526</xdr:rowOff>
    </xdr:from>
    <xdr:to>
      <xdr:col>16</xdr:col>
      <xdr:colOff>323850</xdr:colOff>
      <xdr:row>6</xdr:row>
      <xdr:rowOff>200025</xdr:rowOff>
    </xdr:to>
    <xdr:sp macro="" textlink="">
      <xdr:nvSpPr>
        <xdr:cNvPr id="2" name="CaixaDeTexto 4"/>
        <xdr:cNvSpPr txBox="1"/>
      </xdr:nvSpPr>
      <xdr:spPr>
        <a:xfrm>
          <a:off x="3076575" y="1152526"/>
          <a:ext cx="7915275" cy="190499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342900" indent="-342900" algn="just">
            <a:buAutoNum type="arabicParenR"/>
          </a:pPr>
          <a:r>
            <a:rPr lang="pt-BR" sz="1200"/>
            <a:t>Adicionar na Receita Exportadora os subprodutos </a:t>
          </a:r>
        </a:p>
        <a:p>
          <a:pPr algn="just"/>
          <a:endParaRPr lang="pt-BR" sz="1200"/>
        </a:p>
        <a:p>
          <a:pPr marL="285750" indent="-285750">
            <a:buFontTx/>
            <a:buChar char="-"/>
          </a:pPr>
          <a:endParaRPr lang="pt-BR" sz="1200"/>
        </a:p>
      </xdr:txBody>
    </xdr:sp>
    <xdr:clientData/>
  </xdr:twoCellAnchor>
  <xdr:oneCellAnchor>
    <xdr:from>
      <xdr:col>4</xdr:col>
      <xdr:colOff>161925</xdr:colOff>
      <xdr:row>7</xdr:row>
      <xdr:rowOff>0</xdr:rowOff>
    </xdr:from>
    <xdr:ext cx="5102807" cy="436786"/>
    <xdr:sp macro="" textlink="">
      <xdr:nvSpPr>
        <xdr:cNvPr id="3" name="CaixaDeTexto 2"/>
        <xdr:cNvSpPr txBox="1"/>
      </xdr:nvSpPr>
      <xdr:spPr>
        <a:xfrm>
          <a:off x="3362325" y="1543050"/>
          <a:ext cx="5102807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2) Converter todas as unidaades de exportação em equivalente de Suco Concentrado)</a:t>
          </a:r>
        </a:p>
        <a:p>
          <a:r>
            <a:rPr lang="pt-BR" sz="1100"/>
            <a:t>NFC =&gt;</a:t>
          </a:r>
          <a:r>
            <a:rPr lang="pt-BR" sz="1100" baseline="0"/>
            <a:t> 5,5 FCOJ , assim dividi-se por 5,5 para obter Equivalente Concentrado.</a:t>
          </a:r>
          <a:endParaRPr lang="pt-BR" sz="1100"/>
        </a:p>
      </xdr:txBody>
    </xdr:sp>
    <xdr:clientData/>
  </xdr:oneCellAnchor>
  <xdr:oneCellAnchor>
    <xdr:from>
      <xdr:col>4</xdr:col>
      <xdr:colOff>209550</xdr:colOff>
      <xdr:row>9</xdr:row>
      <xdr:rowOff>0</xdr:rowOff>
    </xdr:from>
    <xdr:ext cx="3283015" cy="264560"/>
    <xdr:sp macro="" textlink="">
      <xdr:nvSpPr>
        <xdr:cNvPr id="4" name="CaixaDeTexto 3"/>
        <xdr:cNvSpPr txBox="1"/>
      </xdr:nvSpPr>
      <xdr:spPr>
        <a:xfrm>
          <a:off x="3048000" y="2095500"/>
          <a:ext cx="3283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3) Cálculo</a:t>
          </a:r>
          <a:r>
            <a:rPr lang="pt-BR" sz="1100" baseline="0"/>
            <a:t> do volume exportado em tonelada de FCOJ</a:t>
          </a:r>
          <a:endParaRPr lang="pt-BR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38099</xdr:rowOff>
    </xdr:from>
    <xdr:to>
      <xdr:col>12</xdr:col>
      <xdr:colOff>342900</xdr:colOff>
      <xdr:row>29</xdr:row>
      <xdr:rowOff>19050</xdr:rowOff>
    </xdr:to>
    <xdr:graphicFrame macro="">
      <xdr:nvGraphicFramePr>
        <xdr:cNvPr id="2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</xdr:colOff>
      <xdr:row>0</xdr:row>
      <xdr:rowOff>19049</xdr:rowOff>
    </xdr:from>
    <xdr:to>
      <xdr:col>13</xdr:col>
      <xdr:colOff>209550</xdr:colOff>
      <xdr:row>23</xdr:row>
      <xdr:rowOff>95250</xdr:rowOff>
    </xdr:to>
    <xdr:graphicFrame macro="">
      <xdr:nvGraphicFramePr>
        <xdr:cNvPr id="2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tabSelected="1" topLeftCell="M4" workbookViewId="0">
      <selection activeCell="V19" sqref="V19"/>
    </sheetView>
  </sheetViews>
  <sheetFormatPr defaultRowHeight="15" x14ac:dyDescent="0.25"/>
  <cols>
    <col min="2" max="4" width="11.85546875" customWidth="1"/>
    <col min="5" max="5" width="8.140625" bestFit="1" customWidth="1"/>
    <col min="6" max="6" width="11.85546875" bestFit="1" customWidth="1"/>
    <col min="8" max="9" width="12.28515625" bestFit="1" customWidth="1"/>
    <col min="10" max="10" width="12.28515625" customWidth="1"/>
    <col min="11" max="11" width="9.28515625" bestFit="1" customWidth="1"/>
    <col min="12" max="12" width="11.85546875" bestFit="1" customWidth="1"/>
    <col min="13" max="13" width="20.7109375" bestFit="1" customWidth="1"/>
    <col min="15" max="15" width="9.5703125" bestFit="1" customWidth="1"/>
    <col min="16" max="16" width="16.5703125" customWidth="1"/>
    <col min="17" max="17" width="16.5703125" bestFit="1" customWidth="1"/>
    <col min="18" max="18" width="13.140625" bestFit="1" customWidth="1"/>
    <col min="19" max="19" width="13.42578125" bestFit="1" customWidth="1"/>
    <col min="20" max="20" width="17.5703125" bestFit="1" customWidth="1"/>
    <col min="21" max="21" width="11" bestFit="1" customWidth="1"/>
    <col min="22" max="22" width="11" customWidth="1"/>
    <col min="24" max="24" width="11.5703125" bestFit="1" customWidth="1"/>
    <col min="25" max="26" width="11.42578125" customWidth="1"/>
    <col min="27" max="27" width="14" bestFit="1" customWidth="1"/>
    <col min="28" max="28" width="11" bestFit="1" customWidth="1"/>
  </cols>
  <sheetData>
    <row r="1" spans="1:28" x14ac:dyDescent="0.25">
      <c r="X1" s="35" t="s">
        <v>67</v>
      </c>
      <c r="Y1" s="35"/>
      <c r="Z1" s="35"/>
      <c r="AA1" s="35"/>
      <c r="AB1" s="35"/>
    </row>
    <row r="2" spans="1:28" x14ac:dyDescent="0.25">
      <c r="A2" t="s">
        <v>35</v>
      </c>
      <c r="E2" s="23"/>
      <c r="R2" s="24" t="s">
        <v>37</v>
      </c>
      <c r="X2" s="25" t="s">
        <v>62</v>
      </c>
      <c r="Y2" s="25" t="s">
        <v>63</v>
      </c>
      <c r="Z2" s="25" t="s">
        <v>64</v>
      </c>
      <c r="AA2" s="25" t="s">
        <v>65</v>
      </c>
      <c r="AB2" s="25" t="s">
        <v>66</v>
      </c>
    </row>
    <row r="3" spans="1:28" x14ac:dyDescent="0.25">
      <c r="P3" s="3" t="s">
        <v>25</v>
      </c>
      <c r="Q3" s="3" t="s">
        <v>25</v>
      </c>
      <c r="R3" s="3" t="s">
        <v>39</v>
      </c>
      <c r="S3" s="3" t="s">
        <v>40</v>
      </c>
      <c r="T3" s="3" t="s">
        <v>54</v>
      </c>
      <c r="U3" s="3" t="s">
        <v>44</v>
      </c>
      <c r="V3" s="34"/>
      <c r="Y3" s="3" t="s">
        <v>50</v>
      </c>
      <c r="Z3" s="3" t="s">
        <v>50</v>
      </c>
      <c r="AA3" s="3" t="s">
        <v>50</v>
      </c>
      <c r="AB3" s="3" t="s">
        <v>49</v>
      </c>
    </row>
    <row r="4" spans="1:28" x14ac:dyDescent="0.25">
      <c r="B4" s="3" t="s">
        <v>4</v>
      </c>
      <c r="C4" s="3" t="s">
        <v>4</v>
      </c>
      <c r="D4" s="3"/>
      <c r="E4" s="3" t="s">
        <v>5</v>
      </c>
      <c r="F4" s="3" t="s">
        <v>5</v>
      </c>
      <c r="G4" s="3"/>
      <c r="H4" s="3" t="s">
        <v>1</v>
      </c>
      <c r="I4" s="3" t="s">
        <v>1</v>
      </c>
      <c r="J4" s="3" t="s">
        <v>1</v>
      </c>
      <c r="K4" s="3" t="s">
        <v>6</v>
      </c>
      <c r="L4" s="3" t="s">
        <v>6</v>
      </c>
      <c r="M4" s="3" t="s">
        <v>10</v>
      </c>
      <c r="N4" s="3" t="s">
        <v>12</v>
      </c>
      <c r="O4" s="31" t="s">
        <v>6</v>
      </c>
      <c r="P4" s="20" t="s">
        <v>26</v>
      </c>
      <c r="Q4" s="20" t="s">
        <v>26</v>
      </c>
      <c r="R4" s="20" t="s">
        <v>36</v>
      </c>
      <c r="S4" s="20" t="s">
        <v>41</v>
      </c>
      <c r="T4" s="20" t="s">
        <v>53</v>
      </c>
      <c r="U4" s="20" t="s">
        <v>45</v>
      </c>
      <c r="V4" s="20"/>
      <c r="X4" s="3" t="s">
        <v>47</v>
      </c>
      <c r="Y4" s="20" t="s">
        <v>51</v>
      </c>
      <c r="Z4" s="20" t="s">
        <v>52</v>
      </c>
      <c r="AA4" s="20" t="s">
        <v>68</v>
      </c>
      <c r="AB4" s="20" t="s">
        <v>45</v>
      </c>
    </row>
    <row r="5" spans="1:28" x14ac:dyDescent="0.25">
      <c r="A5" s="4" t="s">
        <v>9</v>
      </c>
      <c r="B5" s="5" t="s">
        <v>2</v>
      </c>
      <c r="C5" s="5" t="s">
        <v>3</v>
      </c>
      <c r="D5" s="5" t="s">
        <v>7</v>
      </c>
      <c r="E5" s="5" t="s">
        <v>2</v>
      </c>
      <c r="F5" s="5" t="s">
        <v>3</v>
      </c>
      <c r="G5" s="5" t="s">
        <v>7</v>
      </c>
      <c r="H5" s="5" t="s">
        <v>2</v>
      </c>
      <c r="I5" s="5" t="s">
        <v>3</v>
      </c>
      <c r="J5" s="5" t="s">
        <v>7</v>
      </c>
      <c r="K5" s="5" t="s">
        <v>8</v>
      </c>
      <c r="L5" s="5" t="s">
        <v>2</v>
      </c>
      <c r="M5" s="5" t="s">
        <v>11</v>
      </c>
      <c r="N5" s="5" t="s">
        <v>13</v>
      </c>
      <c r="O5" s="5" t="s">
        <v>46</v>
      </c>
      <c r="P5" s="28" t="s">
        <v>27</v>
      </c>
      <c r="Q5" s="28" t="s">
        <v>28</v>
      </c>
      <c r="R5" s="28" t="s">
        <v>38</v>
      </c>
      <c r="S5" s="28" t="s">
        <v>42</v>
      </c>
      <c r="T5" s="28" t="s">
        <v>43</v>
      </c>
      <c r="U5" s="28" t="s">
        <v>46</v>
      </c>
      <c r="V5" s="28"/>
      <c r="W5" s="4" t="s">
        <v>9</v>
      </c>
      <c r="X5" s="28" t="s">
        <v>48</v>
      </c>
      <c r="Y5" s="28" t="s">
        <v>52</v>
      </c>
      <c r="Z5" s="28" t="s">
        <v>57</v>
      </c>
      <c r="AA5" s="28" t="s">
        <v>56</v>
      </c>
      <c r="AB5" s="28" t="s">
        <v>55</v>
      </c>
    </row>
    <row r="6" spans="1:28" x14ac:dyDescent="0.25">
      <c r="A6">
        <v>2000</v>
      </c>
      <c r="B6" s="1">
        <v>984.7</v>
      </c>
      <c r="C6" s="1">
        <v>808.854936750452</v>
      </c>
      <c r="D6" s="1">
        <f>(C6/B6)*1000</f>
        <v>821.42270412354208</v>
      </c>
      <c r="E6" s="6" t="s">
        <v>0</v>
      </c>
      <c r="F6" s="6" t="s">
        <v>0</v>
      </c>
      <c r="G6" s="6"/>
      <c r="H6">
        <v>54.8</v>
      </c>
      <c r="I6">
        <v>35.200000000000003</v>
      </c>
      <c r="J6" s="2">
        <f>(I6/H6)*1000</f>
        <v>642.33576642335777</v>
      </c>
      <c r="K6">
        <v>1.6817218779070853</v>
      </c>
      <c r="L6" s="2">
        <v>10873.199999999999</v>
      </c>
      <c r="M6" s="2">
        <v>246.87</v>
      </c>
      <c r="N6">
        <v>1.9554</v>
      </c>
      <c r="O6" s="17">
        <f>(K6/N6)*M6</f>
        <v>212.31803211563985</v>
      </c>
      <c r="P6">
        <v>4.37</v>
      </c>
      <c r="Q6" s="2">
        <f>P6*1413.9</f>
        <v>6178.7430000000004</v>
      </c>
      <c r="R6" s="1">
        <f>C6+I6</f>
        <v>844.05493675045204</v>
      </c>
      <c r="S6" s="2">
        <f>B6</f>
        <v>984.7</v>
      </c>
      <c r="T6" s="17">
        <f>(R6/S6)*1000</f>
        <v>857.16963212191729</v>
      </c>
      <c r="U6" s="2">
        <f>(K6*M6)/N6</f>
        <v>212.31803211563982</v>
      </c>
      <c r="V6" s="2"/>
      <c r="W6">
        <v>2000</v>
      </c>
      <c r="X6" s="26">
        <f>(T6-U6)/U6</f>
        <v>3.0371965752539412</v>
      </c>
      <c r="Y6" s="26">
        <f>(T6-U6)/T6</f>
        <v>0.75230336661595443</v>
      </c>
      <c r="Z6" s="27">
        <f>(T6-U6)/Q6</f>
        <v>0.10436614696650719</v>
      </c>
      <c r="AA6" s="26">
        <f>(Q6-U6)/Q6</f>
        <v>0.96563734207497554</v>
      </c>
      <c r="AB6" s="26">
        <f>U6/Q6</f>
        <v>3.4362657925024527E-2</v>
      </c>
    </row>
    <row r="7" spans="1:28" x14ac:dyDescent="0.25">
      <c r="A7">
        <v>2001</v>
      </c>
      <c r="B7" s="1">
        <v>823.5</v>
      </c>
      <c r="C7" s="1">
        <v>625.3797083839612</v>
      </c>
      <c r="D7" s="1">
        <f t="shared" ref="D7:D20" si="0">(C7/B7)*1000</f>
        <v>759.41676792223575</v>
      </c>
      <c r="E7" s="6" t="s">
        <v>0</v>
      </c>
      <c r="F7" s="6" t="s">
        <v>0</v>
      </c>
      <c r="G7" s="6"/>
      <c r="H7">
        <v>66.2</v>
      </c>
      <c r="I7">
        <v>42.4</v>
      </c>
      <c r="J7" s="2">
        <f t="shared" ref="J7:J20" si="1">(I7/H7)*1000</f>
        <v>640.48338368580062</v>
      </c>
      <c r="K7">
        <v>6.1299872131894793</v>
      </c>
      <c r="L7" s="2">
        <v>8670</v>
      </c>
      <c r="M7" s="2">
        <v>236.52</v>
      </c>
      <c r="N7">
        <v>2.3203999999999998</v>
      </c>
      <c r="O7" s="17">
        <f t="shared" ref="O7:O20" si="2">(K7/N7)*M7</f>
        <v>624.83389745887598</v>
      </c>
      <c r="P7">
        <v>4.3899999999999997</v>
      </c>
      <c r="Q7" s="2">
        <f t="shared" ref="Q7:Q20" si="3">P7*1413.9</f>
        <v>6207.0209999999997</v>
      </c>
      <c r="R7" s="1">
        <f>C7+I7</f>
        <v>667.77970838396118</v>
      </c>
      <c r="S7" s="2">
        <f>B7</f>
        <v>823.5</v>
      </c>
      <c r="T7" s="17">
        <f t="shared" ref="T7:T20" si="4">(R7/S7)*1000</f>
        <v>810.90432104913327</v>
      </c>
      <c r="U7" s="2">
        <f t="shared" ref="U7:U20" si="5">(K7*M7)/N7</f>
        <v>624.83389745887598</v>
      </c>
      <c r="V7" s="2">
        <f>(U7+U6)/2</f>
        <v>418.57596478725793</v>
      </c>
      <c r="W7">
        <v>2001</v>
      </c>
      <c r="X7" s="26">
        <f t="shared" ref="X7:X20" si="6">(T7-U7)/U7</f>
        <v>0.2977918201092854</v>
      </c>
      <c r="Y7" s="26">
        <f t="shared" ref="Y7:Y20" si="7">(T7-U7)/T7</f>
        <v>0.22946039225629328</v>
      </c>
      <c r="Z7" s="27">
        <f t="shared" ref="Z7:Z20" si="8">(T7-U7)/Q7</f>
        <v>2.9977411642438022E-2</v>
      </c>
      <c r="AA7" s="26">
        <f t="shared" ref="AA7:AA20" si="9">(Q7-U7)/Q7</f>
        <v>0.89933433486710035</v>
      </c>
      <c r="AB7" s="26">
        <f t="shared" ref="AB7:AB20" si="10">U7/Q7</f>
        <v>0.10066566513289966</v>
      </c>
    </row>
    <row r="8" spans="1:28" x14ac:dyDescent="0.25">
      <c r="A8">
        <v>2002</v>
      </c>
      <c r="B8" s="1">
        <v>969.7</v>
      </c>
      <c r="C8" s="1">
        <v>844.39219784047373</v>
      </c>
      <c r="D8" s="1">
        <f t="shared" si="0"/>
        <v>870.77673284569835</v>
      </c>
      <c r="E8">
        <v>139.1</v>
      </c>
      <c r="F8">
        <v>33.299999999999997</v>
      </c>
      <c r="G8">
        <f>(F8/E8)*1000</f>
        <v>239.39611790079078</v>
      </c>
      <c r="H8">
        <v>908.9</v>
      </c>
      <c r="I8">
        <v>115.7</v>
      </c>
      <c r="J8" s="2">
        <f t="shared" si="1"/>
        <v>127.29673231378591</v>
      </c>
      <c r="K8">
        <v>7.3802065972768265</v>
      </c>
      <c r="L8" s="2">
        <v>13227.359999999999</v>
      </c>
      <c r="M8" s="2">
        <v>224.85</v>
      </c>
      <c r="N8">
        <v>3.5333000000000001</v>
      </c>
      <c r="O8" s="17">
        <f t="shared" si="2"/>
        <v>469.65710621733069</v>
      </c>
      <c r="P8">
        <v>4.4000000000000004</v>
      </c>
      <c r="Q8" s="2">
        <f t="shared" si="3"/>
        <v>6221.1600000000008</v>
      </c>
      <c r="R8" s="1">
        <f t="shared" ref="R8:R20" si="11">C8+F8+I8</f>
        <v>993.39219784047373</v>
      </c>
      <c r="S8" s="2">
        <f>B8+E8/5.5</f>
        <v>994.9909090909091</v>
      </c>
      <c r="T8" s="17">
        <f t="shared" si="4"/>
        <v>998.39324034438062</v>
      </c>
      <c r="U8" s="2">
        <f t="shared" si="5"/>
        <v>469.65710621733064</v>
      </c>
      <c r="V8" s="2"/>
      <c r="W8">
        <v>2002</v>
      </c>
      <c r="X8" s="26">
        <f t="shared" si="6"/>
        <v>1.1257918322274485</v>
      </c>
      <c r="Y8" s="26">
        <f t="shared" si="7"/>
        <v>0.52958705323833177</v>
      </c>
      <c r="Z8" s="27">
        <f t="shared" si="8"/>
        <v>8.4989959127726986E-2</v>
      </c>
      <c r="AA8" s="26">
        <f t="shared" si="9"/>
        <v>0.92450650582570926</v>
      </c>
      <c r="AB8" s="26">
        <f t="shared" si="10"/>
        <v>7.5493494174290743E-2</v>
      </c>
    </row>
    <row r="9" spans="1:28" x14ac:dyDescent="0.25">
      <c r="A9">
        <v>2003</v>
      </c>
      <c r="B9" s="1">
        <v>1103.3</v>
      </c>
      <c r="C9" s="1">
        <v>860.40708102628093</v>
      </c>
      <c r="D9" s="1">
        <f t="shared" si="0"/>
        <v>779.84870935038612</v>
      </c>
      <c r="E9">
        <v>278.2</v>
      </c>
      <c r="F9">
        <v>63.4</v>
      </c>
      <c r="G9">
        <f t="shared" ref="G9:G20" si="12">(F9/E9)*1000</f>
        <v>227.89360172537744</v>
      </c>
      <c r="H9">
        <v>896.4</v>
      </c>
      <c r="I9">
        <v>153.5</v>
      </c>
      <c r="J9" s="2">
        <f t="shared" si="1"/>
        <v>171.24051762605978</v>
      </c>
      <c r="K9" s="2">
        <v>9.3624999999999989</v>
      </c>
      <c r="L9" s="2">
        <v>9877.6799999999985</v>
      </c>
      <c r="M9" s="2">
        <v>226.64</v>
      </c>
      <c r="N9">
        <v>2.8892000000000002</v>
      </c>
      <c r="O9" s="17">
        <f t="shared" si="2"/>
        <v>734.43063823895864</v>
      </c>
      <c r="P9">
        <v>4.34</v>
      </c>
      <c r="Q9" s="2">
        <f t="shared" si="3"/>
        <v>6136.326</v>
      </c>
      <c r="R9" s="1">
        <f t="shared" si="11"/>
        <v>1077.3070810262809</v>
      </c>
      <c r="S9" s="2">
        <f t="shared" ref="S9:S20" si="13">B9+E9/5.5</f>
        <v>1153.8818181818181</v>
      </c>
      <c r="T9" s="17">
        <f t="shared" si="4"/>
        <v>933.63727900991057</v>
      </c>
      <c r="U9" s="2">
        <f t="shared" si="5"/>
        <v>734.43063823895864</v>
      </c>
      <c r="V9" s="2"/>
      <c r="W9">
        <v>2003</v>
      </c>
      <c r="X9" s="26">
        <f t="shared" si="6"/>
        <v>0.27123955673828642</v>
      </c>
      <c r="Y9" s="26">
        <f t="shared" si="7"/>
        <v>0.21336620253874561</v>
      </c>
      <c r="Z9" s="27">
        <f t="shared" si="8"/>
        <v>3.2463503531421231E-2</v>
      </c>
      <c r="AA9" s="26">
        <f t="shared" si="9"/>
        <v>0.88031427302934062</v>
      </c>
      <c r="AB9" s="26">
        <f t="shared" si="10"/>
        <v>0.11968572697065942</v>
      </c>
    </row>
    <row r="10" spans="1:28" x14ac:dyDescent="0.25">
      <c r="A10">
        <v>2004</v>
      </c>
      <c r="B10" s="1">
        <v>944.8</v>
      </c>
      <c r="C10" s="1">
        <v>785.36990856192847</v>
      </c>
      <c r="D10" s="1">
        <f t="shared" si="0"/>
        <v>831.25519534497096</v>
      </c>
      <c r="E10">
        <v>329</v>
      </c>
      <c r="F10">
        <v>76</v>
      </c>
      <c r="G10">
        <f t="shared" si="12"/>
        <v>231.00303951367781</v>
      </c>
      <c r="H10">
        <v>952.5</v>
      </c>
      <c r="I10">
        <v>141</v>
      </c>
      <c r="J10" s="2">
        <f t="shared" si="1"/>
        <v>148.03149606299212</v>
      </c>
      <c r="K10" s="2">
        <v>6.048</v>
      </c>
      <c r="L10" s="2">
        <v>13459.919999999998</v>
      </c>
      <c r="M10" s="2">
        <v>244.19</v>
      </c>
      <c r="N10">
        <v>2.6543999999999999</v>
      </c>
      <c r="O10" s="17">
        <f t="shared" si="2"/>
        <v>556.38227848101269</v>
      </c>
      <c r="P10">
        <v>4.41</v>
      </c>
      <c r="Q10" s="2">
        <f t="shared" si="3"/>
        <v>6235.2990000000009</v>
      </c>
      <c r="R10" s="1">
        <f t="shared" si="11"/>
        <v>1002.3699085619285</v>
      </c>
      <c r="S10" s="2">
        <f t="shared" si="13"/>
        <v>1004.6181818181818</v>
      </c>
      <c r="T10" s="17">
        <f t="shared" si="4"/>
        <v>997.76206194856593</v>
      </c>
      <c r="U10" s="2">
        <f t="shared" si="5"/>
        <v>556.38227848101269</v>
      </c>
      <c r="V10" s="2"/>
      <c r="W10">
        <v>2004</v>
      </c>
      <c r="X10" s="26">
        <f t="shared" si="6"/>
        <v>0.7933030949018911</v>
      </c>
      <c r="Y10" s="26">
        <f t="shared" si="7"/>
        <v>0.44236977963019214</v>
      </c>
      <c r="Z10" s="27">
        <f t="shared" si="8"/>
        <v>7.0787268335897477E-2</v>
      </c>
      <c r="AA10" s="26">
        <f t="shared" si="9"/>
        <v>0.91076894973584865</v>
      </c>
      <c r="AB10" s="26">
        <f t="shared" si="10"/>
        <v>8.9231050264151346E-2</v>
      </c>
    </row>
    <row r="11" spans="1:28" x14ac:dyDescent="0.25">
      <c r="A11">
        <v>2005</v>
      </c>
      <c r="B11" s="1">
        <v>950.6</v>
      </c>
      <c r="C11" s="1">
        <v>751.93798449612405</v>
      </c>
      <c r="D11" s="1">
        <f t="shared" si="0"/>
        <v>791.0140800506249</v>
      </c>
      <c r="E11">
        <v>454.8</v>
      </c>
      <c r="F11">
        <v>112.4</v>
      </c>
      <c r="G11">
        <f t="shared" si="12"/>
        <v>247.141600703606</v>
      </c>
      <c r="H11">
        <v>850.9</v>
      </c>
      <c r="I11">
        <v>142.30000000000001</v>
      </c>
      <c r="J11" s="2">
        <f t="shared" si="1"/>
        <v>167.23469267834059</v>
      </c>
      <c r="K11" s="2">
        <v>8.1974999999999998</v>
      </c>
      <c r="L11" s="2">
        <v>10824.24</v>
      </c>
      <c r="M11" s="2">
        <v>226.42</v>
      </c>
      <c r="N11">
        <v>2.3407</v>
      </c>
      <c r="O11" s="17">
        <f t="shared" si="2"/>
        <v>792.95849532191221</v>
      </c>
      <c r="P11">
        <v>4.6900000000000004</v>
      </c>
      <c r="Q11" s="2">
        <f t="shared" si="3"/>
        <v>6631.1910000000007</v>
      </c>
      <c r="R11" s="1">
        <f t="shared" si="11"/>
        <v>1006.6379844961241</v>
      </c>
      <c r="S11" s="2">
        <f t="shared" si="13"/>
        <v>1033.2909090909091</v>
      </c>
      <c r="T11" s="17">
        <f t="shared" si="4"/>
        <v>974.20578816643774</v>
      </c>
      <c r="U11" s="2">
        <f t="shared" si="5"/>
        <v>792.95849532191221</v>
      </c>
      <c r="V11" s="2"/>
      <c r="W11">
        <v>2005</v>
      </c>
      <c r="X11" s="26">
        <f t="shared" si="6"/>
        <v>0.22857097050324904</v>
      </c>
      <c r="Y11" s="26">
        <f t="shared" si="7"/>
        <v>0.1860462081483347</v>
      </c>
      <c r="Z11" s="27">
        <f t="shared" si="8"/>
        <v>2.7332539938078319E-2</v>
      </c>
      <c r="AA11" s="26">
        <f t="shared" si="9"/>
        <v>0.88041989812660926</v>
      </c>
      <c r="AB11" s="26">
        <f t="shared" si="10"/>
        <v>0.11958010187339078</v>
      </c>
    </row>
    <row r="12" spans="1:28" x14ac:dyDescent="0.25">
      <c r="A12">
        <v>2006</v>
      </c>
      <c r="B12" s="1">
        <v>1241</v>
      </c>
      <c r="C12" s="1">
        <v>1068.1700809089346</v>
      </c>
      <c r="D12" s="1">
        <f t="shared" si="0"/>
        <v>860.73334480977803</v>
      </c>
      <c r="E12">
        <v>563.1</v>
      </c>
      <c r="F12">
        <v>156</v>
      </c>
      <c r="G12">
        <f t="shared" si="12"/>
        <v>277.03782631859349</v>
      </c>
      <c r="H12">
        <v>867.1</v>
      </c>
      <c r="I12">
        <v>174.7</v>
      </c>
      <c r="J12" s="2">
        <f t="shared" si="1"/>
        <v>201.47618498443086</v>
      </c>
      <c r="K12" s="2">
        <v>10.64</v>
      </c>
      <c r="L12" s="2">
        <v>12917.28</v>
      </c>
      <c r="M12" s="2">
        <v>232.69</v>
      </c>
      <c r="N12">
        <v>2.1379999999999999</v>
      </c>
      <c r="O12" s="17">
        <f t="shared" si="2"/>
        <v>1158.0082319925164</v>
      </c>
      <c r="P12">
        <v>5.71</v>
      </c>
      <c r="Q12" s="2">
        <f t="shared" si="3"/>
        <v>8073.3690000000006</v>
      </c>
      <c r="R12" s="1">
        <f t="shared" si="11"/>
        <v>1398.8700809089346</v>
      </c>
      <c r="S12" s="2">
        <f t="shared" si="13"/>
        <v>1343.3818181818183</v>
      </c>
      <c r="T12" s="17">
        <f t="shared" si="4"/>
        <v>1041.3049082368973</v>
      </c>
      <c r="U12" s="2">
        <f t="shared" si="5"/>
        <v>1158.0082319925166</v>
      </c>
      <c r="V12" s="2"/>
      <c r="W12">
        <v>2006</v>
      </c>
      <c r="X12" s="26">
        <f t="shared" si="6"/>
        <v>-0.10077935590735375</v>
      </c>
      <c r="Y12" s="26">
        <f t="shared" si="7"/>
        <v>-0.11207411281025983</v>
      </c>
      <c r="Z12" s="27">
        <f t="shared" si="8"/>
        <v>-1.4455343705412113E-2</v>
      </c>
      <c r="AA12" s="26">
        <f t="shared" si="9"/>
        <v>0.85656443648339164</v>
      </c>
      <c r="AB12" s="26">
        <f t="shared" si="10"/>
        <v>0.1434355635166083</v>
      </c>
    </row>
    <row r="13" spans="1:28" x14ac:dyDescent="0.25">
      <c r="A13">
        <v>2007</v>
      </c>
      <c r="B13" s="1">
        <v>1914.3999999999999</v>
      </c>
      <c r="C13" s="1">
        <v>1581.2339968613198</v>
      </c>
      <c r="D13" s="1">
        <f t="shared" si="0"/>
        <v>825.96844800528629</v>
      </c>
      <c r="E13">
        <v>794.4</v>
      </c>
      <c r="F13">
        <v>220.3</v>
      </c>
      <c r="G13">
        <f t="shared" si="12"/>
        <v>277.31621349446124</v>
      </c>
      <c r="H13">
        <v>863.5</v>
      </c>
      <c r="I13">
        <v>213.5</v>
      </c>
      <c r="J13" s="2">
        <f t="shared" si="1"/>
        <v>247.24956572090332</v>
      </c>
      <c r="K13" s="2">
        <v>11.288</v>
      </c>
      <c r="L13" s="2">
        <v>12962.159999999998</v>
      </c>
      <c r="M13" s="2">
        <v>228.49</v>
      </c>
      <c r="N13">
        <v>1.7713000000000001</v>
      </c>
      <c r="O13" s="17">
        <f t="shared" si="2"/>
        <v>1456.1029300513746</v>
      </c>
      <c r="P13">
        <v>5.91</v>
      </c>
      <c r="Q13" s="2">
        <f t="shared" si="3"/>
        <v>8356.1490000000013</v>
      </c>
      <c r="R13" s="1">
        <f t="shared" si="11"/>
        <v>2015.0339968613198</v>
      </c>
      <c r="S13" s="2">
        <f t="shared" si="13"/>
        <v>2058.8363636363633</v>
      </c>
      <c r="T13" s="17">
        <f t="shared" si="4"/>
        <v>978.72469733452795</v>
      </c>
      <c r="U13" s="2">
        <f t="shared" si="5"/>
        <v>1456.1029300513749</v>
      </c>
      <c r="V13" s="2"/>
      <c r="W13">
        <v>2007</v>
      </c>
      <c r="X13" s="26">
        <f t="shared" si="6"/>
        <v>-0.32784648864074728</v>
      </c>
      <c r="Y13" s="26">
        <f t="shared" si="7"/>
        <v>-0.48775537596726154</v>
      </c>
      <c r="Z13" s="27">
        <f t="shared" si="8"/>
        <v>-5.7128975646179463E-2</v>
      </c>
      <c r="AA13" s="26">
        <f t="shared" si="9"/>
        <v>0.82574473838949325</v>
      </c>
      <c r="AB13" s="26">
        <f t="shared" si="10"/>
        <v>0.17425526161050678</v>
      </c>
    </row>
    <row r="14" spans="1:28" x14ac:dyDescent="0.25">
      <c r="A14">
        <v>2008</v>
      </c>
      <c r="B14" s="1">
        <v>1619.3000000000002</v>
      </c>
      <c r="C14" s="1">
        <v>1523.616861121566</v>
      </c>
      <c r="D14" s="1">
        <f t="shared" si="0"/>
        <v>940.91080165600306</v>
      </c>
      <c r="E14">
        <v>927.7</v>
      </c>
      <c r="F14">
        <v>286.60000000000002</v>
      </c>
      <c r="G14">
        <f t="shared" si="12"/>
        <v>308.9360784736445</v>
      </c>
      <c r="H14">
        <v>578.9</v>
      </c>
      <c r="I14">
        <v>209</v>
      </c>
      <c r="J14" s="2">
        <f t="shared" si="1"/>
        <v>361.02953878044571</v>
      </c>
      <c r="K14" s="2">
        <v>10.190000000000001</v>
      </c>
      <c r="L14" s="2">
        <v>11746.319999999998</v>
      </c>
      <c r="M14" s="2">
        <v>252.88</v>
      </c>
      <c r="N14">
        <v>2.3370000000000002</v>
      </c>
      <c r="O14" s="17">
        <f t="shared" si="2"/>
        <v>1102.6303808301241</v>
      </c>
      <c r="P14">
        <v>5.61</v>
      </c>
      <c r="Q14" s="2">
        <f t="shared" si="3"/>
        <v>7931.9790000000012</v>
      </c>
      <c r="R14" s="1">
        <f t="shared" si="11"/>
        <v>2019.2168611215661</v>
      </c>
      <c r="S14" s="2">
        <f t="shared" si="13"/>
        <v>1787.9727272727275</v>
      </c>
      <c r="T14" s="17">
        <f t="shared" si="4"/>
        <v>1129.3331438011166</v>
      </c>
      <c r="U14" s="2">
        <f t="shared" si="5"/>
        <v>1102.6303808301241</v>
      </c>
      <c r="V14" s="2"/>
      <c r="W14">
        <v>2008</v>
      </c>
      <c r="X14" s="26">
        <f t="shared" si="6"/>
        <v>2.421732924762076E-2</v>
      </c>
      <c r="Y14" s="26">
        <f t="shared" si="7"/>
        <v>2.3644717342764111E-2</v>
      </c>
      <c r="Z14" s="27">
        <f t="shared" si="8"/>
        <v>3.3664691965261855E-3</v>
      </c>
      <c r="AA14" s="26">
        <f t="shared" si="9"/>
        <v>0.86098924608472571</v>
      </c>
      <c r="AB14" s="26">
        <f t="shared" si="10"/>
        <v>0.13901075391527434</v>
      </c>
    </row>
    <row r="15" spans="1:28" x14ac:dyDescent="0.25">
      <c r="A15">
        <v>2009</v>
      </c>
      <c r="B15" s="1">
        <v>1254.8</v>
      </c>
      <c r="C15" s="1">
        <v>1164.3314465992389</v>
      </c>
      <c r="D15" s="1">
        <f t="shared" si="0"/>
        <v>927.90201354736928</v>
      </c>
      <c r="E15">
        <v>934.8</v>
      </c>
      <c r="F15">
        <v>313.10000000000002</v>
      </c>
      <c r="G15">
        <f t="shared" si="12"/>
        <v>334.93795464270437</v>
      </c>
      <c r="H15">
        <v>784.1</v>
      </c>
      <c r="I15">
        <v>186.2</v>
      </c>
      <c r="J15" s="2">
        <f t="shared" si="1"/>
        <v>237.46971049611017</v>
      </c>
      <c r="K15" s="2">
        <v>5.5440000000000005</v>
      </c>
      <c r="L15" s="2">
        <v>11184.096</v>
      </c>
      <c r="M15" s="2">
        <v>262.52</v>
      </c>
      <c r="N15">
        <v>1.7412000000000001</v>
      </c>
      <c r="O15" s="17">
        <f t="shared" si="2"/>
        <v>835.86657477601648</v>
      </c>
      <c r="P15">
        <v>5.51</v>
      </c>
      <c r="Q15" s="2">
        <f t="shared" si="3"/>
        <v>7790.5889999999999</v>
      </c>
      <c r="R15" s="1">
        <f t="shared" si="11"/>
        <v>1663.6314465992389</v>
      </c>
      <c r="S15" s="2">
        <f t="shared" si="13"/>
        <v>1424.7636363636364</v>
      </c>
      <c r="T15" s="17">
        <f t="shared" si="4"/>
        <v>1167.6543421933864</v>
      </c>
      <c r="U15" s="2">
        <f t="shared" si="5"/>
        <v>835.86657477601659</v>
      </c>
      <c r="V15" s="2"/>
      <c r="W15">
        <v>2009</v>
      </c>
      <c r="X15" s="26">
        <f t="shared" si="6"/>
        <v>0.39693867111061049</v>
      </c>
      <c r="Y15" s="26">
        <f t="shared" si="7"/>
        <v>0.28414896037993687</v>
      </c>
      <c r="Z15" s="27">
        <f t="shared" si="8"/>
        <v>4.2588277653636944E-2</v>
      </c>
      <c r="AA15" s="26">
        <f t="shared" si="9"/>
        <v>0.89270816689520949</v>
      </c>
      <c r="AB15" s="26">
        <f t="shared" si="10"/>
        <v>0.10729183310479048</v>
      </c>
    </row>
    <row r="16" spans="1:28" x14ac:dyDescent="0.25">
      <c r="A16">
        <v>2010</v>
      </c>
      <c r="B16" s="1">
        <v>1361.8</v>
      </c>
      <c r="C16" s="1">
        <v>1385.6328856328857</v>
      </c>
      <c r="D16" s="1">
        <f t="shared" si="0"/>
        <v>1017.5010175010175</v>
      </c>
      <c r="E16">
        <v>947.4</v>
      </c>
      <c r="F16">
        <v>335.6</v>
      </c>
      <c r="G16">
        <f t="shared" si="12"/>
        <v>354.23263668988812</v>
      </c>
      <c r="H16">
        <v>710.3</v>
      </c>
      <c r="I16">
        <v>220.2</v>
      </c>
      <c r="J16" s="2">
        <f t="shared" si="1"/>
        <v>310.00985499084891</v>
      </c>
      <c r="K16" s="2">
        <v>13.836000000000002</v>
      </c>
      <c r="L16" s="2">
        <v>10036.799999999999</v>
      </c>
      <c r="M16" s="2">
        <v>240.58</v>
      </c>
      <c r="N16">
        <v>1.6661999999999999</v>
      </c>
      <c r="O16" s="17">
        <f t="shared" si="2"/>
        <v>1997.7583003240914</v>
      </c>
      <c r="P16">
        <v>5.89</v>
      </c>
      <c r="Q16" s="2">
        <f t="shared" si="3"/>
        <v>8327.8709999999992</v>
      </c>
      <c r="R16" s="1">
        <f t="shared" si="11"/>
        <v>1941.4328856328859</v>
      </c>
      <c r="S16" s="2">
        <f t="shared" si="13"/>
        <v>1534.0545454545454</v>
      </c>
      <c r="T16" s="17">
        <f t="shared" si="4"/>
        <v>1265.5566201250251</v>
      </c>
      <c r="U16" s="2">
        <f t="shared" si="5"/>
        <v>1997.7583003240914</v>
      </c>
      <c r="V16" s="2"/>
      <c r="W16" s="22">
        <v>2010</v>
      </c>
      <c r="X16" s="26">
        <f t="shared" si="6"/>
        <v>-0.36651164461701047</v>
      </c>
      <c r="Y16" s="26">
        <f t="shared" si="7"/>
        <v>-0.57856098143339618</v>
      </c>
      <c r="Z16" s="27">
        <f t="shared" si="8"/>
        <v>-8.7921832626738125E-2</v>
      </c>
      <c r="AA16" s="26">
        <f t="shared" si="9"/>
        <v>0.76011176201887709</v>
      </c>
      <c r="AB16" s="26">
        <f t="shared" si="10"/>
        <v>0.23988823798112285</v>
      </c>
    </row>
    <row r="17" spans="1:28" x14ac:dyDescent="0.25">
      <c r="A17">
        <v>2011</v>
      </c>
      <c r="B17" s="1">
        <v>1843</v>
      </c>
      <c r="C17" s="1">
        <v>2026.1653474054531</v>
      </c>
      <c r="D17" s="1">
        <f t="shared" si="0"/>
        <v>1099.3843447669308</v>
      </c>
      <c r="E17" s="1">
        <v>1038</v>
      </c>
      <c r="F17">
        <v>410.3</v>
      </c>
      <c r="G17">
        <f t="shared" si="12"/>
        <v>395.27938342967246</v>
      </c>
      <c r="H17">
        <v>400.3</v>
      </c>
      <c r="I17">
        <v>315</v>
      </c>
      <c r="J17" s="2">
        <f t="shared" si="1"/>
        <v>786.90981763677235</v>
      </c>
      <c r="K17" s="2">
        <v>15.27</v>
      </c>
      <c r="L17" s="2">
        <v>16075.199999999999</v>
      </c>
      <c r="M17" s="2">
        <v>265.36</v>
      </c>
      <c r="N17">
        <v>1.8757999999999999</v>
      </c>
      <c r="O17" s="17">
        <f t="shared" si="2"/>
        <v>2160.1701673952448</v>
      </c>
      <c r="P17">
        <v>6.09</v>
      </c>
      <c r="Q17" s="2">
        <f t="shared" si="3"/>
        <v>8610.6509999999998</v>
      </c>
      <c r="R17" s="1">
        <f t="shared" si="11"/>
        <v>2751.465347405453</v>
      </c>
      <c r="S17" s="2">
        <f t="shared" si="13"/>
        <v>2031.7272727272727</v>
      </c>
      <c r="T17" s="17">
        <f t="shared" si="4"/>
        <v>1354.2493543988539</v>
      </c>
      <c r="U17" s="2">
        <f t="shared" si="5"/>
        <v>2160.1701673952448</v>
      </c>
      <c r="V17" s="2"/>
      <c r="W17" s="22">
        <v>2011</v>
      </c>
      <c r="X17" s="26">
        <f t="shared" si="6"/>
        <v>-0.37308209564257538</v>
      </c>
      <c r="Y17" s="26">
        <f t="shared" si="7"/>
        <v>-0.59510518530329004</v>
      </c>
      <c r="Z17" s="27">
        <f t="shared" si="8"/>
        <v>-9.3595805125116657E-2</v>
      </c>
      <c r="AA17" s="26">
        <f t="shared" si="9"/>
        <v>0.74912812429684528</v>
      </c>
      <c r="AB17" s="26">
        <f t="shared" si="10"/>
        <v>0.25087187570315472</v>
      </c>
    </row>
    <row r="18" spans="1:28" x14ac:dyDescent="0.25">
      <c r="A18" s="7">
        <v>2012</v>
      </c>
      <c r="B18" s="8">
        <v>1728.5</v>
      </c>
      <c r="C18" s="8">
        <v>2054.8026628625771</v>
      </c>
      <c r="D18" s="8">
        <f t="shared" si="0"/>
        <v>1188.7779362815024</v>
      </c>
      <c r="E18" s="7">
        <v>973.8</v>
      </c>
      <c r="F18" s="7">
        <v>396</v>
      </c>
      <c r="G18" s="7">
        <f t="shared" si="12"/>
        <v>406.65434380776344</v>
      </c>
      <c r="H18" s="7">
        <v>400.5</v>
      </c>
      <c r="I18" s="7">
        <v>292</v>
      </c>
      <c r="J18" s="9">
        <f t="shared" si="1"/>
        <v>729.08863920099873</v>
      </c>
      <c r="K18" s="9">
        <v>6.583333333333333</v>
      </c>
      <c r="L18" s="9">
        <v>11424</v>
      </c>
      <c r="M18" s="9">
        <v>263.54000000000002</v>
      </c>
      <c r="N18" s="7">
        <v>2.0434999999999999</v>
      </c>
      <c r="O18" s="17">
        <f t="shared" si="2"/>
        <v>849.01965581926447</v>
      </c>
      <c r="P18">
        <v>5.89</v>
      </c>
      <c r="Q18" s="2">
        <f t="shared" si="3"/>
        <v>8327.8709999999992</v>
      </c>
      <c r="R18" s="1">
        <f t="shared" si="11"/>
        <v>2742.8026628625771</v>
      </c>
      <c r="S18" s="2">
        <f t="shared" si="13"/>
        <v>1905.5545454545454</v>
      </c>
      <c r="T18" s="17">
        <f t="shared" si="4"/>
        <v>1439.3724227969119</v>
      </c>
      <c r="U18" s="2">
        <f t="shared" si="5"/>
        <v>849.01965581926447</v>
      </c>
      <c r="V18" s="2"/>
      <c r="W18" s="7">
        <v>2012</v>
      </c>
      <c r="X18" s="26">
        <f t="shared" si="6"/>
        <v>0.69533462851102601</v>
      </c>
      <c r="Y18" s="26">
        <f t="shared" si="7"/>
        <v>0.41014594807263666</v>
      </c>
      <c r="Z18" s="27">
        <f t="shared" si="8"/>
        <v>7.088879822677939E-2</v>
      </c>
      <c r="AA18" s="26">
        <f t="shared" si="9"/>
        <v>0.89805081565033074</v>
      </c>
      <c r="AB18" s="26">
        <f t="shared" si="10"/>
        <v>0.10194918434966926</v>
      </c>
    </row>
    <row r="19" spans="1:28" x14ac:dyDescent="0.25">
      <c r="A19" s="7">
        <v>2013</v>
      </c>
      <c r="B19" s="8">
        <v>1767.2</v>
      </c>
      <c r="C19" s="8">
        <v>1829.2102266846082</v>
      </c>
      <c r="D19" s="8">
        <f t="shared" si="0"/>
        <v>1035.0895352447985</v>
      </c>
      <c r="E19" s="8">
        <v>1099.8</v>
      </c>
      <c r="F19" s="7">
        <v>432.9</v>
      </c>
      <c r="G19" s="7">
        <f t="shared" si="12"/>
        <v>393.61702127659578</v>
      </c>
      <c r="H19" s="7">
        <v>342.2</v>
      </c>
      <c r="I19" s="7">
        <v>233.7</v>
      </c>
      <c r="J19" s="9">
        <f t="shared" si="1"/>
        <v>682.93395675043837</v>
      </c>
      <c r="K19" s="9">
        <v>7.1225000000000005</v>
      </c>
      <c r="L19" s="9">
        <v>9792</v>
      </c>
      <c r="M19" s="9">
        <v>282</v>
      </c>
      <c r="N19" s="7">
        <v>2.3426</v>
      </c>
      <c r="O19" s="17">
        <f t="shared" si="2"/>
        <v>857.39989754973112</v>
      </c>
      <c r="P19" s="7">
        <v>6.23</v>
      </c>
      <c r="Q19" s="9">
        <f t="shared" si="3"/>
        <v>8808.5970000000016</v>
      </c>
      <c r="R19" s="8">
        <f t="shared" si="11"/>
        <v>2495.8102266846081</v>
      </c>
      <c r="S19" s="9">
        <f t="shared" si="13"/>
        <v>1967.1636363636364</v>
      </c>
      <c r="T19" s="32">
        <f t="shared" si="4"/>
        <v>1268.7354425167148</v>
      </c>
      <c r="U19" s="9">
        <f t="shared" si="5"/>
        <v>857.39989754973112</v>
      </c>
      <c r="V19" s="9"/>
      <c r="W19" s="7">
        <v>2013</v>
      </c>
      <c r="X19" s="26">
        <f t="shared" si="6"/>
        <v>0.47974760218947343</v>
      </c>
      <c r="Y19" s="26">
        <f t="shared" si="7"/>
        <v>0.32420907557452788</v>
      </c>
      <c r="Z19" s="27">
        <f t="shared" si="8"/>
        <v>4.669705572487691E-2</v>
      </c>
      <c r="AA19" s="26">
        <f t="shared" si="9"/>
        <v>0.90266328479441948</v>
      </c>
      <c r="AB19" s="26">
        <f t="shared" si="10"/>
        <v>9.7336715205580515E-2</v>
      </c>
    </row>
    <row r="20" spans="1:28" x14ac:dyDescent="0.25">
      <c r="A20" s="4">
        <v>2014</v>
      </c>
      <c r="B20" s="10">
        <v>1506.9</v>
      </c>
      <c r="C20" s="10">
        <v>1777.2142941384598</v>
      </c>
      <c r="D20" s="10">
        <f t="shared" si="0"/>
        <v>1179.3843613633683</v>
      </c>
      <c r="E20" s="10">
        <v>1041</v>
      </c>
      <c r="F20" s="4">
        <v>390.9</v>
      </c>
      <c r="G20" s="4">
        <f t="shared" si="12"/>
        <v>375.50432276657057</v>
      </c>
      <c r="H20" s="4">
        <v>194.2</v>
      </c>
      <c r="I20" s="4">
        <v>220.8</v>
      </c>
      <c r="J20" s="11">
        <f t="shared" si="1"/>
        <v>1136.9721936148303</v>
      </c>
      <c r="K20" s="11">
        <v>9.7940000000000005</v>
      </c>
      <c r="L20" s="11">
        <v>11073.119999999999</v>
      </c>
      <c r="M20" s="11">
        <v>240.5</v>
      </c>
      <c r="N20" s="4">
        <v>2.6562000000000001</v>
      </c>
      <c r="O20" s="33">
        <f t="shared" si="2"/>
        <v>886.77697462540482</v>
      </c>
      <c r="P20" s="4">
        <v>6.2</v>
      </c>
      <c r="Q20" s="11">
        <f t="shared" si="3"/>
        <v>8766.18</v>
      </c>
      <c r="R20" s="10">
        <f t="shared" si="11"/>
        <v>2388.9142941384598</v>
      </c>
      <c r="S20" s="11">
        <f t="shared" si="13"/>
        <v>1696.1727272727273</v>
      </c>
      <c r="T20" s="33">
        <f t="shared" si="4"/>
        <v>1408.4145180070136</v>
      </c>
      <c r="U20" s="11">
        <f t="shared" si="5"/>
        <v>886.77697462540482</v>
      </c>
      <c r="V20" s="11"/>
      <c r="W20" s="4">
        <v>2014</v>
      </c>
      <c r="X20" s="29">
        <f t="shared" si="6"/>
        <v>0.58823983742018182</v>
      </c>
      <c r="Y20" s="29">
        <f t="shared" si="7"/>
        <v>0.37037217148240953</v>
      </c>
      <c r="Z20" s="30">
        <f t="shared" si="8"/>
        <v>5.9505684731731359E-2</v>
      </c>
      <c r="AA20" s="29">
        <f t="shared" si="9"/>
        <v>0.89884111726825078</v>
      </c>
      <c r="AB20" s="29">
        <f t="shared" si="10"/>
        <v>0.10115888273174915</v>
      </c>
    </row>
    <row r="21" spans="1:28" x14ac:dyDescent="0.25">
      <c r="X21" t="s">
        <v>67</v>
      </c>
    </row>
    <row r="22" spans="1:28" x14ac:dyDescent="0.25">
      <c r="B22" t="s">
        <v>14</v>
      </c>
    </row>
  </sheetData>
  <mergeCells count="1">
    <mergeCell ref="X1:AB1"/>
  </mergeCells>
  <conditionalFormatting sqref="X6:X20">
    <cfRule type="colorScale" priority="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Y6:Y2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6:Z20">
    <cfRule type="colorScale" priority="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A6:AA20">
    <cfRule type="colorScale" priority="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B6:AB2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G16" sqref="G16"/>
    </sheetView>
  </sheetViews>
  <sheetFormatPr defaultRowHeight="15" x14ac:dyDescent="0.25"/>
  <cols>
    <col min="2" max="2" width="16.7109375" customWidth="1"/>
    <col min="3" max="3" width="13" customWidth="1"/>
    <col min="9" max="10" width="12.28515625" bestFit="1" customWidth="1"/>
    <col min="12" max="12" width="10.5703125" bestFit="1" customWidth="1"/>
    <col min="15" max="15" width="16.42578125" customWidth="1"/>
  </cols>
  <sheetData>
    <row r="1" spans="1:15" x14ac:dyDescent="0.25">
      <c r="A1" t="s">
        <v>34</v>
      </c>
      <c r="O1" s="3" t="s">
        <v>25</v>
      </c>
    </row>
    <row r="2" spans="1:15" x14ac:dyDescent="0.25">
      <c r="B2" s="3" t="s">
        <v>4</v>
      </c>
      <c r="C2" s="3" t="s">
        <v>4</v>
      </c>
      <c r="D2" s="3"/>
      <c r="E2" s="3" t="s">
        <v>5</v>
      </c>
      <c r="F2" s="3" t="s">
        <v>5</v>
      </c>
      <c r="G2" s="3"/>
      <c r="H2" s="3" t="s">
        <v>1</v>
      </c>
      <c r="I2" s="3" t="s">
        <v>1</v>
      </c>
      <c r="J2" s="3" t="s">
        <v>1</v>
      </c>
      <c r="K2" s="3" t="s">
        <v>6</v>
      </c>
      <c r="L2" s="3" t="s">
        <v>6</v>
      </c>
      <c r="M2" s="3" t="s">
        <v>10</v>
      </c>
      <c r="N2" s="3" t="s">
        <v>12</v>
      </c>
      <c r="O2" s="3" t="s">
        <v>26</v>
      </c>
    </row>
    <row r="3" spans="1:15" x14ac:dyDescent="0.25">
      <c r="A3" s="4" t="s">
        <v>9</v>
      </c>
      <c r="B3" s="5" t="s">
        <v>2</v>
      </c>
      <c r="C3" s="5" t="s">
        <v>3</v>
      </c>
      <c r="D3" s="5" t="s">
        <v>7</v>
      </c>
      <c r="E3" s="14" t="s">
        <v>2</v>
      </c>
      <c r="F3" s="5" t="s">
        <v>3</v>
      </c>
      <c r="G3" s="5" t="s">
        <v>7</v>
      </c>
      <c r="H3" s="5" t="s">
        <v>2</v>
      </c>
      <c r="I3" s="5" t="s">
        <v>3</v>
      </c>
      <c r="J3" s="5" t="s">
        <v>7</v>
      </c>
      <c r="K3" s="5" t="s">
        <v>8</v>
      </c>
      <c r="L3" s="5" t="s">
        <v>2</v>
      </c>
      <c r="M3" s="5" t="s">
        <v>11</v>
      </c>
      <c r="N3" s="5" t="s">
        <v>13</v>
      </c>
      <c r="O3" s="5" t="s">
        <v>28</v>
      </c>
    </row>
    <row r="4" spans="1:15" x14ac:dyDescent="0.25">
      <c r="A4" s="4">
        <v>2014</v>
      </c>
      <c r="B4" s="10">
        <v>1506.9</v>
      </c>
      <c r="C4" s="10">
        <v>1777.2142941384598</v>
      </c>
      <c r="D4" s="10">
        <f t="shared" ref="D4" si="0">(C4/B4)*1000</f>
        <v>1179.3843613633683</v>
      </c>
      <c r="E4" s="15">
        <v>1041</v>
      </c>
      <c r="F4" s="4">
        <v>390.9</v>
      </c>
      <c r="G4" s="4">
        <f t="shared" ref="G4" si="1">(F4/E4)*1000</f>
        <v>375.50432276657057</v>
      </c>
      <c r="H4" s="4">
        <v>194.2</v>
      </c>
      <c r="I4" s="4">
        <v>220.8</v>
      </c>
      <c r="J4" s="11">
        <f t="shared" ref="J4" si="2">(I4/H4)*1000</f>
        <v>1136.9721936148303</v>
      </c>
      <c r="K4" s="11">
        <v>9.7940000000000005</v>
      </c>
      <c r="L4" s="11">
        <v>11073.119999999999</v>
      </c>
      <c r="M4" s="11">
        <v>240.5</v>
      </c>
      <c r="N4" s="4">
        <v>2.6562000000000001</v>
      </c>
      <c r="O4" s="21">
        <v>8766.18</v>
      </c>
    </row>
    <row r="7" spans="1:15" ht="18.75" x14ac:dyDescent="0.3">
      <c r="A7" t="s">
        <v>15</v>
      </c>
      <c r="B7" s="12">
        <f>I4+C4+F4</f>
        <v>2388.9142941384598</v>
      </c>
      <c r="C7" t="s">
        <v>16</v>
      </c>
    </row>
    <row r="8" spans="1:15" x14ac:dyDescent="0.25">
      <c r="A8" t="s">
        <v>17</v>
      </c>
      <c r="B8" s="2">
        <f>E4/5.5</f>
        <v>189.27272727272728</v>
      </c>
      <c r="C8" t="s">
        <v>18</v>
      </c>
    </row>
    <row r="10" spans="1:15" x14ac:dyDescent="0.25">
      <c r="A10" t="s">
        <v>19</v>
      </c>
      <c r="B10" s="1">
        <f>B4+B8</f>
        <v>1696.1727272727273</v>
      </c>
    </row>
    <row r="11" spans="1:15" ht="15.75" x14ac:dyDescent="0.25">
      <c r="A11" t="s">
        <v>20</v>
      </c>
      <c r="B11" s="16">
        <f>(B7/B10)*1000</f>
        <v>1408.4145180070136</v>
      </c>
      <c r="C11" s="13"/>
      <c r="E11" t="s">
        <v>21</v>
      </c>
    </row>
    <row r="12" spans="1:15" x14ac:dyDescent="0.25">
      <c r="A12" t="s">
        <v>22</v>
      </c>
      <c r="B12" s="16">
        <f>(K4*M4)/N4</f>
        <v>886.77697462540482</v>
      </c>
      <c r="E12" t="s">
        <v>24</v>
      </c>
    </row>
    <row r="13" spans="1:15" x14ac:dyDescent="0.25">
      <c r="A13" t="s">
        <v>23</v>
      </c>
      <c r="B13" s="19">
        <f>(B11-B12)/B12</f>
        <v>0.58823983742018182</v>
      </c>
      <c r="E13" t="s">
        <v>29</v>
      </c>
    </row>
    <row r="14" spans="1:15" x14ac:dyDescent="0.25">
      <c r="A14" t="s">
        <v>30</v>
      </c>
      <c r="B14" s="19">
        <f>(B11-B12)/B11</f>
        <v>0.37037217148240953</v>
      </c>
      <c r="E14" t="s">
        <v>31</v>
      </c>
    </row>
    <row r="15" spans="1:15" x14ac:dyDescent="0.25">
      <c r="A15" t="s">
        <v>33</v>
      </c>
      <c r="B15" s="19">
        <f>(B11-B12)/O4</f>
        <v>5.9505684731731359E-2</v>
      </c>
      <c r="E15" t="s">
        <v>32</v>
      </c>
    </row>
    <row r="16" spans="1:15" x14ac:dyDescent="0.25">
      <c r="A16" t="s">
        <v>58</v>
      </c>
      <c r="B16" s="18">
        <f>(O4-B12)/O4</f>
        <v>0.89884111726825078</v>
      </c>
      <c r="E16" t="s">
        <v>59</v>
      </c>
    </row>
    <row r="17" spans="1:5" x14ac:dyDescent="0.25">
      <c r="A17" t="s">
        <v>60</v>
      </c>
      <c r="B17" s="18">
        <f>B12/O4</f>
        <v>0.10115888273174915</v>
      </c>
      <c r="E17" t="s">
        <v>61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7" sqref="N7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7" sqref="O17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DADOSBASICOS</vt:lpstr>
      <vt:lpstr>CALCULO2014</vt:lpstr>
      <vt:lpstr>TENDENCIA_MÉDIAMOVEL2ANOS</vt:lpstr>
      <vt:lpstr>TENDENCIA_MÉDIAMOVEL4ANOS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Margarete Boteon</dc:creator>
  <cp:lastModifiedBy>Margarete Boteon</cp:lastModifiedBy>
  <dcterms:created xsi:type="dcterms:W3CDTF">2020-10-23T15:54:15Z</dcterms:created>
  <dcterms:modified xsi:type="dcterms:W3CDTF">2020-10-27T19:30:41Z</dcterms:modified>
</cp:coreProperties>
</file>