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ESALQ\Ensino\Pós-graduação\Hidráulica Aplicada - PG\Aulas\Aula 7 - Encanamentos Equivalentes e Sistemas de Derivação\"/>
    </mc:Choice>
  </mc:AlternateContent>
  <bookViews>
    <workbookView xWindow="0" yWindow="0" windowWidth="20490" windowHeight="7905" activeTab="2"/>
  </bookViews>
  <sheets>
    <sheet name="Catálogos" sheetId="3" r:id="rId1"/>
    <sheet name="1º Caso" sheetId="2" r:id="rId2"/>
    <sheet name="2º Caso" sheetId="1" r:id="rId3"/>
    <sheet name="Série" sheetId="5" r:id="rId4"/>
    <sheet name="Paralelo + Série" sheetId="4" r:id="rId5"/>
    <sheet name="Asp_Malha" sheetId="6" r:id="rId6"/>
  </sheets>
  <externalReferences>
    <externalReference r:id="rId7"/>
    <externalReference r:id="rId8"/>
    <externalReference r:id="rId9"/>
  </externalReferences>
  <definedNames>
    <definedName name="Aa_c1" localSheetId="0">[1]Conv_1!$C$11</definedName>
    <definedName name="Aa_c1">[2]conv_1!$C$14</definedName>
    <definedName name="Aa_c2" localSheetId="0">[1]conv_2!$C$11</definedName>
    <definedName name="Aa_c2">[2]conv_2!$C$14</definedName>
    <definedName name="Aa_c3">[2]conv_3!$C$14</definedName>
    <definedName name="Aa_m1" localSheetId="0">[1]Malha_1!$C$11</definedName>
    <definedName name="Aa_m1">[2]malha_1!$C$14</definedName>
    <definedName name="Aa_m2" localSheetId="0">[1]malha_2!$C$11</definedName>
    <definedName name="Aa_m2">[2]malha_2!$C$14</definedName>
    <definedName name="Aa_m3">[2]malha_3!$C$14</definedName>
    <definedName name="PS_c1" localSheetId="0">[1]Conv_1!$C$9</definedName>
    <definedName name="PS_c1">[2]conv_1!$C$12</definedName>
    <definedName name="PS_c2" localSheetId="0">[1]conv_2!$C$9</definedName>
    <definedName name="PS_c2">[2]conv_2!$C$12</definedName>
    <definedName name="PS_c3">[2]conv_3!$C$12</definedName>
    <definedName name="PS_m1" localSheetId="0">[1]Malha_1!$C$9</definedName>
    <definedName name="PS_m1">[2]malha_1!$C$12</definedName>
    <definedName name="PS_m2" localSheetId="0">[1]malha_2!$C$9</definedName>
    <definedName name="PS_m2">[2]malha_2!$C$12</definedName>
    <definedName name="PS_m3">[2]malha_3!$C$12</definedName>
    <definedName name="q_c1" localSheetId="0">[1]Conv_1!$C$10</definedName>
    <definedName name="q_c1">[2]conv_1!$C$13</definedName>
    <definedName name="q_c2" localSheetId="0">[1]conv_2!$C$10</definedName>
    <definedName name="q_c2">[2]conv_2!$C$13</definedName>
    <definedName name="q_c3">[2]conv_3!$C$13</definedName>
    <definedName name="q_m1" localSheetId="0">[1]Malha_1!$C$10</definedName>
    <definedName name="q_m1">[2]malha_1!$C$13</definedName>
    <definedName name="q_m2" localSheetId="0">[1]malha_2!$C$10</definedName>
    <definedName name="q_m2">[2]malha_2!$C$13</definedName>
    <definedName name="q_m3">[2]malha_3!$C$13</definedName>
    <definedName name="TABLE" localSheetId="0">Catálogos!$C$76:$C$80</definedName>
    <definedName name="TABLE_10" localSheetId="0">Catálogos!$G$81:$G$84</definedName>
    <definedName name="TABLE_11" localSheetId="0">Catálogos!$C$85:$C$88</definedName>
    <definedName name="TABLE_12" localSheetId="0">Catálogos!$D$85:$D$88</definedName>
    <definedName name="TABLE_13" localSheetId="0">Catálogos!$E$85:$E$88</definedName>
    <definedName name="TABLE_14" localSheetId="0">Catálogos!$F$85:$F$88</definedName>
    <definedName name="TABLE_15" localSheetId="0">Catálogos!$G$85:$G$88</definedName>
    <definedName name="TABLE_16" localSheetId="0">Catálogos!$C$89:$C$92</definedName>
    <definedName name="TABLE_17" localSheetId="0">Catálogos!$D$89:$D$92</definedName>
    <definedName name="TABLE_18" localSheetId="0">Catálogos!$E$89:$E$92</definedName>
    <definedName name="TABLE_19" localSheetId="0">Catálogos!$F$89:$F$92</definedName>
    <definedName name="TABLE_2" localSheetId="0">Catálogos!$D$76:$D$80</definedName>
    <definedName name="TABLE_20" localSheetId="0">Catálogos!$G$89:$G$92</definedName>
    <definedName name="TABLE_21" localSheetId="0">Catálogos!$C$93:$C$96</definedName>
    <definedName name="TABLE_22" localSheetId="0">Catálogos!$D$93:$D$96</definedName>
    <definedName name="TABLE_23" localSheetId="0">Catálogos!$E$93:$E$96</definedName>
    <definedName name="TABLE_24" localSheetId="0">Catálogos!$F$93:$F$96</definedName>
    <definedName name="TABLE_25" localSheetId="0">Catálogos!$G$93:$G$96</definedName>
    <definedName name="TABLE_26" localSheetId="0">Catálogos!$C$97:$C$100</definedName>
    <definedName name="TABLE_27" localSheetId="0">Catálogos!$D$97:$D$100</definedName>
    <definedName name="TABLE_28" localSheetId="0">Catálogos!$E$97:$E$100</definedName>
    <definedName name="TABLE_29" localSheetId="0">Catálogos!$F$97:$F$100</definedName>
    <definedName name="TABLE_3" localSheetId="0">Catálogos!$E$76:$E$80</definedName>
    <definedName name="TABLE_30" localSheetId="0">Catálogos!$G$97:$G$100</definedName>
    <definedName name="TABLE_31" localSheetId="0">Catálogos!$C$101:$C$104</definedName>
    <definedName name="TABLE_32" localSheetId="0">Catálogos!$D$101:$D$104</definedName>
    <definedName name="TABLE_33" localSheetId="0">Catálogos!$E$101:$E$104</definedName>
    <definedName name="TABLE_34" localSheetId="0">Catálogos!$F$101:$F$104</definedName>
    <definedName name="TABLE_35" localSheetId="0">Catálogos!$G$101:$G$104</definedName>
    <definedName name="TABLE_36" localSheetId="0">Catálogos!$C$105:$C$108</definedName>
    <definedName name="TABLE_37" localSheetId="0">Catálogos!$D$105:$D$108</definedName>
    <definedName name="TABLE_38" localSheetId="0">Catálogos!$E$105:$E$108</definedName>
    <definedName name="TABLE_39" localSheetId="0">Catálogos!$F$105:$F$108</definedName>
    <definedName name="TABLE_4" localSheetId="0">Catálogos!$F$77:$F$80</definedName>
    <definedName name="TABLE_40" localSheetId="0">Catálogos!$G$105:$G$108</definedName>
    <definedName name="TABLE_41" localSheetId="0">Catálogos!$C$109:$C$113</definedName>
    <definedName name="TABLE_42" localSheetId="0">Catálogos!$D$109:$D$113</definedName>
    <definedName name="TABLE_43" localSheetId="0">Catálogos!$E$109:$E$113</definedName>
    <definedName name="TABLE_44" localSheetId="0">Catálogos!$G$109:$G$113</definedName>
    <definedName name="TABLE_45" localSheetId="0">Catálogos!$H$109:$H$113</definedName>
    <definedName name="TABLE_46" localSheetId="0">Catálogos!#REF!</definedName>
    <definedName name="TABLE_46_2">[3]Catálogos!#REF!</definedName>
    <definedName name="TABLE_47" localSheetId="0">Catálogos!#REF!</definedName>
    <definedName name="TABLE_47_2">[3]Catálogos!#REF!</definedName>
    <definedName name="TABLE_48" localSheetId="0">Catálogos!#REF!</definedName>
    <definedName name="TABLE_48_2">[3]Catálogos!#REF!</definedName>
    <definedName name="TABLE_49" localSheetId="0">Catálogos!#REF!</definedName>
    <definedName name="TABLE_49_2">[3]Catálogos!#REF!</definedName>
    <definedName name="TABLE_5" localSheetId="0">Catálogos!$G$77:$G$80</definedName>
    <definedName name="TABLE_50" localSheetId="0">Catálogos!#REF!</definedName>
    <definedName name="TABLE_50_2">[3]Catálogos!#REF!</definedName>
    <definedName name="TABLE_51" localSheetId="0">Catálogos!#REF!</definedName>
    <definedName name="TABLE_51_2">[3]Catálogos!#REF!</definedName>
    <definedName name="TABLE_52" localSheetId="0">Catálogos!#REF!</definedName>
    <definedName name="TABLE_52_2">[3]Catálogos!#REF!</definedName>
    <definedName name="TABLE_53" localSheetId="0">Catálogos!#REF!</definedName>
    <definedName name="TABLE_53_2">[3]Catálogos!#REF!</definedName>
    <definedName name="TABLE_54" localSheetId="0">Catálogos!#REF!</definedName>
    <definedName name="TABLE_54_2">[3]Catálogos!#REF!</definedName>
    <definedName name="TABLE_55" localSheetId="0">Catálogos!#REF!</definedName>
    <definedName name="TABLE_55_2">[3]Catálogos!#REF!</definedName>
    <definedName name="TABLE_56" localSheetId="0">Catálogos!#REF!</definedName>
    <definedName name="TABLE_56_2">[3]Catálogos!#REF!</definedName>
    <definedName name="TABLE_57" localSheetId="0">Catálogos!#REF!</definedName>
    <definedName name="TABLE_57_2">[3]Catálogos!#REF!</definedName>
    <definedName name="TABLE_58" localSheetId="0">Catálogos!#REF!</definedName>
    <definedName name="TABLE_58_2">[3]Catálogos!#REF!</definedName>
    <definedName name="TABLE_59" localSheetId="0">Catálogos!#REF!</definedName>
    <definedName name="TABLE_59_2">[3]Catálogos!#REF!</definedName>
    <definedName name="TABLE_6" localSheetId="0">Catálogos!$C$81:$C$84</definedName>
    <definedName name="TABLE_60" localSheetId="0">Catálogos!#REF!</definedName>
    <definedName name="TABLE_60_2">[3]Catálogos!#REF!</definedName>
    <definedName name="TABLE_61" localSheetId="0">Catálogos!$B$72:$H$113</definedName>
    <definedName name="TABLE_62" localSheetId="0">Catálogos!$J$77:$J$80</definedName>
    <definedName name="TABLE_63" localSheetId="0">Catálogos!$K$77:$K$80</definedName>
    <definedName name="TABLE_64" localSheetId="0">Catálogos!$L$77:$L$80</definedName>
    <definedName name="TABLE_65" localSheetId="0">Catálogos!$M$77:$M$80</definedName>
    <definedName name="TABLE_66" localSheetId="0">Catálogos!$N$77:$N$80</definedName>
    <definedName name="TABLE_67" localSheetId="0">Catálogos!$J$81:$J$84</definedName>
    <definedName name="TABLE_68" localSheetId="0">Catálogos!$K$81:$K$84</definedName>
    <definedName name="TABLE_69" localSheetId="0">Catálogos!$L$81:$L$84</definedName>
    <definedName name="TABLE_7" localSheetId="0">Catálogos!$D$81:$D$84</definedName>
    <definedName name="TABLE_70" localSheetId="0">Catálogos!$M$81:$M$84</definedName>
    <definedName name="TABLE_71" localSheetId="0">Catálogos!$N$81:$N$84</definedName>
    <definedName name="TABLE_72" localSheetId="0">Catálogos!$J$85:$J$88</definedName>
    <definedName name="TABLE_73" localSheetId="0">Catálogos!$K$85:$K$88</definedName>
    <definedName name="TABLE_74" localSheetId="0">Catálogos!$L$85:$L$88</definedName>
    <definedName name="TABLE_75" localSheetId="0">Catálogos!$M$85:$M$88</definedName>
    <definedName name="TABLE_76" localSheetId="0">Catálogos!$N$85:$N$88</definedName>
    <definedName name="TABLE_77" localSheetId="0">Catálogos!$J$89:$J$92</definedName>
    <definedName name="TABLE_78" localSheetId="0">Catálogos!$K$89:$K$92</definedName>
    <definedName name="TABLE_79" localSheetId="0">Catálogos!$L$89:$L$92</definedName>
    <definedName name="TABLE_8" localSheetId="0">Catálogos!$E$81:$E$84</definedName>
    <definedName name="TABLE_80" localSheetId="0">Catálogos!$M$89:$M$92</definedName>
    <definedName name="TABLE_81" localSheetId="0">Catálogos!$N$89:$N$92</definedName>
    <definedName name="TABLE_82" localSheetId="0">Catálogos!$J$72:$P$92</definedName>
    <definedName name="TABLE_83" localSheetId="0">Catálogos!$B$288:$O$288</definedName>
    <definedName name="TABLE_84" localSheetId="0">Catálogos!$B$197:$G$201</definedName>
    <definedName name="TABLE_85" localSheetId="0">Catálogos!$B$288:$O$288</definedName>
    <definedName name="TABLE_9" localSheetId="0">Catálogos!$F$81:$F$84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6" i="1"/>
  <c r="B24" i="1"/>
  <c r="B23" i="1"/>
  <c r="G25" i="2"/>
  <c r="G24" i="2"/>
  <c r="G23" i="2"/>
  <c r="B25" i="2" s="1"/>
  <c r="B26" i="2"/>
  <c r="B24" i="2"/>
  <c r="C24" i="2" s="1"/>
  <c r="B23" i="2"/>
  <c r="K23" i="2"/>
  <c r="J23" i="2"/>
  <c r="B9" i="5"/>
  <c r="B10" i="5"/>
  <c r="J25" i="2"/>
  <c r="K25" i="2"/>
  <c r="J26" i="2"/>
  <c r="K26" i="2"/>
  <c r="K24" i="2"/>
  <c r="J24" i="2"/>
  <c r="C23" i="2"/>
  <c r="C9" i="5"/>
  <c r="D23" i="2"/>
  <c r="E23" i="2"/>
  <c r="M24" i="2" l="1"/>
  <c r="L24" i="2" s="1"/>
  <c r="M23" i="2"/>
  <c r="L23" i="2" s="1"/>
  <c r="I18" i="6"/>
  <c r="I31" i="6"/>
  <c r="M34" i="6"/>
  <c r="M32" i="6"/>
  <c r="E25" i="6"/>
  <c r="E28" i="6"/>
  <c r="E27" i="6"/>
  <c r="E26" i="6"/>
  <c r="E18" i="6"/>
  <c r="M31" i="6" l="1"/>
  <c r="M33" i="6"/>
  <c r="M30" i="6"/>
  <c r="M36" i="6" l="1"/>
  <c r="M35" i="6"/>
  <c r="M38" i="6" s="1"/>
  <c r="M37" i="6"/>
  <c r="M25" i="6"/>
  <c r="I25" i="6"/>
  <c r="M28" i="6" l="1"/>
  <c r="M26" i="6"/>
  <c r="M27" i="6"/>
  <c r="M40" i="6" s="1"/>
  <c r="M43" i="6" s="1"/>
  <c r="I26" i="6"/>
  <c r="I28" i="6"/>
  <c r="I27" i="6"/>
  <c r="I30" i="6"/>
  <c r="E31" i="6"/>
  <c r="E30" i="6"/>
  <c r="E14" i="6"/>
  <c r="E15" i="6" s="1"/>
  <c r="I14" i="6"/>
  <c r="I15" i="6" s="1"/>
  <c r="M14" i="6"/>
  <c r="M15" i="6" s="1"/>
  <c r="E16" i="6"/>
  <c r="I16" i="6"/>
  <c r="M16" i="6"/>
  <c r="E17" i="6"/>
  <c r="I17" i="6"/>
  <c r="M17" i="6"/>
  <c r="I33" i="6" l="1"/>
  <c r="E33" i="6"/>
  <c r="M39" i="6"/>
  <c r="M42" i="6" s="1"/>
  <c r="M18" i="6"/>
  <c r="M41" i="6" s="1"/>
  <c r="M44" i="6" s="1"/>
  <c r="E32" i="6"/>
  <c r="I32" i="6"/>
  <c r="B5" i="5"/>
  <c r="C11" i="5"/>
  <c r="B6" i="5"/>
  <c r="D11" i="5" s="1"/>
  <c r="C10" i="5" l="1"/>
  <c r="B5" i="4"/>
  <c r="C11" i="4" s="1"/>
  <c r="C18" i="4" s="1"/>
  <c r="B20" i="4"/>
  <c r="C20" i="4" l="1"/>
  <c r="B25" i="4" s="1"/>
  <c r="B27" i="4" s="1"/>
  <c r="B28" i="4" s="1"/>
  <c r="B26" i="4"/>
  <c r="D16" i="1"/>
  <c r="D15" i="1"/>
  <c r="D14" i="1"/>
  <c r="E13" i="2"/>
  <c r="D16" i="2"/>
  <c r="D15" i="2"/>
  <c r="D14" i="2"/>
  <c r="P450" i="3"/>
  <c r="O450" i="3"/>
  <c r="M450" i="3"/>
  <c r="G450" i="3"/>
  <c r="F450" i="3"/>
  <c r="D450" i="3"/>
  <c r="P449" i="3"/>
  <c r="O449" i="3"/>
  <c r="M449" i="3"/>
  <c r="G449" i="3"/>
  <c r="F449" i="3"/>
  <c r="D449" i="3"/>
  <c r="P448" i="3"/>
  <c r="O448" i="3"/>
  <c r="M448" i="3"/>
  <c r="G448" i="3"/>
  <c r="F448" i="3"/>
  <c r="D448" i="3"/>
  <c r="P447" i="3"/>
  <c r="O447" i="3"/>
  <c r="M447" i="3"/>
  <c r="G447" i="3"/>
  <c r="F447" i="3"/>
  <c r="D447" i="3"/>
  <c r="P446" i="3"/>
  <c r="O446" i="3"/>
  <c r="M446" i="3"/>
  <c r="G446" i="3"/>
  <c r="F446" i="3"/>
  <c r="D446" i="3"/>
  <c r="P445" i="3"/>
  <c r="O445" i="3"/>
  <c r="M445" i="3"/>
  <c r="P444" i="3"/>
  <c r="O444" i="3"/>
  <c r="M444" i="3"/>
  <c r="G444" i="3"/>
  <c r="F444" i="3"/>
  <c r="D444" i="3"/>
  <c r="P443" i="3"/>
  <c r="O443" i="3"/>
  <c r="M443" i="3"/>
  <c r="G443" i="3"/>
  <c r="F443" i="3"/>
  <c r="D443" i="3"/>
  <c r="P442" i="3"/>
  <c r="O442" i="3"/>
  <c r="M442" i="3"/>
  <c r="G442" i="3"/>
  <c r="F442" i="3"/>
  <c r="D442" i="3"/>
  <c r="P441" i="3"/>
  <c r="O441" i="3"/>
  <c r="M441" i="3"/>
  <c r="G441" i="3"/>
  <c r="F441" i="3"/>
  <c r="D441" i="3"/>
  <c r="P440" i="3"/>
  <c r="O440" i="3"/>
  <c r="M440" i="3"/>
  <c r="G440" i="3"/>
  <c r="F440" i="3"/>
  <c r="D440" i="3"/>
  <c r="P439" i="3"/>
  <c r="O439" i="3"/>
  <c r="M439" i="3"/>
  <c r="G439" i="3"/>
  <c r="F439" i="3"/>
  <c r="D439" i="3"/>
  <c r="P438" i="3"/>
  <c r="O438" i="3"/>
  <c r="M438" i="3"/>
  <c r="G438" i="3"/>
  <c r="F438" i="3"/>
  <c r="D438" i="3"/>
  <c r="P437" i="3"/>
  <c r="O437" i="3"/>
  <c r="M437" i="3"/>
  <c r="G437" i="3"/>
  <c r="F437" i="3"/>
  <c r="D437" i="3"/>
  <c r="P436" i="3"/>
  <c r="O436" i="3"/>
  <c r="M436" i="3"/>
  <c r="G436" i="3"/>
  <c r="F436" i="3"/>
  <c r="D436" i="3"/>
  <c r="P435" i="3"/>
  <c r="O435" i="3"/>
  <c r="M435" i="3"/>
  <c r="G435" i="3"/>
  <c r="F435" i="3"/>
  <c r="D435" i="3"/>
  <c r="P434" i="3"/>
  <c r="O434" i="3"/>
  <c r="M434" i="3"/>
  <c r="G434" i="3"/>
  <c r="F434" i="3"/>
  <c r="D434" i="3"/>
  <c r="P433" i="3"/>
  <c r="O433" i="3"/>
  <c r="M433" i="3"/>
  <c r="G433" i="3"/>
  <c r="F433" i="3"/>
  <c r="D433" i="3"/>
  <c r="P432" i="3"/>
  <c r="O432" i="3"/>
  <c r="M432" i="3"/>
  <c r="G432" i="3"/>
  <c r="F432" i="3"/>
  <c r="D432" i="3"/>
  <c r="P431" i="3"/>
  <c r="O431" i="3"/>
  <c r="M431" i="3"/>
  <c r="G431" i="3"/>
  <c r="F431" i="3"/>
  <c r="D431" i="3"/>
  <c r="P430" i="3"/>
  <c r="O430" i="3"/>
  <c r="M430" i="3"/>
  <c r="G430" i="3"/>
  <c r="F430" i="3"/>
  <c r="D430" i="3"/>
  <c r="P429" i="3"/>
  <c r="O429" i="3"/>
  <c r="M429" i="3"/>
  <c r="G429" i="3"/>
  <c r="F429" i="3"/>
  <c r="D429" i="3"/>
  <c r="P428" i="3"/>
  <c r="O428" i="3"/>
  <c r="M428" i="3"/>
  <c r="G428" i="3"/>
  <c r="F428" i="3"/>
  <c r="D428" i="3"/>
  <c r="P427" i="3"/>
  <c r="O427" i="3"/>
  <c r="M427" i="3"/>
  <c r="G427" i="3"/>
  <c r="F427" i="3"/>
  <c r="D427" i="3"/>
  <c r="P426" i="3"/>
  <c r="O426" i="3"/>
  <c r="M426" i="3"/>
  <c r="G426" i="3"/>
  <c r="F426" i="3"/>
  <c r="D426" i="3"/>
  <c r="P425" i="3"/>
  <c r="O425" i="3"/>
  <c r="M425" i="3"/>
  <c r="G425" i="3"/>
  <c r="F425" i="3"/>
  <c r="D425" i="3"/>
  <c r="P424" i="3"/>
  <c r="O424" i="3"/>
  <c r="M424" i="3"/>
  <c r="G424" i="3"/>
  <c r="F424" i="3"/>
  <c r="D424" i="3"/>
  <c r="P423" i="3"/>
  <c r="O423" i="3"/>
  <c r="M423" i="3"/>
  <c r="G423" i="3"/>
  <c r="F423" i="3"/>
  <c r="D423" i="3"/>
  <c r="P422" i="3"/>
  <c r="O422" i="3"/>
  <c r="M422" i="3"/>
  <c r="G422" i="3"/>
  <c r="F422" i="3"/>
  <c r="D422" i="3"/>
  <c r="P421" i="3"/>
  <c r="O421" i="3"/>
  <c r="M421" i="3"/>
  <c r="G421" i="3"/>
  <c r="F421" i="3"/>
  <c r="D421" i="3"/>
  <c r="P420" i="3"/>
  <c r="O420" i="3"/>
  <c r="M420" i="3"/>
  <c r="G420" i="3"/>
  <c r="F420" i="3"/>
  <c r="D420" i="3"/>
  <c r="P419" i="3"/>
  <c r="O419" i="3"/>
  <c r="M419" i="3"/>
  <c r="G419" i="3"/>
  <c r="F419" i="3"/>
  <c r="D419" i="3"/>
  <c r="P418" i="3"/>
  <c r="O418" i="3"/>
  <c r="M418" i="3"/>
  <c r="G418" i="3"/>
  <c r="F418" i="3"/>
  <c r="D418" i="3"/>
  <c r="P417" i="3"/>
  <c r="O417" i="3"/>
  <c r="M417" i="3"/>
  <c r="G417" i="3"/>
  <c r="F417" i="3"/>
  <c r="D417" i="3"/>
  <c r="P416" i="3"/>
  <c r="O416" i="3"/>
  <c r="M416" i="3"/>
  <c r="G416" i="3"/>
  <c r="F416" i="3"/>
  <c r="D416" i="3"/>
  <c r="P415" i="3"/>
  <c r="O415" i="3"/>
  <c r="M415" i="3"/>
  <c r="G415" i="3"/>
  <c r="F415" i="3"/>
  <c r="D415" i="3"/>
  <c r="P414" i="3"/>
  <c r="O414" i="3"/>
  <c r="M414" i="3"/>
  <c r="G414" i="3"/>
  <c r="F414" i="3"/>
  <c r="D414" i="3"/>
  <c r="P413" i="3"/>
  <c r="O413" i="3"/>
  <c r="M413" i="3"/>
  <c r="G413" i="3"/>
  <c r="F413" i="3"/>
  <c r="D413" i="3"/>
  <c r="P412" i="3"/>
  <c r="O412" i="3"/>
  <c r="M412" i="3"/>
  <c r="G412" i="3"/>
  <c r="F412" i="3"/>
  <c r="D412" i="3"/>
  <c r="P411" i="3"/>
  <c r="O411" i="3"/>
  <c r="M411" i="3"/>
  <c r="G411" i="3"/>
  <c r="F411" i="3"/>
  <c r="D411" i="3"/>
  <c r="P410" i="3"/>
  <c r="O410" i="3"/>
  <c r="M410" i="3"/>
  <c r="G410" i="3"/>
  <c r="F410" i="3"/>
  <c r="D410" i="3"/>
  <c r="P409" i="3"/>
  <c r="O409" i="3"/>
  <c r="M409" i="3"/>
  <c r="G409" i="3"/>
  <c r="F409" i="3"/>
  <c r="D409" i="3"/>
  <c r="P408" i="3"/>
  <c r="O408" i="3"/>
  <c r="M408" i="3"/>
  <c r="G408" i="3"/>
  <c r="F408" i="3"/>
  <c r="D408" i="3"/>
  <c r="P407" i="3"/>
  <c r="O407" i="3"/>
  <c r="M407" i="3"/>
  <c r="G407" i="3"/>
  <c r="F407" i="3"/>
  <c r="D407" i="3"/>
  <c r="P406" i="3"/>
  <c r="O406" i="3"/>
  <c r="M406" i="3"/>
  <c r="G406" i="3"/>
  <c r="F406" i="3"/>
  <c r="D406" i="3"/>
  <c r="P405" i="3"/>
  <c r="O405" i="3"/>
  <c r="M405" i="3"/>
  <c r="G405" i="3"/>
  <c r="F405" i="3"/>
  <c r="D405" i="3"/>
  <c r="P404" i="3"/>
  <c r="O404" i="3"/>
  <c r="M404" i="3"/>
  <c r="G404" i="3"/>
  <c r="F404" i="3"/>
  <c r="D404" i="3"/>
  <c r="P403" i="3"/>
  <c r="O403" i="3"/>
  <c r="M403" i="3"/>
  <c r="G403" i="3"/>
  <c r="F403" i="3"/>
  <c r="D403" i="3"/>
  <c r="P402" i="3"/>
  <c r="O402" i="3"/>
  <c r="M402" i="3"/>
  <c r="G402" i="3"/>
  <c r="F402" i="3"/>
  <c r="D402" i="3"/>
  <c r="P401" i="3"/>
  <c r="O401" i="3"/>
  <c r="M401" i="3"/>
  <c r="G401" i="3"/>
  <c r="F401" i="3"/>
  <c r="D401" i="3"/>
  <c r="P400" i="3"/>
  <c r="O400" i="3"/>
  <c r="M400" i="3"/>
  <c r="G400" i="3"/>
  <c r="F400" i="3"/>
  <c r="D400" i="3"/>
  <c r="P399" i="3"/>
  <c r="O399" i="3"/>
  <c r="M399" i="3"/>
  <c r="G399" i="3"/>
  <c r="F399" i="3"/>
  <c r="D399" i="3"/>
  <c r="P398" i="3"/>
  <c r="O398" i="3"/>
  <c r="M398" i="3"/>
  <c r="G398" i="3"/>
  <c r="F398" i="3"/>
  <c r="D398" i="3"/>
  <c r="P397" i="3"/>
  <c r="O397" i="3"/>
  <c r="M397" i="3"/>
  <c r="G397" i="3"/>
  <c r="F397" i="3"/>
  <c r="D397" i="3"/>
  <c r="P387" i="3"/>
  <c r="O387" i="3"/>
  <c r="M387" i="3"/>
  <c r="P386" i="3"/>
  <c r="O386" i="3"/>
  <c r="M386" i="3"/>
  <c r="P385" i="3"/>
  <c r="O385" i="3"/>
  <c r="M385" i="3"/>
  <c r="P384" i="3"/>
  <c r="O384" i="3"/>
  <c r="M384" i="3"/>
  <c r="P383" i="3"/>
  <c r="O383" i="3"/>
  <c r="M383" i="3"/>
  <c r="P382" i="3"/>
  <c r="O382" i="3"/>
  <c r="M382" i="3"/>
  <c r="P381" i="3"/>
  <c r="O381" i="3"/>
  <c r="M381" i="3"/>
  <c r="P380" i="3"/>
  <c r="O380" i="3"/>
  <c r="M380" i="3"/>
  <c r="P379" i="3"/>
  <c r="O379" i="3"/>
  <c r="M379" i="3"/>
  <c r="P378" i="3"/>
  <c r="O378" i="3"/>
  <c r="M378" i="3"/>
  <c r="P377" i="3"/>
  <c r="O377" i="3"/>
  <c r="M377" i="3"/>
  <c r="P376" i="3"/>
  <c r="O376" i="3"/>
  <c r="M376" i="3"/>
  <c r="P375" i="3"/>
  <c r="O375" i="3"/>
  <c r="M375" i="3"/>
  <c r="P374" i="3"/>
  <c r="O374" i="3"/>
  <c r="M374" i="3"/>
  <c r="P373" i="3"/>
  <c r="O373" i="3"/>
  <c r="M373" i="3"/>
  <c r="P372" i="3"/>
  <c r="O372" i="3"/>
  <c r="M372" i="3"/>
  <c r="P371" i="3"/>
  <c r="O371" i="3"/>
  <c r="M371" i="3"/>
  <c r="P370" i="3"/>
  <c r="O370" i="3"/>
  <c r="M370" i="3"/>
  <c r="P369" i="3"/>
  <c r="O369" i="3"/>
  <c r="M369" i="3"/>
  <c r="G369" i="3"/>
  <c r="F369" i="3"/>
  <c r="D369" i="3"/>
  <c r="P368" i="3"/>
  <c r="O368" i="3"/>
  <c r="M368" i="3"/>
  <c r="G368" i="3"/>
  <c r="F368" i="3"/>
  <c r="D368" i="3"/>
  <c r="P367" i="3"/>
  <c r="O367" i="3"/>
  <c r="M367" i="3"/>
  <c r="G367" i="3"/>
  <c r="F367" i="3"/>
  <c r="D367" i="3"/>
  <c r="P366" i="3"/>
  <c r="O366" i="3"/>
  <c r="M366" i="3"/>
  <c r="G366" i="3"/>
  <c r="F366" i="3"/>
  <c r="D366" i="3"/>
  <c r="P365" i="3"/>
  <c r="O365" i="3"/>
  <c r="M365" i="3"/>
  <c r="G365" i="3"/>
  <c r="F365" i="3"/>
  <c r="D365" i="3"/>
  <c r="P364" i="3"/>
  <c r="O364" i="3"/>
  <c r="M364" i="3"/>
  <c r="G364" i="3"/>
  <c r="F364" i="3"/>
  <c r="D364" i="3"/>
  <c r="P363" i="3"/>
  <c r="O363" i="3"/>
  <c r="M363" i="3"/>
  <c r="G363" i="3"/>
  <c r="F363" i="3"/>
  <c r="D363" i="3"/>
  <c r="P362" i="3"/>
  <c r="O362" i="3"/>
  <c r="M362" i="3"/>
  <c r="G362" i="3"/>
  <c r="F362" i="3"/>
  <c r="D362" i="3"/>
  <c r="P361" i="3"/>
  <c r="O361" i="3"/>
  <c r="M361" i="3"/>
  <c r="G361" i="3"/>
  <c r="F361" i="3"/>
  <c r="D361" i="3"/>
  <c r="P360" i="3"/>
  <c r="O360" i="3"/>
  <c r="M360" i="3"/>
  <c r="G360" i="3"/>
  <c r="F360" i="3"/>
  <c r="D360" i="3"/>
  <c r="P359" i="3"/>
  <c r="O359" i="3"/>
  <c r="M359" i="3"/>
  <c r="G359" i="3"/>
  <c r="F359" i="3"/>
  <c r="D359" i="3"/>
  <c r="P358" i="3"/>
  <c r="O358" i="3"/>
  <c r="M358" i="3"/>
  <c r="G358" i="3"/>
  <c r="F358" i="3"/>
  <c r="D358" i="3"/>
  <c r="P357" i="3"/>
  <c r="O357" i="3"/>
  <c r="M357" i="3"/>
  <c r="G357" i="3"/>
  <c r="F357" i="3"/>
  <c r="D357" i="3"/>
  <c r="P356" i="3"/>
  <c r="O356" i="3"/>
  <c r="M356" i="3"/>
  <c r="G356" i="3"/>
  <c r="F356" i="3"/>
  <c r="D356" i="3"/>
  <c r="P355" i="3"/>
  <c r="O355" i="3"/>
  <c r="M355" i="3"/>
  <c r="G355" i="3"/>
  <c r="F355" i="3"/>
  <c r="D355" i="3"/>
  <c r="P354" i="3"/>
  <c r="O354" i="3"/>
  <c r="M354" i="3"/>
  <c r="G354" i="3"/>
  <c r="F354" i="3"/>
  <c r="D354" i="3"/>
  <c r="P353" i="3"/>
  <c r="O353" i="3"/>
  <c r="M353" i="3"/>
  <c r="G353" i="3"/>
  <c r="F353" i="3"/>
  <c r="D353" i="3"/>
  <c r="P352" i="3"/>
  <c r="O352" i="3"/>
  <c r="M352" i="3"/>
  <c r="G352" i="3"/>
  <c r="F352" i="3"/>
  <c r="D352" i="3"/>
  <c r="P351" i="3"/>
  <c r="O351" i="3"/>
  <c r="M351" i="3"/>
  <c r="G351" i="3"/>
  <c r="F351" i="3"/>
  <c r="D351" i="3"/>
  <c r="P350" i="3"/>
  <c r="O350" i="3"/>
  <c r="M350" i="3"/>
  <c r="G350" i="3"/>
  <c r="F350" i="3"/>
  <c r="D350" i="3"/>
  <c r="P349" i="3"/>
  <c r="O349" i="3"/>
  <c r="M349" i="3"/>
  <c r="G349" i="3"/>
  <c r="F349" i="3"/>
  <c r="D349" i="3"/>
  <c r="P348" i="3"/>
  <c r="O348" i="3"/>
  <c r="M348" i="3"/>
  <c r="G348" i="3"/>
  <c r="F348" i="3"/>
  <c r="D348" i="3"/>
  <c r="P347" i="3"/>
  <c r="O347" i="3"/>
  <c r="M347" i="3"/>
  <c r="G347" i="3"/>
  <c r="F347" i="3"/>
  <c r="D347" i="3"/>
  <c r="P346" i="3"/>
  <c r="O346" i="3"/>
  <c r="M346" i="3"/>
  <c r="G346" i="3"/>
  <c r="F346" i="3"/>
  <c r="D346" i="3"/>
  <c r="P345" i="3"/>
  <c r="O345" i="3"/>
  <c r="M345" i="3"/>
  <c r="G345" i="3"/>
  <c r="F345" i="3"/>
  <c r="D345" i="3"/>
  <c r="P344" i="3"/>
  <c r="O344" i="3"/>
  <c r="M344" i="3"/>
  <c r="G344" i="3"/>
  <c r="F344" i="3"/>
  <c r="D344" i="3"/>
  <c r="P343" i="3"/>
  <c r="O343" i="3"/>
  <c r="M343" i="3"/>
  <c r="G343" i="3"/>
  <c r="F343" i="3"/>
  <c r="D343" i="3"/>
  <c r="P342" i="3"/>
  <c r="O342" i="3"/>
  <c r="M342" i="3"/>
  <c r="G342" i="3"/>
  <c r="F342" i="3"/>
  <c r="D342" i="3"/>
  <c r="P341" i="3"/>
  <c r="O341" i="3"/>
  <c r="M341" i="3"/>
  <c r="G341" i="3"/>
  <c r="F341" i="3"/>
  <c r="D341" i="3"/>
  <c r="P340" i="3"/>
  <c r="O340" i="3"/>
  <c r="M340" i="3"/>
  <c r="G340" i="3"/>
  <c r="F340" i="3"/>
  <c r="D340" i="3"/>
  <c r="P339" i="3"/>
  <c r="O339" i="3"/>
  <c r="M339" i="3"/>
  <c r="G339" i="3"/>
  <c r="F339" i="3"/>
  <c r="D339" i="3"/>
  <c r="P338" i="3"/>
  <c r="O338" i="3"/>
  <c r="M338" i="3"/>
  <c r="G338" i="3"/>
  <c r="F338" i="3"/>
  <c r="D338" i="3"/>
  <c r="P337" i="3"/>
  <c r="O337" i="3"/>
  <c r="M337" i="3"/>
  <c r="G337" i="3"/>
  <c r="F337" i="3"/>
  <c r="D337" i="3"/>
  <c r="P336" i="3"/>
  <c r="O336" i="3"/>
  <c r="M336" i="3"/>
  <c r="G336" i="3"/>
  <c r="F336" i="3"/>
  <c r="D336" i="3"/>
  <c r="P335" i="3"/>
  <c r="O335" i="3"/>
  <c r="M335" i="3"/>
  <c r="G335" i="3"/>
  <c r="F335" i="3"/>
  <c r="D335" i="3"/>
  <c r="P334" i="3"/>
  <c r="O334" i="3"/>
  <c r="M334" i="3"/>
  <c r="G334" i="3"/>
  <c r="F334" i="3"/>
  <c r="D334" i="3"/>
  <c r="U324" i="3"/>
  <c r="T324" i="3"/>
  <c r="R324" i="3"/>
  <c r="M324" i="3"/>
  <c r="L324" i="3"/>
  <c r="J324" i="3"/>
  <c r="D324" i="3"/>
  <c r="U323" i="3"/>
  <c r="T323" i="3"/>
  <c r="R323" i="3"/>
  <c r="M323" i="3"/>
  <c r="L323" i="3"/>
  <c r="J323" i="3"/>
  <c r="D323" i="3"/>
  <c r="U322" i="3"/>
  <c r="T322" i="3"/>
  <c r="R322" i="3"/>
  <c r="M322" i="3"/>
  <c r="L322" i="3"/>
  <c r="J322" i="3"/>
  <c r="D322" i="3"/>
  <c r="U321" i="3"/>
  <c r="T321" i="3"/>
  <c r="R321" i="3"/>
  <c r="M321" i="3"/>
  <c r="L321" i="3"/>
  <c r="J321" i="3"/>
  <c r="D321" i="3"/>
  <c r="U320" i="3"/>
  <c r="T320" i="3"/>
  <c r="R320" i="3"/>
  <c r="M320" i="3"/>
  <c r="L320" i="3"/>
  <c r="J320" i="3"/>
  <c r="D320" i="3"/>
  <c r="U319" i="3"/>
  <c r="T319" i="3"/>
  <c r="R319" i="3"/>
  <c r="M319" i="3"/>
  <c r="L319" i="3"/>
  <c r="J319" i="3"/>
  <c r="D319" i="3"/>
  <c r="U318" i="3"/>
  <c r="T318" i="3"/>
  <c r="R318" i="3"/>
  <c r="M318" i="3"/>
  <c r="L318" i="3"/>
  <c r="J318" i="3"/>
  <c r="D318" i="3"/>
  <c r="U317" i="3"/>
  <c r="T317" i="3"/>
  <c r="R317" i="3"/>
  <c r="M317" i="3"/>
  <c r="L317" i="3"/>
  <c r="J317" i="3"/>
  <c r="D317" i="3"/>
  <c r="U316" i="3"/>
  <c r="T316" i="3"/>
  <c r="R316" i="3"/>
  <c r="M316" i="3"/>
  <c r="L316" i="3"/>
  <c r="J316" i="3"/>
  <c r="D316" i="3"/>
  <c r="U315" i="3"/>
  <c r="T315" i="3"/>
  <c r="R315" i="3"/>
  <c r="M315" i="3"/>
  <c r="L315" i="3"/>
  <c r="J315" i="3"/>
  <c r="D315" i="3"/>
  <c r="U314" i="3"/>
  <c r="T314" i="3"/>
  <c r="R314" i="3"/>
  <c r="M314" i="3"/>
  <c r="L314" i="3"/>
  <c r="J314" i="3"/>
  <c r="D314" i="3"/>
  <c r="U313" i="3"/>
  <c r="T313" i="3"/>
  <c r="R313" i="3"/>
  <c r="M313" i="3"/>
  <c r="L313" i="3"/>
  <c r="J313" i="3"/>
  <c r="D313" i="3"/>
  <c r="U312" i="3"/>
  <c r="T312" i="3"/>
  <c r="R312" i="3"/>
  <c r="M312" i="3"/>
  <c r="L312" i="3"/>
  <c r="J312" i="3"/>
  <c r="D312" i="3"/>
  <c r="U311" i="3"/>
  <c r="T311" i="3"/>
  <c r="R311" i="3"/>
  <c r="M311" i="3"/>
  <c r="L311" i="3"/>
  <c r="J311" i="3"/>
  <c r="D311" i="3"/>
  <c r="U310" i="3"/>
  <c r="T310" i="3"/>
  <c r="R310" i="3"/>
  <c r="M310" i="3"/>
  <c r="L310" i="3"/>
  <c r="J310" i="3"/>
  <c r="D310" i="3"/>
  <c r="U309" i="3"/>
  <c r="T309" i="3"/>
  <c r="R309" i="3"/>
  <c r="M309" i="3"/>
  <c r="L309" i="3"/>
  <c r="J309" i="3"/>
  <c r="D309" i="3"/>
  <c r="U308" i="3"/>
  <c r="T308" i="3"/>
  <c r="R308" i="3"/>
  <c r="M308" i="3"/>
  <c r="L308" i="3"/>
  <c r="J308" i="3"/>
  <c r="D308" i="3"/>
  <c r="U307" i="3"/>
  <c r="T307" i="3"/>
  <c r="R307" i="3"/>
  <c r="M307" i="3"/>
  <c r="L307" i="3"/>
  <c r="J307" i="3"/>
  <c r="D307" i="3"/>
  <c r="U306" i="3"/>
  <c r="T306" i="3"/>
  <c r="R306" i="3"/>
  <c r="M306" i="3"/>
  <c r="L306" i="3"/>
  <c r="J306" i="3"/>
  <c r="D306" i="3"/>
  <c r="U305" i="3"/>
  <c r="T305" i="3"/>
  <c r="R305" i="3"/>
  <c r="M305" i="3"/>
  <c r="L305" i="3"/>
  <c r="J305" i="3"/>
  <c r="D305" i="3"/>
  <c r="U304" i="3"/>
  <c r="T304" i="3"/>
  <c r="R304" i="3"/>
  <c r="M304" i="3"/>
  <c r="L304" i="3"/>
  <c r="J304" i="3"/>
  <c r="D304" i="3"/>
  <c r="U303" i="3"/>
  <c r="T303" i="3"/>
  <c r="R303" i="3"/>
  <c r="M303" i="3"/>
  <c r="L303" i="3"/>
  <c r="J303" i="3"/>
  <c r="D303" i="3"/>
  <c r="U302" i="3"/>
  <c r="T302" i="3"/>
  <c r="R302" i="3"/>
  <c r="M302" i="3"/>
  <c r="L302" i="3"/>
  <c r="J302" i="3"/>
  <c r="D302" i="3"/>
  <c r="U301" i="3"/>
  <c r="T301" i="3"/>
  <c r="R301" i="3"/>
  <c r="M301" i="3"/>
  <c r="L301" i="3"/>
  <c r="J301" i="3"/>
  <c r="D301" i="3"/>
  <c r="U300" i="3"/>
  <c r="T300" i="3"/>
  <c r="R300" i="3"/>
  <c r="M300" i="3"/>
  <c r="L300" i="3"/>
  <c r="J300" i="3"/>
  <c r="D300" i="3"/>
  <c r="U299" i="3"/>
  <c r="T299" i="3"/>
  <c r="R299" i="3"/>
  <c r="M299" i="3"/>
  <c r="L299" i="3"/>
  <c r="J299" i="3"/>
  <c r="D299" i="3"/>
  <c r="U298" i="3"/>
  <c r="T298" i="3"/>
  <c r="R298" i="3"/>
  <c r="M298" i="3"/>
  <c r="L298" i="3"/>
  <c r="J298" i="3"/>
  <c r="D298" i="3"/>
  <c r="U297" i="3"/>
  <c r="T297" i="3"/>
  <c r="R297" i="3"/>
  <c r="M297" i="3"/>
  <c r="L297" i="3"/>
  <c r="J297" i="3"/>
  <c r="D297" i="3"/>
  <c r="U296" i="3"/>
  <c r="T296" i="3"/>
  <c r="R296" i="3"/>
  <c r="M296" i="3"/>
  <c r="L296" i="3"/>
  <c r="J296" i="3"/>
  <c r="D296" i="3"/>
  <c r="U295" i="3"/>
  <c r="T295" i="3"/>
  <c r="R295" i="3"/>
  <c r="M295" i="3"/>
  <c r="L295" i="3"/>
  <c r="J295" i="3"/>
  <c r="D295" i="3"/>
  <c r="U294" i="3"/>
  <c r="T294" i="3"/>
  <c r="R294" i="3"/>
  <c r="M294" i="3"/>
  <c r="L294" i="3"/>
  <c r="J294" i="3"/>
  <c r="D294" i="3"/>
  <c r="U293" i="3"/>
  <c r="T293" i="3"/>
  <c r="R293" i="3"/>
  <c r="M293" i="3"/>
  <c r="L293" i="3"/>
  <c r="J293" i="3"/>
  <c r="D293" i="3"/>
  <c r="U292" i="3"/>
  <c r="T292" i="3"/>
  <c r="R292" i="3"/>
  <c r="M292" i="3"/>
  <c r="L292" i="3"/>
  <c r="J292" i="3"/>
  <c r="D292" i="3"/>
  <c r="U291" i="3"/>
  <c r="T291" i="3"/>
  <c r="R291" i="3"/>
  <c r="M291" i="3"/>
  <c r="L291" i="3"/>
  <c r="J291" i="3"/>
  <c r="D291" i="3"/>
  <c r="U290" i="3"/>
  <c r="T290" i="3"/>
  <c r="R290" i="3"/>
  <c r="M290" i="3"/>
  <c r="L290" i="3"/>
  <c r="J290" i="3"/>
  <c r="D290" i="3"/>
  <c r="U289" i="3"/>
  <c r="T289" i="3"/>
  <c r="R289" i="3"/>
  <c r="M289" i="3"/>
  <c r="L289" i="3"/>
  <c r="J289" i="3"/>
  <c r="D289" i="3"/>
  <c r="U279" i="3"/>
  <c r="T279" i="3"/>
  <c r="R279" i="3"/>
  <c r="M279" i="3"/>
  <c r="L279" i="3"/>
  <c r="J279" i="3"/>
  <c r="D279" i="3"/>
  <c r="U278" i="3"/>
  <c r="T278" i="3"/>
  <c r="R278" i="3"/>
  <c r="M278" i="3"/>
  <c r="L278" i="3"/>
  <c r="J278" i="3"/>
  <c r="D278" i="3"/>
  <c r="U277" i="3"/>
  <c r="T277" i="3"/>
  <c r="R277" i="3"/>
  <c r="M277" i="3"/>
  <c r="L277" i="3"/>
  <c r="J277" i="3"/>
  <c r="D277" i="3"/>
  <c r="U276" i="3"/>
  <c r="T276" i="3"/>
  <c r="R276" i="3"/>
  <c r="M276" i="3"/>
  <c r="L276" i="3"/>
  <c r="J276" i="3"/>
  <c r="D276" i="3"/>
  <c r="U275" i="3"/>
  <c r="T275" i="3"/>
  <c r="R275" i="3"/>
  <c r="M275" i="3"/>
  <c r="L275" i="3"/>
  <c r="J275" i="3"/>
  <c r="D275" i="3"/>
  <c r="U274" i="3"/>
  <c r="T274" i="3"/>
  <c r="R274" i="3"/>
  <c r="M274" i="3"/>
  <c r="L274" i="3"/>
  <c r="J274" i="3"/>
  <c r="D274" i="3"/>
  <c r="U273" i="3"/>
  <c r="T273" i="3"/>
  <c r="R273" i="3"/>
  <c r="M273" i="3"/>
  <c r="L273" i="3"/>
  <c r="J273" i="3"/>
  <c r="D273" i="3"/>
  <c r="U272" i="3"/>
  <c r="T272" i="3"/>
  <c r="R272" i="3"/>
  <c r="M272" i="3"/>
  <c r="L272" i="3"/>
  <c r="J272" i="3"/>
  <c r="D272" i="3"/>
  <c r="U271" i="3"/>
  <c r="T271" i="3"/>
  <c r="R271" i="3"/>
  <c r="M271" i="3"/>
  <c r="L271" i="3"/>
  <c r="J271" i="3"/>
  <c r="D271" i="3"/>
  <c r="U270" i="3"/>
  <c r="T270" i="3"/>
  <c r="R270" i="3"/>
  <c r="M270" i="3"/>
  <c r="L270" i="3"/>
  <c r="J270" i="3"/>
  <c r="D270" i="3"/>
  <c r="U269" i="3"/>
  <c r="T269" i="3"/>
  <c r="R269" i="3"/>
  <c r="M269" i="3"/>
  <c r="L269" i="3"/>
  <c r="J269" i="3"/>
  <c r="D269" i="3"/>
  <c r="U268" i="3"/>
  <c r="T268" i="3"/>
  <c r="R268" i="3"/>
  <c r="M268" i="3"/>
  <c r="L268" i="3"/>
  <c r="J268" i="3"/>
  <c r="D268" i="3"/>
  <c r="U267" i="3"/>
  <c r="T267" i="3"/>
  <c r="R267" i="3"/>
  <c r="M267" i="3"/>
  <c r="L267" i="3"/>
  <c r="J267" i="3"/>
  <c r="D267" i="3"/>
  <c r="U266" i="3"/>
  <c r="T266" i="3"/>
  <c r="R266" i="3"/>
  <c r="M266" i="3"/>
  <c r="L266" i="3"/>
  <c r="J266" i="3"/>
  <c r="D266" i="3"/>
  <c r="U265" i="3"/>
  <c r="T265" i="3"/>
  <c r="R265" i="3"/>
  <c r="M265" i="3"/>
  <c r="L265" i="3"/>
  <c r="J265" i="3"/>
  <c r="D265" i="3"/>
  <c r="U264" i="3"/>
  <c r="T264" i="3"/>
  <c r="R264" i="3"/>
  <c r="M264" i="3"/>
  <c r="L264" i="3"/>
  <c r="J264" i="3"/>
  <c r="D264" i="3"/>
  <c r="U263" i="3"/>
  <c r="T263" i="3"/>
  <c r="R263" i="3"/>
  <c r="M263" i="3"/>
  <c r="L263" i="3"/>
  <c r="J263" i="3"/>
  <c r="D263" i="3"/>
  <c r="U262" i="3"/>
  <c r="T262" i="3"/>
  <c r="R262" i="3"/>
  <c r="M262" i="3"/>
  <c r="L262" i="3"/>
  <c r="J262" i="3"/>
  <c r="D262" i="3"/>
  <c r="U261" i="3"/>
  <c r="T261" i="3"/>
  <c r="R261" i="3"/>
  <c r="M261" i="3"/>
  <c r="L261" i="3"/>
  <c r="J261" i="3"/>
  <c r="D261" i="3"/>
  <c r="U260" i="3"/>
  <c r="T260" i="3"/>
  <c r="R260" i="3"/>
  <c r="M260" i="3"/>
  <c r="L260" i="3"/>
  <c r="J260" i="3"/>
  <c r="D260" i="3"/>
  <c r="U259" i="3"/>
  <c r="T259" i="3"/>
  <c r="R259" i="3"/>
  <c r="M259" i="3"/>
  <c r="L259" i="3"/>
  <c r="J259" i="3"/>
  <c r="D259" i="3"/>
  <c r="U258" i="3"/>
  <c r="T258" i="3"/>
  <c r="R258" i="3"/>
  <c r="M258" i="3"/>
  <c r="L258" i="3"/>
  <c r="J258" i="3"/>
  <c r="D258" i="3"/>
  <c r="U257" i="3"/>
  <c r="T257" i="3"/>
  <c r="R257" i="3"/>
  <c r="M257" i="3"/>
  <c r="L257" i="3"/>
  <c r="J257" i="3"/>
  <c r="D257" i="3"/>
  <c r="U256" i="3"/>
  <c r="T256" i="3"/>
  <c r="R256" i="3"/>
  <c r="M256" i="3"/>
  <c r="L256" i="3"/>
  <c r="J256" i="3"/>
  <c r="D256" i="3"/>
  <c r="U255" i="3"/>
  <c r="T255" i="3"/>
  <c r="R255" i="3"/>
  <c r="M255" i="3"/>
  <c r="L255" i="3"/>
  <c r="J255" i="3"/>
  <c r="D255" i="3"/>
  <c r="M245" i="3"/>
  <c r="L245" i="3"/>
  <c r="J245" i="3"/>
  <c r="M244" i="3"/>
  <c r="L244" i="3"/>
  <c r="J244" i="3"/>
  <c r="M243" i="3"/>
  <c r="L243" i="3"/>
  <c r="J243" i="3"/>
  <c r="M242" i="3"/>
  <c r="L242" i="3"/>
  <c r="J242" i="3"/>
  <c r="M241" i="3"/>
  <c r="L241" i="3"/>
  <c r="J241" i="3"/>
  <c r="M240" i="3"/>
  <c r="L240" i="3"/>
  <c r="J240" i="3"/>
  <c r="M239" i="3"/>
  <c r="L239" i="3"/>
  <c r="J239" i="3"/>
  <c r="M238" i="3"/>
  <c r="L238" i="3"/>
  <c r="J238" i="3"/>
  <c r="M237" i="3"/>
  <c r="L237" i="3"/>
  <c r="J237" i="3"/>
  <c r="D237" i="3"/>
  <c r="M236" i="3"/>
  <c r="L236" i="3"/>
  <c r="J236" i="3"/>
  <c r="D236" i="3"/>
  <c r="M235" i="3"/>
  <c r="L235" i="3"/>
  <c r="J235" i="3"/>
  <c r="D235" i="3"/>
  <c r="M234" i="3"/>
  <c r="L234" i="3"/>
  <c r="J234" i="3"/>
  <c r="D234" i="3"/>
  <c r="M233" i="3"/>
  <c r="L233" i="3"/>
  <c r="J233" i="3"/>
  <c r="D233" i="3"/>
  <c r="M232" i="3"/>
  <c r="L232" i="3"/>
  <c r="J232" i="3"/>
  <c r="D232" i="3"/>
  <c r="M231" i="3"/>
  <c r="L231" i="3"/>
  <c r="J231" i="3"/>
  <c r="D231" i="3"/>
  <c r="M230" i="3"/>
  <c r="L230" i="3"/>
  <c r="J230" i="3"/>
  <c r="D230" i="3"/>
  <c r="M229" i="3"/>
  <c r="L229" i="3"/>
  <c r="J229" i="3"/>
  <c r="D229" i="3"/>
  <c r="M228" i="3"/>
  <c r="L228" i="3"/>
  <c r="J228" i="3"/>
  <c r="D228" i="3"/>
  <c r="M227" i="3"/>
  <c r="L227" i="3"/>
  <c r="J227" i="3"/>
  <c r="D227" i="3"/>
  <c r="M226" i="3"/>
  <c r="L226" i="3"/>
  <c r="J226" i="3"/>
  <c r="D226" i="3"/>
  <c r="M225" i="3"/>
  <c r="L225" i="3"/>
  <c r="J225" i="3"/>
  <c r="D225" i="3"/>
  <c r="M224" i="3"/>
  <c r="L224" i="3"/>
  <c r="J224" i="3"/>
  <c r="D224" i="3"/>
  <c r="M223" i="3"/>
  <c r="L223" i="3"/>
  <c r="J223" i="3"/>
  <c r="D223" i="3"/>
  <c r="M222" i="3"/>
  <c r="L222" i="3"/>
  <c r="J222" i="3"/>
  <c r="D222" i="3"/>
  <c r="K187" i="3"/>
  <c r="J187" i="3"/>
  <c r="I187" i="3"/>
  <c r="H187" i="3"/>
  <c r="G187" i="3"/>
  <c r="K186" i="3"/>
  <c r="J186" i="3"/>
  <c r="I186" i="3"/>
  <c r="H186" i="3"/>
  <c r="G186" i="3"/>
  <c r="K185" i="3"/>
  <c r="J185" i="3"/>
  <c r="I185" i="3"/>
  <c r="H185" i="3"/>
  <c r="G185" i="3"/>
  <c r="K184" i="3"/>
  <c r="J184" i="3"/>
  <c r="I184" i="3"/>
  <c r="H184" i="3"/>
  <c r="G184" i="3"/>
  <c r="K183" i="3"/>
  <c r="J183" i="3"/>
  <c r="I183" i="3"/>
  <c r="H183" i="3"/>
  <c r="G183" i="3"/>
  <c r="K182" i="3"/>
  <c r="J182" i="3"/>
  <c r="I182" i="3"/>
  <c r="H182" i="3"/>
  <c r="G182" i="3"/>
  <c r="K181" i="3"/>
  <c r="J181" i="3"/>
  <c r="I181" i="3"/>
  <c r="H181" i="3"/>
  <c r="G181" i="3"/>
  <c r="K180" i="3"/>
  <c r="J180" i="3"/>
  <c r="I180" i="3"/>
  <c r="H180" i="3"/>
  <c r="G180" i="3"/>
  <c r="K179" i="3"/>
  <c r="J179" i="3"/>
  <c r="I179" i="3"/>
  <c r="H179" i="3"/>
  <c r="G179" i="3"/>
  <c r="K178" i="3"/>
  <c r="J178" i="3"/>
  <c r="I178" i="3"/>
  <c r="H178" i="3"/>
  <c r="G178" i="3"/>
  <c r="K177" i="3"/>
  <c r="J177" i="3"/>
  <c r="I177" i="3"/>
  <c r="H177" i="3"/>
  <c r="G177" i="3"/>
  <c r="K176" i="3"/>
  <c r="J176" i="3"/>
  <c r="I176" i="3"/>
  <c r="H176" i="3"/>
  <c r="G176" i="3"/>
  <c r="K175" i="3"/>
  <c r="J175" i="3"/>
  <c r="I175" i="3"/>
  <c r="H175" i="3"/>
  <c r="G175" i="3"/>
  <c r="K174" i="3"/>
  <c r="J174" i="3"/>
  <c r="I174" i="3"/>
  <c r="H174" i="3"/>
  <c r="G174" i="3"/>
  <c r="K173" i="3"/>
  <c r="J173" i="3"/>
  <c r="I173" i="3"/>
  <c r="H173" i="3"/>
  <c r="G173" i="3"/>
  <c r="K161" i="3"/>
  <c r="J161" i="3"/>
  <c r="I161" i="3"/>
  <c r="H161" i="3"/>
  <c r="K160" i="3"/>
  <c r="J160" i="3"/>
  <c r="I160" i="3"/>
  <c r="H160" i="3"/>
  <c r="K159" i="3"/>
  <c r="J159" i="3"/>
  <c r="I159" i="3"/>
  <c r="H159" i="3"/>
  <c r="K158" i="3"/>
  <c r="J158" i="3"/>
  <c r="I158" i="3"/>
  <c r="H158" i="3"/>
  <c r="K157" i="3"/>
  <c r="J157" i="3"/>
  <c r="I157" i="3"/>
  <c r="H157" i="3"/>
  <c r="K156" i="3"/>
  <c r="J156" i="3"/>
  <c r="I156" i="3"/>
  <c r="H156" i="3"/>
  <c r="K155" i="3"/>
  <c r="J155" i="3"/>
  <c r="I155" i="3"/>
  <c r="H155" i="3"/>
  <c r="K154" i="3"/>
  <c r="J154" i="3"/>
  <c r="I154" i="3"/>
  <c r="H154" i="3"/>
  <c r="K153" i="3"/>
  <c r="J153" i="3"/>
  <c r="I153" i="3"/>
  <c r="H153" i="3"/>
  <c r="W152" i="3"/>
  <c r="V152" i="3"/>
  <c r="U152" i="3"/>
  <c r="K152" i="3"/>
  <c r="J152" i="3"/>
  <c r="I152" i="3"/>
  <c r="H152" i="3"/>
  <c r="W151" i="3"/>
  <c r="V151" i="3"/>
  <c r="U151" i="3"/>
  <c r="K151" i="3"/>
  <c r="J151" i="3"/>
  <c r="I151" i="3"/>
  <c r="H151" i="3"/>
  <c r="W150" i="3"/>
  <c r="V150" i="3"/>
  <c r="U150" i="3"/>
  <c r="K150" i="3"/>
  <c r="J150" i="3"/>
  <c r="I150" i="3"/>
  <c r="H150" i="3"/>
  <c r="V149" i="3"/>
  <c r="U149" i="3"/>
  <c r="K149" i="3"/>
  <c r="J149" i="3"/>
  <c r="I149" i="3"/>
  <c r="H149" i="3"/>
  <c r="V148" i="3"/>
  <c r="U148" i="3"/>
  <c r="T148" i="3"/>
  <c r="K148" i="3"/>
  <c r="J148" i="3"/>
  <c r="I148" i="3"/>
  <c r="H148" i="3"/>
  <c r="V147" i="3"/>
  <c r="U147" i="3"/>
  <c r="T147" i="3"/>
  <c r="K147" i="3"/>
  <c r="J147" i="3"/>
  <c r="I147" i="3"/>
  <c r="H147" i="3"/>
  <c r="V146" i="3"/>
  <c r="U146" i="3"/>
  <c r="T146" i="3"/>
  <c r="K146" i="3"/>
  <c r="J146" i="3"/>
  <c r="I146" i="3"/>
  <c r="H146" i="3"/>
  <c r="W145" i="3"/>
  <c r="V145" i="3"/>
  <c r="U145" i="3"/>
  <c r="T145" i="3"/>
  <c r="K145" i="3"/>
  <c r="J145" i="3"/>
  <c r="I145" i="3"/>
  <c r="H145" i="3"/>
  <c r="W144" i="3"/>
  <c r="V144" i="3"/>
  <c r="U144" i="3"/>
  <c r="T144" i="3"/>
  <c r="K144" i="3"/>
  <c r="J144" i="3"/>
  <c r="I144" i="3"/>
  <c r="H144" i="3"/>
  <c r="V143" i="3"/>
  <c r="U143" i="3"/>
  <c r="T143" i="3"/>
  <c r="K143" i="3"/>
  <c r="J143" i="3"/>
  <c r="I143" i="3"/>
  <c r="H143" i="3"/>
  <c r="V142" i="3"/>
  <c r="U142" i="3"/>
  <c r="T142" i="3"/>
  <c r="K142" i="3"/>
  <c r="J142" i="3"/>
  <c r="I142" i="3"/>
  <c r="H142" i="3"/>
  <c r="AG141" i="3"/>
  <c r="AF141" i="3"/>
  <c r="AE141" i="3"/>
  <c r="V141" i="3"/>
  <c r="U141" i="3"/>
  <c r="T141" i="3"/>
  <c r="K141" i="3"/>
  <c r="J141" i="3"/>
  <c r="I141" i="3"/>
  <c r="H141" i="3"/>
  <c r="AG140" i="3"/>
  <c r="AF140" i="3"/>
  <c r="AE140" i="3"/>
  <c r="V140" i="3"/>
  <c r="U140" i="3"/>
  <c r="T140" i="3"/>
  <c r="K140" i="3"/>
  <c r="J140" i="3"/>
  <c r="I140" i="3"/>
  <c r="H140" i="3"/>
  <c r="AG139" i="3"/>
  <c r="AF139" i="3"/>
  <c r="AE139" i="3"/>
  <c r="V139" i="3"/>
  <c r="U139" i="3"/>
  <c r="T139" i="3"/>
  <c r="K139" i="3"/>
  <c r="J139" i="3"/>
  <c r="I139" i="3"/>
  <c r="H139" i="3"/>
  <c r="AG138" i="3"/>
  <c r="AF138" i="3"/>
  <c r="AE138" i="3"/>
  <c r="V138" i="3"/>
  <c r="U138" i="3"/>
  <c r="T138" i="3"/>
  <c r="K138" i="3"/>
  <c r="J138" i="3"/>
  <c r="I138" i="3"/>
  <c r="H138" i="3"/>
  <c r="AG137" i="3"/>
  <c r="AF137" i="3"/>
  <c r="AE137" i="3"/>
  <c r="V137" i="3"/>
  <c r="U137" i="3"/>
  <c r="T137" i="3"/>
  <c r="K137" i="3"/>
  <c r="J137" i="3"/>
  <c r="I137" i="3"/>
  <c r="H137" i="3"/>
  <c r="AG136" i="3"/>
  <c r="AF136" i="3"/>
  <c r="AE136" i="3"/>
  <c r="V136" i="3"/>
  <c r="U136" i="3"/>
  <c r="T136" i="3"/>
  <c r="K136" i="3"/>
  <c r="J136" i="3"/>
  <c r="I136" i="3"/>
  <c r="H136" i="3"/>
  <c r="AG135" i="3"/>
  <c r="AF135" i="3"/>
  <c r="AE135" i="3"/>
  <c r="U135" i="3"/>
  <c r="T135" i="3"/>
  <c r="K135" i="3"/>
  <c r="J135" i="3"/>
  <c r="I135" i="3"/>
  <c r="H135" i="3"/>
  <c r="AQ134" i="3"/>
  <c r="AP134" i="3"/>
  <c r="AO134" i="3"/>
  <c r="AG134" i="3"/>
  <c r="AF134" i="3"/>
  <c r="AE134" i="3"/>
  <c r="T134" i="3"/>
  <c r="K134" i="3"/>
  <c r="J134" i="3"/>
  <c r="I134" i="3"/>
  <c r="H134" i="3"/>
  <c r="BB133" i="3"/>
  <c r="BA133" i="3"/>
  <c r="AZ133" i="3"/>
  <c r="AY133" i="3"/>
  <c r="AQ133" i="3"/>
  <c r="AP133" i="3"/>
  <c r="AO133" i="3"/>
  <c r="AG133" i="3"/>
  <c r="AF133" i="3"/>
  <c r="AE133" i="3"/>
  <c r="T133" i="3"/>
  <c r="K133" i="3"/>
  <c r="J133" i="3"/>
  <c r="I133" i="3"/>
  <c r="H133" i="3"/>
  <c r="BB132" i="3"/>
  <c r="BA132" i="3"/>
  <c r="AZ132" i="3"/>
  <c r="AY132" i="3"/>
  <c r="AQ132" i="3"/>
  <c r="AP132" i="3"/>
  <c r="AO132" i="3"/>
  <c r="AG132" i="3"/>
  <c r="AF132" i="3"/>
  <c r="AE132" i="3"/>
  <c r="T132" i="3"/>
  <c r="K132" i="3"/>
  <c r="J132" i="3"/>
  <c r="I132" i="3"/>
  <c r="H132" i="3"/>
  <c r="BB131" i="3"/>
  <c r="BA131" i="3"/>
  <c r="AZ131" i="3"/>
  <c r="AY131" i="3"/>
  <c r="AQ131" i="3"/>
  <c r="AP131" i="3"/>
  <c r="AO131" i="3"/>
  <c r="AG131" i="3"/>
  <c r="AF131" i="3"/>
  <c r="AE131" i="3"/>
  <c r="T131" i="3"/>
  <c r="K131" i="3"/>
  <c r="J131" i="3"/>
  <c r="I131" i="3"/>
  <c r="H131" i="3"/>
  <c r="BB130" i="3"/>
  <c r="BA130" i="3"/>
  <c r="AZ130" i="3"/>
  <c r="AY130" i="3"/>
  <c r="AQ130" i="3"/>
  <c r="AP130" i="3"/>
  <c r="AO130" i="3"/>
  <c r="AG130" i="3"/>
  <c r="AF130" i="3"/>
  <c r="AE130" i="3"/>
  <c r="T130" i="3"/>
  <c r="K130" i="3"/>
  <c r="J130" i="3"/>
  <c r="I130" i="3"/>
  <c r="H130" i="3"/>
  <c r="BB129" i="3"/>
  <c r="BA129" i="3"/>
  <c r="AZ129" i="3"/>
  <c r="AY129" i="3"/>
  <c r="AQ129" i="3"/>
  <c r="AP129" i="3"/>
  <c r="AO129" i="3"/>
  <c r="AG129" i="3"/>
  <c r="AF129" i="3"/>
  <c r="AE129" i="3"/>
  <c r="T129" i="3"/>
  <c r="K129" i="3"/>
  <c r="J129" i="3"/>
  <c r="I129" i="3"/>
  <c r="H129" i="3"/>
  <c r="BB128" i="3"/>
  <c r="BA128" i="3"/>
  <c r="AZ128" i="3"/>
  <c r="AY128" i="3"/>
  <c r="AQ128" i="3"/>
  <c r="AP128" i="3"/>
  <c r="AO128" i="3"/>
  <c r="AG128" i="3"/>
  <c r="AF128" i="3"/>
  <c r="AE128" i="3"/>
  <c r="S128" i="3"/>
  <c r="K128" i="3"/>
  <c r="J128" i="3"/>
  <c r="I128" i="3"/>
  <c r="H128" i="3"/>
  <c r="BB127" i="3"/>
  <c r="BA127" i="3"/>
  <c r="AZ127" i="3"/>
  <c r="AY127" i="3"/>
  <c r="AQ127" i="3"/>
  <c r="AP127" i="3"/>
  <c r="AO127" i="3"/>
  <c r="AG127" i="3"/>
  <c r="AF127" i="3"/>
  <c r="AE127" i="3"/>
  <c r="S127" i="3"/>
  <c r="I127" i="3"/>
  <c r="H127" i="3"/>
  <c r="BB126" i="3"/>
  <c r="BA126" i="3"/>
  <c r="AZ126" i="3"/>
  <c r="AY126" i="3"/>
  <c r="AQ126" i="3"/>
  <c r="AP126" i="3"/>
  <c r="AO126" i="3"/>
  <c r="AG126" i="3"/>
  <c r="AF126" i="3"/>
  <c r="AE126" i="3"/>
  <c r="S126" i="3"/>
  <c r="I126" i="3"/>
  <c r="H126" i="3"/>
  <c r="S125" i="3"/>
  <c r="AP115" i="3"/>
  <c r="AB115" i="3"/>
  <c r="U115" i="3"/>
  <c r="AP114" i="3"/>
  <c r="AB114" i="3"/>
  <c r="U114" i="3"/>
  <c r="AP113" i="3"/>
  <c r="AB113" i="3"/>
  <c r="U113" i="3"/>
  <c r="AP112" i="3"/>
  <c r="AB112" i="3"/>
  <c r="U112" i="3"/>
  <c r="AP111" i="3"/>
  <c r="AI111" i="3"/>
  <c r="AB111" i="3"/>
  <c r="U111" i="3"/>
  <c r="N111" i="3"/>
  <c r="G111" i="3"/>
  <c r="AP110" i="3"/>
  <c r="AI110" i="3"/>
  <c r="AB110" i="3"/>
  <c r="U110" i="3"/>
  <c r="N110" i="3"/>
  <c r="G110" i="3"/>
  <c r="AP109" i="3"/>
  <c r="AI109" i="3"/>
  <c r="AB109" i="3"/>
  <c r="U109" i="3"/>
  <c r="N109" i="3"/>
  <c r="G109" i="3"/>
  <c r="AP108" i="3"/>
  <c r="AI108" i="3"/>
  <c r="AB108" i="3"/>
  <c r="U108" i="3"/>
  <c r="N108" i="3"/>
  <c r="G108" i="3"/>
  <c r="AP107" i="3"/>
  <c r="AI107" i="3"/>
  <c r="AB107" i="3"/>
  <c r="U107" i="3"/>
  <c r="N107" i="3"/>
  <c r="G107" i="3"/>
  <c r="AP106" i="3"/>
  <c r="AI106" i="3"/>
  <c r="AB106" i="3"/>
  <c r="U106" i="3"/>
  <c r="N106" i="3"/>
  <c r="G106" i="3"/>
  <c r="AP105" i="3"/>
  <c r="AI105" i="3"/>
  <c r="AB105" i="3"/>
  <c r="U105" i="3"/>
  <c r="N105" i="3"/>
  <c r="G105" i="3"/>
  <c r="AP104" i="3"/>
  <c r="AI104" i="3"/>
  <c r="AB104" i="3"/>
  <c r="U104" i="3"/>
  <c r="N104" i="3"/>
  <c r="G104" i="3"/>
  <c r="AP103" i="3"/>
  <c r="AI103" i="3"/>
  <c r="AB103" i="3"/>
  <c r="U103" i="3"/>
  <c r="N103" i="3"/>
  <c r="G103" i="3"/>
  <c r="AP102" i="3"/>
  <c r="AI102" i="3"/>
  <c r="AB102" i="3"/>
  <c r="U102" i="3"/>
  <c r="N102" i="3"/>
  <c r="G102" i="3"/>
  <c r="AP101" i="3"/>
  <c r="AI101" i="3"/>
  <c r="AB101" i="3"/>
  <c r="U101" i="3"/>
  <c r="N101" i="3"/>
  <c r="G101" i="3"/>
  <c r="AP100" i="3"/>
  <c r="AI100" i="3"/>
  <c r="AB100" i="3"/>
  <c r="U100" i="3"/>
  <c r="N100" i="3"/>
  <c r="G100" i="3"/>
  <c r="AP99" i="3"/>
  <c r="AI99" i="3"/>
  <c r="AB99" i="3"/>
  <c r="U99" i="3"/>
  <c r="N99" i="3"/>
  <c r="G99" i="3"/>
  <c r="AP98" i="3"/>
  <c r="AI98" i="3"/>
  <c r="AB98" i="3"/>
  <c r="U98" i="3"/>
  <c r="N98" i="3"/>
  <c r="G98" i="3"/>
  <c r="AP97" i="3"/>
  <c r="AI97" i="3"/>
  <c r="AB97" i="3"/>
  <c r="U97" i="3"/>
  <c r="N97" i="3"/>
  <c r="G97" i="3"/>
  <c r="AP96" i="3"/>
  <c r="AI96" i="3"/>
  <c r="AB96" i="3"/>
  <c r="U96" i="3"/>
  <c r="N96" i="3"/>
  <c r="G96" i="3"/>
  <c r="AP95" i="3"/>
  <c r="AI95" i="3"/>
  <c r="AB95" i="3"/>
  <c r="U95" i="3"/>
  <c r="N95" i="3"/>
  <c r="G95" i="3"/>
  <c r="AP94" i="3"/>
  <c r="AI94" i="3"/>
  <c r="AB94" i="3"/>
  <c r="U94" i="3"/>
  <c r="N94" i="3"/>
  <c r="G94" i="3"/>
  <c r="AP93" i="3"/>
  <c r="AI93" i="3"/>
  <c r="AB93" i="3"/>
  <c r="U93" i="3"/>
  <c r="N93" i="3"/>
  <c r="G93" i="3"/>
  <c r="AP92" i="3"/>
  <c r="AI92" i="3"/>
  <c r="AB92" i="3"/>
  <c r="U92" i="3"/>
  <c r="N92" i="3"/>
  <c r="G92" i="3"/>
  <c r="AP91" i="3"/>
  <c r="AI91" i="3"/>
  <c r="AB91" i="3"/>
  <c r="U91" i="3"/>
  <c r="N91" i="3"/>
  <c r="G91" i="3"/>
  <c r="AP90" i="3"/>
  <c r="AI90" i="3"/>
  <c r="AB90" i="3"/>
  <c r="U90" i="3"/>
  <c r="N90" i="3"/>
  <c r="G90" i="3"/>
  <c r="AP89" i="3"/>
  <c r="AI89" i="3"/>
  <c r="AB89" i="3"/>
  <c r="U89" i="3"/>
  <c r="N89" i="3"/>
  <c r="G89" i="3"/>
  <c r="AP88" i="3"/>
  <c r="AI88" i="3"/>
  <c r="AB88" i="3"/>
  <c r="U88" i="3"/>
  <c r="N88" i="3"/>
  <c r="G88" i="3"/>
  <c r="AP87" i="3"/>
  <c r="AI87" i="3"/>
  <c r="AB87" i="3"/>
  <c r="U87" i="3"/>
  <c r="N87" i="3"/>
  <c r="G87" i="3"/>
  <c r="AP86" i="3"/>
  <c r="AI86" i="3"/>
  <c r="AB86" i="3"/>
  <c r="U86" i="3"/>
  <c r="N86" i="3"/>
  <c r="G86" i="3"/>
  <c r="AP85" i="3"/>
  <c r="AI85" i="3"/>
  <c r="AB85" i="3"/>
  <c r="U85" i="3"/>
  <c r="N85" i="3"/>
  <c r="G85" i="3"/>
  <c r="AP84" i="3"/>
  <c r="AI84" i="3"/>
  <c r="AB84" i="3"/>
  <c r="U84" i="3"/>
  <c r="N84" i="3"/>
  <c r="G84" i="3"/>
  <c r="AP83" i="3"/>
  <c r="AI83" i="3"/>
  <c r="AB83" i="3"/>
  <c r="U83" i="3"/>
  <c r="N83" i="3"/>
  <c r="G83" i="3"/>
  <c r="AP82" i="3"/>
  <c r="AI82" i="3"/>
  <c r="AB82" i="3"/>
  <c r="U82" i="3"/>
  <c r="N82" i="3"/>
  <c r="G82" i="3"/>
  <c r="AP81" i="3"/>
  <c r="AI81" i="3"/>
  <c r="AB81" i="3"/>
  <c r="U81" i="3"/>
  <c r="N81" i="3"/>
  <c r="G81" i="3"/>
  <c r="AP80" i="3"/>
  <c r="AI80" i="3"/>
  <c r="AB80" i="3"/>
  <c r="U80" i="3"/>
  <c r="N80" i="3"/>
  <c r="G80" i="3"/>
  <c r="M47" i="3"/>
  <c r="L47" i="3"/>
  <c r="F47" i="3"/>
  <c r="M46" i="3"/>
  <c r="L46" i="3"/>
  <c r="F46" i="3"/>
  <c r="M45" i="3"/>
  <c r="L45" i="3"/>
  <c r="F45" i="3"/>
  <c r="Q37" i="3"/>
  <c r="K37" i="3"/>
  <c r="E37" i="3"/>
  <c r="Q36" i="3"/>
  <c r="K36" i="3"/>
  <c r="E36" i="3"/>
  <c r="Q35" i="3"/>
  <c r="K35" i="3"/>
  <c r="E35" i="3"/>
  <c r="Q34" i="3"/>
  <c r="K34" i="3"/>
  <c r="E34" i="3"/>
  <c r="Q33" i="3"/>
  <c r="K33" i="3"/>
  <c r="E33" i="3"/>
  <c r="P22" i="3"/>
  <c r="P21" i="3"/>
  <c r="P20" i="3"/>
  <c r="U19" i="3"/>
  <c r="P19" i="3"/>
  <c r="U18" i="3"/>
  <c r="P18" i="3"/>
  <c r="U17" i="3"/>
  <c r="P17" i="3"/>
  <c r="C24" i="1" l="1"/>
  <c r="D24" i="1" s="1"/>
  <c r="C25" i="1"/>
  <c r="D25" i="1" s="1"/>
  <c r="C26" i="1"/>
  <c r="D26" i="1" s="1"/>
  <c r="F23" i="2"/>
  <c r="C23" i="1" l="1"/>
  <c r="D23" i="1" s="1"/>
  <c r="G21" i="1" s="1"/>
  <c r="G22" i="1"/>
  <c r="D24" i="2" l="1"/>
  <c r="E24" i="2" s="1"/>
  <c r="G23" i="1"/>
  <c r="G24" i="1"/>
  <c r="H24" i="1" s="1"/>
  <c r="C26" i="2"/>
  <c r="C25" i="2"/>
  <c r="D25" i="2" l="1"/>
  <c r="E25" i="2" s="1"/>
  <c r="M25" i="2"/>
  <c r="L25" i="2" s="1"/>
  <c r="D26" i="2"/>
  <c r="E26" i="2" s="1"/>
  <c r="M26" i="2"/>
  <c r="L26" i="2" s="1"/>
  <c r="F24" i="2"/>
  <c r="F26" i="2" l="1"/>
  <c r="G26" i="2" s="1"/>
  <c r="F25" i="2"/>
</calcChain>
</file>

<file path=xl/comments1.xml><?xml version="1.0" encoding="utf-8"?>
<comments xmlns="http://schemas.openxmlformats.org/spreadsheetml/2006/main">
  <authors>
    <author>---</author>
    <author xml:space="preserve">   </author>
  </authors>
  <commentList>
    <comment ref="C10" authorId="0" shapeId="0">
      <text>
        <r>
          <rPr>
            <sz val="9"/>
            <color indexed="81"/>
            <rFont val="Segoe UI"/>
            <family val="2"/>
          </rPr>
          <t>Desnível entre 2 pontos especificados na primeira coluna.</t>
        </r>
      </text>
    </comment>
    <comment ref="F10" authorId="0" shapeId="0">
      <text>
        <r>
          <rPr>
            <sz val="9"/>
            <color indexed="81"/>
            <rFont val="Segoe UI"/>
            <family val="2"/>
          </rPr>
          <t>Pressão teórica no final do trecho.</t>
        </r>
      </text>
    </comment>
    <comment ref="G20" authorId="0" shapeId="0">
      <text>
        <r>
          <rPr>
            <sz val="9"/>
            <color indexed="81"/>
            <rFont val="Segoe UI"/>
            <family val="2"/>
          </rPr>
          <t>Pressão real no final do trecho.</t>
        </r>
      </text>
    </comment>
    <comment ref="E23" authorId="1" shapeId="0">
      <text>
        <r>
          <rPr>
            <sz val="9"/>
            <color indexed="81"/>
            <rFont val="Segoe UI"/>
            <family val="2"/>
          </rPr>
          <t>Tubulação equivalente em série
DI1 = 120 mm
DI2 = 97,6 mm</t>
        </r>
      </text>
    </comment>
  </commentList>
</comments>
</file>

<file path=xl/comments2.xml><?xml version="1.0" encoding="utf-8"?>
<comments xmlns="http://schemas.openxmlformats.org/spreadsheetml/2006/main">
  <authors>
    <author>---</author>
  </authors>
  <commentList>
    <comment ref="C10" authorId="0" shapeId="0">
      <text>
        <r>
          <rPr>
            <sz val="9"/>
            <color indexed="81"/>
            <rFont val="Segoe UI"/>
            <family val="2"/>
          </rPr>
          <t>Desnível entre 2 pontos especificados na primeira coluna.</t>
        </r>
      </text>
    </comment>
    <comment ref="F10" authorId="0" shapeId="0">
      <text>
        <r>
          <rPr>
            <sz val="9"/>
            <color indexed="81"/>
            <rFont val="Segoe UI"/>
            <family val="2"/>
          </rPr>
          <t>Pressão teórica no final do trecho.</t>
        </r>
      </text>
    </comment>
    <comment ref="F13" authorId="0" shapeId="0">
      <text>
        <r>
          <rPr>
            <sz val="9"/>
            <color indexed="81"/>
            <rFont val="Segoe UI"/>
            <family val="2"/>
          </rPr>
          <t>Po/</t>
        </r>
        <r>
          <rPr>
            <sz val="9"/>
            <color indexed="81"/>
            <rFont val="Symbol"/>
            <family val="1"/>
            <charset val="2"/>
          </rPr>
          <t>g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  <comment ref="L11" authorId="0" shapeId="0">
      <text>
        <r>
          <rPr>
            <b/>
            <sz val="9"/>
            <color indexed="81"/>
            <rFont val="Segoe UI"/>
            <family val="2"/>
          </rPr>
          <t>Diâmetro interno (DI)</t>
        </r>
      </text>
    </comment>
  </commentList>
</comments>
</file>

<file path=xl/sharedStrings.xml><?xml version="1.0" encoding="utf-8"?>
<sst xmlns="http://schemas.openxmlformats.org/spreadsheetml/2006/main" count="2453" uniqueCount="709">
  <si>
    <t>LEB 5008 - Hidráulica Aplicada</t>
  </si>
  <si>
    <t>PPGESA - LEB - ESALQ/USP</t>
  </si>
  <si>
    <t>Sistemas de Derivação - 1º Caso</t>
  </si>
  <si>
    <t>Dados:</t>
  </si>
  <si>
    <t>Solução de sistema com 4 trechos (R-0; 0-A; 0-B; 0-C)</t>
  </si>
  <si>
    <t>Pontos</t>
  </si>
  <si>
    <t>Q</t>
  </si>
  <si>
    <t>(L/s)</t>
  </si>
  <si>
    <t>(mca)</t>
  </si>
  <si>
    <t>C</t>
  </si>
  <si>
    <t>(m)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</si>
  <si>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z</t>
    </r>
  </si>
  <si>
    <t>R</t>
  </si>
  <si>
    <r>
      <t>hf</t>
    </r>
    <r>
      <rPr>
        <vertAlign val="subscript"/>
        <sz val="11"/>
        <color theme="1"/>
        <rFont val="Calibri"/>
        <family val="2"/>
        <scheme val="minor"/>
      </rPr>
      <t>T</t>
    </r>
  </si>
  <si>
    <t>---</t>
  </si>
  <si>
    <t>J</t>
  </si>
  <si>
    <t>L</t>
  </si>
  <si>
    <t>Solução</t>
  </si>
  <si>
    <t>(mm)</t>
  </si>
  <si>
    <r>
      <t>D</t>
    </r>
    <r>
      <rPr>
        <vertAlign val="subscript"/>
        <sz val="11"/>
        <color theme="1"/>
        <rFont val="Calibri"/>
        <family val="2"/>
        <scheme val="minor"/>
      </rPr>
      <t>t</t>
    </r>
  </si>
  <si>
    <r>
      <t>hf</t>
    </r>
    <r>
      <rPr>
        <vertAlign val="subscript"/>
        <sz val="11"/>
        <color theme="1"/>
        <rFont val="Calibri"/>
        <family val="2"/>
        <scheme val="minor"/>
      </rPr>
      <t>c</t>
    </r>
  </si>
  <si>
    <r>
      <t>P</t>
    </r>
    <r>
      <rPr>
        <vertAlign val="subscript"/>
        <sz val="11"/>
        <color theme="1"/>
        <rFont val="Calibri"/>
        <family val="2"/>
        <scheme val="minor"/>
      </rPr>
      <t>tf</t>
    </r>
  </si>
  <si>
    <r>
      <rPr>
        <sz val="11"/>
        <color theme="1"/>
        <rFont val="Calibri"/>
        <family val="2"/>
        <scheme val="minor"/>
      </rPr>
      <t xml:space="preserve">Dados: L,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z, C, Q, P</t>
    </r>
    <r>
      <rPr>
        <vertAlign val="subscript"/>
        <sz val="11"/>
        <color theme="1"/>
        <rFont val="Calibri"/>
        <family val="2"/>
        <scheme val="minor"/>
      </rPr>
      <t>tf</t>
    </r>
  </si>
  <si>
    <r>
      <t>Incógnitas: D, hf, P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mbol"/>
        <family val="1"/>
        <charset val="2"/>
      </rPr>
      <t>g</t>
    </r>
  </si>
  <si>
    <r>
      <t>Incógnitas: Q, hf, P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mbol"/>
        <family val="1"/>
        <charset val="2"/>
      </rPr>
      <t>g</t>
    </r>
  </si>
  <si>
    <r>
      <t>Q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</si>
  <si>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Q = </t>
    </r>
  </si>
  <si>
    <t>Verificação:</t>
  </si>
  <si>
    <r>
      <t xml:space="preserve">Dados: D, L,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z, C</t>
    </r>
  </si>
  <si>
    <r>
      <t xml:space="preserve">¬ </t>
    </r>
    <r>
      <rPr>
        <sz val="11"/>
        <color theme="1"/>
        <rFont val="Calibri"/>
        <family val="2"/>
        <scheme val="minor"/>
      </rPr>
      <t>Po</t>
    </r>
    <r>
      <rPr>
        <sz val="11"/>
        <color theme="1"/>
        <rFont val="Symbol"/>
        <family val="1"/>
        <charset val="2"/>
      </rPr>
      <t>/g</t>
    </r>
  </si>
  <si>
    <t>Planilha para Projeto de Sistemas de Irrigação por Aspersão em Pastagens</t>
  </si>
  <si>
    <t>Prof. Dr. Fernando Campos Mendonça</t>
  </si>
  <si>
    <t>ESALQ/USP - Depto. de Engenharia de Biossistemas</t>
  </si>
  <si>
    <t>Av. Pádua Dias, 11  -  CEP 13418-900  -  Piracicaba - SP</t>
  </si>
  <si>
    <t>(19) 3447-8539 / 8541  -  fernando.mendonca@usp.br</t>
  </si>
  <si>
    <t>Tubos de PVC - Dimensões Básicas</t>
  </si>
  <si>
    <t>Tubos de PVC Linha Marrom</t>
  </si>
  <si>
    <t>Tubos de PVC Azul - Linha ERR</t>
  </si>
  <si>
    <t>Tubos de PVC Azul - Linha Fixa</t>
  </si>
  <si>
    <t>Água fria – Soldável – Norma: NBR 5648/99</t>
  </si>
  <si>
    <t>Norma ABNT - NBR 14312/99.</t>
  </si>
  <si>
    <t>PN80</t>
  </si>
  <si>
    <t>PN40</t>
  </si>
  <si>
    <t>PN60</t>
  </si>
  <si>
    <t>DN</t>
  </si>
  <si>
    <t>DE</t>
  </si>
  <si>
    <t>Parede</t>
  </si>
  <si>
    <t>Qmáx</t>
  </si>
  <si>
    <t>DI</t>
  </si>
  <si>
    <t>50 (2")</t>
  </si>
  <si>
    <t>75 (3")</t>
  </si>
  <si>
    <t>Tubos de PVC Azul - Linha DEFOFO JE/JEI</t>
  </si>
  <si>
    <t>Norma ABNT - NBR 14311/99.</t>
  </si>
  <si>
    <t>PN125</t>
  </si>
  <si>
    <t>Dimensões Básicas - Tubos de PVC Azul - Linha Agropecuário (Fixa)</t>
  </si>
  <si>
    <t>Dimensões Básicas - Tubos de PE preto - Linha Agropecuário (TIGRE)</t>
  </si>
  <si>
    <t>Dimensões Básicas - Tubos de PELBD - Linha Agropecuário (Naan Dan Jain)</t>
  </si>
  <si>
    <t>Dimensões Básicas - Tubos de PEMD - Linha Agropecuário (Naan Dan Jain)</t>
  </si>
  <si>
    <t>25 (3/4")</t>
  </si>
  <si>
    <t>-</t>
  </si>
  <si>
    <t>32 (1")</t>
  </si>
  <si>
    <t>40 (1 1/4")</t>
  </si>
  <si>
    <t>ASPERSORES</t>
  </si>
  <si>
    <t>MOTORES</t>
  </si>
  <si>
    <t>Marcas /Modelos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</si>
  <si>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Potência do motor elétrico:</t>
    </r>
  </si>
  <si>
    <t>FABRIMAR:</t>
  </si>
  <si>
    <t>ECO A232 (capacete branco e verde)</t>
  </si>
  <si>
    <t>Potência necessária na bomba</t>
  </si>
  <si>
    <t>Potência do motor elétrico</t>
  </si>
  <si>
    <t>MIDI (padrão e setorial)</t>
  </si>
  <si>
    <t>(HP ou CV)</t>
  </si>
  <si>
    <t>CV</t>
  </si>
  <si>
    <t>kW</t>
  </si>
  <si>
    <t>Pingo (padrão e setorial)</t>
  </si>
  <si>
    <t xml:space="preserve">   0 – 0,4</t>
  </si>
  <si>
    <r>
      <t xml:space="preserve">0,75 </t>
    </r>
    <r>
      <rPr>
        <sz val="10"/>
        <rFont val="Times New Roman"/>
        <family val="1"/>
      </rPr>
      <t>(+88%)</t>
    </r>
  </si>
  <si>
    <t>AGROPOLO:</t>
  </si>
  <si>
    <t>NY-7; NY-12; NY-25; NY-30</t>
  </si>
  <si>
    <t>0,41 – 0,7</t>
  </si>
  <si>
    <r>
      <t xml:space="preserve">1,00 </t>
    </r>
    <r>
      <rPr>
        <sz val="10"/>
        <rFont val="Times New Roman"/>
        <family val="1"/>
      </rPr>
      <t>(+144% a 43%)</t>
    </r>
  </si>
  <si>
    <t>IS-30</t>
  </si>
  <si>
    <t>0,71 – 1,2</t>
  </si>
  <si>
    <r>
      <t xml:space="preserve">1,50 </t>
    </r>
    <r>
      <rPr>
        <sz val="10"/>
        <rFont val="Times New Roman"/>
        <family val="1"/>
      </rPr>
      <t>(+111% a 25%)</t>
    </r>
  </si>
  <si>
    <t>AGROJET:</t>
  </si>
  <si>
    <t>Agrojet Agrícola</t>
  </si>
  <si>
    <t>1,21 – 1,6</t>
  </si>
  <si>
    <r>
      <t xml:space="preserve">2,00 </t>
    </r>
    <r>
      <rPr>
        <sz val="10"/>
        <rFont val="Times New Roman"/>
        <family val="1"/>
      </rPr>
      <t>(+65% a 25%)</t>
    </r>
  </si>
  <si>
    <t>SENNINGER:</t>
  </si>
  <si>
    <t>2009HD-1-1/2" M, 2014HS-1-1/2" M, 2023HS-1-1/2" M</t>
  </si>
  <si>
    <t xml:space="preserve"> 1,61 – 15,0</t>
  </si>
  <si>
    <t>------- 20% de folga ------</t>
  </si>
  <si>
    <t>3012-1-3/4" M, 3023-2-3/4" M</t>
  </si>
  <si>
    <t>&gt; 15,0</t>
  </si>
  <si>
    <t>------- 15% de folga ------</t>
  </si>
  <si>
    <t>4012-1-3/4" M, 4023-1-3/4" M, 4023-2-3/4" M</t>
  </si>
  <si>
    <t>5012-1-3/4" M, 5023-1-3/4" M, 5023-2-3/4" M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</si>
  <si>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Potências nominais de motores elétricos padronizados (Norma ABNT) – em CV</t>
    </r>
  </si>
  <si>
    <t>7025RD-1-1" M, 7025RD-2-1" M,</t>
  </si>
  <si>
    <t>1/12</t>
  </si>
  <si>
    <t>1/8</t>
  </si>
  <si>
    <t>1/6</t>
  </si>
  <si>
    <t>1/4</t>
  </si>
  <si>
    <t>1/3</t>
  </si>
  <si>
    <t>1/2</t>
  </si>
  <si>
    <t>3/4</t>
  </si>
  <si>
    <t>8025RD-1-1 1/4" M, 8025RD-2-1 1/4" M,</t>
  </si>
  <si>
    <t>NAANDANJAIN: 5022; 5022SD; SUPER10; 5035; 5035G; 5035PC;</t>
  </si>
  <si>
    <t xml:space="preserve">   224; 427 1/2'' M ou 3/4'' F;  423 1/2'' M ou 3/4'' F</t>
  </si>
  <si>
    <t xml:space="preserve">   233 3/4'' M ou F</t>
  </si>
  <si>
    <t>Obs.: Os valores de diâmetro molhado foram obtidos em laboratório, sem vento.</t>
  </si>
  <si>
    <t xml:space="preserve">         Os dados constantes nas tabelas são os mesmos dos catálogos dos fabricantes</t>
  </si>
  <si>
    <t xml:space="preserve">         Dados de novos aspersores podem ser acrescentados abaixo ou ao lado das tabelas existentes</t>
  </si>
  <si>
    <t>TABELA DE DESEMPENHO</t>
  </si>
  <si>
    <t>Aspersor FABRIMAR ECO A232</t>
  </si>
  <si>
    <t>Aspersor FABRIMAR MIDI Setorial ou 360º - 1 bocal</t>
  </si>
  <si>
    <t>Aspersor FABRIMAR MIDI 360º - 2 bocais</t>
  </si>
  <si>
    <t>Aspersor Pingo Setorial ou 360º - 1 bocal</t>
  </si>
  <si>
    <t>Aspersor Pingo 360º - 2 bocais</t>
  </si>
  <si>
    <t>Combinação de           bocais</t>
  </si>
  <si>
    <t>Capacete Branco - Vazão Normal</t>
  </si>
  <si>
    <t>Capacete Verde - Baixa Vazão</t>
  </si>
  <si>
    <t>Setorial ou 360º</t>
  </si>
  <si>
    <t>360º - 2 bocais</t>
  </si>
  <si>
    <t>Pressão de serviço</t>
  </si>
  <si>
    <t>Vazão        total</t>
  </si>
  <si>
    <t>Diâmetro irrigado</t>
  </si>
  <si>
    <t>Espaçamento</t>
  </si>
  <si>
    <t>recomendado (máx.)</t>
  </si>
  <si>
    <t>A x L</t>
  </si>
  <si>
    <t>Ia</t>
  </si>
  <si>
    <t>(mm x mm)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</si>
  <si>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/h)</t>
    </r>
  </si>
  <si>
    <t>(m x m)</t>
  </si>
  <si>
    <t>mm/h</t>
  </si>
  <si>
    <t>18 x 24</t>
  </si>
  <si>
    <t>12 x 18</t>
  </si>
  <si>
    <t>3.6 x 2.6</t>
  </si>
  <si>
    <t>2.6               (roxo)</t>
  </si>
  <si>
    <t>12 x 12</t>
  </si>
  <si>
    <t>2.6 x 2.4               (roxo x preto)</t>
  </si>
  <si>
    <t>x</t>
  </si>
  <si>
    <t>24 x 24</t>
  </si>
  <si>
    <t>12 x 15</t>
  </si>
  <si>
    <t>15 x 15</t>
  </si>
  <si>
    <t>4.0 x 2.8</t>
  </si>
  <si>
    <t>2.8         (verde)</t>
  </si>
  <si>
    <t>2.8 x 2.4        (verde x preto)</t>
  </si>
  <si>
    <t>18 x 18</t>
  </si>
  <si>
    <t>4.4 x 3.2</t>
  </si>
  <si>
    <t>3.0        (vermelho)</t>
  </si>
  <si>
    <t>3.0 x 2.6    (vermelho x roxo)</t>
  </si>
  <si>
    <t>4.8 x 3.2</t>
  </si>
  <si>
    <t>3.2        (cinza)</t>
  </si>
  <si>
    <t>3.2 x 2.6         (cinza x roxo)</t>
  </si>
  <si>
    <t>5.2 x 3.2</t>
  </si>
  <si>
    <t>3.4        (verde claro)</t>
  </si>
  <si>
    <t>3.4 x 2.6       (verde claro x roxo)</t>
  </si>
  <si>
    <t>5.6 x 3.2</t>
  </si>
  <si>
    <t>3.6        (ciano)</t>
  </si>
  <si>
    <t>3.6 x 2.8       (ciano x verde)</t>
  </si>
  <si>
    <t>6.0 x 3.6</t>
  </si>
  <si>
    <t>3.8        (marrom)</t>
  </si>
  <si>
    <t>3.8 x 2.8       (marrom x verde)</t>
  </si>
  <si>
    <t>6.6 x 3.6</t>
  </si>
  <si>
    <t>4.0       (amarelo)</t>
  </si>
  <si>
    <t>4.0 x 2.8       (amarelo x verde)</t>
  </si>
  <si>
    <t>7.2 x 3.6</t>
  </si>
  <si>
    <t>4.0 x 3.2       (amarelo x verde)</t>
  </si>
  <si>
    <t>Aspersor AGROPOLO NY-25 rosca fêmea 3/4" ou 1"</t>
  </si>
  <si>
    <t>Aspersor AGROPOLO NY-30 rosca fêmea 1"</t>
  </si>
  <si>
    <t>Aspersor AGROPOLO NY-12 rosca fêmea 3/4" ou 1"</t>
  </si>
  <si>
    <t>Aspersor AGROPOLO NY-7 rosca fêmea 1"</t>
  </si>
  <si>
    <t>Aspersor AGROPOLO IS-30 rosca fêmea 1"</t>
  </si>
  <si>
    <t>Combinação de             bocais</t>
  </si>
  <si>
    <t>Cor dos bocais</t>
  </si>
  <si>
    <t>Código</t>
  </si>
  <si>
    <t>Características operacionais</t>
  </si>
  <si>
    <t>Combinação de bocais</t>
  </si>
  <si>
    <t>Diâmetro do bocal (mm)</t>
  </si>
  <si>
    <t>Combinação     de         bocais</t>
  </si>
  <si>
    <t>bocais</t>
  </si>
  <si>
    <t>Vazão      total</t>
  </si>
  <si>
    <t>Intensidade de aplicação                                               (mm/h)</t>
  </si>
  <si>
    <t>pressão de serviço</t>
  </si>
  <si>
    <t>vazão total</t>
  </si>
  <si>
    <t>diâmetro irrigado</t>
  </si>
  <si>
    <t>Intensidade de aplicação  (mm/h)</t>
  </si>
  <si>
    <t>Intensidade de aplicação                                    (mm/h)</t>
  </si>
  <si>
    <t>Espaçamento (Aspersores x Linhas)</t>
  </si>
  <si>
    <t>6 x 12</t>
  </si>
  <si>
    <t>6 x 6</t>
  </si>
  <si>
    <t>Tampão</t>
  </si>
  <si>
    <t>6 x 18</t>
  </si>
  <si>
    <t>Amarelo</t>
  </si>
  <si>
    <t>3027- ER</t>
  </si>
  <si>
    <t>Verde</t>
  </si>
  <si>
    <t>Longo preto</t>
  </si>
  <si>
    <t>7885 - 3/4"</t>
  </si>
  <si>
    <t>Preto</t>
  </si>
  <si>
    <t>4491 - ERL</t>
  </si>
  <si>
    <t>8460 - 3/4"</t>
  </si>
  <si>
    <t>6958 - ER *</t>
  </si>
  <si>
    <t>2881 - ER*</t>
  </si>
  <si>
    <t>8048 - 1"</t>
  </si>
  <si>
    <t>8501 - 1"</t>
  </si>
  <si>
    <t>6987 - ERL **</t>
  </si>
  <si>
    <t>2894 - ERL**</t>
  </si>
  <si>
    <t>Curto Vermelho</t>
  </si>
  <si>
    <t>6961 - ER</t>
  </si>
  <si>
    <t>Longo Amarelo</t>
  </si>
  <si>
    <t>7900 - 3/4"</t>
  </si>
  <si>
    <t>4488 - ER</t>
  </si>
  <si>
    <t>Vermelho</t>
  </si>
  <si>
    <t>8473 - 3/4"</t>
  </si>
  <si>
    <t>Cinza</t>
  </si>
  <si>
    <t>7348 - ERL</t>
  </si>
  <si>
    <t>2882 - ER*</t>
  </si>
  <si>
    <t>8051 - 1"</t>
  </si>
  <si>
    <t>4503 - ERL</t>
  </si>
  <si>
    <t>8514 - 1"</t>
  </si>
  <si>
    <t>Azul</t>
  </si>
  <si>
    <t>2895 - ERL**</t>
  </si>
  <si>
    <t>6974 - ER</t>
  </si>
  <si>
    <t>7351 - ERL</t>
  </si>
  <si>
    <t xml:space="preserve"> * Eixo em nylon</t>
  </si>
  <si>
    <t xml:space="preserve"> ** Eixo em latão</t>
  </si>
  <si>
    <t>7926 - 3/4"</t>
  </si>
  <si>
    <t>8486 - 3/4"</t>
  </si>
  <si>
    <t>8064 - 1"</t>
  </si>
  <si>
    <t>Longo Verde</t>
  </si>
  <si>
    <t>8527 - 1"</t>
  </si>
  <si>
    <t>2822 - ER</t>
  </si>
  <si>
    <t>2851 - ERL</t>
  </si>
  <si>
    <t>7939 - 3/4"</t>
  </si>
  <si>
    <t>Laranja</t>
  </si>
  <si>
    <t>8499 - 3/4"</t>
  </si>
  <si>
    <t>8080 - 1"</t>
  </si>
  <si>
    <t>8530 - 1"</t>
  </si>
  <si>
    <t>Longo Vermelho</t>
  </si>
  <si>
    <t>7830 - 3/4"</t>
  </si>
  <si>
    <t>2835 - ER</t>
  </si>
  <si>
    <t>7984 - 1"</t>
  </si>
  <si>
    <t>2864 - ERL</t>
  </si>
  <si>
    <t>7843 - 3/4"</t>
  </si>
  <si>
    <t>7997 - 1"</t>
  </si>
  <si>
    <t>Longo Azul</t>
  </si>
  <si>
    <t>2848 - ER</t>
  </si>
  <si>
    <t>2877 - ERL</t>
  </si>
  <si>
    <t>7856 - 3/4"</t>
  </si>
  <si>
    <t>8006 - 1"</t>
  </si>
  <si>
    <t>7869 - 3/4"</t>
  </si>
  <si>
    <t>8022 - 1"</t>
  </si>
  <si>
    <t>7872 - 3/4"</t>
  </si>
  <si>
    <t>8035 - 1"</t>
  </si>
  <si>
    <t xml:space="preserve"> * Não recomendável</t>
  </si>
  <si>
    <t>Aspersor AGROJET Agrícola</t>
  </si>
  <si>
    <t>Diâmetro dos bocais                   (mm)</t>
  </si>
  <si>
    <t>Vazão total</t>
  </si>
  <si>
    <t>Intensidade de aplicação                                                                                            (mm/h)</t>
  </si>
  <si>
    <t>Bege</t>
  </si>
  <si>
    <t>Aspersor SENNINGER 2009HD-1-1/2" M</t>
  </si>
  <si>
    <t>Aspersor SENNINGER 2014HS-1-1/2" M</t>
  </si>
  <si>
    <t>Aspersor SENNINGER 2023HS-1-1/2" M</t>
  </si>
  <si>
    <t>Características do aspersor</t>
  </si>
  <si>
    <t>Diâmetro irrigado (m)</t>
  </si>
  <si>
    <t>Alt. 0,5 m</t>
  </si>
  <si>
    <t>Alt. 2,0 m</t>
  </si>
  <si>
    <r>
      <t>Aspersor SENNINGER 3012-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-3/4" M</t>
    </r>
  </si>
  <si>
    <r>
      <t>Aspersor SENNINGER 3023-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-3/4" M</t>
    </r>
  </si>
  <si>
    <t>Alt. 1,0 m</t>
  </si>
  <si>
    <t>Alt. 1,5 m</t>
  </si>
  <si>
    <t>2.78 x 1.59</t>
  </si>
  <si>
    <t>3.18 x 1.98</t>
  </si>
  <si>
    <t>3.18 x 2.38</t>
  </si>
  <si>
    <t>3.57 x 1.98</t>
  </si>
  <si>
    <t>3.57 x 2.38</t>
  </si>
  <si>
    <t>3.97 x 1.98</t>
  </si>
  <si>
    <r>
      <t>Aspersor SENNINGER 4012-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-3/4" M</t>
    </r>
  </si>
  <si>
    <r>
      <t>Aspersor SENNINGER 4023-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-3/4" M</t>
    </r>
  </si>
  <si>
    <r>
      <t>Aspersor SENNINGER 4023-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-3/4" M</t>
    </r>
  </si>
  <si>
    <t>3.97 x 2.38</t>
  </si>
  <si>
    <t>4.37 x 2.38</t>
  </si>
  <si>
    <t>4.76 x 2.38</t>
  </si>
  <si>
    <t>5.16 x 2.38</t>
  </si>
  <si>
    <t>5.56 x 2.38</t>
  </si>
  <si>
    <r>
      <t>Aspersor SENNINGER 5012-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-3/4" M</t>
    </r>
  </si>
  <si>
    <r>
      <t>Aspersor SENNINGER 5023-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-3/4" M</t>
    </r>
  </si>
  <si>
    <r>
      <t>Aspersor SENNINGER 5023-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-3/4" M</t>
    </r>
  </si>
  <si>
    <t>5.16 x 3.18</t>
  </si>
  <si>
    <t>5.56 x 3.18</t>
  </si>
  <si>
    <t>5.95 x 3.18</t>
  </si>
  <si>
    <t>6.35 x 3.18</t>
  </si>
  <si>
    <t>6.75 x 3.18</t>
  </si>
  <si>
    <t>7.14 x 3.18</t>
  </si>
  <si>
    <r>
      <t>Aspersor SENNINGER 7025RD-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-1" M</t>
    </r>
  </si>
  <si>
    <r>
      <t>Aspersor SENNINGER 7025RD-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-1" M</t>
    </r>
  </si>
  <si>
    <t>7.14 x 3.97</t>
  </si>
  <si>
    <t>7.94 x 3.97</t>
  </si>
  <si>
    <t>7.94 x 4.76</t>
  </si>
  <si>
    <t>8.73 x 3.97</t>
  </si>
  <si>
    <t>8.73 x 4.76</t>
  </si>
  <si>
    <t>9.53 x 4.76</t>
  </si>
  <si>
    <r>
      <t>Aspersor SENNINGER 8025HR-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>-1 1/4" M</t>
    </r>
  </si>
  <si>
    <r>
      <t>Aspersor SENNINGER 8025HR-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-1 1/4" M</t>
    </r>
  </si>
  <si>
    <t>10.32 x 5.56</t>
  </si>
  <si>
    <t>11.11 x 5.56</t>
  </si>
  <si>
    <t>11.91 x 5.56</t>
  </si>
  <si>
    <t>12.7 x 6.35</t>
  </si>
  <si>
    <t>13.49 x 6.35</t>
  </si>
  <si>
    <t>14.29 x 6.35</t>
  </si>
  <si>
    <t>15.08 x 7.14</t>
  </si>
  <si>
    <t>15.88 x 7.14</t>
  </si>
  <si>
    <t>Tabela De Desempenho</t>
  </si>
  <si>
    <t>ASPERSOR NAANDANJAIN 5022 - 2 bocais</t>
  </si>
  <si>
    <t>ASPERSOR NAANDANJAIN 5022SD - 1 bocal</t>
  </si>
  <si>
    <t>ASPERSOR NAANDANJAIN 5022 - 1 bocal</t>
  </si>
  <si>
    <t xml:space="preserve">Bocal (mm)   Cor </t>
  </si>
  <si>
    <t>P (mca)</t>
  </si>
  <si>
    <t>Q (m³/h)</t>
  </si>
  <si>
    <t>D (m)</t>
  </si>
  <si>
    <t>Precipitação (mm/h) e Espaçamento (m)</t>
  </si>
  <si>
    <t xml:space="preserve">Bocal (mm) Cor </t>
  </si>
  <si>
    <t xml:space="preserve">Bocal (mm)        Cor </t>
  </si>
  <si>
    <t>10x10</t>
  </si>
  <si>
    <t>10x12</t>
  </si>
  <si>
    <t>12x12</t>
  </si>
  <si>
    <t>12x14</t>
  </si>
  <si>
    <t>14x14</t>
  </si>
  <si>
    <t>3.0 x 1.8 Vermelho</t>
  </si>
  <si>
    <t>0.76</t>
  </si>
  <si>
    <t>21.5</t>
  </si>
  <si>
    <t>7.6</t>
  </si>
  <si>
    <t>6.3</t>
  </si>
  <si>
    <t>5.3</t>
  </si>
  <si>
    <t>4.5</t>
  </si>
  <si>
    <t>3.9</t>
  </si>
  <si>
    <t>3.0 Vermelho</t>
  </si>
  <si>
    <t>0.57</t>
  </si>
  <si>
    <t>5.7</t>
  </si>
  <si>
    <t>4.8</t>
  </si>
  <si>
    <t>3.4</t>
  </si>
  <si>
    <t>2.9</t>
  </si>
  <si>
    <t>3.0   Vermelho</t>
  </si>
  <si>
    <t>0.51</t>
  </si>
  <si>
    <t>22.5</t>
  </si>
  <si>
    <t>0.84</t>
  </si>
  <si>
    <t>8.4</t>
  </si>
  <si>
    <t>5.8</t>
  </si>
  <si>
    <t>4.3</t>
  </si>
  <si>
    <t>0.63</t>
  </si>
  <si>
    <t>4.4</t>
  </si>
  <si>
    <t>3.8</t>
  </si>
  <si>
    <t>3.2</t>
  </si>
  <si>
    <t>0.9</t>
  </si>
  <si>
    <t>7.5</t>
  </si>
  <si>
    <t>5.4</t>
  </si>
  <si>
    <t>4.6</t>
  </si>
  <si>
    <t>0.68</t>
  </si>
  <si>
    <t>6.8</t>
  </si>
  <si>
    <t>4.7</t>
  </si>
  <si>
    <t>4.1</t>
  </si>
  <si>
    <t>3.5</t>
  </si>
  <si>
    <t>0.72</t>
  </si>
  <si>
    <t>0.97</t>
  </si>
  <si>
    <t>9.7</t>
  </si>
  <si>
    <t>8.1</t>
  </si>
  <si>
    <t>6.7</t>
  </si>
  <si>
    <t>4.9</t>
  </si>
  <si>
    <t>7.2</t>
  </si>
  <si>
    <t>3.7</t>
  </si>
  <si>
    <t>3.2      Verde</t>
  </si>
  <si>
    <t xml:space="preserve">      3.2 x 1.8     Verde</t>
  </si>
  <si>
    <t>0.82</t>
  </si>
  <si>
    <t>23.5</t>
  </si>
  <si>
    <t>8.2</t>
  </si>
  <si>
    <t>4.2</t>
  </si>
  <si>
    <t xml:space="preserve">      3.2       Verde</t>
  </si>
  <si>
    <t>0.64</t>
  </si>
  <si>
    <t>21.2</t>
  </si>
  <si>
    <t>6.4</t>
  </si>
  <si>
    <t>3.3</t>
  </si>
  <si>
    <t>0.7</t>
  </si>
  <si>
    <t>22.2</t>
  </si>
  <si>
    <t>3.6</t>
  </si>
  <si>
    <t>0.81</t>
  </si>
  <si>
    <t>24.5</t>
  </si>
  <si>
    <t>0.98</t>
  </si>
  <si>
    <t>9.8</t>
  </si>
  <si>
    <t>3.5                Azul</t>
  </si>
  <si>
    <t>0.66</t>
  </si>
  <si>
    <t>1.04</t>
  </si>
  <si>
    <t>10.4</t>
  </si>
  <si>
    <t>8.7</t>
  </si>
  <si>
    <t>6.2</t>
  </si>
  <si>
    <t>5.6</t>
  </si>
  <si>
    <t xml:space="preserve">      3.5 x 2.5        Azul</t>
  </si>
  <si>
    <t>11.2</t>
  </si>
  <si>
    <t>9.3</t>
  </si>
  <si>
    <t>7.7</t>
  </si>
  <si>
    <t>6.6</t>
  </si>
  <si>
    <t xml:space="preserve">      3.5      Azul</t>
  </si>
  <si>
    <t>0.74</t>
  </si>
  <si>
    <t>7.4</t>
  </si>
  <si>
    <t>5.1</t>
  </si>
  <si>
    <t>0.93</t>
  </si>
  <si>
    <t>1.23</t>
  </si>
  <si>
    <t>24.2</t>
  </si>
  <si>
    <t>12.3</t>
  </si>
  <si>
    <t>10.3</t>
  </si>
  <si>
    <t>8.5</t>
  </si>
  <si>
    <t>7.3</t>
  </si>
  <si>
    <t xml:space="preserve">4.0       Preto   </t>
  </si>
  <si>
    <t>0.85</t>
  </si>
  <si>
    <t>1.32</t>
  </si>
  <si>
    <t>24.4</t>
  </si>
  <si>
    <t>13.2</t>
  </si>
  <si>
    <t>9.2</t>
  </si>
  <si>
    <t>7.9</t>
  </si>
  <si>
    <t>0.87</t>
  </si>
  <si>
    <t>5.2</t>
  </si>
  <si>
    <t>1.03</t>
  </si>
  <si>
    <t>1.43</t>
  </si>
  <si>
    <t>14.3</t>
  </si>
  <si>
    <t>11.9</t>
  </si>
  <si>
    <t>9.9</t>
  </si>
  <si>
    <t>7.8</t>
  </si>
  <si>
    <t>6.5</t>
  </si>
  <si>
    <t>5.5</t>
  </si>
  <si>
    <t>1.18</t>
  </si>
  <si>
    <t xml:space="preserve">      4.0 x 2.5      Preto</t>
  </si>
  <si>
    <t>1.3</t>
  </si>
  <si>
    <t>10.8</t>
  </si>
  <si>
    <t xml:space="preserve">     4.0       Preto</t>
  </si>
  <si>
    <t>0.95</t>
  </si>
  <si>
    <t>23.2</t>
  </si>
  <si>
    <t>9.5</t>
  </si>
  <si>
    <t>14.6</t>
  </si>
  <si>
    <t>12.1</t>
  </si>
  <si>
    <t>10.1</t>
  </si>
  <si>
    <t>8.6</t>
  </si>
  <si>
    <t>6.1</t>
  </si>
  <si>
    <t>25.4</t>
  </si>
  <si>
    <t>15.8</t>
  </si>
  <si>
    <t>13.1</t>
  </si>
  <si>
    <t>10.9</t>
  </si>
  <si>
    <t>9.4</t>
  </si>
  <si>
    <t>1.11</t>
  </si>
  <si>
    <t>11.1</t>
  </si>
  <si>
    <t>16.8</t>
  </si>
  <si>
    <t>11.7</t>
  </si>
  <si>
    <t>11.8</t>
  </si>
  <si>
    <t>ASPERSOR NAANDANJAIN 5022SD - 2 bocais</t>
  </si>
  <si>
    <t>ASPERSOR NAANDANJAIN SUPER 10 - altura 0,6m 25°</t>
  </si>
  <si>
    <t>Cor Bocal</t>
  </si>
  <si>
    <t>Q (l/h)</t>
  </si>
  <si>
    <t>9x9</t>
  </si>
  <si>
    <t>9x10</t>
  </si>
  <si>
    <t>9x12</t>
  </si>
  <si>
    <t>3.0x1.8 Vermelho</t>
  </si>
  <si>
    <t>17.5</t>
  </si>
  <si>
    <t>3.2x1.8     Verde</t>
  </si>
  <si>
    <t>Comp.</t>
  </si>
  <si>
    <t>30-50</t>
  </si>
  <si>
    <t>5.9</t>
  </si>
  <si>
    <t>3.5x1.8       Azul</t>
  </si>
  <si>
    <t>0.89</t>
  </si>
  <si>
    <t>8.9</t>
  </si>
  <si>
    <t>7.1</t>
  </si>
  <si>
    <t>0.99</t>
  </si>
  <si>
    <t>8.3</t>
  </si>
  <si>
    <t>6.9</t>
  </si>
  <si>
    <t>3.1</t>
  </si>
  <si>
    <t>1.06</t>
  </si>
  <si>
    <t>10.6</t>
  </si>
  <si>
    <t>8.8</t>
  </si>
  <si>
    <t>1.15</t>
  </si>
  <si>
    <t>11.5</t>
  </si>
  <si>
    <t>9.6</t>
  </si>
  <si>
    <t>4.0x1.8      Preto</t>
  </si>
  <si>
    <t>1.1</t>
  </si>
  <si>
    <t>1.22</t>
  </si>
  <si>
    <t>12.2</t>
  </si>
  <si>
    <t>10.2</t>
  </si>
  <si>
    <t>1.33</t>
  </si>
  <si>
    <t>13.3</t>
  </si>
  <si>
    <t>10.5</t>
  </si>
  <si>
    <t>Comp. - Modelo Autocompensado</t>
  </si>
  <si>
    <t>ASPERSOR NAANDANJAIN 5035</t>
  </si>
  <si>
    <t>ASPERSOR NAANDANJAIN 5035G</t>
  </si>
  <si>
    <t>ASPERSOR NAANDANJAIN 5035PC</t>
  </si>
  <si>
    <t>12x15</t>
  </si>
  <si>
    <t>12x18</t>
  </si>
  <si>
    <t>18x18</t>
  </si>
  <si>
    <t>20x20</t>
  </si>
  <si>
    <t>22x22</t>
  </si>
  <si>
    <t>3.5x2.5L     Azul</t>
  </si>
  <si>
    <t>1.24</t>
  </si>
  <si>
    <t>6.5x2.5L     Cinza</t>
  </si>
  <si>
    <t>3.07</t>
  </si>
  <si>
    <t>14.2</t>
  </si>
  <si>
    <t>3.5        Azul</t>
  </si>
  <si>
    <t>0.79</t>
  </si>
  <si>
    <t>b</t>
  </si>
  <si>
    <t>3.55</t>
  </si>
  <si>
    <t>36.5</t>
  </si>
  <si>
    <t>16.4</t>
  </si>
  <si>
    <t>0.91</t>
  </si>
  <si>
    <t>1.62</t>
  </si>
  <si>
    <t>3.97</t>
  </si>
  <si>
    <t>18.4</t>
  </si>
  <si>
    <t>1.02</t>
  </si>
  <si>
    <t>4.0x2.5L     Preto</t>
  </si>
  <si>
    <t>1.49</t>
  </si>
  <si>
    <t>6.5x3.2     Cinza</t>
  </si>
  <si>
    <t>14.8</t>
  </si>
  <si>
    <t>4.0       Preto</t>
  </si>
  <si>
    <t>1.74</t>
  </si>
  <si>
    <t>17.1</t>
  </si>
  <si>
    <t>11.4</t>
  </si>
  <si>
    <t>1.2</t>
  </si>
  <si>
    <t>1.95</t>
  </si>
  <si>
    <t>4.15</t>
  </si>
  <si>
    <t>19.2</t>
  </si>
  <si>
    <t>12.8</t>
  </si>
  <si>
    <t>1.35</t>
  </si>
  <si>
    <t>4.5x2.5L       Marrom</t>
  </si>
  <si>
    <t>1.79</t>
  </si>
  <si>
    <t>29.5</t>
  </si>
  <si>
    <t>7.0x2.5L       Verde</t>
  </si>
  <si>
    <t>3.45</t>
  </si>
  <si>
    <t>4.5       Marrom</t>
  </si>
  <si>
    <t>2.07</t>
  </si>
  <si>
    <t>38.5</t>
  </si>
  <si>
    <t>1.54</t>
  </si>
  <si>
    <t>2.32</t>
  </si>
  <si>
    <t>12.9</t>
  </si>
  <si>
    <t>10.7</t>
  </si>
  <si>
    <t>4.39</t>
  </si>
  <si>
    <t>20.3</t>
  </si>
  <si>
    <t>13.5</t>
  </si>
  <si>
    <t>1.71</t>
  </si>
  <si>
    <t xml:space="preserve">5.0x2.5L    Violeta    </t>
  </si>
  <si>
    <t>2.11</t>
  </si>
  <si>
    <t>31.5</t>
  </si>
  <si>
    <t xml:space="preserve">5.0x3.2    Verde    </t>
  </si>
  <si>
    <t xml:space="preserve">5.0     Violeta    </t>
  </si>
  <si>
    <t>1.61</t>
  </si>
  <si>
    <t>2.4</t>
  </si>
  <si>
    <t>12.7</t>
  </si>
  <si>
    <t>1.87</t>
  </si>
  <si>
    <t>2.69</t>
  </si>
  <si>
    <t>14.9</t>
  </si>
  <si>
    <t>12.5</t>
  </si>
  <si>
    <t>21.3</t>
  </si>
  <si>
    <t>2.1</t>
  </si>
  <si>
    <t xml:space="preserve">5.5x2.5L Laranja      </t>
  </si>
  <si>
    <t>2.39</t>
  </si>
  <si>
    <t>2.76</t>
  </si>
  <si>
    <t>15.3</t>
  </si>
  <si>
    <t>3.09</t>
  </si>
  <si>
    <t>17.2</t>
  </si>
  <si>
    <t xml:space="preserve">6.0x2.5L Vermelho      </t>
  </si>
  <si>
    <t>2.7</t>
  </si>
  <si>
    <t>3.16</t>
  </si>
  <si>
    <t>17.6</t>
  </si>
  <si>
    <t>3.54</t>
  </si>
  <si>
    <t>19.7</t>
  </si>
  <si>
    <t>ASPERSOR NAANDANJAIN 234</t>
  </si>
  <si>
    <t>ASPERSOR NAANDANJAIN 427 1/2'' M ou 3/4'' F</t>
  </si>
  <si>
    <t>ASPERSOR NAANDANJAIN 423 1/2'' M ou 3/4'' F</t>
  </si>
  <si>
    <t>20x24</t>
  </si>
  <si>
    <t>24x24</t>
  </si>
  <si>
    <t>5.0x3.2     Violeta</t>
  </si>
  <si>
    <t>2.21</t>
  </si>
  <si>
    <t>3.2          Verde</t>
  </si>
  <si>
    <t>2.53</t>
  </si>
  <si>
    <t>2.84</t>
  </si>
  <si>
    <t>5.5x3.2     Laranja</t>
  </si>
  <si>
    <t>2.5</t>
  </si>
  <si>
    <t>3.5           Azul</t>
  </si>
  <si>
    <t>3.25</t>
  </si>
  <si>
    <t>6.0x3.2 Vermelho</t>
  </si>
  <si>
    <t>2.81</t>
  </si>
  <si>
    <t>4.0          Preto</t>
  </si>
  <si>
    <t>9.1</t>
  </si>
  <si>
    <t xml:space="preserve">6.5x3.2     Cinza  </t>
  </si>
  <si>
    <t>3.19</t>
  </si>
  <si>
    <t xml:space="preserve">4.0       Preto    </t>
  </si>
  <si>
    <t>11.3</t>
  </si>
  <si>
    <t xml:space="preserve">7.0x3.2     Verde      </t>
  </si>
  <si>
    <t>ASPERSOR NAANDANJAIN 233 3/4'' M ou F</t>
  </si>
  <si>
    <t>Cor do Sleeve</t>
  </si>
  <si>
    <t>15x15</t>
  </si>
  <si>
    <t>15x18</t>
  </si>
  <si>
    <t>18x20</t>
  </si>
  <si>
    <t>3.5x2.5L   Azul</t>
  </si>
  <si>
    <t>5.0</t>
  </si>
  <si>
    <t>4.0x2.5L   Preto</t>
  </si>
  <si>
    <t>4.5x2.5L   Marrom</t>
  </si>
  <si>
    <t>12.4</t>
  </si>
  <si>
    <t>14.4</t>
  </si>
  <si>
    <t>16.1</t>
  </si>
  <si>
    <t>5.0x2.5L   Violeta</t>
  </si>
  <si>
    <t>14.7</t>
  </si>
  <si>
    <t>16.7</t>
  </si>
  <si>
    <t>18.7</t>
  </si>
  <si>
    <t xml:space="preserve">5.5x2.5L   Laranja    </t>
  </si>
  <si>
    <t>16.6</t>
  </si>
  <si>
    <t>13.7</t>
  </si>
  <si>
    <t xml:space="preserve">6.0x2.5L   Vermelho   </t>
  </si>
  <si>
    <t>18.8</t>
  </si>
  <si>
    <t>21.9</t>
  </si>
  <si>
    <t>24.6</t>
  </si>
  <si>
    <t>15.7</t>
  </si>
  <si>
    <t>R - 0</t>
  </si>
  <si>
    <t>0 - A</t>
  </si>
  <si>
    <t>0 - B</t>
  </si>
  <si>
    <t>0 - C</t>
  </si>
  <si>
    <r>
      <t>D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(DI)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</si>
  <si>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(DI)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</si>
  <si>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(DI)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</si>
  <si>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</si>
  <si>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</si>
  <si>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D (DI)</t>
  </si>
  <si>
    <t xml:space="preserve"> 0 - A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</si>
  <si>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Q = </t>
    </r>
  </si>
  <si>
    <t>Condutos em série</t>
  </si>
  <si>
    <t>Trecho</t>
  </si>
  <si>
    <t>L (m)</t>
  </si>
  <si>
    <t>D (mm)</t>
  </si>
  <si>
    <t>paralelo</t>
  </si>
  <si>
    <t>Ds</t>
  </si>
  <si>
    <t>mm</t>
  </si>
  <si>
    <r>
      <t>m</t>
    </r>
    <r>
      <rPr>
        <vertAlign val="super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>/h</t>
    </r>
  </si>
  <si>
    <t xml:space="preserve">Q = </t>
  </si>
  <si>
    <t>m</t>
  </si>
  <si>
    <t xml:space="preserve">Les = </t>
  </si>
  <si>
    <t xml:space="preserve">Des = </t>
  </si>
  <si>
    <t xml:space="preserve">C = </t>
  </si>
  <si>
    <t>mca</t>
  </si>
  <si>
    <t xml:space="preserve">hf = </t>
  </si>
  <si>
    <t>Dp</t>
  </si>
  <si>
    <t xml:space="preserve">2m+n = </t>
  </si>
  <si>
    <t xml:space="preserve">n =  </t>
  </si>
  <si>
    <t xml:space="preserve">m =  </t>
  </si>
  <si>
    <t>Condutos em paralelo</t>
  </si>
  <si>
    <t>Condutos equivalentes em série</t>
  </si>
  <si>
    <t>Cálculo do comprimento dos trechos</t>
  </si>
  <si>
    <t>E</t>
  </si>
  <si>
    <t>J (m/m)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</si>
  <si>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</si>
  <si>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</si>
  <si>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t>DI (mm)</t>
  </si>
  <si>
    <t xml:space="preserve">De = </t>
  </si>
  <si>
    <t>n / 2 m + n =</t>
  </si>
  <si>
    <t>1 / m =</t>
  </si>
  <si>
    <t xml:space="preserve">2 m + n / m= </t>
  </si>
  <si>
    <t xml:space="preserve">2 m + n = </t>
  </si>
  <si>
    <t xml:space="preserve">n = </t>
  </si>
  <si>
    <t xml:space="preserve">m = </t>
  </si>
  <si>
    <t xml:space="preserve">D2 = </t>
  </si>
  <si>
    <t xml:space="preserve">D1 = </t>
  </si>
  <si>
    <t xml:space="preserve">Le = </t>
  </si>
  <si>
    <t xml:space="preserve">L2 = </t>
  </si>
  <si>
    <t xml:space="preserve">L1 = </t>
  </si>
  <si>
    <t>Darcy-Weisbach</t>
  </si>
  <si>
    <t>Hazen-Williams</t>
  </si>
  <si>
    <t>Flamant</t>
  </si>
  <si>
    <t>Condutos equivalentes - Aspersão em Malha</t>
  </si>
  <si>
    <t>Estimativas de vazão</t>
  </si>
  <si>
    <t>PS =</t>
  </si>
  <si>
    <t xml:space="preserve">hfmáx = 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</si>
  <si>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z = </t>
    </r>
  </si>
  <si>
    <t>m/m</t>
  </si>
  <si>
    <t>mca/m</t>
  </si>
  <si>
    <t xml:space="preserve">Je = </t>
  </si>
  <si>
    <t xml:space="preserve">J1 = </t>
  </si>
  <si>
    <t xml:space="preserve">J2 = </t>
  </si>
  <si>
    <t xml:space="preserve">Q1 = </t>
  </si>
  <si>
    <t xml:space="preserve">Q2 = </t>
  </si>
  <si>
    <t>b =</t>
  </si>
  <si>
    <t>C =</t>
  </si>
  <si>
    <t xml:space="preserve">V1 = </t>
  </si>
  <si>
    <t xml:space="preserve">V2 = </t>
  </si>
  <si>
    <t xml:space="preserve">Ve = </t>
  </si>
  <si>
    <t>m/s</t>
  </si>
  <si>
    <t xml:space="preserve">NR1 = </t>
  </si>
  <si>
    <t xml:space="preserve">NR2 = </t>
  </si>
  <si>
    <t xml:space="preserve">NRe = </t>
  </si>
  <si>
    <r>
      <t>T</t>
    </r>
    <r>
      <rPr>
        <vertAlign val="subscript"/>
        <sz val="11"/>
        <color theme="1"/>
        <rFont val="Calibri"/>
        <family val="2"/>
        <scheme val="minor"/>
      </rPr>
      <t>água</t>
    </r>
    <r>
      <rPr>
        <sz val="11"/>
        <color theme="1"/>
        <rFont val="Calibri"/>
        <family val="2"/>
        <scheme val="minor"/>
      </rPr>
      <t xml:space="preserve"> = </t>
    </r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</si>
  <si>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</si>
  <si>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rPr>
        <i/>
        <sz val="11"/>
        <color theme="1"/>
        <rFont val="Symbol"/>
        <family val="1"/>
        <charset val="2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</si>
  <si>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</si>
  <si>
    <t xml:space="preserve">Qe = </t>
  </si>
  <si>
    <t xml:space="preserve">Q1 + Q2 = </t>
  </si>
  <si>
    <t>Swamee-Jain</t>
  </si>
  <si>
    <r>
      <rPr>
        <i/>
        <sz val="14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</si>
  <si>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4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/D1 = </t>
    </r>
  </si>
  <si>
    <r>
      <rPr>
        <i/>
        <sz val="14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/D2 = </t>
    </r>
  </si>
  <si>
    <r>
      <rPr>
        <i/>
        <sz val="14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/De = </t>
    </r>
  </si>
  <si>
    <t>Cálculo de Vazão</t>
  </si>
  <si>
    <t>Cálculo de diâmetro equivalente</t>
  </si>
  <si>
    <r>
      <t>J</t>
    </r>
    <r>
      <rPr>
        <vertAlign val="subscript"/>
        <sz val="11"/>
        <color theme="1"/>
        <rFont val="Calibri"/>
        <family val="2"/>
        <scheme val="minor"/>
      </rPr>
      <t>1</t>
    </r>
  </si>
  <si>
    <r>
      <t>J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</si>
  <si>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(m/m)</t>
  </si>
  <si>
    <t>O - A</t>
  </si>
  <si>
    <t>O - B</t>
  </si>
  <si>
    <t>O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</si>
</sst>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indexed="81"/>
      <name val="Segoe UI"/>
      <family val="2"/>
    </font>
    <font>
      <sz val="9"/>
      <color indexed="81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Verdana"/>
      <family val="2"/>
    </font>
    <font>
      <b/>
      <vertAlign val="superscript"/>
      <sz val="10"/>
      <name val="Arial"/>
      <family val="2"/>
    </font>
    <font>
      <b/>
      <sz val="8"/>
      <name val="Verdana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sz val="14"/>
      <color theme="1"/>
      <name val="Symbol"/>
      <family val="1"/>
      <charset val="2"/>
    </font>
    <font>
      <b/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4" fillId="0" borderId="0"/>
  </cellStyleXfs>
  <cellXfs count="4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left"/>
    </xf>
    <xf numFmtId="2" fontId="0" fillId="2" borderId="0" xfId="0" applyNumberFormat="1" applyFill="1" applyAlignment="1">
      <alignment horizontal="center"/>
    </xf>
    <xf numFmtId="0" fontId="7" fillId="0" borderId="0" xfId="1" applyFont="1"/>
    <xf numFmtId="0" fontId="6" fillId="0" borderId="0" xfId="1" applyProtection="1">
      <protection locked="0"/>
    </xf>
    <xf numFmtId="0" fontId="8" fillId="0" borderId="0" xfId="1" applyFont="1" applyProtection="1"/>
    <xf numFmtId="0" fontId="6" fillId="0" borderId="0" xfId="1" applyProtection="1"/>
    <xf numFmtId="0" fontId="9" fillId="0" borderId="0" xfId="1" applyFont="1" applyProtection="1"/>
    <xf numFmtId="0" fontId="7" fillId="0" borderId="0" xfId="1" applyFont="1" applyProtection="1"/>
    <xf numFmtId="0" fontId="10" fillId="3" borderId="0" xfId="1" applyFont="1" applyFill="1" applyAlignment="1" applyProtection="1">
      <protection locked="0"/>
    </xf>
    <xf numFmtId="0" fontId="6" fillId="0" borderId="3" xfId="1" applyBorder="1" applyAlignment="1" applyProtection="1">
      <alignment horizontal="center"/>
      <protection locked="0"/>
    </xf>
    <xf numFmtId="0" fontId="6" fillId="0" borderId="1" xfId="1" applyBorder="1" applyAlignment="1" applyProtection="1">
      <alignment horizontal="center"/>
      <protection locked="0"/>
    </xf>
    <xf numFmtId="0" fontId="6" fillId="0" borderId="0" xfId="1" applyAlignment="1" applyProtection="1">
      <alignment horizontal="center"/>
      <protection locked="0"/>
    </xf>
    <xf numFmtId="0" fontId="6" fillId="0" borderId="2" xfId="1" applyBorder="1" applyAlignment="1" applyProtection="1">
      <alignment horizontal="center"/>
      <protection locked="0"/>
    </xf>
    <xf numFmtId="1" fontId="6" fillId="0" borderId="1" xfId="1" applyNumberFormat="1" applyBorder="1" applyAlignment="1" applyProtection="1">
      <alignment horizontal="center"/>
      <protection locked="0"/>
    </xf>
    <xf numFmtId="164" fontId="6" fillId="0" borderId="1" xfId="1" applyNumberFormat="1" applyBorder="1" applyAlignment="1" applyProtection="1">
      <alignment horizontal="center"/>
      <protection locked="0"/>
    </xf>
    <xf numFmtId="2" fontId="6" fillId="0" borderId="1" xfId="1" applyNumberFormat="1" applyBorder="1" applyAlignment="1" applyProtection="1">
      <alignment horizontal="center"/>
      <protection locked="0"/>
    </xf>
    <xf numFmtId="164" fontId="6" fillId="0" borderId="0" xfId="1" applyNumberFormat="1" applyBorder="1" applyAlignment="1" applyProtection="1">
      <alignment horizontal="center"/>
      <protection locked="0"/>
    </xf>
    <xf numFmtId="0" fontId="6" fillId="0" borderId="0" xfId="1" applyBorder="1" applyAlignment="1" applyProtection="1">
      <alignment horizontal="center"/>
      <protection locked="0"/>
    </xf>
    <xf numFmtId="1" fontId="6" fillId="0" borderId="0" xfId="1" applyNumberFormat="1" applyBorder="1" applyAlignment="1" applyProtection="1">
      <alignment horizontal="center"/>
      <protection locked="0"/>
    </xf>
    <xf numFmtId="164" fontId="6" fillId="0" borderId="2" xfId="1" applyNumberFormat="1" applyBorder="1" applyAlignment="1" applyProtection="1">
      <alignment horizontal="center"/>
      <protection locked="0"/>
    </xf>
    <xf numFmtId="2" fontId="6" fillId="0" borderId="0" xfId="1" applyNumberFormat="1" applyBorder="1" applyAlignment="1" applyProtection="1">
      <alignment horizontal="center"/>
      <protection locked="0"/>
    </xf>
    <xf numFmtId="2" fontId="6" fillId="0" borderId="2" xfId="1" applyNumberFormat="1" applyBorder="1" applyAlignment="1" applyProtection="1">
      <alignment horizontal="center"/>
      <protection locked="0"/>
    </xf>
    <xf numFmtId="1" fontId="6" fillId="0" borderId="2" xfId="1" applyNumberFormat="1" applyBorder="1" applyAlignment="1" applyProtection="1">
      <alignment horizontal="center"/>
      <protection locked="0"/>
    </xf>
    <xf numFmtId="164" fontId="6" fillId="0" borderId="0" xfId="1" applyNumberFormat="1" applyAlignment="1" applyProtection="1">
      <alignment horizontal="center"/>
      <protection locked="0"/>
    </xf>
    <xf numFmtId="0" fontId="6" fillId="0" borderId="0" xfId="1" applyAlignment="1" applyProtection="1">
      <protection locked="0"/>
    </xf>
    <xf numFmtId="0" fontId="12" fillId="3" borderId="0" xfId="1" applyFont="1" applyFill="1" applyAlignment="1" applyProtection="1">
      <alignment horizontal="center"/>
      <protection locked="0"/>
    </xf>
    <xf numFmtId="0" fontId="6" fillId="0" borderId="2" xfId="1" applyFill="1" applyBorder="1" applyAlignment="1" applyProtection="1">
      <alignment horizontal="center"/>
      <protection locked="0"/>
    </xf>
    <xf numFmtId="0" fontId="6" fillId="0" borderId="0" xfId="1" applyFill="1" applyBorder="1" applyAlignment="1" applyProtection="1">
      <protection locked="0"/>
    </xf>
    <xf numFmtId="0" fontId="6" fillId="0" borderId="3" xfId="1" applyFill="1" applyBorder="1" applyAlignment="1" applyProtection="1">
      <alignment horizontal="center"/>
      <protection locked="0"/>
    </xf>
    <xf numFmtId="0" fontId="6" fillId="0" borderId="1" xfId="1" applyFill="1" applyBorder="1" applyAlignment="1" applyProtection="1">
      <alignment horizontal="center"/>
      <protection locked="0"/>
    </xf>
    <xf numFmtId="164" fontId="6" fillId="0" borderId="1" xfId="1" applyNumberFormat="1" applyFill="1" applyBorder="1" applyAlignment="1" applyProtection="1">
      <alignment horizontal="center"/>
      <protection locked="0"/>
    </xf>
    <xf numFmtId="2" fontId="6" fillId="0" borderId="1" xfId="1" applyNumberFormat="1" applyFill="1" applyBorder="1" applyAlignment="1" applyProtection="1">
      <alignment horizontal="center"/>
      <protection locked="0"/>
    </xf>
    <xf numFmtId="164" fontId="6" fillId="0" borderId="0" xfId="1" applyNumberFormat="1" applyFill="1" applyBorder="1" applyAlignment="1" applyProtection="1">
      <alignment horizontal="center"/>
      <protection locked="0"/>
    </xf>
    <xf numFmtId="2" fontId="6" fillId="0" borderId="0" xfId="1" applyNumberFormat="1" applyFill="1" applyBorder="1" applyAlignment="1" applyProtection="1">
      <alignment horizontal="center"/>
      <protection locked="0"/>
    </xf>
    <xf numFmtId="164" fontId="6" fillId="0" borderId="2" xfId="1" applyNumberFormat="1" applyFill="1" applyBorder="1" applyAlignment="1" applyProtection="1">
      <alignment horizontal="center"/>
      <protection locked="0"/>
    </xf>
    <xf numFmtId="2" fontId="6" fillId="0" borderId="2" xfId="1" applyNumberFormat="1" applyFill="1" applyBorder="1" applyAlignment="1" applyProtection="1">
      <alignment horizontal="center"/>
      <protection locked="0"/>
    </xf>
    <xf numFmtId="0" fontId="13" fillId="0" borderId="0" xfId="1" applyFont="1" applyAlignment="1">
      <alignment vertical="center"/>
    </xf>
    <xf numFmtId="0" fontId="6" fillId="0" borderId="0" xfId="1"/>
    <xf numFmtId="0" fontId="6" fillId="0" borderId="0" xfId="1" applyAlignment="1" applyProtection="1">
      <alignment horizontal="right"/>
      <protection locked="0"/>
    </xf>
    <xf numFmtId="0" fontId="13" fillId="0" borderId="6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Alignment="1">
      <alignment horizontal="justify" vertical="center" wrapText="1"/>
    </xf>
    <xf numFmtId="2" fontId="13" fillId="0" borderId="0" xfId="1" applyNumberFormat="1" applyFont="1" applyAlignment="1">
      <alignment horizontal="center" vertical="center" wrapText="1"/>
    </xf>
    <xf numFmtId="0" fontId="6" fillId="0" borderId="4" xfId="1" applyBorder="1"/>
    <xf numFmtId="16" fontId="13" fillId="0" borderId="0" xfId="1" quotePrefix="1" applyNumberFormat="1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7" fillId="0" borderId="0" xfId="1" applyFont="1" applyProtection="1">
      <protection locked="0"/>
    </xf>
    <xf numFmtId="0" fontId="17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horizontal="left" wrapText="1"/>
      <protection locked="0"/>
    </xf>
    <xf numFmtId="0" fontId="1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left" wrapText="1"/>
      <protection locked="0"/>
    </xf>
    <xf numFmtId="0" fontId="6" fillId="0" borderId="0" xfId="1" applyFont="1" applyProtection="1">
      <protection locked="0"/>
    </xf>
    <xf numFmtId="0" fontId="7" fillId="4" borderId="7" xfId="1" applyFont="1" applyFill="1" applyBorder="1" applyAlignment="1" applyProtection="1">
      <alignment horizontal="center" wrapText="1"/>
      <protection locked="0"/>
    </xf>
    <xf numFmtId="0" fontId="7" fillId="4" borderId="12" xfId="1" applyFont="1" applyFill="1" applyBorder="1" applyAlignment="1" applyProtection="1">
      <alignment horizontal="center" wrapText="1"/>
      <protection locked="0"/>
    </xf>
    <xf numFmtId="0" fontId="7" fillId="4" borderId="15" xfId="1" applyFont="1" applyFill="1" applyBorder="1" applyAlignment="1" applyProtection="1">
      <alignment horizontal="center" wrapText="1"/>
      <protection locked="0"/>
    </xf>
    <xf numFmtId="0" fontId="7" fillId="4" borderId="2" xfId="1" applyFont="1" applyFill="1" applyBorder="1" applyAlignment="1" applyProtection="1">
      <alignment horizontal="center" wrapText="1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7" fillId="4" borderId="14" xfId="1" applyFont="1" applyFill="1" applyBorder="1" applyAlignment="1" applyProtection="1">
      <alignment horizontal="center" wrapText="1"/>
      <protection locked="0"/>
    </xf>
    <xf numFmtId="164" fontId="6" fillId="0" borderId="10" xfId="1" applyNumberFormat="1" applyBorder="1" applyAlignment="1" applyProtection="1">
      <alignment horizontal="center" vertical="center" wrapText="1"/>
      <protection locked="0"/>
    </xf>
    <xf numFmtId="0" fontId="6" fillId="0" borderId="16" xfId="1" applyBorder="1" applyAlignment="1" applyProtection="1">
      <alignment horizontal="center" wrapText="1"/>
      <protection locked="0"/>
    </xf>
    <xf numFmtId="2" fontId="6" fillId="0" borderId="16" xfId="1" applyNumberFormat="1" applyBorder="1" applyAlignment="1" applyProtection="1">
      <alignment horizontal="center" wrapText="1"/>
      <protection locked="0"/>
    </xf>
    <xf numFmtId="164" fontId="6" fillId="0" borderId="16" xfId="1" applyNumberFormat="1" applyBorder="1" applyAlignment="1" applyProtection="1">
      <alignment horizontal="center" wrapText="1"/>
      <protection locked="0"/>
    </xf>
    <xf numFmtId="0" fontId="6" fillId="4" borderId="16" xfId="1" applyFill="1" applyBorder="1" applyAlignment="1" applyProtection="1">
      <alignment horizontal="center" wrapText="1"/>
      <protection locked="0"/>
    </xf>
    <xf numFmtId="2" fontId="6" fillId="4" borderId="16" xfId="1" applyNumberFormat="1" applyFill="1" applyBorder="1" applyAlignment="1" applyProtection="1">
      <alignment horizontal="center" wrapText="1"/>
      <protection locked="0"/>
    </xf>
    <xf numFmtId="164" fontId="6" fillId="4" borderId="16" xfId="1" applyNumberFormat="1" applyFill="1" applyBorder="1" applyAlignment="1" applyProtection="1">
      <alignment horizontal="center" wrapText="1"/>
      <protection locked="0"/>
    </xf>
    <xf numFmtId="164" fontId="6" fillId="0" borderId="15" xfId="1" applyNumberFormat="1" applyBorder="1" applyAlignment="1" applyProtection="1">
      <alignment horizontal="center" vertical="center" wrapText="1"/>
      <protection locked="0"/>
    </xf>
    <xf numFmtId="0" fontId="6" fillId="4" borderId="14" xfId="1" applyFill="1" applyBorder="1" applyAlignment="1" applyProtection="1">
      <alignment horizontal="center" wrapText="1"/>
      <protection locked="0"/>
    </xf>
    <xf numFmtId="2" fontId="6" fillId="4" borderId="14" xfId="1" applyNumberFormat="1" applyFill="1" applyBorder="1" applyAlignment="1" applyProtection="1">
      <alignment horizontal="center" wrapText="1"/>
      <protection locked="0"/>
    </xf>
    <xf numFmtId="0" fontId="6" fillId="4" borderId="15" xfId="1" applyFill="1" applyBorder="1" applyAlignment="1" applyProtection="1">
      <alignment horizontal="center" wrapText="1"/>
      <protection locked="0"/>
    </xf>
    <xf numFmtId="164" fontId="6" fillId="4" borderId="15" xfId="1" applyNumberFormat="1" applyFill="1" applyBorder="1" applyAlignment="1" applyProtection="1">
      <alignment horizontal="center" wrapText="1"/>
      <protection locked="0"/>
    </xf>
    <xf numFmtId="164" fontId="6" fillId="0" borderId="0" xfId="1" applyNumberFormat="1" applyFill="1" applyBorder="1" applyAlignment="1" applyProtection="1">
      <alignment horizontal="center" vertical="center" wrapText="1"/>
      <protection locked="0"/>
    </xf>
    <xf numFmtId="0" fontId="6" fillId="0" borderId="0" xfId="1" applyFill="1" applyBorder="1" applyAlignment="1" applyProtection="1">
      <alignment horizontal="center" wrapText="1"/>
      <protection locked="0"/>
    </xf>
    <xf numFmtId="0" fontId="17" fillId="0" borderId="0" xfId="1" applyFont="1" applyAlignment="1" applyProtection="1">
      <protection locked="0"/>
    </xf>
    <xf numFmtId="0" fontId="17" fillId="0" borderId="0" xfId="1" applyFont="1" applyAlignment="1" applyProtection="1">
      <alignment horizontal="center" wrapText="1"/>
      <protection locked="0"/>
    </xf>
    <xf numFmtId="0" fontId="6" fillId="0" borderId="0" xfId="1" applyFill="1" applyBorder="1" applyProtection="1">
      <protection locked="0"/>
    </xf>
    <xf numFmtId="0" fontId="7" fillId="5" borderId="8" xfId="1" applyFont="1" applyFill="1" applyBorder="1" applyAlignment="1" applyProtection="1">
      <alignment horizontal="center" wrapText="1"/>
      <protection locked="0"/>
    </xf>
    <xf numFmtId="0" fontId="7" fillId="5" borderId="3" xfId="1" applyFont="1" applyFill="1" applyBorder="1" applyAlignment="1" applyProtection="1">
      <alignment horizontal="center" wrapText="1"/>
      <protection locked="0"/>
    </xf>
    <xf numFmtId="0" fontId="7" fillId="5" borderId="9" xfId="1" applyFont="1" applyFill="1" applyBorder="1" applyAlignment="1" applyProtection="1">
      <alignment horizontal="center" wrapText="1"/>
      <protection locked="0"/>
    </xf>
    <xf numFmtId="0" fontId="7" fillId="5" borderId="7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wrapText="1"/>
      <protection locked="0"/>
    </xf>
    <xf numFmtId="0" fontId="7" fillId="5" borderId="15" xfId="1" applyFont="1" applyFill="1" applyBorder="1" applyAlignment="1" applyProtection="1">
      <alignment horizontal="center" wrapText="1"/>
      <protection locked="0"/>
    </xf>
    <xf numFmtId="0" fontId="7" fillId="5" borderId="13" xfId="1" applyFont="1" applyFill="1" applyBorder="1" applyAlignment="1" applyProtection="1">
      <alignment horizontal="center"/>
      <protection locked="0"/>
    </xf>
    <xf numFmtId="0" fontId="7" fillId="5" borderId="15" xfId="1" applyFont="1" applyFill="1" applyBorder="1" applyAlignment="1" applyProtection="1">
      <alignment horizontal="center"/>
      <protection locked="0"/>
    </xf>
    <xf numFmtId="0" fontId="7" fillId="5" borderId="14" xfId="1" applyFont="1" applyFill="1" applyBorder="1" applyAlignment="1" applyProtection="1">
      <alignment horizontal="center" wrapText="1"/>
      <protection locked="0"/>
    </xf>
    <xf numFmtId="164" fontId="6" fillId="0" borderId="16" xfId="1" applyNumberFormat="1" applyBorder="1" applyAlignment="1" applyProtection="1">
      <alignment horizontal="center" vertical="center" wrapText="1"/>
      <protection locked="0"/>
    </xf>
    <xf numFmtId="164" fontId="6" fillId="0" borderId="0" xfId="1" applyNumberFormat="1" applyBorder="1" applyAlignment="1" applyProtection="1">
      <alignment horizontal="center" vertical="center" wrapText="1"/>
      <protection locked="0"/>
    </xf>
    <xf numFmtId="0" fontId="6" fillId="0" borderId="10" xfId="1" applyBorder="1" applyAlignment="1" applyProtection="1">
      <alignment horizontal="center" wrapText="1"/>
      <protection locked="0"/>
    </xf>
    <xf numFmtId="2" fontId="6" fillId="0" borderId="16" xfId="1" quotePrefix="1" applyNumberFormat="1" applyBorder="1" applyAlignment="1" applyProtection="1">
      <alignment horizontal="center" wrapText="1"/>
      <protection locked="0"/>
    </xf>
    <xf numFmtId="0" fontId="7" fillId="5" borderId="15" xfId="1" applyFont="1" applyFill="1" applyBorder="1" applyAlignment="1" applyProtection="1">
      <alignment horizontal="center" vertical="center" wrapText="1"/>
      <protection locked="0"/>
    </xf>
    <xf numFmtId="166" fontId="6" fillId="0" borderId="16" xfId="1" applyNumberFormat="1" applyBorder="1" applyAlignment="1" applyProtection="1">
      <alignment horizontal="center" wrapText="1"/>
      <protection locked="0"/>
    </xf>
    <xf numFmtId="0" fontId="6" fillId="5" borderId="16" xfId="1" applyFill="1" applyBorder="1" applyAlignment="1" applyProtection="1">
      <alignment horizontal="center" wrapText="1"/>
      <protection locked="0"/>
    </xf>
    <xf numFmtId="2" fontId="6" fillId="5" borderId="16" xfId="1" applyNumberFormat="1" applyFill="1" applyBorder="1" applyAlignment="1" applyProtection="1">
      <alignment horizontal="center" wrapText="1"/>
      <protection locked="0"/>
    </xf>
    <xf numFmtId="164" fontId="6" fillId="5" borderId="16" xfId="1" applyNumberFormat="1" applyFill="1" applyBorder="1" applyAlignment="1" applyProtection="1">
      <alignment horizontal="center" wrapText="1"/>
      <protection locked="0"/>
    </xf>
    <xf numFmtId="2" fontId="6" fillId="5" borderId="16" xfId="1" quotePrefix="1" applyNumberFormat="1" applyFill="1" applyBorder="1" applyAlignment="1" applyProtection="1">
      <alignment horizontal="center" wrapText="1"/>
      <protection locked="0"/>
    </xf>
    <xf numFmtId="2" fontId="6" fillId="0" borderId="0" xfId="1" quotePrefix="1" applyNumberFormat="1" applyFill="1" applyBorder="1" applyAlignment="1" applyProtection="1">
      <alignment horizontal="center" wrapText="1"/>
      <protection locked="0"/>
    </xf>
    <xf numFmtId="166" fontId="6" fillId="5" borderId="16" xfId="1" applyNumberFormat="1" applyFill="1" applyBorder="1" applyAlignment="1" applyProtection="1">
      <alignment horizontal="center" wrapText="1"/>
      <protection locked="0"/>
    </xf>
    <xf numFmtId="0" fontId="6" fillId="5" borderId="10" xfId="1" applyFill="1" applyBorder="1" applyAlignment="1" applyProtection="1">
      <alignment horizontal="center" wrapText="1"/>
      <protection locked="0"/>
    </xf>
    <xf numFmtId="1" fontId="6" fillId="0" borderId="10" xfId="1" applyNumberFormat="1" applyBorder="1" applyAlignment="1" applyProtection="1">
      <alignment horizontal="center" vertical="center" wrapText="1"/>
      <protection locked="0"/>
    </xf>
    <xf numFmtId="0" fontId="6" fillId="0" borderId="14" xfId="1" applyBorder="1" applyAlignment="1" applyProtection="1">
      <alignment horizontal="center" vertical="center" wrapText="1"/>
      <protection locked="0"/>
    </xf>
    <xf numFmtId="0" fontId="6" fillId="5" borderId="14" xfId="1" applyFill="1" applyBorder="1" applyAlignment="1" applyProtection="1">
      <alignment horizontal="center" wrapText="1"/>
      <protection locked="0"/>
    </xf>
    <xf numFmtId="2" fontId="6" fillId="5" borderId="14" xfId="1" applyNumberFormat="1" applyFill="1" applyBorder="1" applyAlignment="1" applyProtection="1">
      <alignment horizontal="center" wrapText="1"/>
      <protection locked="0"/>
    </xf>
    <xf numFmtId="164" fontId="6" fillId="5" borderId="14" xfId="1" applyNumberFormat="1" applyFill="1" applyBorder="1" applyAlignment="1" applyProtection="1">
      <alignment horizontal="center" wrapText="1"/>
      <protection locked="0"/>
    </xf>
    <xf numFmtId="2" fontId="6" fillId="5" borderId="14" xfId="1" quotePrefix="1" applyNumberFormat="1" applyFill="1" applyBorder="1" applyAlignment="1" applyProtection="1">
      <alignment horizontal="center" wrapText="1"/>
      <protection locked="0"/>
    </xf>
    <xf numFmtId="2" fontId="6" fillId="0" borderId="0" xfId="1" applyNumberFormat="1" applyFill="1" applyBorder="1" applyAlignment="1" applyProtection="1">
      <alignment horizontal="center" wrapText="1"/>
      <protection locked="0"/>
    </xf>
    <xf numFmtId="164" fontId="6" fillId="0" borderId="14" xfId="1" applyNumberFormat="1" applyBorder="1" applyAlignment="1" applyProtection="1">
      <alignment horizontal="center" vertical="center" wrapText="1"/>
      <protection locked="0"/>
    </xf>
    <xf numFmtId="0" fontId="6" fillId="0" borderId="15" xfId="1" applyBorder="1" applyAlignment="1" applyProtection="1">
      <alignment horizontal="center" wrapText="1"/>
      <protection locked="0"/>
    </xf>
    <xf numFmtId="166" fontId="6" fillId="0" borderId="14" xfId="1" applyNumberFormat="1" applyBorder="1" applyAlignment="1" applyProtection="1">
      <alignment horizontal="center" wrapText="1"/>
      <protection locked="0"/>
    </xf>
    <xf numFmtId="164" fontId="6" fillId="0" borderId="14" xfId="1" applyNumberFormat="1" applyBorder="1" applyAlignment="1" applyProtection="1">
      <alignment horizontal="center" wrapText="1"/>
      <protection locked="0"/>
    </xf>
    <xf numFmtId="2" fontId="6" fillId="0" borderId="14" xfId="1" applyNumberFormat="1" applyBorder="1" applyAlignment="1" applyProtection="1">
      <alignment horizontal="center" wrapText="1"/>
      <protection locked="0"/>
    </xf>
    <xf numFmtId="0" fontId="6" fillId="0" borderId="15" xfId="1" applyBorder="1" applyAlignment="1" applyProtection="1">
      <alignment horizontal="center" vertical="center" wrapText="1"/>
      <protection locked="0"/>
    </xf>
    <xf numFmtId="166" fontId="6" fillId="5" borderId="14" xfId="1" applyNumberFormat="1" applyFill="1" applyBorder="1" applyAlignment="1" applyProtection="1">
      <alignment horizontal="center" wrapText="1"/>
      <protection locked="0"/>
    </xf>
    <xf numFmtId="2" fontId="6" fillId="0" borderId="7" xfId="1" applyNumberFormat="1" applyBorder="1" applyAlignment="1" applyProtection="1">
      <alignment horizontal="center" wrapText="1"/>
      <protection locked="0"/>
    </xf>
    <xf numFmtId="0" fontId="6" fillId="5" borderId="15" xfId="1" applyFill="1" applyBorder="1" applyAlignment="1" applyProtection="1">
      <alignment horizontal="center" wrapText="1"/>
      <protection locked="0"/>
    </xf>
    <xf numFmtId="2" fontId="6" fillId="5" borderId="10" xfId="1" applyNumberFormat="1" applyFill="1" applyBorder="1" applyAlignment="1" applyProtection="1">
      <alignment horizontal="center" wrapText="1"/>
      <protection locked="0"/>
    </xf>
    <xf numFmtId="2" fontId="6" fillId="0" borderId="10" xfId="1" applyNumberFormat="1" applyBorder="1" applyAlignment="1" applyProtection="1">
      <alignment horizontal="center" wrapText="1"/>
      <protection locked="0"/>
    </xf>
    <xf numFmtId="2" fontId="6" fillId="5" borderId="15" xfId="1" applyNumberFormat="1" applyFill="1" applyBorder="1" applyAlignment="1" applyProtection="1">
      <alignment horizontal="center" wrapText="1"/>
      <protection locked="0"/>
    </xf>
    <xf numFmtId="164" fontId="6" fillId="0" borderId="0" xfId="1" applyNumberFormat="1" applyFill="1" applyBorder="1" applyAlignment="1" applyProtection="1">
      <alignment vertical="center"/>
      <protection locked="0"/>
    </xf>
    <xf numFmtId="166" fontId="6" fillId="0" borderId="0" xfId="1" applyNumberFormat="1" applyFill="1" applyBorder="1" applyAlignment="1" applyProtection="1">
      <alignment horizontal="center" wrapText="1"/>
      <protection locked="0"/>
    </xf>
    <xf numFmtId="164" fontId="6" fillId="0" borderId="0" xfId="1" applyNumberFormat="1" applyFill="1" applyBorder="1" applyAlignment="1" applyProtection="1">
      <alignment horizontal="center" wrapText="1"/>
      <protection locked="0"/>
    </xf>
    <xf numFmtId="0" fontId="6" fillId="0" borderId="0" xfId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ill="1" applyBorder="1" applyAlignment="1" applyProtection="1">
      <alignment vertical="center" wrapText="1"/>
      <protection locked="0"/>
    </xf>
    <xf numFmtId="164" fontId="6" fillId="0" borderId="0" xfId="1" applyNumberFormat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Protection="1">
      <protection locked="0"/>
    </xf>
    <xf numFmtId="0" fontId="7" fillId="6" borderId="13" xfId="1" applyFont="1" applyFill="1" applyBorder="1" applyAlignment="1" applyProtection="1">
      <alignment horizontal="center"/>
      <protection locked="0"/>
    </xf>
    <xf numFmtId="0" fontId="7" fillId="6" borderId="15" xfId="1" applyFont="1" applyFill="1" applyBorder="1" applyAlignment="1" applyProtection="1">
      <alignment horizontal="center"/>
      <protection locked="0"/>
    </xf>
    <xf numFmtId="0" fontId="7" fillId="6" borderId="15" xfId="1" applyFont="1" applyFill="1" applyBorder="1" applyAlignment="1" applyProtection="1">
      <alignment horizontal="center" wrapText="1"/>
      <protection locked="0"/>
    </xf>
    <xf numFmtId="0" fontId="7" fillId="6" borderId="14" xfId="1" applyFont="1" applyFill="1" applyBorder="1" applyAlignment="1" applyProtection="1">
      <alignment horizontal="center" wrapText="1"/>
      <protection locked="0"/>
    </xf>
    <xf numFmtId="0" fontId="6" fillId="6" borderId="10" xfId="1" applyFill="1" applyBorder="1" applyAlignment="1" applyProtection="1">
      <alignment horizontal="center" wrapText="1"/>
      <protection locked="0"/>
    </xf>
    <xf numFmtId="166" fontId="6" fillId="6" borderId="16" xfId="1" applyNumberFormat="1" applyFill="1" applyBorder="1" applyAlignment="1" applyProtection="1">
      <alignment horizontal="center" wrapText="1"/>
      <protection locked="0"/>
    </xf>
    <xf numFmtId="164" fontId="6" fillId="6" borderId="16" xfId="1" applyNumberFormat="1" applyFill="1" applyBorder="1" applyAlignment="1" applyProtection="1">
      <alignment horizontal="center" wrapText="1"/>
      <protection locked="0"/>
    </xf>
    <xf numFmtId="2" fontId="6" fillId="6" borderId="16" xfId="1" applyNumberFormat="1" applyFill="1" applyBorder="1" applyAlignment="1" applyProtection="1">
      <alignment horizontal="center" wrapText="1"/>
      <protection locked="0"/>
    </xf>
    <xf numFmtId="0" fontId="6" fillId="7" borderId="15" xfId="1" applyFill="1" applyBorder="1" applyAlignment="1" applyProtection="1">
      <alignment horizontal="center" wrapText="1"/>
      <protection locked="0"/>
    </xf>
    <xf numFmtId="166" fontId="6" fillId="7" borderId="14" xfId="1" applyNumberFormat="1" applyFill="1" applyBorder="1" applyAlignment="1" applyProtection="1">
      <alignment horizontal="center" wrapText="1"/>
      <protection locked="0"/>
    </xf>
    <xf numFmtId="164" fontId="6" fillId="7" borderId="14" xfId="1" applyNumberFormat="1" applyFill="1" applyBorder="1" applyAlignment="1" applyProtection="1">
      <alignment horizontal="center" wrapText="1"/>
      <protection locked="0"/>
    </xf>
    <xf numFmtId="2" fontId="6" fillId="7" borderId="14" xfId="1" applyNumberFormat="1" applyFill="1" applyBorder="1" applyAlignment="1" applyProtection="1">
      <alignment horizontal="center" wrapText="1"/>
      <protection locked="0"/>
    </xf>
    <xf numFmtId="164" fontId="17" fillId="0" borderId="0" xfId="1" applyNumberFormat="1" applyFont="1" applyAlignment="1" applyProtection="1">
      <alignment horizontal="center" wrapText="1"/>
      <protection locked="0"/>
    </xf>
    <xf numFmtId="0" fontId="17" fillId="0" borderId="0" xfId="1" applyFont="1" applyFill="1" applyBorder="1" applyAlignment="1" applyProtection="1">
      <protection locked="0"/>
    </xf>
    <xf numFmtId="164" fontId="17" fillId="0" borderId="0" xfId="1" applyNumberFormat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7" fillId="8" borderId="13" xfId="1" applyFont="1" applyFill="1" applyBorder="1" applyAlignment="1" applyProtection="1">
      <alignment horizontal="center"/>
      <protection locked="0"/>
    </xf>
    <xf numFmtId="0" fontId="7" fillId="8" borderId="15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2" fontId="6" fillId="0" borderId="0" xfId="1" applyNumberFormat="1" applyFill="1" applyBorder="1" applyAlignment="1" applyProtection="1">
      <alignment horizontal="center" vertical="center" wrapText="1"/>
      <protection locked="0"/>
    </xf>
    <xf numFmtId="0" fontId="6" fillId="8" borderId="16" xfId="1" applyFill="1" applyBorder="1" applyAlignment="1" applyProtection="1">
      <alignment horizontal="center" wrapText="1"/>
      <protection locked="0"/>
    </xf>
    <xf numFmtId="166" fontId="6" fillId="8" borderId="16" xfId="1" applyNumberFormat="1" applyFill="1" applyBorder="1" applyAlignment="1" applyProtection="1">
      <alignment horizontal="center" wrapText="1"/>
      <protection locked="0"/>
    </xf>
    <xf numFmtId="164" fontId="6" fillId="8" borderId="16" xfId="1" applyNumberFormat="1" applyFill="1" applyBorder="1" applyAlignment="1" applyProtection="1">
      <alignment horizontal="center" wrapText="1"/>
      <protection locked="0"/>
    </xf>
    <xf numFmtId="2" fontId="6" fillId="8" borderId="16" xfId="1" applyNumberFormat="1" applyFill="1" applyBorder="1" applyAlignment="1" applyProtection="1">
      <alignment horizontal="center" wrapText="1"/>
      <protection locked="0"/>
    </xf>
    <xf numFmtId="0" fontId="6" fillId="8" borderId="14" xfId="1" applyFill="1" applyBorder="1" applyAlignment="1" applyProtection="1">
      <alignment horizontal="center" wrapText="1"/>
      <protection locked="0"/>
    </xf>
    <xf numFmtId="166" fontId="6" fillId="8" borderId="14" xfId="1" applyNumberFormat="1" applyFill="1" applyBorder="1" applyAlignment="1" applyProtection="1">
      <alignment horizontal="center" wrapText="1"/>
      <protection locked="0"/>
    </xf>
    <xf numFmtId="164" fontId="6" fillId="8" borderId="14" xfId="1" applyNumberFormat="1" applyFill="1" applyBorder="1" applyAlignment="1" applyProtection="1">
      <alignment horizontal="center" wrapText="1"/>
      <protection locked="0"/>
    </xf>
    <xf numFmtId="2" fontId="6" fillId="8" borderId="14" xfId="1" applyNumberForma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9" fillId="0" borderId="0" xfId="1" applyFont="1" applyFill="1" applyBorder="1" applyAlignment="1" applyProtection="1">
      <alignment wrapText="1"/>
      <protection locked="0"/>
    </xf>
    <xf numFmtId="0" fontId="19" fillId="0" borderId="0" xfId="1" applyFont="1" applyFill="1" applyBorder="1" applyAlignment="1" applyProtection="1">
      <alignment vertical="center" wrapText="1"/>
      <protection locked="0"/>
    </xf>
    <xf numFmtId="164" fontId="6" fillId="0" borderId="12" xfId="1" applyNumberFormat="1" applyBorder="1" applyAlignment="1" applyProtection="1">
      <alignment horizontal="center" wrapText="1"/>
      <protection locked="0"/>
    </xf>
    <xf numFmtId="0" fontId="6" fillId="0" borderId="7" xfId="1" applyBorder="1" applyAlignment="1" applyProtection="1">
      <alignment horizontal="center" wrapText="1"/>
      <protection locked="0"/>
    </xf>
    <xf numFmtId="166" fontId="6" fillId="0" borderId="12" xfId="1" applyNumberFormat="1" applyBorder="1" applyAlignment="1" applyProtection="1">
      <alignment horizontal="center" wrapText="1"/>
      <protection locked="0"/>
    </xf>
    <xf numFmtId="0" fontId="6" fillId="8" borderId="15" xfId="1" applyFill="1" applyBorder="1" applyAlignment="1" applyProtection="1">
      <alignment horizontal="center" wrapText="1"/>
      <protection locked="0"/>
    </xf>
    <xf numFmtId="0" fontId="6" fillId="8" borderId="10" xfId="1" applyFill="1" applyBorder="1" applyAlignment="1" applyProtection="1">
      <alignment horizontal="center" wrapText="1"/>
      <protection locked="0"/>
    </xf>
    <xf numFmtId="166" fontId="6" fillId="0" borderId="0" xfId="1" applyNumberFormat="1" applyProtection="1">
      <protection locked="0"/>
    </xf>
    <xf numFmtId="2" fontId="6" fillId="0" borderId="0" xfId="1" applyNumberFormat="1" applyBorder="1" applyAlignment="1" applyProtection="1">
      <alignment horizontal="center" vertical="center" wrapText="1"/>
      <protection locked="0"/>
    </xf>
    <xf numFmtId="166" fontId="6" fillId="0" borderId="12" xfId="1" quotePrefix="1" applyNumberFormat="1" applyBorder="1" applyAlignment="1" applyProtection="1">
      <alignment horizontal="center" wrapText="1"/>
      <protection locked="0"/>
    </xf>
    <xf numFmtId="164" fontId="6" fillId="0" borderId="12" xfId="1" quotePrefix="1" applyNumberFormat="1" applyBorder="1" applyAlignment="1" applyProtection="1">
      <alignment horizontal="center" wrapText="1"/>
      <protection locked="0"/>
    </xf>
    <xf numFmtId="0" fontId="17" fillId="0" borderId="0" xfId="1" applyFont="1" applyProtection="1">
      <protection locked="0"/>
    </xf>
    <xf numFmtId="0" fontId="7" fillId="9" borderId="18" xfId="1" applyFont="1" applyFill="1" applyBorder="1" applyAlignment="1" applyProtection="1">
      <alignment horizontal="center"/>
      <protection locked="0"/>
    </xf>
    <xf numFmtId="0" fontId="7" fillId="9" borderId="6" xfId="1" applyFont="1" applyFill="1" applyBorder="1" applyAlignment="1" applyProtection="1">
      <alignment horizontal="center"/>
      <protection locked="0"/>
    </xf>
    <xf numFmtId="0" fontId="7" fillId="9" borderId="19" xfId="1" applyFont="1" applyFill="1" applyBorder="1" applyAlignment="1" applyProtection="1">
      <alignment horizontal="center"/>
      <protection locked="0"/>
    </xf>
    <xf numFmtId="0" fontId="6" fillId="0" borderId="20" xfId="1" applyBorder="1" applyAlignment="1" applyProtection="1">
      <alignment horizontal="center"/>
      <protection locked="0"/>
    </xf>
    <xf numFmtId="0" fontId="6" fillId="0" borderId="21" xfId="1" applyBorder="1" applyAlignment="1" applyProtection="1">
      <alignment horizontal="center"/>
      <protection locked="0"/>
    </xf>
    <xf numFmtId="0" fontId="6" fillId="0" borderId="22" xfId="1" applyBorder="1" applyAlignment="1" applyProtection="1">
      <alignment horizontal="center"/>
      <protection locked="0"/>
    </xf>
    <xf numFmtId="0" fontId="6" fillId="0" borderId="7" xfId="1" applyBorder="1" applyAlignment="1" applyProtection="1">
      <alignment horizontal="center"/>
      <protection locked="0"/>
    </xf>
    <xf numFmtId="2" fontId="6" fillId="0" borderId="7" xfId="1" applyNumberFormat="1" applyBorder="1" applyAlignment="1" applyProtection="1">
      <alignment horizontal="center"/>
      <protection locked="0"/>
    </xf>
    <xf numFmtId="0" fontId="6" fillId="9" borderId="17" xfId="1" applyFill="1" applyBorder="1" applyAlignment="1" applyProtection="1">
      <alignment horizontal="center"/>
      <protection locked="0"/>
    </xf>
    <xf numFmtId="0" fontId="6" fillId="9" borderId="10" xfId="1" applyFill="1" applyBorder="1" applyAlignment="1" applyProtection="1">
      <alignment horizontal="center"/>
      <protection locked="0"/>
    </xf>
    <xf numFmtId="0" fontId="6" fillId="9" borderId="16" xfId="1" applyFill="1" applyBorder="1" applyAlignment="1" applyProtection="1">
      <alignment horizontal="center"/>
      <protection locked="0"/>
    </xf>
    <xf numFmtId="2" fontId="6" fillId="9" borderId="10" xfId="1" applyNumberFormat="1" applyFill="1" applyBorder="1" applyAlignment="1" applyProtection="1">
      <alignment horizontal="center"/>
      <protection locked="0"/>
    </xf>
    <xf numFmtId="0" fontId="6" fillId="0" borderId="17" xfId="1" applyBorder="1" applyAlignment="1" applyProtection="1">
      <alignment horizontal="center"/>
      <protection locked="0"/>
    </xf>
    <xf numFmtId="0" fontId="6" fillId="0" borderId="10" xfId="1" applyBorder="1" applyAlignment="1" applyProtection="1">
      <alignment horizontal="center"/>
      <protection locked="0"/>
    </xf>
    <xf numFmtId="0" fontId="6" fillId="0" borderId="16" xfId="1" applyBorder="1" applyAlignment="1" applyProtection="1">
      <alignment horizontal="center"/>
      <protection locked="0"/>
    </xf>
    <xf numFmtId="0" fontId="6" fillId="0" borderId="15" xfId="1" applyBorder="1" applyAlignment="1" applyProtection="1">
      <alignment horizontal="center"/>
      <protection locked="0"/>
    </xf>
    <xf numFmtId="2" fontId="6" fillId="0" borderId="15" xfId="1" applyNumberFormat="1" applyBorder="1" applyAlignment="1" applyProtection="1">
      <alignment horizontal="center"/>
      <protection locked="0"/>
    </xf>
    <xf numFmtId="0" fontId="6" fillId="9" borderId="13" xfId="1" applyFill="1" applyBorder="1" applyAlignment="1" applyProtection="1">
      <alignment horizontal="center"/>
      <protection locked="0"/>
    </xf>
    <xf numFmtId="0" fontId="6" fillId="9" borderId="15" xfId="1" applyFill="1" applyBorder="1" applyAlignment="1" applyProtection="1">
      <alignment horizontal="center"/>
      <protection locked="0"/>
    </xf>
    <xf numFmtId="0" fontId="6" fillId="9" borderId="14" xfId="1" applyFill="1" applyBorder="1" applyAlignment="1" applyProtection="1">
      <alignment horizontal="center"/>
      <protection locked="0"/>
    </xf>
    <xf numFmtId="0" fontId="6" fillId="9" borderId="7" xfId="1" applyFill="1" applyBorder="1" applyAlignment="1" applyProtection="1">
      <alignment horizontal="center"/>
      <protection locked="0"/>
    </xf>
    <xf numFmtId="2" fontId="6" fillId="9" borderId="7" xfId="1" applyNumberFormat="1" applyFill="1" applyBorder="1" applyAlignment="1" applyProtection="1">
      <alignment horizontal="center"/>
      <protection locked="0"/>
    </xf>
    <xf numFmtId="0" fontId="6" fillId="0" borderId="11" xfId="1" applyBorder="1" applyAlignment="1" applyProtection="1">
      <alignment horizontal="center"/>
      <protection locked="0"/>
    </xf>
    <xf numFmtId="0" fontId="6" fillId="0" borderId="12" xfId="1" applyBorder="1" applyAlignment="1" applyProtection="1">
      <alignment horizontal="center"/>
      <protection locked="0"/>
    </xf>
    <xf numFmtId="2" fontId="6" fillId="0" borderId="10" xfId="1" applyNumberFormat="1" applyBorder="1" applyAlignment="1" applyProtection="1">
      <alignment horizontal="center"/>
      <protection locked="0"/>
    </xf>
    <xf numFmtId="2" fontId="6" fillId="9" borderId="15" xfId="1" applyNumberFormat="1" applyFill="1" applyBorder="1" applyAlignment="1" applyProtection="1">
      <alignment horizontal="center"/>
      <protection locked="0"/>
    </xf>
    <xf numFmtId="3" fontId="6" fillId="0" borderId="11" xfId="1" applyNumberFormat="1" applyBorder="1" applyAlignment="1" applyProtection="1">
      <alignment horizontal="center"/>
      <protection locked="0"/>
    </xf>
    <xf numFmtId="3" fontId="6" fillId="9" borderId="17" xfId="1" applyNumberFormat="1" applyFill="1" applyBorder="1" applyAlignment="1" applyProtection="1">
      <alignment horizontal="center"/>
      <protection locked="0"/>
    </xf>
    <xf numFmtId="3" fontId="6" fillId="0" borderId="17" xfId="1" applyNumberFormat="1" applyBorder="1" applyAlignment="1" applyProtection="1">
      <alignment horizontal="center"/>
      <protection locked="0"/>
    </xf>
    <xf numFmtId="0" fontId="7" fillId="9" borderId="0" xfId="1" applyFont="1" applyFill="1" applyBorder="1" applyAlignment="1" applyProtection="1">
      <alignment horizontal="center"/>
      <protection locked="0"/>
    </xf>
    <xf numFmtId="0" fontId="7" fillId="9" borderId="16" xfId="1" applyFont="1" applyFill="1" applyBorder="1" applyAlignment="1" applyProtection="1">
      <alignment horizontal="center"/>
      <protection locked="0"/>
    </xf>
    <xf numFmtId="0" fontId="6" fillId="0" borderId="16" xfId="1" applyBorder="1" applyProtection="1">
      <protection locked="0"/>
    </xf>
    <xf numFmtId="0" fontId="6" fillId="9" borderId="10" xfId="1" quotePrefix="1" applyFill="1" applyBorder="1" applyAlignment="1" applyProtection="1">
      <alignment horizontal="center"/>
      <protection locked="0"/>
    </xf>
    <xf numFmtId="0" fontId="6" fillId="0" borderId="10" xfId="1" quotePrefix="1" applyBorder="1" applyAlignment="1" applyProtection="1">
      <alignment horizontal="center"/>
      <protection locked="0"/>
    </xf>
    <xf numFmtId="0" fontId="6" fillId="9" borderId="15" xfId="1" quotePrefix="1" applyFill="1" applyBorder="1" applyAlignment="1" applyProtection="1">
      <alignment horizontal="center"/>
      <protection locked="0"/>
    </xf>
    <xf numFmtId="0" fontId="6" fillId="0" borderId="16" xfId="1" quotePrefix="1" applyBorder="1" applyAlignment="1" applyProtection="1">
      <alignment horizontal="center"/>
      <protection locked="0"/>
    </xf>
    <xf numFmtId="0" fontId="6" fillId="0" borderId="24" xfId="1" applyBorder="1" applyAlignment="1" applyProtection="1">
      <alignment horizontal="center" vertical="center" wrapText="1"/>
      <protection locked="0"/>
    </xf>
    <xf numFmtId="0" fontId="6" fillId="0" borderId="24" xfId="1" applyFill="1" applyBorder="1" applyAlignment="1" applyProtection="1">
      <alignment horizontal="center"/>
      <protection locked="0"/>
    </xf>
    <xf numFmtId="0" fontId="6" fillId="0" borderId="25" xfId="1" applyFill="1" applyBorder="1" applyAlignment="1" applyProtection="1">
      <alignment horizontal="center"/>
      <protection locked="0"/>
    </xf>
    <xf numFmtId="0" fontId="6" fillId="0" borderId="26" xfId="1" applyFill="1" applyBorder="1" applyAlignment="1" applyProtection="1">
      <alignment horizontal="center"/>
      <protection locked="0"/>
    </xf>
    <xf numFmtId="0" fontId="6" fillId="0" borderId="25" xfId="1" applyBorder="1" applyProtection="1">
      <protection locked="0"/>
    </xf>
    <xf numFmtId="0" fontId="6" fillId="9" borderId="16" xfId="1" quotePrefix="1" applyFill="1" applyBorder="1" applyAlignment="1" applyProtection="1">
      <alignment horizontal="center"/>
      <protection locked="0"/>
    </xf>
    <xf numFmtId="0" fontId="6" fillId="0" borderId="17" xfId="1" applyFill="1" applyBorder="1" applyAlignment="1" applyProtection="1">
      <alignment horizontal="center"/>
      <protection locked="0"/>
    </xf>
    <xf numFmtId="0" fontId="6" fillId="0" borderId="10" xfId="1" applyFill="1" applyBorder="1" applyAlignment="1" applyProtection="1">
      <alignment horizontal="center"/>
      <protection locked="0"/>
    </xf>
    <xf numFmtId="0" fontId="6" fillId="0" borderId="16" xfId="1" applyFill="1" applyBorder="1" applyAlignment="1" applyProtection="1">
      <alignment horizontal="center"/>
      <protection locked="0"/>
    </xf>
    <xf numFmtId="0" fontId="6" fillId="0" borderId="13" xfId="1" applyFill="1" applyBorder="1" applyAlignment="1" applyProtection="1">
      <alignment horizontal="center"/>
      <protection locked="0"/>
    </xf>
    <xf numFmtId="0" fontId="6" fillId="0" borderId="15" xfId="1" applyFill="1" applyBorder="1" applyAlignment="1" applyProtection="1">
      <alignment horizontal="center"/>
      <protection locked="0"/>
    </xf>
    <xf numFmtId="0" fontId="6" fillId="0" borderId="14" xfId="1" applyFill="1" applyBorder="1" applyAlignment="1" applyProtection="1">
      <alignment horizontal="center"/>
      <protection locked="0"/>
    </xf>
    <xf numFmtId="0" fontId="6" fillId="0" borderId="25" xfId="1" applyBorder="1" applyAlignment="1" applyProtection="1">
      <alignment horizontal="center" vertical="center" wrapText="1"/>
      <protection locked="0"/>
    </xf>
    <xf numFmtId="0" fontId="6" fillId="9" borderId="24" xfId="1" applyFill="1" applyBorder="1" applyAlignment="1" applyProtection="1">
      <alignment horizontal="center"/>
      <protection locked="0"/>
    </xf>
    <xf numFmtId="0" fontId="6" fillId="9" borderId="25" xfId="1" applyFill="1" applyBorder="1" applyAlignment="1" applyProtection="1">
      <alignment horizontal="center"/>
      <protection locked="0"/>
    </xf>
    <xf numFmtId="0" fontId="6" fillId="9" borderId="26" xfId="1" applyFill="1" applyBorder="1" applyAlignment="1" applyProtection="1">
      <alignment horizontal="center"/>
      <protection locked="0"/>
    </xf>
    <xf numFmtId="3" fontId="6" fillId="0" borderId="17" xfId="1" applyNumberFormat="1" applyFill="1" applyBorder="1" applyAlignment="1" applyProtection="1">
      <alignment horizontal="center"/>
      <protection locked="0"/>
    </xf>
    <xf numFmtId="0" fontId="6" fillId="9" borderId="14" xfId="1" quotePrefix="1" applyFill="1" applyBorder="1" applyAlignment="1" applyProtection="1">
      <alignment horizontal="center"/>
      <protection locked="0"/>
    </xf>
    <xf numFmtId="0" fontId="6" fillId="9" borderId="17" xfId="1" applyFont="1" applyFill="1" applyBorder="1" applyAlignment="1" applyProtection="1">
      <alignment horizontal="center"/>
      <protection locked="0"/>
    </xf>
    <xf numFmtId="0" fontId="6" fillId="9" borderId="10" xfId="1" applyFont="1" applyFill="1" applyBorder="1" applyAlignment="1" applyProtection="1">
      <alignment horizontal="center"/>
      <protection locked="0"/>
    </xf>
    <xf numFmtId="0" fontId="6" fillId="9" borderId="16" xfId="1" applyFont="1" applyFill="1" applyBorder="1" applyAlignment="1" applyProtection="1">
      <alignment horizontal="center"/>
      <protection locked="0"/>
    </xf>
    <xf numFmtId="0" fontId="6" fillId="0" borderId="25" xfId="1" applyBorder="1" applyAlignment="1" applyProtection="1">
      <alignment horizontal="center"/>
      <protection locked="0"/>
    </xf>
    <xf numFmtId="0" fontId="6" fillId="0" borderId="27" xfId="1" applyBorder="1" applyAlignment="1" applyProtection="1">
      <alignment horizontal="center"/>
      <protection locked="0"/>
    </xf>
    <xf numFmtId="0" fontId="6" fillId="9" borderId="27" xfId="1" applyFill="1" applyBorder="1" applyAlignment="1" applyProtection="1">
      <alignment horizontal="center"/>
      <protection locked="0"/>
    </xf>
    <xf numFmtId="0" fontId="6" fillId="9" borderId="9" xfId="1" applyFill="1" applyBorder="1" applyAlignment="1" applyProtection="1">
      <alignment horizontal="center"/>
      <protection locked="0"/>
    </xf>
    <xf numFmtId="0" fontId="6" fillId="0" borderId="0" xfId="1" applyFill="1" applyBorder="1" applyAlignment="1" applyProtection="1">
      <alignment vertical="center"/>
      <protection locked="0"/>
    </xf>
    <xf numFmtId="0" fontId="6" fillId="0" borderId="0" xfId="1" applyFill="1" applyBorder="1" applyAlignment="1" applyProtection="1">
      <alignment horizontal="center"/>
      <protection locked="0"/>
    </xf>
    <xf numFmtId="0" fontId="6" fillId="0" borderId="14" xfId="1" applyBorder="1" applyAlignment="1" applyProtection="1">
      <alignment horizontal="center"/>
      <protection locked="0"/>
    </xf>
    <xf numFmtId="0" fontId="6" fillId="9" borderId="12" xfId="1" applyFill="1" applyBorder="1" applyAlignment="1" applyProtection="1">
      <alignment horizontal="center"/>
      <protection locked="0"/>
    </xf>
    <xf numFmtId="3" fontId="6" fillId="0" borderId="15" xfId="1" applyNumberFormat="1" applyBorder="1" applyAlignment="1" applyProtection="1">
      <alignment horizontal="center"/>
      <protection locked="0"/>
    </xf>
    <xf numFmtId="3" fontId="6" fillId="9" borderId="10" xfId="1" applyNumberFormat="1" applyFill="1" applyBorder="1" applyAlignment="1" applyProtection="1">
      <alignment horizontal="center"/>
      <protection locked="0"/>
    </xf>
    <xf numFmtId="3" fontId="6" fillId="0" borderId="0" xfId="1" applyNumberFormat="1" applyFill="1" applyBorder="1" applyAlignment="1" applyProtection="1">
      <alignment horizontal="center"/>
      <protection locked="0"/>
    </xf>
    <xf numFmtId="3" fontId="6" fillId="9" borderId="15" xfId="1" applyNumberFormat="1" applyFill="1" applyBorder="1" applyAlignment="1" applyProtection="1">
      <alignment horizontal="center"/>
      <protection locked="0"/>
    </xf>
    <xf numFmtId="0" fontId="6" fillId="0" borderId="0" xfId="1" applyFill="1" applyBorder="1" applyAlignment="1" applyProtection="1">
      <alignment vertical="center" wrapText="1"/>
      <protection locked="0"/>
    </xf>
    <xf numFmtId="0" fontId="6" fillId="0" borderId="15" xfId="1" quotePrefix="1" applyBorder="1" applyAlignment="1" applyProtection="1">
      <alignment horizontal="center"/>
      <protection locked="0"/>
    </xf>
    <xf numFmtId="0" fontId="6" fillId="0" borderId="14" xfId="1" quotePrefix="1" applyBorder="1" applyAlignment="1" applyProtection="1">
      <alignment horizontal="center"/>
      <protection locked="0"/>
    </xf>
    <xf numFmtId="3" fontId="6" fillId="0" borderId="10" xfId="1" applyNumberFormat="1" applyBorder="1" applyAlignment="1" applyProtection="1">
      <alignment horizontal="center"/>
      <protection locked="0"/>
    </xf>
    <xf numFmtId="0" fontId="6" fillId="0" borderId="23" xfId="1" applyBorder="1" applyAlignment="1" applyProtection="1">
      <alignment horizontal="center"/>
      <protection locked="0"/>
    </xf>
    <xf numFmtId="3" fontId="6" fillId="0" borderId="23" xfId="1" applyNumberFormat="1" applyBorder="1" applyAlignment="1" applyProtection="1">
      <alignment horizontal="center"/>
      <protection locked="0"/>
    </xf>
    <xf numFmtId="0" fontId="6" fillId="0" borderId="19" xfId="1" applyBorder="1" applyAlignment="1" applyProtection="1">
      <alignment horizontal="center"/>
      <protection locked="0"/>
    </xf>
    <xf numFmtId="0" fontId="6" fillId="10" borderId="10" xfId="1" applyFill="1" applyBorder="1" applyAlignment="1" applyProtection="1">
      <alignment horizontal="center"/>
      <protection locked="0"/>
    </xf>
    <xf numFmtId="3" fontId="6" fillId="10" borderId="10" xfId="1" applyNumberFormat="1" applyFill="1" applyBorder="1" applyAlignment="1" applyProtection="1">
      <alignment horizontal="center"/>
      <protection locked="0"/>
    </xf>
    <xf numFmtId="0" fontId="6" fillId="10" borderId="16" xfId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24" fillId="0" borderId="0" xfId="2"/>
    <xf numFmtId="2" fontId="24" fillId="0" borderId="0" xfId="2" applyNumberFormat="1" applyAlignment="1">
      <alignment horizontal="center"/>
    </xf>
    <xf numFmtId="167" fontId="24" fillId="0" borderId="0" xfId="2" applyNumberFormat="1" applyAlignment="1">
      <alignment horizontal="center"/>
    </xf>
    <xf numFmtId="0" fontId="24" fillId="0" borderId="0" xfId="2" applyAlignment="1">
      <alignment horizontal="right"/>
    </xf>
    <xf numFmtId="0" fontId="24" fillId="0" borderId="0" xfId="2" applyAlignment="1">
      <alignment horizontal="center"/>
    </xf>
    <xf numFmtId="0" fontId="24" fillId="11" borderId="0" xfId="2" applyFill="1" applyAlignment="1">
      <alignment horizontal="center"/>
    </xf>
    <xf numFmtId="0" fontId="24" fillId="11" borderId="2" xfId="2" applyFill="1" applyBorder="1" applyAlignment="1">
      <alignment horizontal="center"/>
    </xf>
    <xf numFmtId="0" fontId="24" fillId="0" borderId="2" xfId="2" applyBorder="1" applyAlignment="1">
      <alignment horizontal="center"/>
    </xf>
    <xf numFmtId="2" fontId="24" fillId="0" borderId="1" xfId="2" applyNumberFormat="1" applyBorder="1" applyAlignment="1">
      <alignment horizontal="center"/>
    </xf>
    <xf numFmtId="0" fontId="24" fillId="11" borderId="1" xfId="2" applyFill="1" applyBorder="1" applyAlignment="1">
      <alignment horizontal="center"/>
    </xf>
    <xf numFmtId="0" fontId="24" fillId="0" borderId="1" xfId="2" applyBorder="1" applyAlignment="1">
      <alignment horizontal="center"/>
    </xf>
    <xf numFmtId="0" fontId="23" fillId="0" borderId="3" xfId="2" applyFont="1" applyBorder="1" applyAlignment="1">
      <alignment horizontal="center"/>
    </xf>
    <xf numFmtId="0" fontId="23" fillId="0" borderId="0" xfId="2" applyFont="1"/>
    <xf numFmtId="0" fontId="24" fillId="11" borderId="0" xfId="2" applyFill="1" applyBorder="1" applyAlignment="1">
      <alignment horizontal="center"/>
    </xf>
    <xf numFmtId="0" fontId="24" fillId="0" borderId="0" xfId="2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11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66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11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6" fillId="0" borderId="10" xfId="1" applyBorder="1" applyAlignment="1" applyProtection="1">
      <alignment horizontal="center" vertical="center"/>
      <protection locked="0"/>
    </xf>
    <xf numFmtId="0" fontId="6" fillId="0" borderId="15" xfId="1" applyBorder="1" applyAlignment="1" applyProtection="1">
      <alignment horizontal="center" vertical="center"/>
      <protection locked="0"/>
    </xf>
    <xf numFmtId="0" fontId="6" fillId="0" borderId="10" xfId="1" applyBorder="1" applyAlignment="1" applyProtection="1">
      <alignment horizontal="center" vertical="center" wrapText="1"/>
      <protection locked="0"/>
    </xf>
    <xf numFmtId="0" fontId="6" fillId="0" borderId="15" xfId="1" applyBorder="1" applyAlignment="1" applyProtection="1">
      <alignment horizontal="center" vertical="center" wrapText="1"/>
      <protection locked="0"/>
    </xf>
    <xf numFmtId="0" fontId="6" fillId="0" borderId="7" xfId="1" applyBorder="1" applyAlignment="1" applyProtection="1">
      <alignment horizontal="center" vertical="center" wrapText="1"/>
      <protection locked="0"/>
    </xf>
    <xf numFmtId="0" fontId="6" fillId="0" borderId="16" xfId="1" applyBorder="1" applyAlignment="1" applyProtection="1">
      <alignment horizontal="center" vertical="center" wrapText="1"/>
      <protection locked="0"/>
    </xf>
    <xf numFmtId="0" fontId="7" fillId="9" borderId="7" xfId="1" applyFont="1" applyFill="1" applyBorder="1" applyAlignment="1" applyProtection="1">
      <alignment horizontal="center" vertical="center"/>
      <protection locked="0"/>
    </xf>
    <xf numFmtId="0" fontId="7" fillId="9" borderId="23" xfId="1" applyFont="1" applyFill="1" applyBorder="1" applyAlignment="1" applyProtection="1">
      <alignment horizontal="center" vertical="center"/>
      <protection locked="0"/>
    </xf>
    <xf numFmtId="0" fontId="7" fillId="9" borderId="8" xfId="1" applyFont="1" applyFill="1" applyBorder="1" applyAlignment="1" applyProtection="1">
      <alignment horizontal="center" vertical="center"/>
      <protection locked="0"/>
    </xf>
    <xf numFmtId="0" fontId="7" fillId="9" borderId="3" xfId="1" applyFont="1" applyFill="1" applyBorder="1" applyAlignment="1" applyProtection="1">
      <alignment horizontal="center" vertical="center"/>
      <protection locked="0"/>
    </xf>
    <xf numFmtId="0" fontId="7" fillId="9" borderId="9" xfId="1" applyFont="1" applyFill="1" applyBorder="1" applyAlignment="1" applyProtection="1">
      <alignment horizontal="center" vertical="center"/>
      <protection locked="0"/>
    </xf>
    <xf numFmtId="0" fontId="6" fillId="0" borderId="21" xfId="1" applyBorder="1" applyAlignment="1" applyProtection="1">
      <alignment horizontal="center" vertical="center"/>
      <protection locked="0"/>
    </xf>
    <xf numFmtId="0" fontId="6" fillId="0" borderId="23" xfId="1" applyBorder="1" applyAlignment="1" applyProtection="1">
      <alignment horizontal="center" vertical="center"/>
      <protection locked="0"/>
    </xf>
    <xf numFmtId="0" fontId="6" fillId="0" borderId="21" xfId="1" applyBorder="1" applyAlignment="1" applyProtection="1">
      <alignment horizontal="center" vertical="center" wrapText="1"/>
      <protection locked="0"/>
    </xf>
    <xf numFmtId="0" fontId="6" fillId="0" borderId="23" xfId="1" applyBorder="1" applyAlignment="1" applyProtection="1">
      <alignment horizontal="center" vertical="center" wrapText="1"/>
      <protection locked="0"/>
    </xf>
    <xf numFmtId="0" fontId="6" fillId="0" borderId="1" xfId="1" applyFill="1" applyBorder="1" applyAlignment="1" applyProtection="1">
      <alignment horizontal="center" vertical="center" wrapText="1"/>
      <protection locked="0"/>
    </xf>
    <xf numFmtId="0" fontId="6" fillId="0" borderId="0" xfId="1" applyFill="1" applyBorder="1" applyAlignment="1" applyProtection="1">
      <alignment horizontal="center" vertical="center" wrapText="1"/>
      <protection locked="0"/>
    </xf>
    <xf numFmtId="0" fontId="7" fillId="9" borderId="11" xfId="1" applyFont="1" applyFill="1" applyBorder="1" applyAlignment="1" applyProtection="1">
      <alignment horizontal="center" vertical="center" wrapText="1"/>
      <protection locked="0"/>
    </xf>
    <xf numFmtId="0" fontId="7" fillId="9" borderId="18" xfId="1" applyFont="1" applyFill="1" applyBorder="1" applyAlignment="1" applyProtection="1">
      <alignment horizontal="center" vertical="center" wrapText="1"/>
      <protection locked="0"/>
    </xf>
    <xf numFmtId="0" fontId="7" fillId="9" borderId="11" xfId="1" applyFont="1" applyFill="1" applyBorder="1" applyAlignment="1" applyProtection="1">
      <alignment horizontal="center" vertical="center"/>
      <protection locked="0"/>
    </xf>
    <xf numFmtId="0" fontId="7" fillId="9" borderId="18" xfId="1" applyFont="1" applyFill="1" applyBorder="1" applyAlignment="1" applyProtection="1">
      <alignment horizontal="center" vertical="center"/>
      <protection locked="0"/>
    </xf>
    <xf numFmtId="0" fontId="6" fillId="0" borderId="11" xfId="1" applyBorder="1" applyAlignment="1" applyProtection="1">
      <alignment horizontal="center" vertical="center" wrapText="1"/>
      <protection locked="0"/>
    </xf>
    <xf numFmtId="0" fontId="6" fillId="0" borderId="17" xfId="1" applyBorder="1" applyAlignment="1" applyProtection="1">
      <alignment horizontal="center" vertical="center" wrapText="1"/>
      <protection locked="0"/>
    </xf>
    <xf numFmtId="0" fontId="6" fillId="0" borderId="13" xfId="1" applyBorder="1" applyAlignment="1" applyProtection="1">
      <alignment horizontal="center" vertical="center" wrapText="1"/>
      <protection locked="0"/>
    </xf>
    <xf numFmtId="0" fontId="6" fillId="0" borderId="20" xfId="1" applyBorder="1" applyAlignment="1" applyProtection="1">
      <alignment horizontal="center" vertical="center" wrapText="1"/>
      <protection locked="0"/>
    </xf>
    <xf numFmtId="0" fontId="7" fillId="9" borderId="7" xfId="1" applyFont="1" applyFill="1" applyBorder="1" applyAlignment="1" applyProtection="1">
      <alignment horizontal="center" vertical="center" wrapText="1"/>
      <protection locked="0"/>
    </xf>
    <xf numFmtId="0" fontId="7" fillId="9" borderId="23" xfId="1" applyFont="1" applyFill="1" applyBorder="1" applyAlignment="1" applyProtection="1">
      <alignment horizontal="center" vertical="center" wrapText="1"/>
      <protection locked="0"/>
    </xf>
    <xf numFmtId="0" fontId="7" fillId="9" borderId="17" xfId="1" applyFont="1" applyFill="1" applyBorder="1" applyAlignment="1" applyProtection="1">
      <alignment horizontal="center" vertical="center"/>
      <protection locked="0"/>
    </xf>
    <xf numFmtId="0" fontId="7" fillId="9" borderId="15" xfId="1" applyFont="1" applyFill="1" applyBorder="1" applyAlignment="1" applyProtection="1">
      <alignment horizontal="center" vertical="center"/>
      <protection locked="0"/>
    </xf>
    <xf numFmtId="0" fontId="7" fillId="9" borderId="17" xfId="1" applyFont="1" applyFill="1" applyBorder="1" applyAlignment="1" applyProtection="1">
      <alignment horizontal="center" vertical="center" wrapText="1"/>
      <protection locked="0"/>
    </xf>
    <xf numFmtId="2" fontId="6" fillId="0" borderId="7" xfId="1" applyNumberFormat="1" applyBorder="1" applyAlignment="1" applyProtection="1">
      <alignment horizontal="center" vertical="center" wrapText="1"/>
      <protection locked="0"/>
    </xf>
    <xf numFmtId="2" fontId="6" fillId="0" borderId="10" xfId="1" applyNumberFormat="1" applyBorder="1" applyAlignment="1" applyProtection="1">
      <alignment horizontal="center" vertical="center" wrapText="1"/>
      <protection locked="0"/>
    </xf>
    <xf numFmtId="2" fontId="6" fillId="0" borderId="15" xfId="1" applyNumberFormat="1" applyBorder="1" applyAlignment="1" applyProtection="1">
      <alignment horizontal="center" vertical="center" wrapText="1"/>
      <protection locked="0"/>
    </xf>
    <xf numFmtId="0" fontId="7" fillId="8" borderId="8" xfId="1" applyFont="1" applyFill="1" applyBorder="1" applyAlignment="1" applyProtection="1">
      <alignment horizontal="center" wrapText="1"/>
      <protection locked="0"/>
    </xf>
    <xf numFmtId="0" fontId="7" fillId="8" borderId="3" xfId="1" applyFont="1" applyFill="1" applyBorder="1" applyAlignment="1" applyProtection="1">
      <alignment horizontal="center" wrapText="1"/>
      <protection locked="0"/>
    </xf>
    <xf numFmtId="0" fontId="7" fillId="8" borderId="9" xfId="1" applyFont="1" applyFill="1" applyBorder="1" applyAlignment="1" applyProtection="1">
      <alignment horizontal="center" wrapText="1"/>
      <protection locked="0"/>
    </xf>
    <xf numFmtId="0" fontId="7" fillId="8" borderId="7" xfId="1" applyFont="1" applyFill="1" applyBorder="1" applyAlignment="1" applyProtection="1">
      <alignment horizontal="center" vertical="center" wrapText="1"/>
      <protection locked="0"/>
    </xf>
    <xf numFmtId="0" fontId="7" fillId="8" borderId="10" xfId="1" applyFont="1" applyFill="1" applyBorder="1" applyAlignment="1" applyProtection="1">
      <alignment horizontal="center" vertical="center" wrapText="1"/>
      <protection locked="0"/>
    </xf>
    <xf numFmtId="0" fontId="7" fillId="8" borderId="11" xfId="1" applyFont="1" applyFill="1" applyBorder="1" applyAlignment="1" applyProtection="1">
      <alignment horizontal="center" vertical="center" wrapText="1"/>
      <protection locked="0"/>
    </xf>
    <xf numFmtId="0" fontId="7" fillId="8" borderId="17" xfId="1" applyFont="1" applyFill="1" applyBorder="1" applyAlignment="1" applyProtection="1">
      <alignment horizontal="center" vertical="center" wrapText="1"/>
      <protection locked="0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7" fillId="8" borderId="12" xfId="1" applyFont="1" applyFill="1" applyBorder="1" applyAlignment="1" applyProtection="1">
      <alignment horizontal="center" vertical="center" wrapText="1"/>
      <protection locked="0"/>
    </xf>
    <xf numFmtId="0" fontId="7" fillId="8" borderId="13" xfId="1" applyFont="1" applyFill="1" applyBorder="1" applyAlignment="1" applyProtection="1">
      <alignment horizontal="center" vertical="center" wrapText="1"/>
      <protection locked="0"/>
    </xf>
    <xf numFmtId="0" fontId="7" fillId="8" borderId="2" xfId="1" applyFont="1" applyFill="1" applyBorder="1" applyAlignment="1" applyProtection="1">
      <alignment horizontal="center" vertical="center" wrapText="1"/>
      <protection locked="0"/>
    </xf>
    <xf numFmtId="0" fontId="7" fillId="8" borderId="14" xfId="1" applyFont="1" applyFill="1" applyBorder="1" applyAlignment="1" applyProtection="1">
      <alignment horizontal="center" vertical="center" wrapText="1"/>
      <protection locked="0"/>
    </xf>
    <xf numFmtId="0" fontId="7" fillId="8" borderId="15" xfId="1" applyFont="1" applyFill="1" applyBorder="1" applyAlignment="1" applyProtection="1">
      <alignment horizontal="center" vertical="center" wrapText="1"/>
      <protection locked="0"/>
    </xf>
    <xf numFmtId="2" fontId="6" fillId="0" borderId="0" xfId="1" applyNumberForma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164" fontId="6" fillId="0" borderId="7" xfId="1" applyNumberFormat="1" applyBorder="1" applyAlignment="1" applyProtection="1">
      <alignment horizontal="center" vertical="center" wrapText="1"/>
      <protection locked="0"/>
    </xf>
    <xf numFmtId="164" fontId="6" fillId="0" borderId="10" xfId="1" applyNumberFormat="1" applyBorder="1" applyAlignment="1" applyProtection="1">
      <alignment horizontal="center" vertical="center" wrapText="1"/>
      <protection locked="0"/>
    </xf>
    <xf numFmtId="164" fontId="6" fillId="0" borderId="15" xfId="1" applyNumberFormat="1" applyBorder="1" applyAlignment="1" applyProtection="1">
      <alignment horizontal="center" vertical="center" wrapText="1"/>
      <protection locked="0"/>
    </xf>
    <xf numFmtId="164" fontId="6" fillId="0" borderId="1" xfId="1" applyNumberFormat="1" applyFill="1" applyBorder="1" applyAlignment="1" applyProtection="1">
      <alignment vertical="center" wrapText="1"/>
      <protection locked="0"/>
    </xf>
    <xf numFmtId="0" fontId="7" fillId="6" borderId="7" xfId="1" applyFont="1" applyFill="1" applyBorder="1" applyAlignment="1" applyProtection="1">
      <alignment horizontal="center" vertical="center" wrapText="1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7" fillId="6" borderId="15" xfId="1" applyFont="1" applyFill="1" applyBorder="1" applyAlignment="1" applyProtection="1">
      <alignment horizontal="center" vertical="center" wrapText="1"/>
      <protection locked="0"/>
    </xf>
    <xf numFmtId="0" fontId="7" fillId="6" borderId="8" xfId="1" applyFont="1" applyFill="1" applyBorder="1" applyAlignment="1" applyProtection="1">
      <alignment horizontal="center" wrapText="1"/>
      <protection locked="0"/>
    </xf>
    <xf numFmtId="0" fontId="7" fillId="6" borderId="3" xfId="1" applyFont="1" applyFill="1" applyBorder="1" applyAlignment="1" applyProtection="1">
      <alignment horizontal="center" wrapText="1"/>
      <protection locked="0"/>
    </xf>
    <xf numFmtId="0" fontId="7" fillId="6" borderId="9" xfId="1" applyFont="1" applyFill="1" applyBorder="1" applyAlignment="1" applyProtection="1">
      <alignment horizontal="center" wrapText="1"/>
      <protection locked="0"/>
    </xf>
    <xf numFmtId="0" fontId="7" fillId="6" borderId="11" xfId="1" applyFont="1" applyFill="1" applyBorder="1" applyAlignment="1" applyProtection="1">
      <alignment horizontal="center" wrapText="1"/>
      <protection locked="0"/>
    </xf>
    <xf numFmtId="0" fontId="7" fillId="6" borderId="1" xfId="1" applyFont="1" applyFill="1" applyBorder="1" applyAlignment="1" applyProtection="1">
      <alignment horizontal="center" wrapText="1"/>
      <protection locked="0"/>
    </xf>
    <xf numFmtId="0" fontId="7" fillId="6" borderId="12" xfId="1" applyFont="1" applyFill="1" applyBorder="1" applyAlignment="1" applyProtection="1">
      <alignment horizontal="center" wrapText="1"/>
      <protection locked="0"/>
    </xf>
    <xf numFmtId="0" fontId="7" fillId="6" borderId="13" xfId="1" applyFont="1" applyFill="1" applyBorder="1" applyAlignment="1" applyProtection="1">
      <alignment horizontal="center" wrapText="1"/>
      <protection locked="0"/>
    </xf>
    <xf numFmtId="0" fontId="7" fillId="6" borderId="2" xfId="1" applyFont="1" applyFill="1" applyBorder="1" applyAlignment="1" applyProtection="1">
      <alignment horizontal="center" wrapText="1"/>
      <protection locked="0"/>
    </xf>
    <xf numFmtId="0" fontId="7" fillId="6" borderId="14" xfId="1" applyFont="1" applyFill="1" applyBorder="1" applyAlignment="1" applyProtection="1">
      <alignment horizontal="center" wrapText="1"/>
      <protection locked="0"/>
    </xf>
    <xf numFmtId="0" fontId="7" fillId="5" borderId="8" xfId="1" applyFont="1" applyFill="1" applyBorder="1" applyAlignment="1" applyProtection="1">
      <alignment horizontal="center" wrapText="1"/>
      <protection locked="0"/>
    </xf>
    <xf numFmtId="0" fontId="7" fillId="5" borderId="3" xfId="1" applyFont="1" applyFill="1" applyBorder="1" applyAlignment="1" applyProtection="1">
      <alignment horizontal="center" wrapText="1"/>
      <protection locked="0"/>
    </xf>
    <xf numFmtId="0" fontId="7" fillId="5" borderId="9" xfId="1" applyFont="1" applyFill="1" applyBorder="1" applyAlignment="1" applyProtection="1">
      <alignment horizontal="center" wrapText="1"/>
      <protection locked="0"/>
    </xf>
    <xf numFmtId="0" fontId="7" fillId="5" borderId="10" xfId="1" applyFont="1" applyFill="1" applyBorder="1" applyAlignment="1" applyProtection="1">
      <alignment horizontal="center" vertical="center" wrapText="1"/>
      <protection locked="0"/>
    </xf>
    <xf numFmtId="0" fontId="7" fillId="5" borderId="1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2" xfId="1" applyFont="1" applyFill="1" applyBorder="1" applyAlignment="1" applyProtection="1">
      <alignment horizontal="center" wrapText="1"/>
      <protection locked="0"/>
    </xf>
    <xf numFmtId="0" fontId="7" fillId="5" borderId="13" xfId="1" applyFont="1" applyFill="1" applyBorder="1" applyAlignment="1" applyProtection="1">
      <alignment horizontal="center" wrapText="1"/>
      <protection locked="0"/>
    </xf>
    <xf numFmtId="0" fontId="7" fillId="5" borderId="2" xfId="1" applyFont="1" applyFill="1" applyBorder="1" applyAlignment="1" applyProtection="1">
      <alignment horizontal="center" wrapText="1"/>
      <protection locked="0"/>
    </xf>
    <xf numFmtId="0" fontId="7" fillId="5" borderId="14" xfId="1" applyFont="1" applyFill="1" applyBorder="1" applyAlignment="1" applyProtection="1">
      <alignment horizontal="center" wrapText="1"/>
      <protection locked="0"/>
    </xf>
    <xf numFmtId="0" fontId="7" fillId="5" borderId="7" xfId="1" applyFont="1" applyFill="1" applyBorder="1" applyAlignment="1" applyProtection="1">
      <alignment horizontal="center" vertical="center" wrapText="1"/>
      <protection locked="0"/>
    </xf>
    <xf numFmtId="0" fontId="7" fillId="5" borderId="7" xfId="1" applyFont="1" applyFill="1" applyBorder="1" applyAlignment="1" applyProtection="1">
      <alignment horizontal="center" wrapText="1"/>
      <protection locked="0"/>
    </xf>
    <xf numFmtId="0" fontId="7" fillId="5" borderId="10" xfId="1" applyFont="1" applyFill="1" applyBorder="1" applyAlignment="1" applyProtection="1">
      <alignment horizontal="center" wrapText="1"/>
      <protection locked="0"/>
    </xf>
    <xf numFmtId="0" fontId="7" fillId="5" borderId="15" xfId="1" applyFont="1" applyFill="1" applyBorder="1" applyAlignment="1" applyProtection="1">
      <alignment horizontal="center" vertical="center" wrapText="1"/>
      <protection locked="0"/>
    </xf>
    <xf numFmtId="0" fontId="7" fillId="5" borderId="1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7" fillId="5" borderId="12" xfId="1" applyFont="1" applyFill="1" applyBorder="1" applyAlignment="1" applyProtection="1">
      <alignment horizontal="center" vertical="center" wrapText="1"/>
      <protection locked="0"/>
    </xf>
    <xf numFmtId="0" fontId="7" fillId="5" borderId="13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14" xfId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 applyProtection="1">
      <alignment horizontal="center" vertical="center" wrapText="1"/>
      <protection locked="0"/>
    </xf>
    <xf numFmtId="0" fontId="7" fillId="4" borderId="10" xfId="1" applyFont="1" applyFill="1" applyBorder="1" applyAlignment="1" applyProtection="1">
      <alignment horizontal="center" vertical="center" wrapText="1"/>
      <protection locked="0"/>
    </xf>
    <xf numFmtId="0" fontId="7" fillId="4" borderId="11" xfId="1" applyFont="1" applyFill="1" applyBorder="1" applyAlignment="1" applyProtection="1">
      <alignment horizontal="center" wrapText="1"/>
      <protection locked="0"/>
    </xf>
    <xf numFmtId="0" fontId="6" fillId="4" borderId="12" xfId="1" applyFont="1" applyFill="1" applyBorder="1" applyAlignment="1" applyProtection="1">
      <alignment horizontal="center"/>
      <protection locked="0"/>
    </xf>
    <xf numFmtId="0" fontId="7" fillId="4" borderId="13" xfId="1" applyFont="1" applyFill="1" applyBorder="1" applyAlignment="1" applyProtection="1">
      <alignment horizontal="center" wrapText="1"/>
      <protection locked="0"/>
    </xf>
    <xf numFmtId="0" fontId="6" fillId="4" borderId="14" xfId="1" applyFont="1" applyFill="1" applyBorder="1" applyAlignment="1" applyProtection="1">
      <alignment horizontal="center"/>
      <protection locked="0"/>
    </xf>
    <xf numFmtId="0" fontId="17" fillId="0" borderId="0" xfId="1" applyFont="1" applyAlignment="1" applyProtection="1">
      <alignment horizontal="left" wrapText="1"/>
      <protection locked="0"/>
    </xf>
    <xf numFmtId="0" fontId="7" fillId="4" borderId="8" xfId="1" applyFont="1" applyFill="1" applyBorder="1" applyAlignment="1" applyProtection="1">
      <alignment horizontal="center" wrapText="1"/>
      <protection locked="0"/>
    </xf>
    <xf numFmtId="0" fontId="7" fillId="4" borderId="3" xfId="1" applyFont="1" applyFill="1" applyBorder="1" applyAlignment="1" applyProtection="1">
      <alignment horizontal="center" wrapText="1"/>
      <protection locked="0"/>
    </xf>
    <xf numFmtId="0" fontId="7" fillId="4" borderId="9" xfId="1" applyFont="1" applyFill="1" applyBorder="1" applyAlignment="1" applyProtection="1">
      <alignment horizontal="center" wrapText="1"/>
      <protection locked="0"/>
    </xf>
    <xf numFmtId="0" fontId="13" fillId="0" borderId="0" xfId="1" quotePrefix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0" borderId="0" xfId="1" quotePrefix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1" fillId="3" borderId="0" xfId="1" applyFont="1" applyFill="1" applyAlignment="1" applyProtection="1">
      <protection locked="0"/>
    </xf>
    <xf numFmtId="0" fontId="12" fillId="3" borderId="0" xfId="1" applyFont="1" applyFill="1" applyAlignment="1" applyProtection="1">
      <alignment horizontal="center"/>
      <protection locked="0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0" fillId="3" borderId="0" xfId="1" applyFont="1" applyFill="1" applyAlignment="1" applyProtection="1">
      <alignment horizontal="center"/>
      <protection locked="0"/>
    </xf>
    <xf numFmtId="0" fontId="6" fillId="0" borderId="3" xfId="1" applyBorder="1" applyAlignment="1" applyProtection="1">
      <alignment horizontal="center"/>
      <protection locked="0"/>
    </xf>
    <xf numFmtId="0" fontId="10" fillId="3" borderId="0" xfId="1" applyFont="1" applyFill="1" applyAlignment="1" applyProtection="1">
      <alignment horizontal="center" vertical="center"/>
      <protection locked="0"/>
    </xf>
    <xf numFmtId="0" fontId="6" fillId="0" borderId="0" xfId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3">
    <dxf>
      <font>
        <color theme="0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797864</xdr:colOff>
      <xdr:row>40</xdr:row>
      <xdr:rowOff>85724</xdr:rowOff>
    </xdr:from>
    <xdr:to>
      <xdr:col>34</xdr:col>
      <xdr:colOff>177579</xdr:colOff>
      <xdr:row>55</xdr:row>
      <xdr:rowOff>112058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094"/>
        <a:stretch>
          <a:fillRect/>
        </a:stretch>
      </xdr:blipFill>
      <xdr:spPr bwMode="auto">
        <a:xfrm>
          <a:off x="20514614" y="6715124"/>
          <a:ext cx="7580740" cy="2636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</xdr:colOff>
      <xdr:row>40</xdr:row>
      <xdr:rowOff>57150</xdr:rowOff>
    </xdr:from>
    <xdr:to>
      <xdr:col>24</xdr:col>
      <xdr:colOff>337377</xdr:colOff>
      <xdr:row>59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34927" y="6686550"/>
          <a:ext cx="73192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27</xdr:row>
      <xdr:rowOff>26276</xdr:rowOff>
    </xdr:from>
    <xdr:ext cx="1401032" cy="41466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5498224" y="5288017"/>
              <a:ext cx="1401032" cy="414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L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E</m:t>
                            </m:r>
                          </m:sub>
                        </m:sSub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sub>
                            </m:sSub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</m:t>
                            </m:r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num>
                      <m:den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−</m:t>
                            </m:r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5498224" y="5288017"/>
              <a:ext cx="1401032" cy="414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L_2=(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_E  (J_E  −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J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_1 ))/((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J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−J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11</xdr:col>
      <xdr:colOff>72062</xdr:colOff>
      <xdr:row>27</xdr:row>
      <xdr:rowOff>109926</xdr:rowOff>
    </xdr:from>
    <xdr:ext cx="839782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/>
            <xdr:cNvSpPr txBox="1"/>
          </xdr:nvSpPr>
          <xdr:spPr>
            <a:xfrm>
              <a:off x="6102372" y="5371667"/>
              <a:ext cx="8397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pt-BR" sz="1100" b="0" i="0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E</m:t>
                        </m:r>
                      </m:sub>
                    </m:sSub>
                    <m:r>
                      <a:rPr lang="pt-B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pt-BR" sz="1100" i="0"/>
            </a:p>
          </xdr:txBody>
        </xdr:sp>
      </mc:Choice>
      <mc:Fallback>
        <xdr:sp macro="" textlink="">
          <xdr:nvSpPr>
            <xdr:cNvPr id="3" name="CaixaDeTexto 2"/>
            <xdr:cNvSpPr txBox="1"/>
          </xdr:nvSpPr>
          <xdr:spPr>
            <a:xfrm>
              <a:off x="6102372" y="5371667"/>
              <a:ext cx="8397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L_1= 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_E−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endParaRPr lang="pt-BR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386558</xdr:colOff>
      <xdr:row>3</xdr:row>
      <xdr:rowOff>153865</xdr:rowOff>
    </xdr:from>
    <xdr:ext cx="1401032" cy="414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4052041" y="725365"/>
              <a:ext cx="1401032" cy="414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pt-BR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L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pt-BR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E</m:t>
                            </m:r>
                          </m:sub>
                        </m:sSub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sub>
                            </m:sSub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</m:t>
                            </m:r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num>
                      <m:den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−</m:t>
                            </m:r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J</m:t>
                                </m:r>
                              </m:e>
                              <m:sub>
                                <m:r>
                                  <a:rPr lang="pt-BR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4052041" y="725365"/>
              <a:ext cx="1401032" cy="414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L</a:t>
              </a:r>
              <a:r>
                <a:rPr lang="pt-BR" sz="1100" b="0" i="0">
                  <a:latin typeface="Cambria Math"/>
                </a:rPr>
                <a:t>_</a:t>
              </a:r>
              <a:r>
                <a:rPr lang="pt-BR" sz="1100" b="0" i="0">
                  <a:latin typeface="Cambria Math" panose="02040503050406030204" pitchFamily="18" charset="0"/>
                </a:rPr>
                <a:t>2=</a:t>
              </a:r>
              <a:r>
                <a:rPr lang="pt-BR" sz="1100" b="0" i="0">
                  <a:latin typeface="Cambria Math"/>
                </a:rPr>
                <a:t>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E  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J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E  −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J_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))/((J_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−J_1 ) 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7</xdr:col>
      <xdr:colOff>25067</xdr:colOff>
      <xdr:row>6</xdr:row>
      <xdr:rowOff>145549</xdr:rowOff>
    </xdr:from>
    <xdr:ext cx="8397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/>
            <xdr:cNvSpPr txBox="1"/>
          </xdr:nvSpPr>
          <xdr:spPr>
            <a:xfrm>
              <a:off x="4301464" y="1341101"/>
              <a:ext cx="8397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latin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pt-BR" sz="1100" b="0" i="0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E</m:t>
                        </m:r>
                      </m:sub>
                    </m:sSub>
                    <m:r>
                      <a:rPr lang="pt-B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</m:t>
                        </m:r>
                      </m:e>
                      <m:sub>
                        <m:r>
                          <a:rPr lang="pt-BR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pt-BR" sz="1100" i="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4301464" y="1341101"/>
              <a:ext cx="8397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L</a:t>
              </a:r>
              <a:r>
                <a:rPr lang="pt-BR" sz="1100" b="0" i="0">
                  <a:latin typeface="Cambria Math"/>
                </a:rPr>
                <a:t>_</a:t>
              </a:r>
              <a:r>
                <a:rPr lang="pt-BR" sz="1100" b="0" i="0">
                  <a:latin typeface="Cambria Math" panose="02040503050406030204" pitchFamily="18" charset="0"/>
                </a:rPr>
                <a:t>1= 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E−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L_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endParaRPr lang="pt-BR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5</xdr:row>
      <xdr:rowOff>85724</xdr:rowOff>
    </xdr:from>
    <xdr:to>
      <xdr:col>8</xdr:col>
      <xdr:colOff>333376</xdr:colOff>
      <xdr:row>9</xdr:row>
      <xdr:rowOff>70632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22600" y="1038224"/>
          <a:ext cx="3406776" cy="746908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16</xdr:row>
      <xdr:rowOff>38099</xdr:rowOff>
    </xdr:from>
    <xdr:to>
      <xdr:col>7</xdr:col>
      <xdr:colOff>28575</xdr:colOff>
      <xdr:row>19</xdr:row>
      <xdr:rowOff>43079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48000" y="3086099"/>
          <a:ext cx="2314575" cy="576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410312</xdr:colOff>
      <xdr:row>22</xdr:row>
      <xdr:rowOff>0</xdr:rowOff>
    </xdr:from>
    <xdr:to>
      <xdr:col>19</xdr:col>
      <xdr:colOff>2203</xdr:colOff>
      <xdr:row>24</xdr:row>
      <xdr:rowOff>161925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2062" y="4520712"/>
          <a:ext cx="202442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373674</xdr:colOff>
      <xdr:row>27</xdr:row>
      <xdr:rowOff>43962</xdr:rowOff>
    </xdr:from>
    <xdr:to>
      <xdr:col>20</xdr:col>
      <xdr:colOff>440349</xdr:colOff>
      <xdr:row>29</xdr:row>
      <xdr:rowOff>53487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3539" y="5524500"/>
          <a:ext cx="3107348" cy="441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\Documents\Fernando\Consultorias\Bahia\Israel%20Barreto%20Santos\Proj_Irrig_Israel%20Barreto%20San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%20Mendonca\Documents\Embrapa\Proj_Balde%20Cheio\Curso_Man_Proj_Irrig_Pastagens\Projeto%20de%20Irriga&#231;&#227;o%20-%20Planilhas%20Originais\Proj_Irrig_Asp_Pastagens_Vers&#227;o%203.0_2018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\Desktop\CD_Curso_Irrig_Fase%20II\Projeto%20de%20Irriga&#231;&#227;o%20-%20Planilhas%20Originais\Proj_Irrig_Asp_Pastagens_Exemplo_Aposti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1"/>
      <sheetName val="DADOS_2"/>
      <sheetName val="Catálogos"/>
      <sheetName val="Conv_1"/>
      <sheetName val="conv_2"/>
      <sheetName val="Malha_1"/>
      <sheetName val="malha_2"/>
      <sheetName val="Custo mínimo"/>
      <sheetName val="Bomba_1"/>
      <sheetName val="BOMBA_2"/>
      <sheetName val="Lista_mat_conv"/>
      <sheetName val="Lista_mat_malha"/>
      <sheetName val="croqui con"/>
      <sheetName val="croqui m"/>
    </sheetNames>
    <sheetDataSet>
      <sheetData sheetId="0" refreshError="1"/>
      <sheetData sheetId="1" refreshError="1"/>
      <sheetData sheetId="2"/>
      <sheetData sheetId="3">
        <row r="9">
          <cell r="C9">
            <v>20</v>
          </cell>
        </row>
        <row r="10">
          <cell r="C10">
            <v>0.74</v>
          </cell>
        </row>
        <row r="11">
          <cell r="C11">
            <v>1</v>
          </cell>
        </row>
      </sheetData>
      <sheetData sheetId="4"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</sheetData>
      <sheetData sheetId="5">
        <row r="9">
          <cell r="C9">
            <v>20</v>
          </cell>
        </row>
        <row r="10">
          <cell r="C10">
            <v>0.74</v>
          </cell>
        </row>
        <row r="11">
          <cell r="C11">
            <v>1</v>
          </cell>
        </row>
      </sheetData>
      <sheetData sheetId="6"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e AFD"/>
      <sheetName val="DADOS_1"/>
      <sheetName val="DADOS_2"/>
      <sheetName val="DADOS_3"/>
      <sheetName val="Catálogos"/>
      <sheetName val="conv_1"/>
      <sheetName val="conv_2"/>
      <sheetName val="conv_3"/>
      <sheetName val="malha_1"/>
      <sheetName val="malha_2"/>
      <sheetName val="malha_3"/>
      <sheetName val="Custo mín - SU"/>
      <sheetName val="Custo mín - MS"/>
      <sheetName val="BOMBA_1"/>
      <sheetName val="BOMBA_2"/>
      <sheetName val="BOMBA_3"/>
      <sheetName val="Lista_mat_conv_1"/>
      <sheetName val="Lista_mat_conv_2"/>
      <sheetName val="Lista_mat_conv_3"/>
      <sheetName val="Lista_mat_malha_1"/>
      <sheetName val="Lista_mat_malha_2"/>
      <sheetName val="Lista_mat_malha_3"/>
      <sheetName val="croqui con"/>
      <sheetName val="croqui m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20</v>
          </cell>
        </row>
        <row r="13">
          <cell r="C13">
            <v>0.93600000000000005</v>
          </cell>
        </row>
        <row r="14">
          <cell r="C14">
            <v>1.7</v>
          </cell>
        </row>
      </sheetData>
      <sheetData sheetId="6">
        <row r="12">
          <cell r="C12">
            <v>25</v>
          </cell>
        </row>
        <row r="13">
          <cell r="C13">
            <v>1.4890000000000001</v>
          </cell>
        </row>
        <row r="14">
          <cell r="C14">
            <v>1.7</v>
          </cell>
        </row>
      </sheetData>
      <sheetData sheetId="7">
        <row r="12">
          <cell r="C12">
            <v>25</v>
          </cell>
        </row>
        <row r="13">
          <cell r="C13">
            <v>0.55000000000000004</v>
          </cell>
        </row>
        <row r="14">
          <cell r="C14">
            <v>1.7</v>
          </cell>
        </row>
      </sheetData>
      <sheetData sheetId="8">
        <row r="12">
          <cell r="C12">
            <v>20</v>
          </cell>
        </row>
        <row r="13">
          <cell r="C13">
            <v>0.93600000000000005</v>
          </cell>
        </row>
        <row r="14">
          <cell r="C14">
            <v>1.7</v>
          </cell>
        </row>
      </sheetData>
      <sheetData sheetId="9">
        <row r="12">
          <cell r="C12">
            <v>25</v>
          </cell>
        </row>
        <row r="13">
          <cell r="C13">
            <v>1.4890000000000001</v>
          </cell>
        </row>
        <row r="14">
          <cell r="C14">
            <v>1.7</v>
          </cell>
        </row>
      </sheetData>
      <sheetData sheetId="10">
        <row r="12">
          <cell r="C12">
            <v>25</v>
          </cell>
        </row>
        <row r="13">
          <cell r="C13">
            <v>0.55000000000000004</v>
          </cell>
        </row>
        <row r="14">
          <cell r="C14">
            <v>1.7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DADOS_2"/>
      <sheetName val="Catálogos"/>
      <sheetName val="conv"/>
      <sheetName val="conv_2"/>
      <sheetName val="malha"/>
      <sheetName val="malha_2"/>
      <sheetName val="Custo mínimo"/>
      <sheetName val="BOMBA"/>
      <sheetName val="BOMBA_2"/>
      <sheetName val="Lista_mat_conv"/>
      <sheetName val="Lista_mat_malha"/>
      <sheetName val="croqui con"/>
      <sheetName val="croqui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6"/>
  <sheetViews>
    <sheetView showGridLines="0" topLeftCell="J10" zoomScale="130" zoomScaleNormal="130" workbookViewId="0">
      <selection activeCell="N25" sqref="N25"/>
    </sheetView>
  </sheetViews>
  <sheetFormatPr defaultColWidth="9.140625" defaultRowHeight="12.75" x14ac:dyDescent="0.2"/>
  <cols>
    <col min="1" max="1" width="12.42578125" style="23" customWidth="1"/>
    <col min="2" max="2" width="15.140625" style="23" customWidth="1"/>
    <col min="3" max="3" width="12.140625" style="23" customWidth="1"/>
    <col min="4" max="4" width="12.28515625" style="23" customWidth="1"/>
    <col min="5" max="6" width="12" style="23" customWidth="1"/>
    <col min="7" max="7" width="11.42578125" style="23" customWidth="1"/>
    <col min="8" max="8" width="11.5703125" style="23" customWidth="1"/>
    <col min="9" max="9" width="14.5703125" style="23" customWidth="1"/>
    <col min="10" max="11" width="12.7109375" style="23" customWidth="1"/>
    <col min="12" max="12" width="10.7109375" style="23" customWidth="1"/>
    <col min="13" max="13" width="17.7109375" style="23" customWidth="1"/>
    <col min="14" max="14" width="10.7109375" style="23" customWidth="1"/>
    <col min="15" max="15" width="12.85546875" style="23" customWidth="1"/>
    <col min="16" max="16" width="14.5703125" style="23" customWidth="1"/>
    <col min="17" max="17" width="10.28515625" style="23" bestFit="1" customWidth="1"/>
    <col min="18" max="18" width="10.7109375" style="23" customWidth="1"/>
    <col min="19" max="19" width="11" style="23" customWidth="1"/>
    <col min="20" max="20" width="13.140625" style="23" customWidth="1"/>
    <col min="21" max="21" width="12.7109375" style="23" customWidth="1"/>
    <col min="22" max="22" width="10.7109375" style="23" customWidth="1"/>
    <col min="23" max="23" width="10.85546875" style="23" customWidth="1"/>
    <col min="24" max="24" width="10.7109375" style="23" customWidth="1"/>
    <col min="25" max="26" width="12.28515625" style="23" customWidth="1"/>
    <col min="27" max="27" width="10.7109375" style="23" customWidth="1"/>
    <col min="28" max="28" width="10.28515625" style="23" customWidth="1"/>
    <col min="29" max="29" width="11.28515625" style="23" customWidth="1"/>
    <col min="30" max="30" width="14.5703125" style="23" customWidth="1"/>
    <col min="31" max="33" width="13.28515625" style="23" customWidth="1"/>
    <col min="34" max="35" width="11.7109375" style="23" customWidth="1"/>
    <col min="36" max="36" width="10.7109375" style="23" customWidth="1"/>
    <col min="37" max="37" width="14.7109375" style="23" customWidth="1"/>
    <col min="38" max="38" width="10.140625" style="23" customWidth="1"/>
    <col min="39" max="39" width="14.7109375" style="23" customWidth="1"/>
    <col min="40" max="40" width="10.7109375" style="23" customWidth="1"/>
    <col min="41" max="43" width="13.42578125" style="23" customWidth="1"/>
    <col min="44" max="44" width="11.7109375" style="23" customWidth="1"/>
    <col min="45" max="45" width="14.28515625" style="23" customWidth="1"/>
    <col min="46" max="46" width="11.5703125" style="23" customWidth="1"/>
    <col min="47" max="47" width="13.85546875" style="23" customWidth="1"/>
    <col min="48" max="48" width="14.5703125" style="23" bestFit="1" customWidth="1"/>
    <col min="49" max="49" width="13.42578125" style="23" customWidth="1"/>
    <col min="50" max="50" width="12.42578125" style="23" customWidth="1"/>
    <col min="51" max="54" width="10.140625" style="23" customWidth="1"/>
    <col min="55" max="16384" width="9.140625" style="23"/>
  </cols>
  <sheetData>
    <row r="1" spans="1:21" x14ac:dyDescent="0.2">
      <c r="A1" s="22" t="s">
        <v>30</v>
      </c>
    </row>
    <row r="2" spans="1:21" x14ac:dyDescent="0.2">
      <c r="A2" s="22"/>
    </row>
    <row r="3" spans="1:21" x14ac:dyDescent="0.2">
      <c r="A3" s="24" t="s">
        <v>31</v>
      </c>
      <c r="B3" s="24"/>
      <c r="C3" s="25"/>
      <c r="D3" s="25"/>
      <c r="E3" s="25"/>
      <c r="F3" s="25"/>
      <c r="G3" s="25"/>
      <c r="H3" s="25"/>
    </row>
    <row r="4" spans="1:21" x14ac:dyDescent="0.2">
      <c r="A4" s="24" t="s">
        <v>32</v>
      </c>
      <c r="B4" s="24"/>
      <c r="C4" s="25"/>
      <c r="D4" s="25"/>
      <c r="E4" s="25"/>
      <c r="F4" s="25"/>
      <c r="G4" s="25"/>
      <c r="H4" s="25"/>
    </row>
    <row r="5" spans="1:21" x14ac:dyDescent="0.2">
      <c r="A5" s="24" t="s">
        <v>33</v>
      </c>
      <c r="B5" s="24"/>
      <c r="C5" s="25"/>
      <c r="D5" s="25"/>
      <c r="E5" s="25"/>
      <c r="F5" s="25"/>
      <c r="G5" s="25"/>
      <c r="H5" s="25"/>
    </row>
    <row r="6" spans="1:21" x14ac:dyDescent="0.2">
      <c r="A6" s="24" t="s">
        <v>34</v>
      </c>
      <c r="B6" s="24"/>
      <c r="C6" s="25"/>
      <c r="D6" s="25"/>
      <c r="E6" s="25"/>
      <c r="F6" s="25"/>
      <c r="G6" s="25"/>
      <c r="H6" s="25"/>
    </row>
    <row r="7" spans="1:21" x14ac:dyDescent="0.2">
      <c r="A7" s="25"/>
      <c r="B7" s="25"/>
      <c r="C7" s="25"/>
      <c r="D7" s="25"/>
      <c r="E7" s="25"/>
      <c r="F7" s="25"/>
      <c r="G7" s="25"/>
      <c r="H7" s="25"/>
    </row>
    <row r="8" spans="1:21" ht="15.75" x14ac:dyDescent="0.25">
      <c r="A8" s="26"/>
      <c r="B8" s="25"/>
      <c r="C8" s="25"/>
      <c r="D8" s="25"/>
      <c r="E8" s="25"/>
      <c r="F8" s="25"/>
      <c r="G8" s="25"/>
      <c r="H8" s="25"/>
    </row>
    <row r="9" spans="1:21" x14ac:dyDescent="0.2">
      <c r="A9" s="27"/>
      <c r="B9" s="25"/>
      <c r="C9" s="25"/>
      <c r="D9" s="25"/>
      <c r="E9" s="25"/>
      <c r="F9" s="25"/>
      <c r="G9" s="25"/>
      <c r="H9" s="25"/>
    </row>
    <row r="10" spans="1:21" ht="15.75" x14ac:dyDescent="0.25">
      <c r="A10" s="26" t="s">
        <v>35</v>
      </c>
    </row>
    <row r="12" spans="1:21" ht="15.75" x14ac:dyDescent="0.25">
      <c r="A12" s="406" t="s">
        <v>36</v>
      </c>
      <c r="B12" s="406"/>
      <c r="C12" s="406"/>
      <c r="E12" s="406" t="s">
        <v>37</v>
      </c>
      <c r="F12" s="406"/>
      <c r="G12" s="406"/>
      <c r="H12" s="406"/>
      <c r="I12" s="406"/>
      <c r="L12" s="28" t="s">
        <v>38</v>
      </c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">
      <c r="A13" s="23" t="s">
        <v>39</v>
      </c>
      <c r="L13" s="23" t="s">
        <v>40</v>
      </c>
    </row>
    <row r="14" spans="1:21" x14ac:dyDescent="0.2">
      <c r="E14" s="23" t="s">
        <v>41</v>
      </c>
      <c r="L14" s="23" t="s">
        <v>42</v>
      </c>
      <c r="R14" s="23" t="s">
        <v>43</v>
      </c>
    </row>
    <row r="15" spans="1:21" x14ac:dyDescent="0.2">
      <c r="A15" s="29" t="s">
        <v>44</v>
      </c>
      <c r="B15" s="29" t="s">
        <v>45</v>
      </c>
      <c r="C15" s="29" t="s">
        <v>46</v>
      </c>
      <c r="E15" s="29" t="s">
        <v>44</v>
      </c>
      <c r="F15" s="29"/>
      <c r="G15" s="29" t="s">
        <v>45</v>
      </c>
      <c r="H15" s="29" t="s">
        <v>46</v>
      </c>
      <c r="I15" s="30" t="s">
        <v>47</v>
      </c>
      <c r="L15" s="29" t="s">
        <v>44</v>
      </c>
      <c r="M15" s="29" t="s">
        <v>45</v>
      </c>
      <c r="N15" s="29" t="s">
        <v>46</v>
      </c>
      <c r="O15" s="30" t="s">
        <v>47</v>
      </c>
      <c r="P15" s="30" t="s">
        <v>48</v>
      </c>
      <c r="Q15" s="31"/>
      <c r="R15" s="29" t="s">
        <v>44</v>
      </c>
      <c r="S15" s="29" t="s">
        <v>45</v>
      </c>
      <c r="T15" s="29" t="s">
        <v>46</v>
      </c>
      <c r="U15" s="30" t="s">
        <v>47</v>
      </c>
    </row>
    <row r="16" spans="1:21" x14ac:dyDescent="0.2">
      <c r="A16" s="29" t="s">
        <v>18</v>
      </c>
      <c r="B16" s="29"/>
      <c r="C16" s="29"/>
      <c r="E16" s="29" t="s">
        <v>18</v>
      </c>
      <c r="F16" s="29"/>
      <c r="G16" s="29"/>
      <c r="H16" s="29"/>
      <c r="I16" s="32" t="s">
        <v>7</v>
      </c>
      <c r="L16" s="29" t="s">
        <v>18</v>
      </c>
      <c r="M16" s="29"/>
      <c r="N16" s="29"/>
      <c r="O16" s="32" t="s">
        <v>7</v>
      </c>
      <c r="P16" s="32" t="s">
        <v>18</v>
      </c>
      <c r="Q16" s="31"/>
      <c r="R16" s="407" t="s">
        <v>18</v>
      </c>
      <c r="S16" s="407"/>
      <c r="T16" s="407"/>
      <c r="U16" s="32" t="s">
        <v>7</v>
      </c>
    </row>
    <row r="17" spans="1:21" x14ac:dyDescent="0.2">
      <c r="A17" s="30">
        <v>15</v>
      </c>
      <c r="B17" s="33">
        <v>20</v>
      </c>
      <c r="C17" s="30">
        <v>1.5</v>
      </c>
      <c r="E17" s="30" t="s">
        <v>49</v>
      </c>
      <c r="F17" s="30"/>
      <c r="G17" s="34">
        <v>50.5</v>
      </c>
      <c r="H17" s="34">
        <v>1.9</v>
      </c>
      <c r="I17" s="30">
        <v>3.43</v>
      </c>
      <c r="L17" s="30">
        <v>35</v>
      </c>
      <c r="M17" s="34">
        <v>38.1</v>
      </c>
      <c r="N17" s="34">
        <v>1.2</v>
      </c>
      <c r="O17" s="35">
        <v>2</v>
      </c>
      <c r="P17" s="36">
        <f t="shared" ref="P17:P20" si="0">M17-2*N17</f>
        <v>35.700000000000003</v>
      </c>
      <c r="Q17" s="31"/>
      <c r="R17" s="30">
        <v>50</v>
      </c>
      <c r="S17" s="34">
        <v>50.5</v>
      </c>
      <c r="T17" s="34">
        <v>1.4</v>
      </c>
      <c r="U17" s="35">
        <f>2*PI()*((S17-2*T17)/1000)^2/4*1000</f>
        <v>3.5740171743931608</v>
      </c>
    </row>
    <row r="18" spans="1:21" x14ac:dyDescent="0.2">
      <c r="A18" s="37">
        <v>20</v>
      </c>
      <c r="B18" s="38">
        <v>25</v>
      </c>
      <c r="C18" s="37">
        <v>1.7</v>
      </c>
      <c r="E18" s="32" t="s">
        <v>50</v>
      </c>
      <c r="F18" s="32"/>
      <c r="G18" s="39">
        <v>75.5</v>
      </c>
      <c r="H18" s="39">
        <v>2.5</v>
      </c>
      <c r="I18" s="32">
        <v>7.81</v>
      </c>
      <c r="L18" s="37">
        <v>50</v>
      </c>
      <c r="M18" s="36">
        <v>50.5</v>
      </c>
      <c r="N18" s="36">
        <v>1.2</v>
      </c>
      <c r="O18" s="40">
        <v>3.63</v>
      </c>
      <c r="P18" s="36">
        <f t="shared" si="0"/>
        <v>48.1</v>
      </c>
      <c r="Q18" s="31"/>
      <c r="R18" s="37">
        <v>75</v>
      </c>
      <c r="S18" s="36">
        <v>75.5</v>
      </c>
      <c r="T18" s="36">
        <v>2.1</v>
      </c>
      <c r="U18" s="40">
        <f t="shared" ref="U18:U19" si="1">2*PI()*((S18-2*T18)/1000)^2/4*1000</f>
        <v>7.9854415785639477</v>
      </c>
    </row>
    <row r="19" spans="1:21" x14ac:dyDescent="0.2">
      <c r="A19" s="37">
        <v>25</v>
      </c>
      <c r="B19" s="38">
        <v>32</v>
      </c>
      <c r="C19" s="37">
        <v>2.1</v>
      </c>
      <c r="E19" s="37"/>
      <c r="F19" s="37"/>
      <c r="G19" s="36"/>
      <c r="H19" s="36"/>
      <c r="I19" s="37"/>
      <c r="L19" s="37">
        <v>75</v>
      </c>
      <c r="M19" s="36">
        <v>75.5</v>
      </c>
      <c r="N19" s="36">
        <v>1.5</v>
      </c>
      <c r="O19" s="40">
        <v>8.26</v>
      </c>
      <c r="P19" s="36">
        <f t="shared" si="0"/>
        <v>72.5</v>
      </c>
      <c r="Q19" s="31"/>
      <c r="R19" s="32">
        <v>100</v>
      </c>
      <c r="S19" s="39">
        <v>101.6</v>
      </c>
      <c r="T19" s="39">
        <v>2.8</v>
      </c>
      <c r="U19" s="41">
        <f t="shared" si="1"/>
        <v>14.476458947741767</v>
      </c>
    </row>
    <row r="20" spans="1:21" x14ac:dyDescent="0.2">
      <c r="A20" s="37">
        <v>32</v>
      </c>
      <c r="B20" s="38">
        <v>40</v>
      </c>
      <c r="C20" s="37">
        <v>2.4</v>
      </c>
      <c r="E20" s="37"/>
      <c r="F20" s="37"/>
      <c r="G20" s="36"/>
      <c r="H20" s="36"/>
      <c r="I20" s="37"/>
      <c r="L20" s="37">
        <v>100</v>
      </c>
      <c r="M20" s="36">
        <v>101.6</v>
      </c>
      <c r="N20" s="36">
        <v>2</v>
      </c>
      <c r="O20" s="40">
        <v>14.96</v>
      </c>
      <c r="P20" s="36">
        <f t="shared" si="0"/>
        <v>97.6</v>
      </c>
      <c r="Q20" s="31"/>
      <c r="R20" s="37"/>
      <c r="S20" s="36"/>
      <c r="T20" s="36"/>
      <c r="U20" s="40"/>
    </row>
    <row r="21" spans="1:21" x14ac:dyDescent="0.2">
      <c r="A21" s="37">
        <v>40</v>
      </c>
      <c r="B21" s="38">
        <v>50</v>
      </c>
      <c r="C21" s="37">
        <v>3</v>
      </c>
      <c r="E21" s="37"/>
      <c r="F21" s="37"/>
      <c r="G21" s="36"/>
      <c r="H21" s="36"/>
      <c r="I21" s="37"/>
      <c r="L21" s="37">
        <v>125</v>
      </c>
      <c r="M21" s="36">
        <v>125</v>
      </c>
      <c r="N21" s="36">
        <v>2.5</v>
      </c>
      <c r="O21" s="40">
        <v>22.62</v>
      </c>
      <c r="P21" s="36">
        <f>M21-2*N21</f>
        <v>120</v>
      </c>
      <c r="R21" s="23" t="s">
        <v>41</v>
      </c>
    </row>
    <row r="22" spans="1:21" x14ac:dyDescent="0.2">
      <c r="A22" s="37">
        <v>50</v>
      </c>
      <c r="B22" s="38">
        <v>60</v>
      </c>
      <c r="C22" s="37">
        <v>3.3</v>
      </c>
      <c r="L22" s="32">
        <v>150</v>
      </c>
      <c r="M22" s="39">
        <v>150</v>
      </c>
      <c r="N22" s="39">
        <v>3</v>
      </c>
      <c r="O22" s="41">
        <v>32.57</v>
      </c>
      <c r="P22" s="39">
        <f>M22-2*N22</f>
        <v>144</v>
      </c>
      <c r="R22" s="29" t="s">
        <v>44</v>
      </c>
      <c r="S22" s="29" t="s">
        <v>45</v>
      </c>
      <c r="T22" s="29" t="s">
        <v>46</v>
      </c>
      <c r="U22" s="30" t="s">
        <v>47</v>
      </c>
    </row>
    <row r="23" spans="1:21" x14ac:dyDescent="0.2">
      <c r="A23" s="37">
        <v>65</v>
      </c>
      <c r="B23" s="38">
        <v>75</v>
      </c>
      <c r="C23" s="37">
        <v>4.2</v>
      </c>
      <c r="E23" s="37"/>
      <c r="F23" s="37"/>
      <c r="G23" s="36"/>
      <c r="H23" s="36"/>
      <c r="Q23" s="37"/>
      <c r="R23" s="407" t="s">
        <v>18</v>
      </c>
      <c r="S23" s="407"/>
      <c r="T23" s="407"/>
      <c r="U23" s="32" t="s">
        <v>7</v>
      </c>
    </row>
    <row r="24" spans="1:21" x14ac:dyDescent="0.2">
      <c r="A24" s="37">
        <v>75</v>
      </c>
      <c r="B24" s="38">
        <v>85</v>
      </c>
      <c r="C24" s="37">
        <v>4.7</v>
      </c>
      <c r="P24" s="37"/>
      <c r="Q24" s="37"/>
      <c r="R24" s="30">
        <v>50</v>
      </c>
      <c r="S24" s="34">
        <v>50.5</v>
      </c>
      <c r="T24" s="34">
        <v>1.9</v>
      </c>
      <c r="U24" s="35">
        <v>3.43</v>
      </c>
    </row>
    <row r="25" spans="1:21" x14ac:dyDescent="0.2">
      <c r="A25" s="32">
        <v>100</v>
      </c>
      <c r="B25" s="42">
        <v>110</v>
      </c>
      <c r="C25" s="32">
        <v>6.1</v>
      </c>
      <c r="P25" s="37"/>
      <c r="Q25" s="37"/>
      <c r="R25" s="37">
        <v>75</v>
      </c>
      <c r="S25" s="36">
        <v>75.5</v>
      </c>
      <c r="T25" s="36">
        <v>2.5</v>
      </c>
      <c r="U25" s="40">
        <v>7.81</v>
      </c>
    </row>
    <row r="26" spans="1:21" x14ac:dyDescent="0.2">
      <c r="P26" s="37"/>
      <c r="Q26" s="37"/>
      <c r="R26" s="32">
        <v>100</v>
      </c>
      <c r="S26" s="39">
        <v>101.6</v>
      </c>
      <c r="T26" s="39">
        <v>3.6</v>
      </c>
      <c r="U26" s="41">
        <v>14</v>
      </c>
    </row>
    <row r="27" spans="1:21" x14ac:dyDescent="0.2">
      <c r="Q27" s="37"/>
      <c r="R27" s="36"/>
      <c r="S27" s="36"/>
      <c r="T27" s="40"/>
    </row>
    <row r="28" spans="1:21" ht="15.75" x14ac:dyDescent="0.2">
      <c r="A28" s="408" t="s">
        <v>51</v>
      </c>
      <c r="B28" s="408"/>
      <c r="C28" s="408"/>
      <c r="D28" s="408"/>
      <c r="E28" s="408"/>
      <c r="F28" s="408"/>
      <c r="G28" s="408"/>
      <c r="H28" s="408"/>
      <c r="I28" s="408" t="s">
        <v>51</v>
      </c>
      <c r="J28" s="408"/>
      <c r="K28" s="408"/>
      <c r="L28" s="408"/>
      <c r="M28" s="408"/>
      <c r="N28" s="408"/>
      <c r="O28" s="408"/>
      <c r="P28" s="408"/>
      <c r="Q28" s="409"/>
      <c r="R28" s="36"/>
      <c r="S28" s="36"/>
      <c r="T28" s="40"/>
    </row>
    <row r="29" spans="1:21" x14ac:dyDescent="0.2">
      <c r="A29" s="23" t="s">
        <v>52</v>
      </c>
      <c r="Q29" s="37"/>
      <c r="R29" s="36"/>
      <c r="S29" s="36"/>
      <c r="T29" s="40"/>
    </row>
    <row r="30" spans="1:21" x14ac:dyDescent="0.2">
      <c r="A30" s="23" t="s">
        <v>43</v>
      </c>
      <c r="G30" s="23" t="s">
        <v>41</v>
      </c>
      <c r="M30" s="23" t="s">
        <v>53</v>
      </c>
      <c r="Q30" s="37"/>
      <c r="R30" s="36"/>
      <c r="S30" s="36"/>
      <c r="T30" s="40"/>
    </row>
    <row r="31" spans="1:21" x14ac:dyDescent="0.2">
      <c r="A31" s="29" t="s">
        <v>44</v>
      </c>
      <c r="B31" s="29" t="s">
        <v>45</v>
      </c>
      <c r="C31" s="29" t="s">
        <v>46</v>
      </c>
      <c r="D31" s="30" t="s">
        <v>47</v>
      </c>
      <c r="E31" s="30" t="s">
        <v>48</v>
      </c>
      <c r="G31" s="29" t="s">
        <v>44</v>
      </c>
      <c r="H31" s="29" t="s">
        <v>45</v>
      </c>
      <c r="I31" s="29" t="s">
        <v>46</v>
      </c>
      <c r="J31" s="30" t="s">
        <v>47</v>
      </c>
      <c r="K31" s="30" t="s">
        <v>48</v>
      </c>
      <c r="M31" s="29" t="s">
        <v>44</v>
      </c>
      <c r="N31" s="29" t="s">
        <v>45</v>
      </c>
      <c r="O31" s="29" t="s">
        <v>46</v>
      </c>
      <c r="P31" s="30" t="s">
        <v>47</v>
      </c>
      <c r="Q31" s="30" t="s">
        <v>48</v>
      </c>
      <c r="R31" s="36"/>
      <c r="S31" s="36"/>
      <c r="T31" s="40"/>
    </row>
    <row r="32" spans="1:21" x14ac:dyDescent="0.2">
      <c r="A32" s="29" t="s">
        <v>18</v>
      </c>
      <c r="B32" s="29"/>
      <c r="C32" s="29"/>
      <c r="D32" s="32" t="s">
        <v>7</v>
      </c>
      <c r="E32" s="32" t="s">
        <v>18</v>
      </c>
      <c r="G32" s="29" t="s">
        <v>18</v>
      </c>
      <c r="H32" s="29"/>
      <c r="I32" s="29"/>
      <c r="J32" s="32" t="s">
        <v>7</v>
      </c>
      <c r="K32" s="32" t="s">
        <v>18</v>
      </c>
      <c r="M32" s="29" t="s">
        <v>18</v>
      </c>
      <c r="N32" s="29"/>
      <c r="O32" s="29"/>
      <c r="P32" s="32" t="s">
        <v>7</v>
      </c>
      <c r="Q32" s="32" t="s">
        <v>18</v>
      </c>
      <c r="R32" s="36"/>
      <c r="S32" s="36"/>
      <c r="T32" s="40"/>
    </row>
    <row r="33" spans="1:35" x14ac:dyDescent="0.2">
      <c r="A33" s="30">
        <v>100</v>
      </c>
      <c r="B33" s="34">
        <v>118</v>
      </c>
      <c r="C33" s="34">
        <v>2.7</v>
      </c>
      <c r="D33" s="35">
        <v>19.920000000000002</v>
      </c>
      <c r="E33" s="43">
        <f t="shared" ref="E33:E37" si="2">B33-2*C33</f>
        <v>112.6</v>
      </c>
      <c r="G33" s="30">
        <v>100</v>
      </c>
      <c r="H33" s="34">
        <v>118</v>
      </c>
      <c r="I33" s="34">
        <v>3.1</v>
      </c>
      <c r="J33" s="35">
        <v>19.63</v>
      </c>
      <c r="K33" s="43">
        <f t="shared" ref="K33:K37" si="3">H33-2*I33</f>
        <v>111.8</v>
      </c>
      <c r="M33" s="30">
        <v>100</v>
      </c>
      <c r="N33" s="34">
        <v>118</v>
      </c>
      <c r="O33" s="34">
        <v>4.8</v>
      </c>
      <c r="P33" s="35">
        <v>18.46</v>
      </c>
      <c r="Q33" s="43">
        <f t="shared" ref="Q33:Q37" si="4">N33-2*O33</f>
        <v>108.4</v>
      </c>
      <c r="R33" s="36"/>
      <c r="S33" s="36"/>
      <c r="T33" s="40"/>
    </row>
    <row r="34" spans="1:35" x14ac:dyDescent="0.2">
      <c r="A34" s="37">
        <v>150</v>
      </c>
      <c r="B34" s="36">
        <v>170</v>
      </c>
      <c r="C34" s="36">
        <v>3.9</v>
      </c>
      <c r="D34" s="40">
        <v>41.33</v>
      </c>
      <c r="E34" s="43">
        <f t="shared" si="2"/>
        <v>162.19999999999999</v>
      </c>
      <c r="F34" s="43"/>
      <c r="G34" s="37">
        <v>150</v>
      </c>
      <c r="H34" s="36">
        <v>170</v>
      </c>
      <c r="I34" s="36">
        <v>4.4000000000000004</v>
      </c>
      <c r="J34" s="40">
        <v>40.82</v>
      </c>
      <c r="K34" s="43">
        <f t="shared" si="3"/>
        <v>161.19999999999999</v>
      </c>
      <c r="M34" s="37">
        <v>150</v>
      </c>
      <c r="N34" s="36">
        <v>170</v>
      </c>
      <c r="O34" s="36">
        <v>6.8</v>
      </c>
      <c r="P34" s="40">
        <v>38.42</v>
      </c>
      <c r="Q34" s="43">
        <f t="shared" si="4"/>
        <v>156.4</v>
      </c>
      <c r="R34" s="36"/>
      <c r="S34" s="36"/>
      <c r="T34" s="40"/>
    </row>
    <row r="35" spans="1:35" x14ac:dyDescent="0.2">
      <c r="A35" s="37">
        <v>200</v>
      </c>
      <c r="B35" s="36">
        <v>222</v>
      </c>
      <c r="C35" s="36">
        <v>5</v>
      </c>
      <c r="D35" s="40">
        <v>70.599999999999994</v>
      </c>
      <c r="E35" s="43">
        <f t="shared" si="2"/>
        <v>212</v>
      </c>
      <c r="F35" s="43"/>
      <c r="G35" s="37">
        <v>200</v>
      </c>
      <c r="H35" s="36">
        <v>222</v>
      </c>
      <c r="I35" s="36">
        <v>5.8</v>
      </c>
      <c r="J35" s="40">
        <v>69.540000000000006</v>
      </c>
      <c r="K35" s="43">
        <f t="shared" si="3"/>
        <v>210.4</v>
      </c>
      <c r="M35" s="37">
        <v>200</v>
      </c>
      <c r="N35" s="36">
        <v>222</v>
      </c>
      <c r="O35" s="36">
        <v>8.9</v>
      </c>
      <c r="P35" s="40">
        <v>65.5</v>
      </c>
      <c r="Q35" s="43">
        <f t="shared" si="4"/>
        <v>204.2</v>
      </c>
      <c r="R35" s="36"/>
      <c r="S35" s="36"/>
      <c r="T35" s="40"/>
    </row>
    <row r="36" spans="1:35" x14ac:dyDescent="0.2">
      <c r="A36" s="37">
        <v>250</v>
      </c>
      <c r="B36" s="36">
        <v>274</v>
      </c>
      <c r="C36" s="36">
        <v>6.2</v>
      </c>
      <c r="D36" s="40">
        <v>107.5</v>
      </c>
      <c r="E36" s="43">
        <f t="shared" si="2"/>
        <v>261.60000000000002</v>
      </c>
      <c r="F36" s="43"/>
      <c r="G36" s="37">
        <v>250</v>
      </c>
      <c r="H36" s="36">
        <v>274</v>
      </c>
      <c r="I36" s="36">
        <v>7.1</v>
      </c>
      <c r="J36" s="40">
        <v>106.02</v>
      </c>
      <c r="K36" s="43">
        <f t="shared" si="3"/>
        <v>259.8</v>
      </c>
      <c r="M36" s="37">
        <v>250</v>
      </c>
      <c r="N36" s="36">
        <v>274</v>
      </c>
      <c r="O36" s="36">
        <v>11</v>
      </c>
      <c r="P36" s="40">
        <v>99.75</v>
      </c>
      <c r="Q36" s="43">
        <f t="shared" si="4"/>
        <v>252</v>
      </c>
      <c r="R36" s="36"/>
      <c r="S36" s="36"/>
      <c r="T36" s="40"/>
    </row>
    <row r="37" spans="1:35" x14ac:dyDescent="0.2">
      <c r="A37" s="32">
        <v>300</v>
      </c>
      <c r="B37" s="39">
        <v>326</v>
      </c>
      <c r="C37" s="39">
        <v>7.4</v>
      </c>
      <c r="D37" s="41">
        <v>152.12</v>
      </c>
      <c r="E37" s="39">
        <f t="shared" si="2"/>
        <v>311.2</v>
      </c>
      <c r="F37" s="43"/>
      <c r="G37" s="32">
        <v>300</v>
      </c>
      <c r="H37" s="39">
        <v>326</v>
      </c>
      <c r="I37" s="39">
        <v>8.5</v>
      </c>
      <c r="J37" s="41">
        <v>149.97999999999999</v>
      </c>
      <c r="K37" s="39">
        <f t="shared" si="3"/>
        <v>309</v>
      </c>
      <c r="M37" s="32">
        <v>300</v>
      </c>
      <c r="N37" s="39">
        <v>326</v>
      </c>
      <c r="O37" s="39">
        <v>13.1</v>
      </c>
      <c r="P37" s="41">
        <v>141.18</v>
      </c>
      <c r="Q37" s="39">
        <f t="shared" si="4"/>
        <v>299.8</v>
      </c>
      <c r="R37" s="36"/>
      <c r="S37" s="36"/>
      <c r="T37" s="40"/>
    </row>
    <row r="38" spans="1:35" x14ac:dyDescent="0.2">
      <c r="A38" s="37"/>
      <c r="B38" s="36"/>
      <c r="C38" s="36"/>
      <c r="Q38" s="37"/>
      <c r="R38" s="36"/>
      <c r="S38" s="36"/>
      <c r="T38" s="40"/>
    </row>
    <row r="39" spans="1:35" x14ac:dyDescent="0.2">
      <c r="A39" s="37"/>
      <c r="B39" s="38"/>
      <c r="C39" s="36"/>
      <c r="D39" s="31"/>
      <c r="Q39" s="37"/>
      <c r="R39" s="36"/>
      <c r="S39" s="36"/>
      <c r="T39" s="40"/>
    </row>
    <row r="40" spans="1:35" x14ac:dyDescent="0.2">
      <c r="A40" s="402" t="s">
        <v>54</v>
      </c>
      <c r="B40" s="402"/>
      <c r="C40" s="402"/>
      <c r="D40" s="402"/>
      <c r="E40" s="402"/>
      <c r="G40" s="44"/>
      <c r="H40" s="403" t="s">
        <v>55</v>
      </c>
      <c r="I40" s="403"/>
      <c r="J40" s="403"/>
      <c r="K40" s="403"/>
      <c r="L40" s="403"/>
      <c r="M40" s="403"/>
      <c r="N40" s="45"/>
      <c r="P40" s="403" t="s">
        <v>56</v>
      </c>
      <c r="Q40" s="403"/>
      <c r="R40" s="403"/>
      <c r="S40" s="403"/>
      <c r="T40" s="403"/>
      <c r="U40" s="403"/>
      <c r="V40" s="403"/>
      <c r="W40" s="403"/>
      <c r="X40" s="403"/>
      <c r="Z40" s="403" t="s">
        <v>57</v>
      </c>
      <c r="AA40" s="403"/>
      <c r="AB40" s="403"/>
      <c r="AC40" s="403"/>
      <c r="AD40" s="403"/>
      <c r="AE40" s="403"/>
      <c r="AF40" s="403"/>
      <c r="AG40" s="403"/>
      <c r="AH40" s="403"/>
    </row>
    <row r="41" spans="1:35" x14ac:dyDescent="0.2">
      <c r="T41" s="40"/>
    </row>
    <row r="42" spans="1:35" x14ac:dyDescent="0.2">
      <c r="C42" s="46" t="s">
        <v>43</v>
      </c>
      <c r="D42" s="46" t="s">
        <v>41</v>
      </c>
      <c r="J42" s="46" t="s">
        <v>43</v>
      </c>
      <c r="K42" s="46" t="s">
        <v>41</v>
      </c>
      <c r="O42" s="47"/>
      <c r="P42" s="47"/>
      <c r="Q42" s="47"/>
      <c r="R42" s="47"/>
      <c r="S42" s="47"/>
      <c r="T42" s="47"/>
    </row>
    <row r="43" spans="1:35" x14ac:dyDescent="0.2">
      <c r="A43" s="29" t="s">
        <v>44</v>
      </c>
      <c r="B43" s="29" t="s">
        <v>45</v>
      </c>
      <c r="C43" s="48" t="s">
        <v>46</v>
      </c>
      <c r="D43" s="48" t="s">
        <v>46</v>
      </c>
      <c r="E43" s="49" t="s">
        <v>47</v>
      </c>
      <c r="F43" s="30" t="s">
        <v>48</v>
      </c>
      <c r="H43" s="29" t="s">
        <v>44</v>
      </c>
      <c r="I43" s="29" t="s">
        <v>45</v>
      </c>
      <c r="J43" s="48" t="s">
        <v>46</v>
      </c>
      <c r="K43" s="48" t="s">
        <v>46</v>
      </c>
      <c r="L43" s="49" t="s">
        <v>47</v>
      </c>
      <c r="M43" s="30" t="s">
        <v>48</v>
      </c>
      <c r="O43" s="47"/>
      <c r="P43" s="47"/>
      <c r="Q43" s="47"/>
      <c r="R43" s="47"/>
      <c r="S43" s="47"/>
      <c r="T43" s="47"/>
    </row>
    <row r="44" spans="1:35" x14ac:dyDescent="0.2">
      <c r="A44" s="29" t="s">
        <v>18</v>
      </c>
      <c r="B44" s="29"/>
      <c r="C44" s="48" t="s">
        <v>18</v>
      </c>
      <c r="D44" s="48"/>
      <c r="E44" s="46" t="s">
        <v>7</v>
      </c>
      <c r="F44" s="32" t="s">
        <v>18</v>
      </c>
      <c r="H44" s="29" t="s">
        <v>18</v>
      </c>
      <c r="I44" s="29"/>
      <c r="J44" s="48" t="s">
        <v>18</v>
      </c>
      <c r="K44" s="48"/>
      <c r="L44" s="46" t="s">
        <v>7</v>
      </c>
      <c r="M44" s="32" t="s">
        <v>18</v>
      </c>
      <c r="O44" s="47"/>
      <c r="P44" s="47"/>
      <c r="Q44" s="47"/>
      <c r="R44" s="47"/>
      <c r="S44" s="47"/>
      <c r="T44" s="47"/>
    </row>
    <row r="45" spans="1:35" x14ac:dyDescent="0.2">
      <c r="A45" s="30" t="s">
        <v>58</v>
      </c>
      <c r="B45" s="34">
        <v>25</v>
      </c>
      <c r="C45" s="50">
        <v>1.2</v>
      </c>
      <c r="D45" s="50">
        <v>2.7</v>
      </c>
      <c r="E45" s="51">
        <v>0.8</v>
      </c>
      <c r="F45" s="43">
        <f>B45-2*C45</f>
        <v>22.6</v>
      </c>
      <c r="H45" s="30" t="s">
        <v>58</v>
      </c>
      <c r="I45" s="34">
        <v>25</v>
      </c>
      <c r="J45" s="50">
        <v>1.3</v>
      </c>
      <c r="K45" s="50" t="s">
        <v>59</v>
      </c>
      <c r="L45" s="51">
        <f>(2*PI()*((I45-2*J45)/1000)^2/4)*1000</f>
        <v>0.78816276493260728</v>
      </c>
      <c r="M45" s="34">
        <f>I45-2*J45</f>
        <v>22.4</v>
      </c>
      <c r="O45" s="47"/>
      <c r="P45" s="47"/>
      <c r="Q45" s="47"/>
      <c r="R45" s="47"/>
      <c r="S45" s="47"/>
      <c r="T45" s="47"/>
    </row>
    <row r="46" spans="1:35" x14ac:dyDescent="0.2">
      <c r="A46" s="37" t="s">
        <v>60</v>
      </c>
      <c r="B46" s="36">
        <v>32</v>
      </c>
      <c r="C46" s="52">
        <v>1.5</v>
      </c>
      <c r="D46" s="52" t="s">
        <v>59</v>
      </c>
      <c r="E46" s="53">
        <v>1.32</v>
      </c>
      <c r="F46" s="43">
        <f t="shared" ref="F46:F47" si="5">B46-2*C46</f>
        <v>29</v>
      </c>
      <c r="H46" s="37" t="s">
        <v>60</v>
      </c>
      <c r="I46" s="36">
        <v>32</v>
      </c>
      <c r="J46" s="52">
        <v>1.6</v>
      </c>
      <c r="K46" s="52" t="s">
        <v>59</v>
      </c>
      <c r="L46" s="53">
        <f>(2*PI()*((I46-2*J46)/1000)^2/4)*1000</f>
        <v>1.3028813052967589</v>
      </c>
      <c r="M46" s="36">
        <f>I46-2*J46</f>
        <v>28.8</v>
      </c>
      <c r="O46" s="47"/>
      <c r="P46" s="47"/>
      <c r="Q46" s="47"/>
      <c r="R46" s="47"/>
      <c r="S46" s="47"/>
      <c r="T46" s="47"/>
      <c r="V46" s="37"/>
      <c r="W46" s="36"/>
      <c r="X46" s="36"/>
      <c r="Y46" s="37"/>
      <c r="AA46" s="37"/>
      <c r="AB46" s="36"/>
      <c r="AC46" s="36"/>
      <c r="AD46" s="40"/>
      <c r="AF46" s="37"/>
      <c r="AG46" s="36"/>
      <c r="AH46" s="36"/>
      <c r="AI46" s="40"/>
    </row>
    <row r="47" spans="1:35" x14ac:dyDescent="0.2">
      <c r="A47" s="32" t="s">
        <v>61</v>
      </c>
      <c r="B47" s="39">
        <v>40</v>
      </c>
      <c r="C47" s="54">
        <v>1.9</v>
      </c>
      <c r="D47" s="54" t="s">
        <v>59</v>
      </c>
      <c r="E47" s="55">
        <v>2.06</v>
      </c>
      <c r="F47" s="39">
        <f t="shared" si="5"/>
        <v>36.200000000000003</v>
      </c>
      <c r="H47" s="32" t="s">
        <v>61</v>
      </c>
      <c r="I47" s="39">
        <v>40</v>
      </c>
      <c r="J47" s="54">
        <v>1.9</v>
      </c>
      <c r="K47" s="54" t="s">
        <v>59</v>
      </c>
      <c r="L47" s="55">
        <f>(2*PI()*((I47-2*J47)/1000)^2/4)*1000</f>
        <v>2.0584343384851045</v>
      </c>
      <c r="M47" s="39">
        <f>I47-2*J47</f>
        <v>36.200000000000003</v>
      </c>
      <c r="O47" s="47"/>
      <c r="P47" s="47"/>
      <c r="Q47" s="47"/>
      <c r="R47" s="47"/>
      <c r="S47" s="47"/>
      <c r="T47" s="47"/>
      <c r="V47" s="37"/>
      <c r="W47" s="36"/>
      <c r="X47" s="36"/>
      <c r="Y47" s="37"/>
      <c r="AA47" s="37"/>
      <c r="AB47" s="36"/>
      <c r="AC47" s="36"/>
      <c r="AD47" s="40"/>
      <c r="AF47" s="37"/>
      <c r="AG47" s="36"/>
      <c r="AH47" s="36"/>
      <c r="AI47" s="40"/>
    </row>
    <row r="48" spans="1:35" x14ac:dyDescent="0.2">
      <c r="O48" s="47"/>
      <c r="P48" s="47"/>
      <c r="Q48" s="47"/>
      <c r="R48" s="47"/>
      <c r="S48" s="47"/>
      <c r="T48" s="47"/>
      <c r="V48" s="37"/>
      <c r="W48" s="36"/>
      <c r="X48" s="36"/>
      <c r="Y48" s="37"/>
      <c r="AA48" s="37"/>
      <c r="AB48" s="36"/>
      <c r="AC48" s="36"/>
      <c r="AD48" s="40"/>
      <c r="AF48" s="37"/>
      <c r="AG48" s="36"/>
      <c r="AH48" s="36"/>
      <c r="AI48" s="40"/>
    </row>
    <row r="49" spans="1:35" x14ac:dyDescent="0.2">
      <c r="R49" s="37"/>
      <c r="S49" s="38"/>
      <c r="T49" s="37"/>
      <c r="V49" s="37"/>
      <c r="W49" s="36"/>
      <c r="X49" s="36"/>
      <c r="Y49" s="37"/>
      <c r="AA49" s="37"/>
      <c r="AB49" s="36"/>
      <c r="AC49" s="36"/>
      <c r="AD49" s="40"/>
      <c r="AF49" s="37"/>
      <c r="AG49" s="36"/>
      <c r="AH49" s="36"/>
      <c r="AI49" s="40"/>
    </row>
    <row r="50" spans="1:35" x14ac:dyDescent="0.2">
      <c r="R50" s="37"/>
      <c r="S50" s="38"/>
      <c r="T50" s="37"/>
      <c r="V50" s="37"/>
      <c r="W50" s="36"/>
      <c r="X50" s="36"/>
      <c r="Y50" s="37"/>
      <c r="AA50" s="37"/>
      <c r="AB50" s="36"/>
      <c r="AC50" s="36"/>
      <c r="AD50" s="40"/>
      <c r="AF50" s="37"/>
      <c r="AG50" s="36"/>
      <c r="AH50" s="36"/>
      <c r="AI50" s="40"/>
    </row>
    <row r="51" spans="1:35" x14ac:dyDescent="0.2">
      <c r="R51" s="37"/>
      <c r="S51" s="38"/>
      <c r="T51" s="37"/>
      <c r="V51" s="37"/>
      <c r="W51" s="36"/>
      <c r="X51" s="36"/>
      <c r="Y51" s="37"/>
      <c r="AA51" s="37"/>
      <c r="AB51" s="36"/>
      <c r="AC51" s="36"/>
      <c r="AD51" s="40"/>
      <c r="AF51" s="37"/>
      <c r="AG51" s="36"/>
      <c r="AH51" s="36"/>
      <c r="AI51" s="40"/>
    </row>
    <row r="52" spans="1:35" ht="15.75" x14ac:dyDescent="0.25">
      <c r="A52" s="26" t="s">
        <v>62</v>
      </c>
      <c r="B52" s="25"/>
      <c r="C52" s="25"/>
      <c r="D52" s="25"/>
      <c r="E52" s="25"/>
      <c r="F52" s="25"/>
      <c r="J52" s="26" t="s">
        <v>63</v>
      </c>
      <c r="R52" s="37"/>
      <c r="S52" s="38"/>
      <c r="T52" s="37"/>
      <c r="V52" s="37"/>
      <c r="W52" s="36"/>
      <c r="X52" s="36"/>
      <c r="Y52" s="37"/>
      <c r="AA52" s="37"/>
      <c r="AB52" s="36"/>
      <c r="AC52" s="36"/>
      <c r="AD52" s="40"/>
      <c r="AF52" s="37"/>
      <c r="AG52" s="36"/>
      <c r="AH52" s="36"/>
      <c r="AI52" s="40"/>
    </row>
    <row r="53" spans="1:35" ht="16.5" thickBot="1" x14ac:dyDescent="0.25">
      <c r="A53" s="27" t="s">
        <v>64</v>
      </c>
      <c r="B53" s="25"/>
      <c r="C53" s="25"/>
      <c r="D53" s="25"/>
      <c r="E53" s="25"/>
      <c r="F53" s="25"/>
      <c r="J53" s="56" t="s">
        <v>65</v>
      </c>
      <c r="K53" s="56"/>
      <c r="L53" s="56"/>
      <c r="M53" s="57"/>
      <c r="N53" s="57"/>
      <c r="O53" s="57"/>
      <c r="P53" s="57"/>
      <c r="Q53" s="57"/>
      <c r="R53" s="37"/>
      <c r="S53" s="38"/>
      <c r="T53" s="37"/>
      <c r="V53" s="37"/>
      <c r="W53" s="36"/>
      <c r="X53" s="36"/>
      <c r="Y53" s="37"/>
      <c r="AA53" s="37"/>
      <c r="AB53" s="36"/>
      <c r="AC53" s="36"/>
      <c r="AD53" s="40"/>
      <c r="AF53" s="37"/>
      <c r="AG53" s="36"/>
      <c r="AH53" s="36"/>
      <c r="AI53" s="40"/>
    </row>
    <row r="54" spans="1:35" ht="16.5" customHeight="1" thickBot="1" x14ac:dyDescent="0.25">
      <c r="A54" s="58" t="s">
        <v>66</v>
      </c>
      <c r="B54" s="23" t="s">
        <v>67</v>
      </c>
      <c r="J54" s="404" t="s">
        <v>68</v>
      </c>
      <c r="K54" s="404"/>
      <c r="L54" s="404"/>
      <c r="M54" s="405" t="s">
        <v>69</v>
      </c>
      <c r="N54" s="405"/>
      <c r="O54" s="57"/>
      <c r="P54" s="57"/>
      <c r="Q54" s="57"/>
      <c r="R54" s="37"/>
      <c r="S54" s="38"/>
      <c r="T54" s="37"/>
      <c r="V54" s="37"/>
      <c r="W54" s="36"/>
      <c r="X54" s="36"/>
      <c r="Y54" s="37"/>
      <c r="AA54" s="37"/>
      <c r="AB54" s="36"/>
      <c r="AC54" s="36"/>
      <c r="AD54" s="40"/>
      <c r="AF54" s="37"/>
      <c r="AG54" s="36"/>
      <c r="AH54" s="36"/>
      <c r="AI54" s="40"/>
    </row>
    <row r="55" spans="1:35" ht="16.5" thickBot="1" x14ac:dyDescent="0.25">
      <c r="A55" s="58"/>
      <c r="B55" s="23" t="s">
        <v>70</v>
      </c>
      <c r="J55" s="400" t="s">
        <v>71</v>
      </c>
      <c r="K55" s="400"/>
      <c r="L55" s="400"/>
      <c r="M55" s="59" t="s">
        <v>72</v>
      </c>
      <c r="N55" s="60" t="s">
        <v>73</v>
      </c>
      <c r="O55" s="57"/>
      <c r="P55" s="57"/>
      <c r="Q55" s="57"/>
      <c r="R55" s="37"/>
      <c r="S55" s="38"/>
      <c r="T55" s="37"/>
      <c r="V55" s="37"/>
      <c r="W55" s="36"/>
      <c r="X55" s="36"/>
      <c r="Y55" s="37"/>
      <c r="AA55" s="37"/>
      <c r="AB55" s="36"/>
      <c r="AC55" s="36"/>
      <c r="AD55" s="40"/>
      <c r="AF55" s="37"/>
      <c r="AG55" s="36"/>
      <c r="AH55" s="36"/>
      <c r="AI55" s="40"/>
    </row>
    <row r="56" spans="1:35" ht="15.75" x14ac:dyDescent="0.2">
      <c r="A56" s="58"/>
      <c r="B56" s="23" t="s">
        <v>74</v>
      </c>
      <c r="J56" s="401" t="s">
        <v>75</v>
      </c>
      <c r="K56" s="401"/>
      <c r="L56" s="401"/>
      <c r="M56" s="61" t="s">
        <v>76</v>
      </c>
      <c r="N56" s="62">
        <v>0.55000000000000004</v>
      </c>
      <c r="O56" s="57"/>
      <c r="P56" s="57"/>
      <c r="Q56" s="57"/>
      <c r="R56" s="37"/>
      <c r="S56" s="38"/>
      <c r="T56" s="37"/>
      <c r="V56" s="37"/>
      <c r="W56" s="36"/>
      <c r="X56" s="36"/>
      <c r="Y56" s="37"/>
      <c r="AA56" s="37"/>
      <c r="AB56" s="36"/>
      <c r="AC56" s="36"/>
      <c r="AD56" s="40"/>
      <c r="AF56" s="37"/>
      <c r="AG56" s="36"/>
      <c r="AH56" s="36"/>
      <c r="AI56" s="40"/>
    </row>
    <row r="57" spans="1:35" ht="15.75" x14ac:dyDescent="0.2">
      <c r="A57" s="58" t="s">
        <v>77</v>
      </c>
      <c r="B57" s="23" t="s">
        <v>78</v>
      </c>
      <c r="J57" s="401" t="s">
        <v>79</v>
      </c>
      <c r="K57" s="401"/>
      <c r="L57" s="401"/>
      <c r="M57" s="61" t="s">
        <v>80</v>
      </c>
      <c r="N57" s="62">
        <v>0.74</v>
      </c>
      <c r="O57" s="57"/>
      <c r="P57" s="57"/>
      <c r="Q57" s="57"/>
      <c r="R57" s="37"/>
      <c r="S57" s="38"/>
      <c r="T57" s="37"/>
      <c r="V57" s="37"/>
      <c r="W57" s="36"/>
      <c r="X57" s="36"/>
      <c r="Y57" s="37"/>
      <c r="AA57" s="37"/>
      <c r="AB57" s="36"/>
      <c r="AC57" s="36"/>
      <c r="AD57" s="40"/>
      <c r="AF57" s="37"/>
      <c r="AG57" s="36"/>
      <c r="AH57" s="36"/>
      <c r="AI57" s="40"/>
    </row>
    <row r="58" spans="1:35" ht="15.75" x14ac:dyDescent="0.2">
      <c r="A58" s="58"/>
      <c r="B58" s="23" t="s">
        <v>81</v>
      </c>
      <c r="J58" s="401" t="s">
        <v>82</v>
      </c>
      <c r="K58" s="401"/>
      <c r="L58" s="401"/>
      <c r="M58" s="61" t="s">
        <v>83</v>
      </c>
      <c r="N58" s="62">
        <v>1.1000000000000001</v>
      </c>
      <c r="O58" s="57"/>
      <c r="P58" s="57"/>
      <c r="Q58" s="57"/>
      <c r="R58" s="37"/>
      <c r="S58" s="38"/>
      <c r="T58" s="37"/>
      <c r="V58" s="37"/>
      <c r="W58" s="36"/>
      <c r="X58" s="36"/>
      <c r="Y58" s="37"/>
      <c r="AA58" s="37"/>
      <c r="AB58" s="36"/>
      <c r="AC58" s="36"/>
      <c r="AD58" s="40"/>
      <c r="AF58" s="37"/>
      <c r="AG58" s="36"/>
      <c r="AH58" s="36"/>
      <c r="AI58" s="40"/>
    </row>
    <row r="59" spans="1:35" ht="15.75" x14ac:dyDescent="0.2">
      <c r="A59" s="58" t="s">
        <v>84</v>
      </c>
      <c r="B59" s="23" t="s">
        <v>85</v>
      </c>
      <c r="J59" s="401" t="s">
        <v>86</v>
      </c>
      <c r="K59" s="401"/>
      <c r="L59" s="401"/>
      <c r="M59" s="61" t="s">
        <v>87</v>
      </c>
      <c r="N59" s="62">
        <v>1.47</v>
      </c>
      <c r="O59" s="57"/>
      <c r="P59" s="57"/>
      <c r="Q59" s="57"/>
      <c r="R59" s="37"/>
      <c r="S59" s="38"/>
      <c r="T59" s="37"/>
      <c r="V59" s="37"/>
      <c r="W59" s="36"/>
      <c r="X59" s="36"/>
      <c r="Y59" s="37"/>
      <c r="AA59" s="37"/>
      <c r="AB59" s="36"/>
      <c r="AC59" s="36"/>
      <c r="AD59" s="40"/>
      <c r="AF59" s="37"/>
      <c r="AG59" s="36"/>
      <c r="AH59" s="36"/>
      <c r="AI59" s="40"/>
    </row>
    <row r="60" spans="1:35" ht="15.75" x14ac:dyDescent="0.2">
      <c r="A60" s="58" t="s">
        <v>88</v>
      </c>
      <c r="B60" s="23" t="s">
        <v>89</v>
      </c>
      <c r="J60" s="401" t="s">
        <v>90</v>
      </c>
      <c r="K60" s="401"/>
      <c r="L60" s="401"/>
      <c r="M60" s="395" t="s">
        <v>91</v>
      </c>
      <c r="N60" s="396"/>
      <c r="O60" s="57"/>
      <c r="P60" s="57"/>
      <c r="Q60" s="57"/>
      <c r="R60" s="37"/>
      <c r="S60" s="38"/>
      <c r="T60" s="37"/>
      <c r="V60" s="37"/>
      <c r="W60" s="36"/>
      <c r="X60" s="36"/>
      <c r="Y60" s="37"/>
      <c r="AA60" s="37"/>
      <c r="AB60" s="36"/>
      <c r="AC60" s="36"/>
      <c r="AD60" s="40"/>
      <c r="AF60" s="37"/>
      <c r="AG60" s="36"/>
      <c r="AH60" s="36"/>
      <c r="AI60" s="40"/>
    </row>
    <row r="61" spans="1:35" ht="16.5" thickBot="1" x14ac:dyDescent="0.25">
      <c r="B61" s="23" t="s">
        <v>92</v>
      </c>
      <c r="J61" s="397" t="s">
        <v>93</v>
      </c>
      <c r="K61" s="397"/>
      <c r="L61" s="397"/>
      <c r="M61" s="398" t="s">
        <v>94</v>
      </c>
      <c r="N61" s="399"/>
      <c r="O61" s="57"/>
      <c r="P61" s="57"/>
      <c r="Q61" s="57"/>
      <c r="R61" s="37"/>
      <c r="S61" s="38"/>
      <c r="T61" s="37"/>
      <c r="V61" s="37"/>
      <c r="W61" s="36"/>
      <c r="X61" s="36"/>
      <c r="Y61" s="37"/>
      <c r="AA61" s="37"/>
      <c r="AB61" s="36"/>
      <c r="AC61" s="36"/>
      <c r="AD61" s="40"/>
      <c r="AF61" s="37"/>
      <c r="AG61" s="36"/>
      <c r="AH61" s="36"/>
      <c r="AI61" s="40"/>
    </row>
    <row r="62" spans="1:35" x14ac:dyDescent="0.2">
      <c r="B62" s="23" t="s">
        <v>95</v>
      </c>
      <c r="J62" s="63"/>
      <c r="K62" s="63"/>
      <c r="L62" s="63"/>
      <c r="M62" s="63"/>
      <c r="N62" s="63"/>
      <c r="O62" s="57"/>
      <c r="P62" s="57"/>
      <c r="Q62" s="57"/>
      <c r="R62" s="37"/>
      <c r="S62" s="38"/>
      <c r="T62" s="37"/>
      <c r="V62" s="37"/>
      <c r="W62" s="36"/>
      <c r="X62" s="36"/>
      <c r="Y62" s="37"/>
      <c r="AA62" s="37"/>
      <c r="AB62" s="36"/>
      <c r="AC62" s="36"/>
      <c r="AD62" s="40"/>
      <c r="AF62" s="37"/>
      <c r="AG62" s="36"/>
      <c r="AH62" s="36"/>
      <c r="AI62" s="40"/>
    </row>
    <row r="63" spans="1:35" ht="15.75" x14ac:dyDescent="0.2">
      <c r="B63" s="23" t="s">
        <v>96</v>
      </c>
      <c r="J63" s="56" t="s">
        <v>97</v>
      </c>
      <c r="K63" s="56"/>
      <c r="L63" s="56"/>
      <c r="M63" s="56"/>
      <c r="N63" s="57"/>
      <c r="O63" s="57"/>
      <c r="P63" s="57"/>
      <c r="Q63" s="57"/>
      <c r="R63" s="37"/>
      <c r="S63" s="38"/>
      <c r="T63" s="37"/>
      <c r="V63" s="37"/>
      <c r="W63" s="36"/>
      <c r="X63" s="36"/>
      <c r="Y63" s="37"/>
      <c r="AA63" s="37"/>
      <c r="AB63" s="36"/>
      <c r="AC63" s="36"/>
      <c r="AD63" s="40"/>
      <c r="AF63" s="37"/>
      <c r="AG63" s="36"/>
      <c r="AH63" s="36"/>
      <c r="AI63" s="40"/>
    </row>
    <row r="64" spans="1:35" ht="15.75" x14ac:dyDescent="0.2">
      <c r="B64" s="23" t="s">
        <v>98</v>
      </c>
      <c r="J64" s="64" t="s">
        <v>99</v>
      </c>
      <c r="K64" s="64" t="s">
        <v>100</v>
      </c>
      <c r="L64" s="64" t="s">
        <v>101</v>
      </c>
      <c r="M64" s="64" t="s">
        <v>102</v>
      </c>
      <c r="N64" s="64" t="s">
        <v>103</v>
      </c>
      <c r="O64" s="64" t="s">
        <v>104</v>
      </c>
      <c r="P64" s="64" t="s">
        <v>105</v>
      </c>
      <c r="Q64" s="65">
        <v>1</v>
      </c>
      <c r="R64" s="37"/>
      <c r="S64" s="38"/>
      <c r="T64" s="37"/>
      <c r="V64" s="37"/>
      <c r="W64" s="36"/>
      <c r="X64" s="36"/>
      <c r="Y64" s="37"/>
      <c r="AA64" s="37"/>
      <c r="AB64" s="36"/>
      <c r="AC64" s="36"/>
      <c r="AD64" s="40"/>
      <c r="AF64" s="37"/>
      <c r="AG64" s="36"/>
      <c r="AH64" s="36"/>
      <c r="AI64" s="40"/>
    </row>
    <row r="65" spans="1:42" ht="15.75" x14ac:dyDescent="0.2">
      <c r="B65" s="23" t="s">
        <v>106</v>
      </c>
      <c r="J65" s="65">
        <v>1.5</v>
      </c>
      <c r="K65" s="65">
        <v>2</v>
      </c>
      <c r="L65" s="65">
        <v>3</v>
      </c>
      <c r="M65" s="65">
        <v>4</v>
      </c>
      <c r="N65" s="65">
        <v>5</v>
      </c>
      <c r="O65" s="65">
        <v>6</v>
      </c>
      <c r="P65" s="65">
        <v>7.5</v>
      </c>
      <c r="Q65" s="65">
        <v>10</v>
      </c>
      <c r="R65" s="37"/>
      <c r="S65" s="38"/>
      <c r="T65" s="37"/>
      <c r="V65" s="37"/>
      <c r="W65" s="36"/>
      <c r="X65" s="36"/>
      <c r="Y65" s="37"/>
      <c r="AA65" s="37"/>
      <c r="AB65" s="36"/>
      <c r="AC65" s="36"/>
      <c r="AD65" s="40"/>
      <c r="AF65" s="37"/>
      <c r="AG65" s="36"/>
      <c r="AH65" s="36"/>
      <c r="AI65" s="40"/>
    </row>
    <row r="66" spans="1:42" ht="15.75" x14ac:dyDescent="0.2">
      <c r="A66" s="23" t="s">
        <v>107</v>
      </c>
      <c r="J66" s="65">
        <v>12.5</v>
      </c>
      <c r="K66" s="65">
        <v>15</v>
      </c>
      <c r="L66" s="65">
        <v>20</v>
      </c>
      <c r="M66" s="65">
        <v>25</v>
      </c>
      <c r="N66" s="65">
        <v>30</v>
      </c>
      <c r="O66" s="65">
        <v>40</v>
      </c>
      <c r="P66" s="65">
        <v>50</v>
      </c>
      <c r="Q66" s="65">
        <v>60</v>
      </c>
      <c r="R66" s="37"/>
      <c r="S66" s="38"/>
      <c r="T66" s="37"/>
      <c r="V66" s="37"/>
      <c r="W66" s="36"/>
      <c r="X66" s="36"/>
      <c r="Y66" s="37"/>
      <c r="AA66" s="37"/>
      <c r="AB66" s="36"/>
      <c r="AC66" s="36"/>
      <c r="AD66" s="40"/>
      <c r="AF66" s="37"/>
      <c r="AG66" s="36"/>
      <c r="AH66" s="36"/>
      <c r="AI66" s="40"/>
    </row>
    <row r="67" spans="1:42" ht="15.75" x14ac:dyDescent="0.2">
      <c r="B67" s="23" t="s">
        <v>108</v>
      </c>
      <c r="J67" s="65">
        <v>75</v>
      </c>
      <c r="K67" s="65">
        <v>100</v>
      </c>
      <c r="L67" s="65">
        <v>125</v>
      </c>
      <c r="M67" s="65">
        <v>150</v>
      </c>
      <c r="N67" s="65">
        <v>200</v>
      </c>
      <c r="O67" s="57"/>
      <c r="P67" s="57"/>
      <c r="Q67" s="57"/>
      <c r="R67" s="37"/>
      <c r="S67" s="38"/>
      <c r="T67" s="37"/>
      <c r="V67" s="37"/>
      <c r="W67" s="36"/>
      <c r="X67" s="36"/>
      <c r="Y67" s="37"/>
      <c r="AA67" s="37"/>
      <c r="AB67" s="36"/>
      <c r="AC67" s="36"/>
      <c r="AD67" s="40"/>
      <c r="AF67" s="37"/>
      <c r="AG67" s="36"/>
      <c r="AH67" s="36"/>
      <c r="AI67" s="40"/>
    </row>
    <row r="68" spans="1:42" ht="15.75" x14ac:dyDescent="0.2">
      <c r="B68" s="23" t="s">
        <v>109</v>
      </c>
      <c r="J68" s="65"/>
      <c r="K68" s="57"/>
      <c r="L68" s="57"/>
      <c r="M68" s="57"/>
      <c r="N68" s="57"/>
      <c r="O68" s="57"/>
      <c r="P68" s="57"/>
      <c r="Q68" s="57"/>
      <c r="R68" s="37"/>
      <c r="S68" s="38"/>
      <c r="T68" s="37"/>
      <c r="V68" s="37"/>
      <c r="W68" s="36"/>
      <c r="X68" s="36"/>
      <c r="Y68" s="37"/>
      <c r="AA68" s="37"/>
      <c r="AB68" s="36"/>
      <c r="AC68" s="36"/>
      <c r="AD68" s="40"/>
      <c r="AF68" s="37"/>
      <c r="AG68" s="36"/>
      <c r="AH68" s="36"/>
      <c r="AI68" s="40"/>
    </row>
    <row r="69" spans="1:42" x14ac:dyDescent="0.2">
      <c r="A69" s="25" t="s">
        <v>110</v>
      </c>
      <c r="B69" s="25"/>
      <c r="C69" s="25"/>
      <c r="D69" s="25"/>
      <c r="E69" s="25"/>
      <c r="F69" s="25"/>
      <c r="G69" s="25"/>
      <c r="H69" s="25"/>
    </row>
    <row r="70" spans="1:42" x14ac:dyDescent="0.2">
      <c r="A70" s="25" t="s">
        <v>111</v>
      </c>
      <c r="B70" s="25"/>
      <c r="C70" s="25"/>
      <c r="D70" s="25"/>
      <c r="E70" s="25"/>
      <c r="F70" s="25"/>
      <c r="G70" s="25"/>
      <c r="H70" s="25"/>
    </row>
    <row r="71" spans="1:42" x14ac:dyDescent="0.2">
      <c r="A71" s="25" t="s">
        <v>112</v>
      </c>
      <c r="B71" s="25"/>
      <c r="C71" s="25"/>
      <c r="D71" s="25"/>
      <c r="E71" s="25"/>
      <c r="F71" s="25"/>
      <c r="G71" s="25"/>
      <c r="H71" s="25"/>
    </row>
    <row r="72" spans="1:42" x14ac:dyDescent="0.2">
      <c r="A72" s="66"/>
    </row>
    <row r="73" spans="1:42" ht="12.75" customHeight="1" x14ac:dyDescent="0.2">
      <c r="B73" s="67" t="s">
        <v>113</v>
      </c>
      <c r="C73" s="68"/>
      <c r="D73" s="68"/>
      <c r="E73" s="68"/>
      <c r="F73" s="68"/>
      <c r="G73" s="68"/>
      <c r="H73" s="68"/>
      <c r="I73" s="391" t="s">
        <v>113</v>
      </c>
      <c r="J73" s="391"/>
      <c r="K73" s="391"/>
      <c r="L73" s="391"/>
      <c r="M73" s="391"/>
      <c r="N73" s="391"/>
      <c r="O73" s="69"/>
      <c r="P73" s="391" t="s">
        <v>113</v>
      </c>
      <c r="Q73" s="391"/>
      <c r="R73" s="391"/>
      <c r="S73" s="391"/>
      <c r="T73" s="391"/>
      <c r="U73" s="391"/>
      <c r="V73" s="69"/>
      <c r="W73" s="391" t="s">
        <v>113</v>
      </c>
      <c r="X73" s="391"/>
      <c r="Y73" s="391"/>
      <c r="Z73" s="391"/>
      <c r="AA73" s="391"/>
      <c r="AB73" s="391"/>
      <c r="AD73" s="391" t="s">
        <v>113</v>
      </c>
      <c r="AE73" s="391"/>
      <c r="AF73" s="391"/>
      <c r="AG73" s="391"/>
      <c r="AH73" s="391"/>
      <c r="AI73" s="391"/>
      <c r="AK73" s="391" t="s">
        <v>113</v>
      </c>
      <c r="AL73" s="391"/>
      <c r="AM73" s="391"/>
      <c r="AN73" s="391"/>
      <c r="AO73" s="391"/>
      <c r="AP73" s="391"/>
    </row>
    <row r="74" spans="1:42" x14ac:dyDescent="0.2">
      <c r="B74" s="66" t="s">
        <v>114</v>
      </c>
      <c r="H74" s="68"/>
      <c r="I74" s="66" t="s">
        <v>114</v>
      </c>
      <c r="J74" s="66"/>
      <c r="P74" s="66" t="s">
        <v>115</v>
      </c>
      <c r="W74" s="66" t="s">
        <v>116</v>
      </c>
      <c r="AD74" s="66" t="s">
        <v>117</v>
      </c>
      <c r="AK74" s="66" t="s">
        <v>118</v>
      </c>
    </row>
    <row r="75" spans="1:42" ht="12.75" customHeight="1" x14ac:dyDescent="0.2">
      <c r="B75" s="385" t="s">
        <v>119</v>
      </c>
      <c r="C75" s="392" t="s">
        <v>120</v>
      </c>
      <c r="D75" s="393"/>
      <c r="E75" s="393"/>
      <c r="F75" s="393"/>
      <c r="G75" s="394"/>
      <c r="H75" s="70"/>
      <c r="I75" s="385" t="s">
        <v>119</v>
      </c>
      <c r="J75" s="392" t="s">
        <v>121</v>
      </c>
      <c r="K75" s="393"/>
      <c r="L75" s="393"/>
      <c r="M75" s="393"/>
      <c r="N75" s="394"/>
      <c r="O75" s="71"/>
      <c r="P75" s="385" t="s">
        <v>119</v>
      </c>
      <c r="Q75" s="392" t="s">
        <v>121</v>
      </c>
      <c r="R75" s="393"/>
      <c r="S75" s="393"/>
      <c r="T75" s="393"/>
      <c r="U75" s="394"/>
      <c r="V75" s="71"/>
      <c r="W75" s="385" t="s">
        <v>119</v>
      </c>
      <c r="X75" s="393" t="s">
        <v>121</v>
      </c>
      <c r="Y75" s="393"/>
      <c r="Z75" s="393"/>
      <c r="AA75" s="393"/>
      <c r="AB75" s="394"/>
      <c r="AC75" s="71"/>
      <c r="AD75" s="385" t="s">
        <v>119</v>
      </c>
      <c r="AE75" s="393" t="s">
        <v>122</v>
      </c>
      <c r="AF75" s="393"/>
      <c r="AG75" s="393"/>
      <c r="AH75" s="393"/>
      <c r="AI75" s="394"/>
      <c r="AJ75" s="71"/>
      <c r="AK75" s="385" t="s">
        <v>119</v>
      </c>
      <c r="AL75" s="393" t="s">
        <v>123</v>
      </c>
      <c r="AM75" s="393"/>
      <c r="AN75" s="393"/>
      <c r="AO75" s="393"/>
      <c r="AP75" s="394"/>
    </row>
    <row r="76" spans="1:42" ht="12.75" customHeight="1" x14ac:dyDescent="0.2">
      <c r="B76" s="386"/>
      <c r="C76" s="385" t="s">
        <v>124</v>
      </c>
      <c r="D76" s="385" t="s">
        <v>125</v>
      </c>
      <c r="E76" s="385" t="s">
        <v>126</v>
      </c>
      <c r="F76" s="387" t="s">
        <v>127</v>
      </c>
      <c r="G76" s="388"/>
      <c r="H76" s="70"/>
      <c r="I76" s="386"/>
      <c r="J76" s="385" t="s">
        <v>124</v>
      </c>
      <c r="K76" s="385" t="s">
        <v>125</v>
      </c>
      <c r="L76" s="385" t="s">
        <v>126</v>
      </c>
      <c r="M76" s="387" t="s">
        <v>127</v>
      </c>
      <c r="N76" s="388"/>
      <c r="O76" s="71"/>
      <c r="P76" s="386"/>
      <c r="Q76" s="385" t="s">
        <v>124</v>
      </c>
      <c r="R76" s="385" t="s">
        <v>125</v>
      </c>
      <c r="S76" s="385" t="s">
        <v>126</v>
      </c>
      <c r="T76" s="387" t="s">
        <v>127</v>
      </c>
      <c r="U76" s="388"/>
      <c r="V76" s="71"/>
      <c r="W76" s="386"/>
      <c r="X76" s="385" t="s">
        <v>124</v>
      </c>
      <c r="Y76" s="385" t="s">
        <v>125</v>
      </c>
      <c r="Z76" s="385" t="s">
        <v>126</v>
      </c>
      <c r="AA76" s="387" t="s">
        <v>127</v>
      </c>
      <c r="AB76" s="388"/>
      <c r="AC76" s="71"/>
      <c r="AD76" s="386"/>
      <c r="AE76" s="385" t="s">
        <v>124</v>
      </c>
      <c r="AF76" s="385" t="s">
        <v>125</v>
      </c>
      <c r="AG76" s="385" t="s">
        <v>126</v>
      </c>
      <c r="AH76" s="387" t="s">
        <v>127</v>
      </c>
      <c r="AI76" s="388"/>
      <c r="AJ76" s="71"/>
      <c r="AK76" s="386"/>
      <c r="AL76" s="385" t="s">
        <v>124</v>
      </c>
      <c r="AM76" s="385" t="s">
        <v>125</v>
      </c>
      <c r="AN76" s="385" t="s">
        <v>126</v>
      </c>
      <c r="AO76" s="387" t="s">
        <v>127</v>
      </c>
      <c r="AP76" s="388"/>
    </row>
    <row r="77" spans="1:42" ht="12.75" customHeight="1" x14ac:dyDescent="0.2">
      <c r="B77" s="386"/>
      <c r="C77" s="386"/>
      <c r="D77" s="386"/>
      <c r="E77" s="386"/>
      <c r="F77" s="389" t="s">
        <v>128</v>
      </c>
      <c r="G77" s="390"/>
      <c r="H77" s="70"/>
      <c r="I77" s="386"/>
      <c r="J77" s="386"/>
      <c r="K77" s="386"/>
      <c r="L77" s="386"/>
      <c r="M77" s="389" t="s">
        <v>128</v>
      </c>
      <c r="N77" s="390"/>
      <c r="O77" s="71"/>
      <c r="P77" s="386"/>
      <c r="Q77" s="386"/>
      <c r="R77" s="386"/>
      <c r="S77" s="386"/>
      <c r="T77" s="389" t="s">
        <v>128</v>
      </c>
      <c r="U77" s="390"/>
      <c r="V77" s="71"/>
      <c r="W77" s="386"/>
      <c r="X77" s="386"/>
      <c r="Y77" s="386"/>
      <c r="Z77" s="386"/>
      <c r="AA77" s="389" t="s">
        <v>128</v>
      </c>
      <c r="AB77" s="390"/>
      <c r="AC77" s="71"/>
      <c r="AD77" s="386"/>
      <c r="AE77" s="386"/>
      <c r="AF77" s="386"/>
      <c r="AG77" s="386"/>
      <c r="AH77" s="389" t="s">
        <v>128</v>
      </c>
      <c r="AI77" s="390"/>
      <c r="AJ77" s="71"/>
      <c r="AK77" s="386"/>
      <c r="AL77" s="386"/>
      <c r="AM77" s="386"/>
      <c r="AN77" s="386"/>
      <c r="AO77" s="389" t="s">
        <v>128</v>
      </c>
      <c r="AP77" s="390"/>
    </row>
    <row r="78" spans="1:42" ht="12.75" customHeight="1" x14ac:dyDescent="0.2">
      <c r="B78" s="386"/>
      <c r="C78" s="386"/>
      <c r="D78" s="386"/>
      <c r="E78" s="386"/>
      <c r="F78" s="72" t="s">
        <v>129</v>
      </c>
      <c r="G78" s="73" t="s">
        <v>130</v>
      </c>
      <c r="H78" s="70"/>
      <c r="I78" s="386"/>
      <c r="J78" s="386"/>
      <c r="K78" s="386"/>
      <c r="L78" s="386"/>
      <c r="M78" s="72" t="s">
        <v>129</v>
      </c>
      <c r="N78" s="73" t="s">
        <v>130</v>
      </c>
      <c r="O78" s="71"/>
      <c r="P78" s="386"/>
      <c r="Q78" s="386"/>
      <c r="R78" s="386"/>
      <c r="S78" s="386"/>
      <c r="T78" s="72" t="s">
        <v>129</v>
      </c>
      <c r="U78" s="73" t="s">
        <v>130</v>
      </c>
      <c r="V78" s="71"/>
      <c r="W78" s="386"/>
      <c r="X78" s="386"/>
      <c r="Y78" s="386"/>
      <c r="Z78" s="386"/>
      <c r="AA78" s="72" t="s">
        <v>129</v>
      </c>
      <c r="AB78" s="73" t="s">
        <v>130</v>
      </c>
      <c r="AC78" s="71"/>
      <c r="AD78" s="386"/>
      <c r="AE78" s="386"/>
      <c r="AF78" s="386"/>
      <c r="AG78" s="386"/>
      <c r="AH78" s="72" t="s">
        <v>129</v>
      </c>
      <c r="AI78" s="73" t="s">
        <v>130</v>
      </c>
      <c r="AJ78" s="71"/>
      <c r="AK78" s="386"/>
      <c r="AL78" s="386"/>
      <c r="AM78" s="386"/>
      <c r="AN78" s="386"/>
      <c r="AO78" s="72" t="s">
        <v>129</v>
      </c>
      <c r="AP78" s="73" t="s">
        <v>130</v>
      </c>
    </row>
    <row r="79" spans="1:42" ht="25.5" x14ac:dyDescent="0.2">
      <c r="B79" s="74" t="s">
        <v>131</v>
      </c>
      <c r="C79" s="75" t="s">
        <v>8</v>
      </c>
      <c r="D79" s="76" t="s">
        <v>132</v>
      </c>
      <c r="E79" s="76" t="s">
        <v>10</v>
      </c>
      <c r="F79" s="74" t="s">
        <v>133</v>
      </c>
      <c r="G79" s="77" t="s">
        <v>134</v>
      </c>
      <c r="H79" s="71"/>
      <c r="I79" s="74" t="s">
        <v>131</v>
      </c>
      <c r="J79" s="75" t="s">
        <v>8</v>
      </c>
      <c r="K79" s="76" t="s">
        <v>132</v>
      </c>
      <c r="L79" s="76" t="s">
        <v>10</v>
      </c>
      <c r="M79" s="74" t="s">
        <v>133</v>
      </c>
      <c r="N79" s="77" t="s">
        <v>134</v>
      </c>
      <c r="O79" s="71"/>
      <c r="P79" s="74" t="s">
        <v>131</v>
      </c>
      <c r="Q79" s="75" t="s">
        <v>8</v>
      </c>
      <c r="R79" s="76" t="s">
        <v>132</v>
      </c>
      <c r="S79" s="76" t="s">
        <v>10</v>
      </c>
      <c r="T79" s="74" t="s">
        <v>133</v>
      </c>
      <c r="U79" s="77" t="s">
        <v>134</v>
      </c>
      <c r="V79" s="71"/>
      <c r="W79" s="74" t="s">
        <v>131</v>
      </c>
      <c r="X79" s="75" t="s">
        <v>8</v>
      </c>
      <c r="Y79" s="76" t="s">
        <v>132</v>
      </c>
      <c r="Z79" s="76" t="s">
        <v>10</v>
      </c>
      <c r="AA79" s="74" t="s">
        <v>133</v>
      </c>
      <c r="AB79" s="77" t="s">
        <v>134</v>
      </c>
      <c r="AC79" s="71"/>
      <c r="AD79" s="74" t="s">
        <v>131</v>
      </c>
      <c r="AE79" s="75" t="s">
        <v>8</v>
      </c>
      <c r="AF79" s="76" t="s">
        <v>132</v>
      </c>
      <c r="AG79" s="76" t="s">
        <v>10</v>
      </c>
      <c r="AH79" s="74" t="s">
        <v>133</v>
      </c>
      <c r="AI79" s="77" t="s">
        <v>134</v>
      </c>
      <c r="AJ79" s="71"/>
      <c r="AK79" s="74" t="s">
        <v>131</v>
      </c>
      <c r="AL79" s="75" t="s">
        <v>8</v>
      </c>
      <c r="AM79" s="76" t="s">
        <v>132</v>
      </c>
      <c r="AN79" s="76" t="s">
        <v>10</v>
      </c>
      <c r="AO79" s="74" t="s">
        <v>133</v>
      </c>
      <c r="AP79" s="77" t="s">
        <v>134</v>
      </c>
    </row>
    <row r="80" spans="1:42" x14ac:dyDescent="0.2">
      <c r="B80" s="78">
        <v>6.4</v>
      </c>
      <c r="C80" s="79">
        <v>25</v>
      </c>
      <c r="D80" s="80">
        <v>3.02</v>
      </c>
      <c r="E80" s="79">
        <v>31</v>
      </c>
      <c r="F80" s="79" t="s">
        <v>135</v>
      </c>
      <c r="G80" s="81">
        <f>D80*1000/(18*24)</f>
        <v>6.9907407407407405</v>
      </c>
      <c r="I80" s="78">
        <v>3.6</v>
      </c>
      <c r="J80" s="79">
        <v>20</v>
      </c>
      <c r="K80" s="80">
        <v>1.07</v>
      </c>
      <c r="L80" s="79">
        <v>25</v>
      </c>
      <c r="M80" s="79" t="s">
        <v>136</v>
      </c>
      <c r="N80" s="81">
        <f t="shared" ref="N80:N86" si="6">K80*1000/(12*18)</f>
        <v>4.9537037037037033</v>
      </c>
      <c r="P80" s="349">
        <v>3.6</v>
      </c>
      <c r="Q80" s="79">
        <v>20</v>
      </c>
      <c r="R80" s="80">
        <v>0.72</v>
      </c>
      <c r="S80" s="79">
        <v>25</v>
      </c>
      <c r="T80" s="79" t="s">
        <v>136</v>
      </c>
      <c r="U80" s="81">
        <f t="shared" ref="U80:U86" si="7">R80*1000/(12*18)</f>
        <v>3.3333333333333335</v>
      </c>
      <c r="W80" s="349" t="s">
        <v>137</v>
      </c>
      <c r="X80" s="79">
        <v>20</v>
      </c>
      <c r="Y80" s="80">
        <v>1.07</v>
      </c>
      <c r="Z80" s="79">
        <v>25</v>
      </c>
      <c r="AA80" s="79" t="s">
        <v>136</v>
      </c>
      <c r="AB80" s="81">
        <f t="shared" ref="AB80:AB86" si="8">Y80*1000/(12*18)</f>
        <v>4.9537037037037033</v>
      </c>
      <c r="AD80" s="349" t="s">
        <v>138</v>
      </c>
      <c r="AE80" s="79">
        <v>20</v>
      </c>
      <c r="AF80" s="80">
        <v>0.38</v>
      </c>
      <c r="AG80" s="79">
        <v>20</v>
      </c>
      <c r="AH80" s="79" t="s">
        <v>139</v>
      </c>
      <c r="AI80" s="81">
        <f t="shared" ref="AI80:AI111" si="9">AF80*1000/(12*12)</f>
        <v>2.6388888888888888</v>
      </c>
      <c r="AK80" s="349" t="s">
        <v>140</v>
      </c>
      <c r="AL80" s="79">
        <v>20</v>
      </c>
      <c r="AM80" s="80">
        <v>0.7</v>
      </c>
      <c r="AN80" s="79">
        <v>20</v>
      </c>
      <c r="AO80" s="79" t="s">
        <v>139</v>
      </c>
      <c r="AP80" s="81">
        <f>AM80*1000/(12*12)</f>
        <v>4.8611111111111107</v>
      </c>
    </row>
    <row r="81" spans="2:42" x14ac:dyDescent="0.2">
      <c r="B81" s="78" t="s">
        <v>141</v>
      </c>
      <c r="C81" s="82">
        <v>30</v>
      </c>
      <c r="D81" s="83">
        <v>3.3</v>
      </c>
      <c r="E81" s="82">
        <v>33</v>
      </c>
      <c r="F81" s="82" t="s">
        <v>135</v>
      </c>
      <c r="G81" s="84">
        <f>D81*1000/(18*24)</f>
        <v>7.6388888888888893</v>
      </c>
      <c r="I81" s="78" t="s">
        <v>141</v>
      </c>
      <c r="J81" s="82">
        <v>25</v>
      </c>
      <c r="K81" s="83">
        <v>1.19</v>
      </c>
      <c r="L81" s="82">
        <v>25</v>
      </c>
      <c r="M81" s="82" t="s">
        <v>136</v>
      </c>
      <c r="N81" s="84">
        <f t="shared" si="6"/>
        <v>5.5092592592592595</v>
      </c>
      <c r="P81" s="350"/>
      <c r="Q81" s="82">
        <v>25</v>
      </c>
      <c r="R81" s="83">
        <v>0.8</v>
      </c>
      <c r="S81" s="82">
        <v>25</v>
      </c>
      <c r="T81" s="82" t="s">
        <v>136</v>
      </c>
      <c r="U81" s="84">
        <f t="shared" si="7"/>
        <v>3.7037037037037037</v>
      </c>
      <c r="W81" s="350"/>
      <c r="X81" s="82">
        <v>25</v>
      </c>
      <c r="Y81" s="83">
        <v>1.18</v>
      </c>
      <c r="Z81" s="82">
        <v>25</v>
      </c>
      <c r="AA81" s="82" t="s">
        <v>136</v>
      </c>
      <c r="AB81" s="84">
        <f t="shared" si="8"/>
        <v>5.4629629629629628</v>
      </c>
      <c r="AD81" s="350"/>
      <c r="AE81" s="82">
        <v>25</v>
      </c>
      <c r="AF81" s="83">
        <v>0.42</v>
      </c>
      <c r="AG81" s="82">
        <v>20</v>
      </c>
      <c r="AH81" s="82" t="s">
        <v>139</v>
      </c>
      <c r="AI81" s="84">
        <f t="shared" si="9"/>
        <v>2.9166666666666665</v>
      </c>
      <c r="AK81" s="350"/>
      <c r="AL81" s="82">
        <v>25</v>
      </c>
      <c r="AM81" s="83">
        <v>0.77</v>
      </c>
      <c r="AN81" s="82">
        <v>20</v>
      </c>
      <c r="AO81" s="82" t="s">
        <v>139</v>
      </c>
      <c r="AP81" s="84">
        <f>AM81*1000/(12*12)</f>
        <v>5.3472222222222223</v>
      </c>
    </row>
    <row r="82" spans="2:42" x14ac:dyDescent="0.2">
      <c r="B82" s="78">
        <v>3.2</v>
      </c>
      <c r="C82" s="79">
        <v>35</v>
      </c>
      <c r="D82" s="80">
        <v>3.55</v>
      </c>
      <c r="E82" s="79">
        <v>35</v>
      </c>
      <c r="F82" s="79" t="s">
        <v>142</v>
      </c>
      <c r="G82" s="81">
        <f>D82*1000/(24*24)</f>
        <v>6.1631944444444446</v>
      </c>
      <c r="I82" s="78">
        <v>2.6</v>
      </c>
      <c r="J82" s="79">
        <v>30</v>
      </c>
      <c r="K82" s="80">
        <v>1.31</v>
      </c>
      <c r="L82" s="79">
        <v>26</v>
      </c>
      <c r="M82" s="79" t="s">
        <v>136</v>
      </c>
      <c r="N82" s="81">
        <f t="shared" si="6"/>
        <v>6.0648148148148149</v>
      </c>
      <c r="P82" s="350"/>
      <c r="Q82" s="79">
        <v>30</v>
      </c>
      <c r="R82" s="80">
        <v>0.88</v>
      </c>
      <c r="S82" s="79">
        <v>26</v>
      </c>
      <c r="T82" s="79" t="s">
        <v>136</v>
      </c>
      <c r="U82" s="81">
        <f t="shared" si="7"/>
        <v>4.0740740740740744</v>
      </c>
      <c r="W82" s="350"/>
      <c r="X82" s="79">
        <v>30</v>
      </c>
      <c r="Y82" s="80">
        <v>1.29</v>
      </c>
      <c r="Z82" s="79">
        <v>26</v>
      </c>
      <c r="AA82" s="79" t="s">
        <v>136</v>
      </c>
      <c r="AB82" s="81">
        <f t="shared" si="8"/>
        <v>5.9722222222222223</v>
      </c>
      <c r="AD82" s="350"/>
      <c r="AE82" s="79">
        <v>30</v>
      </c>
      <c r="AF82" s="80">
        <v>0.46</v>
      </c>
      <c r="AG82" s="79">
        <v>20.5</v>
      </c>
      <c r="AH82" s="79" t="s">
        <v>139</v>
      </c>
      <c r="AI82" s="81">
        <f t="shared" si="9"/>
        <v>3.1944444444444446</v>
      </c>
      <c r="AK82" s="350"/>
      <c r="AL82" s="79">
        <v>30</v>
      </c>
      <c r="AM82" s="80">
        <v>0.84</v>
      </c>
      <c r="AN82" s="79">
        <v>20.5</v>
      </c>
      <c r="AO82" s="79" t="s">
        <v>143</v>
      </c>
      <c r="AP82" s="81">
        <f>AM82*1000/(12*15)</f>
        <v>4.666666666666667</v>
      </c>
    </row>
    <row r="83" spans="2:42" x14ac:dyDescent="0.2">
      <c r="B83" s="85"/>
      <c r="C83" s="86">
        <v>40</v>
      </c>
      <c r="D83" s="87">
        <v>3.8</v>
      </c>
      <c r="E83" s="86">
        <v>37</v>
      </c>
      <c r="F83" s="88" t="s">
        <v>142</v>
      </c>
      <c r="G83" s="89">
        <f>D83*1000/(24*24)</f>
        <v>6.5972222222222223</v>
      </c>
      <c r="I83" s="85"/>
      <c r="J83" s="86">
        <v>35</v>
      </c>
      <c r="K83" s="87">
        <v>1.41</v>
      </c>
      <c r="L83" s="86">
        <v>26</v>
      </c>
      <c r="M83" s="88" t="s">
        <v>136</v>
      </c>
      <c r="N83" s="89">
        <f t="shared" si="6"/>
        <v>6.5277777777777777</v>
      </c>
      <c r="P83" s="351"/>
      <c r="Q83" s="86">
        <v>35</v>
      </c>
      <c r="R83" s="87">
        <v>0.95</v>
      </c>
      <c r="S83" s="86">
        <v>26</v>
      </c>
      <c r="T83" s="88" t="s">
        <v>136</v>
      </c>
      <c r="U83" s="89">
        <f t="shared" si="7"/>
        <v>4.3981481481481479</v>
      </c>
      <c r="W83" s="351"/>
      <c r="X83" s="86">
        <v>35</v>
      </c>
      <c r="Y83" s="87">
        <v>1.38</v>
      </c>
      <c r="Z83" s="86">
        <v>26</v>
      </c>
      <c r="AA83" s="88" t="s">
        <v>136</v>
      </c>
      <c r="AB83" s="89">
        <f t="shared" si="8"/>
        <v>6.3888888888888893</v>
      </c>
      <c r="AD83" s="351"/>
      <c r="AE83" s="86">
        <v>35</v>
      </c>
      <c r="AF83" s="87">
        <v>0.49</v>
      </c>
      <c r="AG83" s="86">
        <v>21</v>
      </c>
      <c r="AH83" s="88" t="s">
        <v>139</v>
      </c>
      <c r="AI83" s="89">
        <f t="shared" si="9"/>
        <v>3.4027777777777777</v>
      </c>
      <c r="AK83" s="351"/>
      <c r="AL83" s="86">
        <v>35</v>
      </c>
      <c r="AM83" s="87">
        <v>0.9</v>
      </c>
      <c r="AN83" s="86">
        <v>21</v>
      </c>
      <c r="AO83" s="88" t="s">
        <v>144</v>
      </c>
      <c r="AP83" s="89">
        <f>AM83*1000/(15*15)</f>
        <v>4</v>
      </c>
    </row>
    <row r="84" spans="2:42" x14ac:dyDescent="0.2">
      <c r="B84" s="78">
        <v>6.6</v>
      </c>
      <c r="C84" s="79">
        <v>25</v>
      </c>
      <c r="D84" s="80">
        <v>3.5</v>
      </c>
      <c r="E84" s="79">
        <v>32</v>
      </c>
      <c r="F84" s="79" t="s">
        <v>135</v>
      </c>
      <c r="G84" s="81">
        <f>D84*1000/(18*24)</f>
        <v>8.1018518518518512</v>
      </c>
      <c r="I84" s="78">
        <v>4</v>
      </c>
      <c r="J84" s="79">
        <v>20</v>
      </c>
      <c r="K84" s="80">
        <v>1.29</v>
      </c>
      <c r="L84" s="79">
        <v>26</v>
      </c>
      <c r="M84" s="79" t="s">
        <v>136</v>
      </c>
      <c r="N84" s="81">
        <f t="shared" si="6"/>
        <v>5.9722222222222223</v>
      </c>
      <c r="P84" s="349">
        <v>4</v>
      </c>
      <c r="Q84" s="79">
        <v>20</v>
      </c>
      <c r="R84" s="80">
        <v>0.88</v>
      </c>
      <c r="S84" s="79">
        <v>26</v>
      </c>
      <c r="T84" s="79" t="s">
        <v>136</v>
      </c>
      <c r="U84" s="81">
        <f t="shared" si="7"/>
        <v>4.0740740740740744</v>
      </c>
      <c r="W84" s="349" t="s">
        <v>145</v>
      </c>
      <c r="X84" s="79">
        <v>20</v>
      </c>
      <c r="Y84" s="80">
        <v>1.26</v>
      </c>
      <c r="Z84" s="79">
        <v>26</v>
      </c>
      <c r="AA84" s="79" t="s">
        <v>136</v>
      </c>
      <c r="AB84" s="81">
        <f t="shared" si="8"/>
        <v>5.833333333333333</v>
      </c>
      <c r="AD84" s="349" t="s">
        <v>146</v>
      </c>
      <c r="AE84" s="79">
        <v>20</v>
      </c>
      <c r="AF84" s="80">
        <v>0.44</v>
      </c>
      <c r="AG84" s="79">
        <v>20</v>
      </c>
      <c r="AH84" s="79" t="s">
        <v>139</v>
      </c>
      <c r="AI84" s="81">
        <f t="shared" si="9"/>
        <v>3.0555555555555554</v>
      </c>
      <c r="AK84" s="349" t="s">
        <v>147</v>
      </c>
      <c r="AL84" s="79">
        <v>20</v>
      </c>
      <c r="AM84" s="80">
        <v>0.76</v>
      </c>
      <c r="AN84" s="79">
        <v>20</v>
      </c>
      <c r="AO84" s="79" t="s">
        <v>139</v>
      </c>
      <c r="AP84" s="81">
        <f>AM84*1000/(12*12)</f>
        <v>5.2777777777777777</v>
      </c>
    </row>
    <row r="85" spans="2:42" x14ac:dyDescent="0.2">
      <c r="B85" s="78" t="s">
        <v>141</v>
      </c>
      <c r="C85" s="82">
        <v>30</v>
      </c>
      <c r="D85" s="83">
        <v>3.83</v>
      </c>
      <c r="E85" s="82">
        <v>33</v>
      </c>
      <c r="F85" s="82" t="s">
        <v>142</v>
      </c>
      <c r="G85" s="84">
        <f t="shared" ref="G85:G111" si="10">D85*1000/(24*24)</f>
        <v>6.6493055555555554</v>
      </c>
      <c r="I85" s="78" t="s">
        <v>141</v>
      </c>
      <c r="J85" s="82">
        <v>25</v>
      </c>
      <c r="K85" s="83">
        <v>1.44</v>
      </c>
      <c r="L85" s="82">
        <v>27</v>
      </c>
      <c r="M85" s="82" t="s">
        <v>136</v>
      </c>
      <c r="N85" s="84">
        <f t="shared" si="6"/>
        <v>6.666666666666667</v>
      </c>
      <c r="P85" s="350"/>
      <c r="Q85" s="82">
        <v>25</v>
      </c>
      <c r="R85" s="83">
        <v>0.95</v>
      </c>
      <c r="S85" s="82">
        <v>27</v>
      </c>
      <c r="T85" s="82" t="s">
        <v>136</v>
      </c>
      <c r="U85" s="84">
        <f t="shared" si="7"/>
        <v>4.3981481481481479</v>
      </c>
      <c r="W85" s="350"/>
      <c r="X85" s="82">
        <v>25</v>
      </c>
      <c r="Y85" s="83">
        <v>1.38</v>
      </c>
      <c r="Z85" s="82">
        <v>27</v>
      </c>
      <c r="AA85" s="82" t="s">
        <v>136</v>
      </c>
      <c r="AB85" s="84">
        <f t="shared" si="8"/>
        <v>6.3888888888888893</v>
      </c>
      <c r="AD85" s="350"/>
      <c r="AE85" s="82">
        <v>25</v>
      </c>
      <c r="AF85" s="83">
        <v>0.49</v>
      </c>
      <c r="AG85" s="82">
        <v>20.5</v>
      </c>
      <c r="AH85" s="82" t="s">
        <v>139</v>
      </c>
      <c r="AI85" s="84">
        <f t="shared" si="9"/>
        <v>3.4027777777777777</v>
      </c>
      <c r="AK85" s="350"/>
      <c r="AL85" s="82">
        <v>25</v>
      </c>
      <c r="AM85" s="83">
        <v>0.85</v>
      </c>
      <c r="AN85" s="82">
        <v>20.5</v>
      </c>
      <c r="AO85" s="82" t="s">
        <v>139</v>
      </c>
      <c r="AP85" s="84">
        <f>AM85*1000/(12*12)</f>
        <v>5.9027777777777777</v>
      </c>
    </row>
    <row r="86" spans="2:42" x14ac:dyDescent="0.2">
      <c r="B86" s="78">
        <v>4</v>
      </c>
      <c r="C86" s="79">
        <v>35</v>
      </c>
      <c r="D86" s="80">
        <v>4.13</v>
      </c>
      <c r="E86" s="79">
        <v>35</v>
      </c>
      <c r="F86" s="79" t="s">
        <v>142</v>
      </c>
      <c r="G86" s="81">
        <f t="shared" si="10"/>
        <v>7.1701388888888893</v>
      </c>
      <c r="I86" s="78">
        <v>2.8</v>
      </c>
      <c r="J86" s="79">
        <v>30</v>
      </c>
      <c r="K86" s="80">
        <v>1.59</v>
      </c>
      <c r="L86" s="79">
        <v>27</v>
      </c>
      <c r="M86" s="79" t="s">
        <v>136</v>
      </c>
      <c r="N86" s="81">
        <f t="shared" si="6"/>
        <v>7.3611111111111107</v>
      </c>
      <c r="P86" s="350"/>
      <c r="Q86" s="79">
        <v>30</v>
      </c>
      <c r="R86" s="80">
        <v>1.04</v>
      </c>
      <c r="S86" s="79">
        <v>27</v>
      </c>
      <c r="T86" s="79" t="s">
        <v>136</v>
      </c>
      <c r="U86" s="81">
        <f t="shared" si="7"/>
        <v>4.8148148148148149</v>
      </c>
      <c r="W86" s="350"/>
      <c r="X86" s="79">
        <v>30</v>
      </c>
      <c r="Y86" s="80">
        <v>1.52</v>
      </c>
      <c r="Z86" s="79">
        <v>27</v>
      </c>
      <c r="AA86" s="79" t="s">
        <v>136</v>
      </c>
      <c r="AB86" s="81">
        <f t="shared" si="8"/>
        <v>7.0370370370370372</v>
      </c>
      <c r="AD86" s="350"/>
      <c r="AE86" s="79">
        <v>30</v>
      </c>
      <c r="AF86" s="80">
        <v>0.53</v>
      </c>
      <c r="AG86" s="79">
        <v>21</v>
      </c>
      <c r="AH86" s="79" t="s">
        <v>139</v>
      </c>
      <c r="AI86" s="81">
        <f t="shared" si="9"/>
        <v>3.6805555555555554</v>
      </c>
      <c r="AK86" s="350"/>
      <c r="AL86" s="79">
        <v>30</v>
      </c>
      <c r="AM86" s="80">
        <v>0.94</v>
      </c>
      <c r="AN86" s="79">
        <v>21</v>
      </c>
      <c r="AO86" s="79" t="s">
        <v>143</v>
      </c>
      <c r="AP86" s="81">
        <f>AM86*1000/(12*15)</f>
        <v>5.2222222222222223</v>
      </c>
    </row>
    <row r="87" spans="2:42" x14ac:dyDescent="0.2">
      <c r="B87" s="85"/>
      <c r="C87" s="86">
        <v>40</v>
      </c>
      <c r="D87" s="87">
        <v>4.43</v>
      </c>
      <c r="E87" s="86">
        <v>38</v>
      </c>
      <c r="F87" s="88" t="s">
        <v>142</v>
      </c>
      <c r="G87" s="89">
        <f t="shared" si="10"/>
        <v>7.6909722222222223</v>
      </c>
      <c r="I87" s="85"/>
      <c r="J87" s="86">
        <v>35</v>
      </c>
      <c r="K87" s="87">
        <v>1.71</v>
      </c>
      <c r="L87" s="86">
        <v>27</v>
      </c>
      <c r="M87" s="88" t="s">
        <v>148</v>
      </c>
      <c r="N87" s="89">
        <f>K87*1000/(18*18)</f>
        <v>5.2777777777777777</v>
      </c>
      <c r="P87" s="351"/>
      <c r="Q87" s="86">
        <v>35</v>
      </c>
      <c r="R87" s="87">
        <v>1.1200000000000001</v>
      </c>
      <c r="S87" s="86">
        <v>27</v>
      </c>
      <c r="T87" s="88" t="s">
        <v>148</v>
      </c>
      <c r="U87" s="89">
        <f>R87*1000/(18*18)</f>
        <v>3.4567901234567899</v>
      </c>
      <c r="W87" s="351"/>
      <c r="X87" s="86">
        <v>35</v>
      </c>
      <c r="Y87" s="87">
        <v>1.64</v>
      </c>
      <c r="Z87" s="86">
        <v>27</v>
      </c>
      <c r="AA87" s="88" t="s">
        <v>148</v>
      </c>
      <c r="AB87" s="89">
        <f>Y87*1000/(18*18)</f>
        <v>5.0617283950617287</v>
      </c>
      <c r="AD87" s="351"/>
      <c r="AE87" s="86">
        <v>35</v>
      </c>
      <c r="AF87" s="87">
        <v>0.56999999999999995</v>
      </c>
      <c r="AG87" s="86">
        <v>21.5</v>
      </c>
      <c r="AH87" s="88" t="s">
        <v>139</v>
      </c>
      <c r="AI87" s="89">
        <f t="shared" si="9"/>
        <v>3.9583333333333335</v>
      </c>
      <c r="AK87" s="351"/>
      <c r="AL87" s="86">
        <v>35</v>
      </c>
      <c r="AM87" s="87">
        <v>1.01</v>
      </c>
      <c r="AN87" s="86">
        <v>21.5</v>
      </c>
      <c r="AO87" s="88" t="s">
        <v>144</v>
      </c>
      <c r="AP87" s="89">
        <f>AM87*1000/(15*15)</f>
        <v>4.4888888888888889</v>
      </c>
    </row>
    <row r="88" spans="2:42" x14ac:dyDescent="0.2">
      <c r="B88" s="78">
        <v>6.8</v>
      </c>
      <c r="C88" s="79">
        <v>25</v>
      </c>
      <c r="D88" s="80">
        <v>3.79</v>
      </c>
      <c r="E88" s="79">
        <v>33</v>
      </c>
      <c r="F88" s="79" t="s">
        <v>142</v>
      </c>
      <c r="G88" s="81">
        <f t="shared" si="10"/>
        <v>6.5798611111111107</v>
      </c>
      <c r="I88" s="78">
        <v>4.2</v>
      </c>
      <c r="J88" s="79">
        <v>20</v>
      </c>
      <c r="K88" s="80">
        <v>1.43</v>
      </c>
      <c r="L88" s="79">
        <v>27</v>
      </c>
      <c r="M88" s="79" t="s">
        <v>136</v>
      </c>
      <c r="N88" s="81">
        <f>K88*1000/(12*18)</f>
        <v>6.6203703703703702</v>
      </c>
      <c r="P88" s="349">
        <v>4.4000000000000004</v>
      </c>
      <c r="Q88" s="79">
        <v>20</v>
      </c>
      <c r="R88" s="80">
        <v>1.06</v>
      </c>
      <c r="S88" s="79">
        <v>27</v>
      </c>
      <c r="T88" s="79" t="s">
        <v>136</v>
      </c>
      <c r="U88" s="81">
        <f>R88*1000/(12*18)</f>
        <v>4.9074074074074074</v>
      </c>
      <c r="W88" s="349" t="s">
        <v>149</v>
      </c>
      <c r="X88" s="79">
        <v>20</v>
      </c>
      <c r="Y88" s="80">
        <v>1.56</v>
      </c>
      <c r="Z88" s="79">
        <v>27</v>
      </c>
      <c r="AA88" s="79" t="s">
        <v>136</v>
      </c>
      <c r="AB88" s="81">
        <f>Y88*1000/(12*18)</f>
        <v>7.2222222222222223</v>
      </c>
      <c r="AD88" s="349" t="s">
        <v>150</v>
      </c>
      <c r="AE88" s="79">
        <v>20</v>
      </c>
      <c r="AF88" s="80">
        <v>0.51</v>
      </c>
      <c r="AG88" s="79">
        <v>20.5</v>
      </c>
      <c r="AH88" s="79" t="s">
        <v>139</v>
      </c>
      <c r="AI88" s="81">
        <f t="shared" si="9"/>
        <v>3.5416666666666665</v>
      </c>
      <c r="AK88" s="349" t="s">
        <v>151</v>
      </c>
      <c r="AL88" s="79">
        <v>20</v>
      </c>
      <c r="AM88" s="80">
        <v>0.89</v>
      </c>
      <c r="AN88" s="79">
        <v>20.5</v>
      </c>
      <c r="AO88" s="79" t="s">
        <v>139</v>
      </c>
      <c r="AP88" s="81">
        <f>AM88*1000/(12*12)</f>
        <v>6.1805555555555554</v>
      </c>
    </row>
    <row r="89" spans="2:42" x14ac:dyDescent="0.2">
      <c r="B89" s="78" t="s">
        <v>141</v>
      </c>
      <c r="C89" s="82">
        <v>30</v>
      </c>
      <c r="D89" s="83">
        <v>4.18</v>
      </c>
      <c r="E89" s="82">
        <v>33</v>
      </c>
      <c r="F89" s="82" t="s">
        <v>142</v>
      </c>
      <c r="G89" s="84">
        <f t="shared" si="10"/>
        <v>7.2569444444444446</v>
      </c>
      <c r="I89" s="78" t="s">
        <v>141</v>
      </c>
      <c r="J89" s="82">
        <v>25</v>
      </c>
      <c r="K89" s="83">
        <v>1.6</v>
      </c>
      <c r="L89" s="82">
        <v>28</v>
      </c>
      <c r="M89" s="82" t="s">
        <v>136</v>
      </c>
      <c r="N89" s="84">
        <f>K89*1000/(12*18)</f>
        <v>7.4074074074074074</v>
      </c>
      <c r="P89" s="350"/>
      <c r="Q89" s="82">
        <v>25</v>
      </c>
      <c r="R89" s="83">
        <v>1.18</v>
      </c>
      <c r="S89" s="82">
        <v>28</v>
      </c>
      <c r="T89" s="82" t="s">
        <v>136</v>
      </c>
      <c r="U89" s="84">
        <f>R89*1000/(12*18)</f>
        <v>5.4629629629629628</v>
      </c>
      <c r="W89" s="350"/>
      <c r="X89" s="82">
        <v>25</v>
      </c>
      <c r="Y89" s="83">
        <v>1.74</v>
      </c>
      <c r="Z89" s="82">
        <v>28</v>
      </c>
      <c r="AA89" s="82" t="s">
        <v>136</v>
      </c>
      <c r="AB89" s="84">
        <f>Y89*1000/(12*18)</f>
        <v>8.0555555555555554</v>
      </c>
      <c r="AD89" s="350"/>
      <c r="AE89" s="82">
        <v>25</v>
      </c>
      <c r="AF89" s="83">
        <v>0.56999999999999995</v>
      </c>
      <c r="AG89" s="82">
        <v>21</v>
      </c>
      <c r="AH89" s="82" t="s">
        <v>139</v>
      </c>
      <c r="AI89" s="84">
        <f t="shared" si="9"/>
        <v>3.9583333333333335</v>
      </c>
      <c r="AK89" s="350" t="s">
        <v>141</v>
      </c>
      <c r="AL89" s="82">
        <v>25</v>
      </c>
      <c r="AM89" s="83">
        <v>1</v>
      </c>
      <c r="AN89" s="82">
        <v>21</v>
      </c>
      <c r="AO89" s="82" t="s">
        <v>143</v>
      </c>
      <c r="AP89" s="84">
        <f>AM89*1000/(12*15)</f>
        <v>5.5555555555555554</v>
      </c>
    </row>
    <row r="90" spans="2:42" x14ac:dyDescent="0.2">
      <c r="B90" s="78">
        <v>4.4000000000000004</v>
      </c>
      <c r="C90" s="79">
        <v>35</v>
      </c>
      <c r="D90" s="80">
        <v>4.49</v>
      </c>
      <c r="E90" s="79">
        <v>36</v>
      </c>
      <c r="F90" s="79" t="s">
        <v>142</v>
      </c>
      <c r="G90" s="81">
        <f t="shared" si="10"/>
        <v>7.7951388888888893</v>
      </c>
      <c r="I90" s="78">
        <v>3</v>
      </c>
      <c r="J90" s="79">
        <v>30</v>
      </c>
      <c r="K90" s="80">
        <v>1.75</v>
      </c>
      <c r="L90" s="79">
        <v>28</v>
      </c>
      <c r="M90" s="79" t="s">
        <v>136</v>
      </c>
      <c r="N90" s="81">
        <f>K90*1000/(12*18)</f>
        <v>8.1018518518518512</v>
      </c>
      <c r="P90" s="350"/>
      <c r="Q90" s="79">
        <v>30</v>
      </c>
      <c r="R90" s="80">
        <v>1.26</v>
      </c>
      <c r="S90" s="79">
        <v>30</v>
      </c>
      <c r="T90" s="79" t="s">
        <v>136</v>
      </c>
      <c r="U90" s="81">
        <f>R90*1000/(12*18)</f>
        <v>5.833333333333333</v>
      </c>
      <c r="W90" s="350"/>
      <c r="X90" s="79">
        <v>30</v>
      </c>
      <c r="Y90" s="80">
        <v>1.89</v>
      </c>
      <c r="Z90" s="79">
        <v>30</v>
      </c>
      <c r="AA90" s="79" t="s">
        <v>136</v>
      </c>
      <c r="AB90" s="81">
        <f>Y90*1000/(12*18)</f>
        <v>8.75</v>
      </c>
      <c r="AD90" s="350"/>
      <c r="AE90" s="79">
        <v>30</v>
      </c>
      <c r="AF90" s="80">
        <v>0.62</v>
      </c>
      <c r="AG90" s="79">
        <v>21.5</v>
      </c>
      <c r="AH90" s="79" t="s">
        <v>139</v>
      </c>
      <c r="AI90" s="81">
        <f t="shared" si="9"/>
        <v>4.3055555555555554</v>
      </c>
      <c r="AK90" s="350">
        <v>4.4000000000000004</v>
      </c>
      <c r="AL90" s="79">
        <v>30</v>
      </c>
      <c r="AM90" s="80">
        <v>1.1000000000000001</v>
      </c>
      <c r="AN90" s="79">
        <v>21.5</v>
      </c>
      <c r="AO90" s="79" t="s">
        <v>144</v>
      </c>
      <c r="AP90" s="81">
        <f>AM90*1000/(15*15)</f>
        <v>4.8888888888888893</v>
      </c>
    </row>
    <row r="91" spans="2:42" x14ac:dyDescent="0.2">
      <c r="B91" s="85"/>
      <c r="C91" s="86">
        <v>40</v>
      </c>
      <c r="D91" s="87">
        <v>4.83</v>
      </c>
      <c r="E91" s="86">
        <v>38</v>
      </c>
      <c r="F91" s="88" t="s">
        <v>142</v>
      </c>
      <c r="G91" s="89">
        <f t="shared" si="10"/>
        <v>8.3854166666666661</v>
      </c>
      <c r="I91" s="85"/>
      <c r="J91" s="86">
        <v>35</v>
      </c>
      <c r="K91" s="87">
        <v>1.89</v>
      </c>
      <c r="L91" s="86">
        <v>28</v>
      </c>
      <c r="M91" s="88" t="s">
        <v>148</v>
      </c>
      <c r="N91" s="89">
        <f>K91*1000/(18*18)</f>
        <v>5.833333333333333</v>
      </c>
      <c r="P91" s="351"/>
      <c r="Q91" s="86">
        <v>35</v>
      </c>
      <c r="R91" s="87">
        <v>1.37</v>
      </c>
      <c r="S91" s="86">
        <v>30</v>
      </c>
      <c r="T91" s="88" t="s">
        <v>148</v>
      </c>
      <c r="U91" s="89">
        <f>R91*1000/(18*18)</f>
        <v>4.2283950617283947</v>
      </c>
      <c r="W91" s="351"/>
      <c r="X91" s="86">
        <v>35</v>
      </c>
      <c r="Y91" s="87">
        <v>2.0499999999999998</v>
      </c>
      <c r="Z91" s="86">
        <v>30</v>
      </c>
      <c r="AA91" s="88" t="s">
        <v>148</v>
      </c>
      <c r="AB91" s="89">
        <f>Y91*1000/(18*18)</f>
        <v>6.3271604938271606</v>
      </c>
      <c r="AD91" s="351"/>
      <c r="AE91" s="86">
        <v>35</v>
      </c>
      <c r="AF91" s="87">
        <v>0.67</v>
      </c>
      <c r="AG91" s="86">
        <v>22</v>
      </c>
      <c r="AH91" s="88" t="s">
        <v>139</v>
      </c>
      <c r="AI91" s="89">
        <f t="shared" si="9"/>
        <v>4.6527777777777777</v>
      </c>
      <c r="AK91" s="351"/>
      <c r="AL91" s="86">
        <v>35</v>
      </c>
      <c r="AM91" s="87">
        <v>1.17</v>
      </c>
      <c r="AN91" s="86">
        <v>22</v>
      </c>
      <c r="AO91" s="88" t="s">
        <v>144</v>
      </c>
      <c r="AP91" s="89">
        <f>AM91*1000/(15*15)</f>
        <v>5.2</v>
      </c>
    </row>
    <row r="92" spans="2:42" x14ac:dyDescent="0.2">
      <c r="B92" s="78">
        <v>7</v>
      </c>
      <c r="C92" s="79">
        <v>25</v>
      </c>
      <c r="D92" s="80">
        <v>3.95</v>
      </c>
      <c r="E92" s="79">
        <v>33</v>
      </c>
      <c r="F92" s="79" t="s">
        <v>142</v>
      </c>
      <c r="G92" s="81">
        <f t="shared" si="10"/>
        <v>6.8576388888888893</v>
      </c>
      <c r="I92" s="78">
        <v>4.4000000000000004</v>
      </c>
      <c r="J92" s="79">
        <v>20</v>
      </c>
      <c r="K92" s="80">
        <v>1.59</v>
      </c>
      <c r="L92" s="79">
        <v>26</v>
      </c>
      <c r="M92" s="79" t="s">
        <v>136</v>
      </c>
      <c r="N92" s="81">
        <f>K92*1000/(12*18)</f>
        <v>7.3611111111111107</v>
      </c>
      <c r="P92" s="349">
        <v>4.8</v>
      </c>
      <c r="Q92" s="79">
        <v>20</v>
      </c>
      <c r="R92" s="80">
        <v>1.2</v>
      </c>
      <c r="S92" s="79">
        <v>28</v>
      </c>
      <c r="T92" s="79" t="s">
        <v>136</v>
      </c>
      <c r="U92" s="81">
        <f>R92*1000/(12*18)</f>
        <v>5.5555555555555554</v>
      </c>
      <c r="W92" s="349" t="s">
        <v>152</v>
      </c>
      <c r="X92" s="79">
        <v>20</v>
      </c>
      <c r="Y92" s="80">
        <v>1.7</v>
      </c>
      <c r="Z92" s="79">
        <v>28</v>
      </c>
      <c r="AA92" s="79" t="s">
        <v>136</v>
      </c>
      <c r="AB92" s="81">
        <f>Y92*1000/(12*18)</f>
        <v>7.8703703703703702</v>
      </c>
      <c r="AD92" s="349" t="s">
        <v>153</v>
      </c>
      <c r="AE92" s="79">
        <v>20</v>
      </c>
      <c r="AF92" s="80">
        <v>0.56999999999999995</v>
      </c>
      <c r="AG92" s="79">
        <v>21.5</v>
      </c>
      <c r="AH92" s="79" t="s">
        <v>139</v>
      </c>
      <c r="AI92" s="81">
        <f t="shared" si="9"/>
        <v>3.9583333333333335</v>
      </c>
      <c r="AK92" s="349" t="s">
        <v>154</v>
      </c>
      <c r="AL92" s="79">
        <v>20</v>
      </c>
      <c r="AM92" s="80">
        <v>0.96</v>
      </c>
      <c r="AN92" s="79">
        <v>21.5</v>
      </c>
      <c r="AO92" s="79" t="s">
        <v>139</v>
      </c>
      <c r="AP92" s="81">
        <f>AM92*1000/(12*12)</f>
        <v>6.666666666666667</v>
      </c>
    </row>
    <row r="93" spans="2:42" x14ac:dyDescent="0.2">
      <c r="B93" s="78" t="s">
        <v>141</v>
      </c>
      <c r="C93" s="82">
        <v>30</v>
      </c>
      <c r="D93" s="83">
        <v>4.38</v>
      </c>
      <c r="E93" s="82">
        <v>33</v>
      </c>
      <c r="F93" s="82" t="s">
        <v>142</v>
      </c>
      <c r="G93" s="84">
        <f t="shared" si="10"/>
        <v>7.604166666666667</v>
      </c>
      <c r="I93" s="78" t="s">
        <v>141</v>
      </c>
      <c r="J93" s="82">
        <v>25</v>
      </c>
      <c r="K93" s="83">
        <v>1.8</v>
      </c>
      <c r="L93" s="82">
        <v>28</v>
      </c>
      <c r="M93" s="82" t="s">
        <v>136</v>
      </c>
      <c r="N93" s="84">
        <f>K93*1000/(12*18)</f>
        <v>8.3333333333333339</v>
      </c>
      <c r="P93" s="350"/>
      <c r="Q93" s="82">
        <v>25</v>
      </c>
      <c r="R93" s="83">
        <v>1.33</v>
      </c>
      <c r="S93" s="82">
        <v>28</v>
      </c>
      <c r="T93" s="82" t="s">
        <v>136</v>
      </c>
      <c r="U93" s="84">
        <f>R93*1000/(12*18)</f>
        <v>6.1574074074074074</v>
      </c>
      <c r="W93" s="350"/>
      <c r="X93" s="82">
        <v>25</v>
      </c>
      <c r="Y93" s="83">
        <v>1.89</v>
      </c>
      <c r="Z93" s="82">
        <v>28</v>
      </c>
      <c r="AA93" s="82" t="s">
        <v>136</v>
      </c>
      <c r="AB93" s="84">
        <f>Y93*1000/(12*18)</f>
        <v>8.75</v>
      </c>
      <c r="AD93" s="350"/>
      <c r="AE93" s="82">
        <v>25</v>
      </c>
      <c r="AF93" s="83">
        <v>0.64</v>
      </c>
      <c r="AG93" s="82">
        <v>22</v>
      </c>
      <c r="AH93" s="82" t="s">
        <v>139</v>
      </c>
      <c r="AI93" s="84">
        <f t="shared" si="9"/>
        <v>4.4444444444444446</v>
      </c>
      <c r="AK93" s="350" t="s">
        <v>141</v>
      </c>
      <c r="AL93" s="82">
        <v>25</v>
      </c>
      <c r="AM93" s="83">
        <v>1.07</v>
      </c>
      <c r="AN93" s="82">
        <v>22</v>
      </c>
      <c r="AO93" s="82" t="s">
        <v>143</v>
      </c>
      <c r="AP93" s="84">
        <f>AM93*1000/(12*15)</f>
        <v>5.9444444444444446</v>
      </c>
    </row>
    <row r="94" spans="2:42" x14ac:dyDescent="0.2">
      <c r="B94" s="78">
        <v>4.8</v>
      </c>
      <c r="C94" s="79">
        <v>35</v>
      </c>
      <c r="D94" s="80">
        <v>4.75</v>
      </c>
      <c r="E94" s="79">
        <v>36</v>
      </c>
      <c r="F94" s="79" t="s">
        <v>142</v>
      </c>
      <c r="G94" s="81">
        <f t="shared" si="10"/>
        <v>8.2465277777777786</v>
      </c>
      <c r="I94" s="78">
        <v>3.2</v>
      </c>
      <c r="J94" s="79">
        <v>30</v>
      </c>
      <c r="K94" s="80">
        <v>1.98</v>
      </c>
      <c r="L94" s="79">
        <v>30</v>
      </c>
      <c r="M94" s="79" t="s">
        <v>136</v>
      </c>
      <c r="N94" s="81">
        <f>K94*1000/(12*18)</f>
        <v>9.1666666666666661</v>
      </c>
      <c r="P94" s="350"/>
      <c r="Q94" s="79">
        <v>30</v>
      </c>
      <c r="R94" s="80">
        <v>1.44</v>
      </c>
      <c r="S94" s="79">
        <v>30</v>
      </c>
      <c r="T94" s="79" t="s">
        <v>136</v>
      </c>
      <c r="U94" s="81">
        <f>R94*1000/(12*18)</f>
        <v>6.666666666666667</v>
      </c>
      <c r="W94" s="350"/>
      <c r="X94" s="79">
        <v>30</v>
      </c>
      <c r="Y94" s="80">
        <v>2.0699999999999998</v>
      </c>
      <c r="Z94" s="79">
        <v>30</v>
      </c>
      <c r="AA94" s="79" t="s">
        <v>136</v>
      </c>
      <c r="AB94" s="81">
        <f>Y94*1000/(12*18)</f>
        <v>9.5833333333333339</v>
      </c>
      <c r="AD94" s="350"/>
      <c r="AE94" s="79">
        <v>30</v>
      </c>
      <c r="AF94" s="80">
        <v>0.69</v>
      </c>
      <c r="AG94" s="79">
        <v>22.5</v>
      </c>
      <c r="AH94" s="79" t="s">
        <v>139</v>
      </c>
      <c r="AI94" s="81">
        <f t="shared" si="9"/>
        <v>4.791666666666667</v>
      </c>
      <c r="AK94" s="350">
        <v>4.8</v>
      </c>
      <c r="AL94" s="79">
        <v>30</v>
      </c>
      <c r="AM94" s="80">
        <v>1.18</v>
      </c>
      <c r="AN94" s="79">
        <v>22.5</v>
      </c>
      <c r="AO94" s="79" t="s">
        <v>144</v>
      </c>
      <c r="AP94" s="81">
        <f>AM94*1000/(15*15)</f>
        <v>5.2444444444444445</v>
      </c>
    </row>
    <row r="95" spans="2:42" x14ac:dyDescent="0.2">
      <c r="B95" s="85"/>
      <c r="C95" s="86">
        <v>40</v>
      </c>
      <c r="D95" s="87">
        <v>5.0599999999999996</v>
      </c>
      <c r="E95" s="86">
        <v>38</v>
      </c>
      <c r="F95" s="88" t="s">
        <v>142</v>
      </c>
      <c r="G95" s="89">
        <f t="shared" si="10"/>
        <v>8.7847222222222214</v>
      </c>
      <c r="I95" s="85"/>
      <c r="J95" s="86">
        <v>35</v>
      </c>
      <c r="K95" s="87">
        <v>2.13</v>
      </c>
      <c r="L95" s="86">
        <v>30</v>
      </c>
      <c r="M95" s="88" t="s">
        <v>148</v>
      </c>
      <c r="N95" s="89">
        <f>K95*1000/(18*18)</f>
        <v>6.5740740740740744</v>
      </c>
      <c r="P95" s="351"/>
      <c r="Q95" s="86">
        <v>35</v>
      </c>
      <c r="R95" s="87">
        <v>1.55</v>
      </c>
      <c r="S95" s="86">
        <v>30</v>
      </c>
      <c r="T95" s="88" t="s">
        <v>148</v>
      </c>
      <c r="U95" s="89">
        <f>R95*1000/(18*18)</f>
        <v>4.783950617283951</v>
      </c>
      <c r="W95" s="351"/>
      <c r="X95" s="86">
        <v>35</v>
      </c>
      <c r="Y95" s="87">
        <v>2.23</v>
      </c>
      <c r="Z95" s="86">
        <v>30</v>
      </c>
      <c r="AA95" s="88" t="s">
        <v>148</v>
      </c>
      <c r="AB95" s="89">
        <f>Y95*1000/(18*18)</f>
        <v>6.882716049382716</v>
      </c>
      <c r="AD95" s="351"/>
      <c r="AE95" s="86">
        <v>35</v>
      </c>
      <c r="AF95" s="87">
        <v>0.75</v>
      </c>
      <c r="AG95" s="86">
        <v>23</v>
      </c>
      <c r="AH95" s="88" t="s">
        <v>139</v>
      </c>
      <c r="AI95" s="89">
        <f t="shared" si="9"/>
        <v>5.208333333333333</v>
      </c>
      <c r="AK95" s="351"/>
      <c r="AL95" s="86">
        <v>35</v>
      </c>
      <c r="AM95" s="87">
        <v>1.27</v>
      </c>
      <c r="AN95" s="86">
        <v>23</v>
      </c>
      <c r="AO95" s="88" t="s">
        <v>144</v>
      </c>
      <c r="AP95" s="89">
        <f>AM95*1000/(15*15)</f>
        <v>5.6444444444444448</v>
      </c>
    </row>
    <row r="96" spans="2:42" x14ac:dyDescent="0.2">
      <c r="B96" s="78">
        <v>7</v>
      </c>
      <c r="C96" s="79">
        <v>25</v>
      </c>
      <c r="D96" s="80">
        <v>4.46</v>
      </c>
      <c r="E96" s="79">
        <v>33</v>
      </c>
      <c r="F96" s="79" t="s">
        <v>142</v>
      </c>
      <c r="G96" s="81">
        <f t="shared" si="10"/>
        <v>7.7430555555555554</v>
      </c>
      <c r="I96" s="78">
        <v>4.8</v>
      </c>
      <c r="J96" s="79">
        <v>20</v>
      </c>
      <c r="K96" s="80">
        <v>1.81</v>
      </c>
      <c r="L96" s="79">
        <v>28</v>
      </c>
      <c r="M96" s="79" t="s">
        <v>136</v>
      </c>
      <c r="N96" s="81">
        <f>K96*1000/(12*18)</f>
        <v>8.3796296296296298</v>
      </c>
      <c r="P96" s="349">
        <v>5.2</v>
      </c>
      <c r="Q96" s="79">
        <v>20</v>
      </c>
      <c r="R96" s="80">
        <v>1.43</v>
      </c>
      <c r="S96" s="79">
        <v>28</v>
      </c>
      <c r="T96" s="79" t="s">
        <v>136</v>
      </c>
      <c r="U96" s="81">
        <f>R96*1000/(12*18)</f>
        <v>6.6203703703703702</v>
      </c>
      <c r="W96" s="349" t="s">
        <v>155</v>
      </c>
      <c r="X96" s="79">
        <v>20</v>
      </c>
      <c r="Y96" s="80">
        <v>1.89</v>
      </c>
      <c r="Z96" s="79">
        <v>28</v>
      </c>
      <c r="AA96" s="79" t="s">
        <v>136</v>
      </c>
      <c r="AB96" s="81">
        <f>Y96*1000/(12*18)</f>
        <v>8.75</v>
      </c>
      <c r="AD96" s="349" t="s">
        <v>156</v>
      </c>
      <c r="AE96" s="79">
        <v>20</v>
      </c>
      <c r="AF96" s="80">
        <v>0.65</v>
      </c>
      <c r="AG96" s="79">
        <v>22</v>
      </c>
      <c r="AH96" s="79" t="s">
        <v>139</v>
      </c>
      <c r="AI96" s="81">
        <f t="shared" si="9"/>
        <v>4.5138888888888893</v>
      </c>
      <c r="AK96" s="349" t="s">
        <v>157</v>
      </c>
      <c r="AL96" s="79">
        <v>20</v>
      </c>
      <c r="AM96" s="80">
        <v>1.05</v>
      </c>
      <c r="AN96" s="79">
        <v>22</v>
      </c>
      <c r="AO96" s="79" t="s">
        <v>139</v>
      </c>
      <c r="AP96" s="81">
        <f>AM96*1000/(12*12)</f>
        <v>7.291666666666667</v>
      </c>
    </row>
    <row r="97" spans="2:42" x14ac:dyDescent="0.2">
      <c r="B97" s="78" t="s">
        <v>141</v>
      </c>
      <c r="C97" s="82">
        <v>30</v>
      </c>
      <c r="D97" s="83">
        <v>4.87</v>
      </c>
      <c r="E97" s="82">
        <v>33</v>
      </c>
      <c r="F97" s="82" t="s">
        <v>142</v>
      </c>
      <c r="G97" s="84">
        <f t="shared" si="10"/>
        <v>8.4548611111111107</v>
      </c>
      <c r="I97" s="78" t="s">
        <v>141</v>
      </c>
      <c r="J97" s="82">
        <v>25</v>
      </c>
      <c r="K97" s="83">
        <v>2.02</v>
      </c>
      <c r="L97" s="82">
        <v>28</v>
      </c>
      <c r="M97" s="82" t="s">
        <v>136</v>
      </c>
      <c r="N97" s="84">
        <f>K97*1000/(12*18)</f>
        <v>9.3518518518518512</v>
      </c>
      <c r="P97" s="350"/>
      <c r="Q97" s="82">
        <v>25</v>
      </c>
      <c r="R97" s="83">
        <v>1.6</v>
      </c>
      <c r="S97" s="82">
        <v>29</v>
      </c>
      <c r="T97" s="82" t="s">
        <v>136</v>
      </c>
      <c r="U97" s="84">
        <f>R97*1000/(12*18)</f>
        <v>7.4074074074074074</v>
      </c>
      <c r="W97" s="350"/>
      <c r="X97" s="82">
        <v>25</v>
      </c>
      <c r="Y97" s="83">
        <v>2.12</v>
      </c>
      <c r="Z97" s="82">
        <v>29</v>
      </c>
      <c r="AA97" s="82" t="s">
        <v>136</v>
      </c>
      <c r="AB97" s="84">
        <f>Y97*1000/(12*18)</f>
        <v>9.8148148148148149</v>
      </c>
      <c r="AD97" s="350"/>
      <c r="AE97" s="82">
        <v>25</v>
      </c>
      <c r="AF97" s="83">
        <v>0.72</v>
      </c>
      <c r="AG97" s="82">
        <v>22.5</v>
      </c>
      <c r="AH97" s="82" t="s">
        <v>139</v>
      </c>
      <c r="AI97" s="84">
        <f t="shared" si="9"/>
        <v>5</v>
      </c>
      <c r="AK97" s="350" t="s">
        <v>141</v>
      </c>
      <c r="AL97" s="82">
        <v>25</v>
      </c>
      <c r="AM97" s="83">
        <v>1.17</v>
      </c>
      <c r="AN97" s="82">
        <v>22.5</v>
      </c>
      <c r="AO97" s="82" t="s">
        <v>143</v>
      </c>
      <c r="AP97" s="84">
        <f>AM97*1000/(12*15)</f>
        <v>6.5</v>
      </c>
    </row>
    <row r="98" spans="2:42" x14ac:dyDescent="0.2">
      <c r="B98" s="78">
        <v>5.6</v>
      </c>
      <c r="C98" s="79">
        <v>35</v>
      </c>
      <c r="D98" s="80">
        <v>5.24</v>
      </c>
      <c r="E98" s="79">
        <v>36</v>
      </c>
      <c r="F98" s="79" t="s">
        <v>142</v>
      </c>
      <c r="G98" s="81">
        <f t="shared" si="10"/>
        <v>9.0972222222222214</v>
      </c>
      <c r="I98" s="78">
        <v>3.2</v>
      </c>
      <c r="J98" s="79">
        <v>30</v>
      </c>
      <c r="K98" s="80">
        <v>2.2000000000000002</v>
      </c>
      <c r="L98" s="79">
        <v>30</v>
      </c>
      <c r="M98" s="79" t="s">
        <v>136</v>
      </c>
      <c r="N98" s="81">
        <f>K98*1000/(12*18)</f>
        <v>10.185185185185185</v>
      </c>
      <c r="P98" s="350"/>
      <c r="Q98" s="79">
        <v>30</v>
      </c>
      <c r="R98" s="80">
        <v>1.74</v>
      </c>
      <c r="S98" s="79">
        <v>30</v>
      </c>
      <c r="T98" s="79" t="s">
        <v>136</v>
      </c>
      <c r="U98" s="81">
        <f>R98*1000/(12*18)</f>
        <v>8.0555555555555554</v>
      </c>
      <c r="W98" s="350"/>
      <c r="X98" s="79">
        <v>30</v>
      </c>
      <c r="Y98" s="80">
        <v>2.3199999999999998</v>
      </c>
      <c r="Z98" s="79">
        <v>30</v>
      </c>
      <c r="AA98" s="79" t="s">
        <v>136</v>
      </c>
      <c r="AB98" s="81">
        <f>Y98*1000/(12*18)</f>
        <v>10.74074074074074</v>
      </c>
      <c r="AD98" s="350"/>
      <c r="AE98" s="79">
        <v>30</v>
      </c>
      <c r="AF98" s="80">
        <v>0.79</v>
      </c>
      <c r="AG98" s="79">
        <v>23</v>
      </c>
      <c r="AH98" s="79" t="s">
        <v>139</v>
      </c>
      <c r="AI98" s="81">
        <f t="shared" si="9"/>
        <v>5.4861111111111107</v>
      </c>
      <c r="AK98" s="350">
        <v>5.6</v>
      </c>
      <c r="AL98" s="79">
        <v>30</v>
      </c>
      <c r="AM98" s="80">
        <v>1.23</v>
      </c>
      <c r="AN98" s="79">
        <v>23</v>
      </c>
      <c r="AO98" s="79" t="s">
        <v>144</v>
      </c>
      <c r="AP98" s="81">
        <f>AM98*1000/(15*15)</f>
        <v>5.4666666666666668</v>
      </c>
    </row>
    <row r="99" spans="2:42" x14ac:dyDescent="0.2">
      <c r="B99" s="85"/>
      <c r="C99" s="86">
        <v>40</v>
      </c>
      <c r="D99" s="87">
        <v>5.57</v>
      </c>
      <c r="E99" s="86">
        <v>38</v>
      </c>
      <c r="F99" s="88" t="s">
        <v>142</v>
      </c>
      <c r="G99" s="89">
        <f t="shared" si="10"/>
        <v>9.6701388888888893</v>
      </c>
      <c r="I99" s="85"/>
      <c r="J99" s="86">
        <v>35</v>
      </c>
      <c r="K99" s="87">
        <v>2.39</v>
      </c>
      <c r="L99" s="86">
        <v>30</v>
      </c>
      <c r="M99" s="88" t="s">
        <v>148</v>
      </c>
      <c r="N99" s="89">
        <f>K99*1000/(18*18)</f>
        <v>7.3765432098765435</v>
      </c>
      <c r="P99" s="351"/>
      <c r="Q99" s="86">
        <v>35</v>
      </c>
      <c r="R99" s="87">
        <v>1.88</v>
      </c>
      <c r="S99" s="86">
        <v>30</v>
      </c>
      <c r="T99" s="88" t="s">
        <v>148</v>
      </c>
      <c r="U99" s="89">
        <f>R99*1000/(18*18)</f>
        <v>5.8024691358024691</v>
      </c>
      <c r="W99" s="351"/>
      <c r="X99" s="86">
        <v>35</v>
      </c>
      <c r="Y99" s="87">
        <v>2.52</v>
      </c>
      <c r="Z99" s="86">
        <v>30</v>
      </c>
      <c r="AA99" s="88" t="s">
        <v>148</v>
      </c>
      <c r="AB99" s="89">
        <f>Y99*1000/(18*18)</f>
        <v>7.7777777777777777</v>
      </c>
      <c r="AD99" s="351"/>
      <c r="AE99" s="86">
        <v>35</v>
      </c>
      <c r="AF99" s="87">
        <v>0.86</v>
      </c>
      <c r="AG99" s="86">
        <v>23.5</v>
      </c>
      <c r="AH99" s="88" t="s">
        <v>139</v>
      </c>
      <c r="AI99" s="89">
        <f t="shared" si="9"/>
        <v>5.9722222222222223</v>
      </c>
      <c r="AK99" s="351"/>
      <c r="AL99" s="86">
        <v>35</v>
      </c>
      <c r="AM99" s="87">
        <v>1.34</v>
      </c>
      <c r="AN99" s="86">
        <v>23.5</v>
      </c>
      <c r="AO99" s="88" t="s">
        <v>144</v>
      </c>
      <c r="AP99" s="89">
        <f>AM99*1000/(15*15)</f>
        <v>5.9555555555555557</v>
      </c>
    </row>
    <row r="100" spans="2:42" x14ac:dyDescent="0.2">
      <c r="B100" s="78">
        <v>7.2</v>
      </c>
      <c r="C100" s="79">
        <v>25</v>
      </c>
      <c r="D100" s="80">
        <v>4.79</v>
      </c>
      <c r="E100" s="79">
        <v>33</v>
      </c>
      <c r="F100" s="79" t="s">
        <v>142</v>
      </c>
      <c r="G100" s="81">
        <f t="shared" si="10"/>
        <v>8.3159722222222214</v>
      </c>
      <c r="I100" s="78">
        <v>5.2</v>
      </c>
      <c r="J100" s="79">
        <v>20</v>
      </c>
      <c r="K100" s="80">
        <v>2.02</v>
      </c>
      <c r="L100" s="79">
        <v>28</v>
      </c>
      <c r="M100" s="79" t="s">
        <v>136</v>
      </c>
      <c r="N100" s="81">
        <f>K100*1000/(12*18)</f>
        <v>9.3518518518518512</v>
      </c>
      <c r="P100" s="349">
        <v>5.6</v>
      </c>
      <c r="Q100" s="79">
        <v>20</v>
      </c>
      <c r="R100" s="80">
        <v>1.65</v>
      </c>
      <c r="S100" s="79">
        <v>30</v>
      </c>
      <c r="T100" s="79" t="s">
        <v>148</v>
      </c>
      <c r="U100" s="81">
        <f>R100*1000/(18*18)</f>
        <v>5.0925925925925926</v>
      </c>
      <c r="W100" s="349" t="s">
        <v>158</v>
      </c>
      <c r="X100" s="79">
        <v>20</v>
      </c>
      <c r="Y100" s="80">
        <v>2.0699999999999998</v>
      </c>
      <c r="Z100" s="79">
        <v>30</v>
      </c>
      <c r="AA100" s="79" t="s">
        <v>148</v>
      </c>
      <c r="AB100" s="81">
        <f>Y100*1000/(18*18)</f>
        <v>6.3888888888888893</v>
      </c>
      <c r="AD100" s="349" t="s">
        <v>159</v>
      </c>
      <c r="AE100" s="79">
        <v>20</v>
      </c>
      <c r="AF100" s="80">
        <v>0.72</v>
      </c>
      <c r="AG100" s="79">
        <v>22</v>
      </c>
      <c r="AH100" s="79" t="s">
        <v>139</v>
      </c>
      <c r="AI100" s="81">
        <f t="shared" si="9"/>
        <v>5</v>
      </c>
      <c r="AK100" s="349" t="s">
        <v>160</v>
      </c>
      <c r="AL100" s="79">
        <v>20</v>
      </c>
      <c r="AM100" s="80">
        <v>1.17</v>
      </c>
      <c r="AN100" s="79">
        <v>22</v>
      </c>
      <c r="AO100" s="79" t="s">
        <v>143</v>
      </c>
      <c r="AP100" s="81">
        <f>AM100*1000/(12*15)</f>
        <v>6.5</v>
      </c>
    </row>
    <row r="101" spans="2:42" x14ac:dyDescent="0.2">
      <c r="B101" s="78" t="s">
        <v>141</v>
      </c>
      <c r="C101" s="82">
        <v>30</v>
      </c>
      <c r="D101" s="83">
        <v>5.24</v>
      </c>
      <c r="E101" s="82">
        <v>33</v>
      </c>
      <c r="F101" s="82" t="s">
        <v>142</v>
      </c>
      <c r="G101" s="84">
        <f t="shared" si="10"/>
        <v>9.0972222222222214</v>
      </c>
      <c r="I101" s="78" t="s">
        <v>141</v>
      </c>
      <c r="J101" s="82">
        <v>25</v>
      </c>
      <c r="K101" s="83">
        <v>2.27</v>
      </c>
      <c r="L101" s="82">
        <v>29</v>
      </c>
      <c r="M101" s="82" t="s">
        <v>136</v>
      </c>
      <c r="N101" s="84">
        <f>K101*1000/(12*18)</f>
        <v>10.50925925925926</v>
      </c>
      <c r="P101" s="350"/>
      <c r="Q101" s="82">
        <v>25</v>
      </c>
      <c r="R101" s="83">
        <v>1.83</v>
      </c>
      <c r="S101" s="82">
        <v>31</v>
      </c>
      <c r="T101" s="82" t="s">
        <v>135</v>
      </c>
      <c r="U101" s="84">
        <f>R101*1000/(18*24)</f>
        <v>4.2361111111111107</v>
      </c>
      <c r="W101" s="350"/>
      <c r="X101" s="82">
        <v>25</v>
      </c>
      <c r="Y101" s="83">
        <v>2.31</v>
      </c>
      <c r="Z101" s="82">
        <v>31</v>
      </c>
      <c r="AA101" s="82" t="s">
        <v>135</v>
      </c>
      <c r="AB101" s="84">
        <f>Y101*1000/(18*24)</f>
        <v>5.3472222222222223</v>
      </c>
      <c r="AD101" s="350"/>
      <c r="AE101" s="82">
        <v>25</v>
      </c>
      <c r="AF101" s="83">
        <v>0.8</v>
      </c>
      <c r="AG101" s="82">
        <v>22.5</v>
      </c>
      <c r="AH101" s="82" t="s">
        <v>139</v>
      </c>
      <c r="AI101" s="84">
        <f t="shared" si="9"/>
        <v>5.5555555555555554</v>
      </c>
      <c r="AK101" s="350" t="s">
        <v>141</v>
      </c>
      <c r="AL101" s="82">
        <v>25</v>
      </c>
      <c r="AM101" s="83">
        <v>1.3</v>
      </c>
      <c r="AN101" s="82">
        <v>22.5</v>
      </c>
      <c r="AO101" s="82" t="s">
        <v>143</v>
      </c>
      <c r="AP101" s="84">
        <f>AM101*1000/(12*15)</f>
        <v>7.2222222222222223</v>
      </c>
    </row>
    <row r="102" spans="2:42" x14ac:dyDescent="0.2">
      <c r="B102" s="78">
        <v>6</v>
      </c>
      <c r="C102" s="79">
        <v>35</v>
      </c>
      <c r="D102" s="80">
        <v>5.65</v>
      </c>
      <c r="E102" s="79">
        <v>36</v>
      </c>
      <c r="F102" s="79" t="s">
        <v>142</v>
      </c>
      <c r="G102" s="81">
        <f t="shared" si="10"/>
        <v>9.8090277777777786</v>
      </c>
      <c r="I102" s="78">
        <v>3.2</v>
      </c>
      <c r="J102" s="79">
        <v>30</v>
      </c>
      <c r="K102" s="80">
        <v>2.48</v>
      </c>
      <c r="L102" s="79">
        <v>30</v>
      </c>
      <c r="M102" s="79" t="s">
        <v>136</v>
      </c>
      <c r="N102" s="81">
        <f>K102*1000/(12*18)</f>
        <v>11.481481481481481</v>
      </c>
      <c r="P102" s="350"/>
      <c r="Q102" s="79">
        <v>30</v>
      </c>
      <c r="R102" s="80">
        <v>2</v>
      </c>
      <c r="S102" s="79">
        <v>31</v>
      </c>
      <c r="T102" s="79" t="s">
        <v>135</v>
      </c>
      <c r="U102" s="81">
        <f>R102*1000/(18*24)</f>
        <v>4.6296296296296298</v>
      </c>
      <c r="W102" s="350"/>
      <c r="X102" s="79">
        <v>30</v>
      </c>
      <c r="Y102" s="80">
        <v>2.5299999999999998</v>
      </c>
      <c r="Z102" s="79">
        <v>31</v>
      </c>
      <c r="AA102" s="79" t="s">
        <v>135</v>
      </c>
      <c r="AB102" s="81">
        <f>Y102*1000/(18*24)</f>
        <v>5.8564814814814818</v>
      </c>
      <c r="AD102" s="350"/>
      <c r="AE102" s="79">
        <v>30</v>
      </c>
      <c r="AF102" s="80">
        <v>0.88</v>
      </c>
      <c r="AG102" s="79">
        <v>23</v>
      </c>
      <c r="AH102" s="79" t="s">
        <v>139</v>
      </c>
      <c r="AI102" s="81">
        <f t="shared" si="9"/>
        <v>6.1111111111111107</v>
      </c>
      <c r="AK102" s="350">
        <v>6</v>
      </c>
      <c r="AL102" s="79">
        <v>30</v>
      </c>
      <c r="AM102" s="80">
        <v>1.41</v>
      </c>
      <c r="AN102" s="79">
        <v>23</v>
      </c>
      <c r="AO102" s="79" t="s">
        <v>144</v>
      </c>
      <c r="AP102" s="81">
        <f>AM102*1000/(15*15)</f>
        <v>6.2666666666666666</v>
      </c>
    </row>
    <row r="103" spans="2:42" x14ac:dyDescent="0.2">
      <c r="B103" s="85"/>
      <c r="C103" s="86">
        <v>40</v>
      </c>
      <c r="D103" s="87">
        <v>6.02</v>
      </c>
      <c r="E103" s="86">
        <v>38</v>
      </c>
      <c r="F103" s="88" t="s">
        <v>142</v>
      </c>
      <c r="G103" s="89">
        <f t="shared" si="10"/>
        <v>10.451388888888889</v>
      </c>
      <c r="I103" s="85"/>
      <c r="J103" s="86">
        <v>35</v>
      </c>
      <c r="K103" s="87">
        <v>2.69</v>
      </c>
      <c r="L103" s="86">
        <v>30</v>
      </c>
      <c r="M103" s="88" t="s">
        <v>148</v>
      </c>
      <c r="N103" s="89">
        <f>K103*1000/(18*18)</f>
        <v>8.3024691358024683</v>
      </c>
      <c r="P103" s="351"/>
      <c r="Q103" s="86">
        <v>35</v>
      </c>
      <c r="R103" s="87">
        <v>2.17</v>
      </c>
      <c r="S103" s="86">
        <v>32</v>
      </c>
      <c r="T103" s="88" t="s">
        <v>142</v>
      </c>
      <c r="U103" s="89">
        <f>R103*1000/(24*24)</f>
        <v>3.7673611111111112</v>
      </c>
      <c r="W103" s="351"/>
      <c r="X103" s="86">
        <v>35</v>
      </c>
      <c r="Y103" s="87">
        <v>2.74</v>
      </c>
      <c r="Z103" s="86">
        <v>32</v>
      </c>
      <c r="AA103" s="88" t="s">
        <v>142</v>
      </c>
      <c r="AB103" s="89">
        <f>Y103*1000/(24*24)</f>
        <v>4.7569444444444446</v>
      </c>
      <c r="AD103" s="351"/>
      <c r="AE103" s="86">
        <v>35</v>
      </c>
      <c r="AF103" s="87">
        <v>0.96</v>
      </c>
      <c r="AG103" s="86">
        <v>23.5</v>
      </c>
      <c r="AH103" s="88" t="s">
        <v>139</v>
      </c>
      <c r="AI103" s="89">
        <f t="shared" si="9"/>
        <v>6.666666666666667</v>
      </c>
      <c r="AK103" s="351"/>
      <c r="AL103" s="86">
        <v>35</v>
      </c>
      <c r="AM103" s="87">
        <v>1.51</v>
      </c>
      <c r="AN103" s="86">
        <v>23.5</v>
      </c>
      <c r="AO103" s="88" t="s">
        <v>144</v>
      </c>
      <c r="AP103" s="89">
        <f>AM103*1000/(15*15)</f>
        <v>6.7111111111111112</v>
      </c>
    </row>
    <row r="104" spans="2:42" x14ac:dyDescent="0.2">
      <c r="B104" s="78">
        <v>7.6</v>
      </c>
      <c r="C104" s="79">
        <v>25</v>
      </c>
      <c r="D104" s="80">
        <v>5.04</v>
      </c>
      <c r="E104" s="79">
        <v>34</v>
      </c>
      <c r="F104" s="79" t="s">
        <v>142</v>
      </c>
      <c r="G104" s="81">
        <f t="shared" si="10"/>
        <v>8.75</v>
      </c>
      <c r="I104" s="78">
        <v>5.6</v>
      </c>
      <c r="J104" s="79">
        <v>25</v>
      </c>
      <c r="K104" s="80">
        <v>2.44</v>
      </c>
      <c r="L104" s="79">
        <v>31</v>
      </c>
      <c r="M104" s="79" t="s">
        <v>148</v>
      </c>
      <c r="N104" s="81">
        <f>K104*1000/(18*18)</f>
        <v>7.5308641975308639</v>
      </c>
      <c r="P104" s="349">
        <v>6</v>
      </c>
      <c r="Q104" s="79">
        <v>20</v>
      </c>
      <c r="R104" s="80">
        <v>1.85</v>
      </c>
      <c r="S104" s="79">
        <v>31</v>
      </c>
      <c r="T104" s="79" t="s">
        <v>135</v>
      </c>
      <c r="U104" s="81">
        <f>R104*1000/(18*24)</f>
        <v>4.2824074074074074</v>
      </c>
      <c r="W104" s="349" t="s">
        <v>161</v>
      </c>
      <c r="X104" s="79">
        <v>20</v>
      </c>
      <c r="Y104" s="80">
        <v>2.35</v>
      </c>
      <c r="Z104" s="79">
        <v>31</v>
      </c>
      <c r="AA104" s="79" t="s">
        <v>135</v>
      </c>
      <c r="AB104" s="81">
        <f>Y104*1000/(18*24)</f>
        <v>5.4398148148148149</v>
      </c>
      <c r="AD104" s="349" t="s">
        <v>162</v>
      </c>
      <c r="AE104" s="79">
        <v>20</v>
      </c>
      <c r="AF104" s="80">
        <v>0.81</v>
      </c>
      <c r="AG104" s="79">
        <v>22</v>
      </c>
      <c r="AH104" s="79" t="s">
        <v>139</v>
      </c>
      <c r="AI104" s="81">
        <f t="shared" si="9"/>
        <v>5.625</v>
      </c>
      <c r="AK104" s="349" t="s">
        <v>163</v>
      </c>
      <c r="AL104" s="79">
        <v>20</v>
      </c>
      <c r="AM104" s="80">
        <v>1.26</v>
      </c>
      <c r="AN104" s="79">
        <v>22</v>
      </c>
      <c r="AO104" s="79" t="s">
        <v>143</v>
      </c>
      <c r="AP104" s="81">
        <f>AM104*1000/(12*15)</f>
        <v>7</v>
      </c>
    </row>
    <row r="105" spans="2:42" x14ac:dyDescent="0.2">
      <c r="B105" s="78" t="s">
        <v>141</v>
      </c>
      <c r="C105" s="82">
        <v>30</v>
      </c>
      <c r="D105" s="83">
        <v>5.49</v>
      </c>
      <c r="E105" s="82">
        <v>34</v>
      </c>
      <c r="F105" s="82" t="s">
        <v>142</v>
      </c>
      <c r="G105" s="84">
        <f t="shared" si="10"/>
        <v>9.53125</v>
      </c>
      <c r="I105" s="78" t="s">
        <v>141</v>
      </c>
      <c r="J105" s="82">
        <v>30</v>
      </c>
      <c r="K105" s="83">
        <v>2.66</v>
      </c>
      <c r="L105" s="82">
        <v>31</v>
      </c>
      <c r="M105" s="82" t="s">
        <v>135</v>
      </c>
      <c r="N105" s="84">
        <f>K105*1000/(18*24)</f>
        <v>6.1574074074074074</v>
      </c>
      <c r="P105" s="350"/>
      <c r="Q105" s="82">
        <v>25</v>
      </c>
      <c r="R105" s="83">
        <v>2.06</v>
      </c>
      <c r="S105" s="82">
        <v>32</v>
      </c>
      <c r="T105" s="82" t="s">
        <v>135</v>
      </c>
      <c r="U105" s="84">
        <f>R105*1000/(18*24)</f>
        <v>4.7685185185185182</v>
      </c>
      <c r="W105" s="350"/>
      <c r="X105" s="82">
        <v>25</v>
      </c>
      <c r="Y105" s="83">
        <v>2.6</v>
      </c>
      <c r="Z105" s="82">
        <v>32</v>
      </c>
      <c r="AA105" s="82" t="s">
        <v>135</v>
      </c>
      <c r="AB105" s="84">
        <f>Y105*1000/(18*24)</f>
        <v>6.0185185185185182</v>
      </c>
      <c r="AD105" s="350"/>
      <c r="AE105" s="82">
        <v>25</v>
      </c>
      <c r="AF105" s="83">
        <v>0.91</v>
      </c>
      <c r="AG105" s="82">
        <v>22.5</v>
      </c>
      <c r="AH105" s="82" t="s">
        <v>139</v>
      </c>
      <c r="AI105" s="84">
        <f t="shared" si="9"/>
        <v>6.3194444444444446</v>
      </c>
      <c r="AK105" s="350" t="s">
        <v>141</v>
      </c>
      <c r="AL105" s="82">
        <v>25</v>
      </c>
      <c r="AM105" s="83">
        <v>1.39</v>
      </c>
      <c r="AN105" s="82">
        <v>22.5</v>
      </c>
      <c r="AO105" s="82" t="s">
        <v>144</v>
      </c>
      <c r="AP105" s="84">
        <f>AM105*1000/(15*15)</f>
        <v>6.177777777777778</v>
      </c>
    </row>
    <row r="106" spans="2:42" x14ac:dyDescent="0.2">
      <c r="B106" s="78">
        <v>6.2</v>
      </c>
      <c r="C106" s="79">
        <v>35</v>
      </c>
      <c r="D106" s="80">
        <v>5.95</v>
      </c>
      <c r="E106" s="79">
        <v>36</v>
      </c>
      <c r="F106" s="79" t="s">
        <v>142</v>
      </c>
      <c r="G106" s="81">
        <f t="shared" si="10"/>
        <v>10.329861111111111</v>
      </c>
      <c r="I106" s="78">
        <v>3.2</v>
      </c>
      <c r="J106" s="79">
        <v>35</v>
      </c>
      <c r="K106" s="80">
        <v>2.9</v>
      </c>
      <c r="L106" s="79">
        <v>32</v>
      </c>
      <c r="M106" s="79" t="s">
        <v>135</v>
      </c>
      <c r="N106" s="81">
        <f>K106*1000/(18*24)</f>
        <v>6.7129629629629628</v>
      </c>
      <c r="P106" s="350"/>
      <c r="Q106" s="79">
        <v>30</v>
      </c>
      <c r="R106" s="80">
        <v>2.25</v>
      </c>
      <c r="S106" s="79">
        <v>33</v>
      </c>
      <c r="T106" s="79" t="s">
        <v>135</v>
      </c>
      <c r="U106" s="81">
        <f>R106*1000/(18*24)</f>
        <v>5.208333333333333</v>
      </c>
      <c r="W106" s="350"/>
      <c r="X106" s="79">
        <v>30</v>
      </c>
      <c r="Y106" s="80">
        <v>2.85</v>
      </c>
      <c r="Z106" s="79">
        <v>33</v>
      </c>
      <c r="AA106" s="79" t="s">
        <v>135</v>
      </c>
      <c r="AB106" s="81">
        <f>Y106*1000/(18*24)</f>
        <v>6.5972222222222223</v>
      </c>
      <c r="AD106" s="350"/>
      <c r="AE106" s="79">
        <v>30</v>
      </c>
      <c r="AF106" s="80">
        <v>1</v>
      </c>
      <c r="AG106" s="79">
        <v>23</v>
      </c>
      <c r="AH106" s="79" t="s">
        <v>139</v>
      </c>
      <c r="AI106" s="81">
        <f t="shared" si="9"/>
        <v>6.9444444444444446</v>
      </c>
      <c r="AK106" s="350">
        <v>6.2</v>
      </c>
      <c r="AL106" s="79">
        <v>30</v>
      </c>
      <c r="AM106" s="80">
        <v>1.51</v>
      </c>
      <c r="AN106" s="79">
        <v>23</v>
      </c>
      <c r="AO106" s="79" t="s">
        <v>144</v>
      </c>
      <c r="AP106" s="81">
        <f>AM106*1000/(15*15)</f>
        <v>6.7111111111111112</v>
      </c>
    </row>
    <row r="107" spans="2:42" x14ac:dyDescent="0.2">
      <c r="B107" s="85"/>
      <c r="C107" s="86">
        <v>40</v>
      </c>
      <c r="D107" s="87">
        <v>6.33</v>
      </c>
      <c r="E107" s="86">
        <v>38</v>
      </c>
      <c r="F107" s="88" t="s">
        <v>142</v>
      </c>
      <c r="G107" s="89">
        <f t="shared" si="10"/>
        <v>10.989583333333334</v>
      </c>
      <c r="I107" s="85"/>
      <c r="J107" s="86">
        <v>40</v>
      </c>
      <c r="K107" s="87">
        <v>3.08</v>
      </c>
      <c r="L107" s="86">
        <v>33</v>
      </c>
      <c r="M107" s="88" t="s">
        <v>142</v>
      </c>
      <c r="N107" s="89">
        <f>K107*1000/(24*24)</f>
        <v>5.3472222222222223</v>
      </c>
      <c r="P107" s="351"/>
      <c r="Q107" s="86">
        <v>35</v>
      </c>
      <c r="R107" s="87">
        <v>2.4500000000000002</v>
      </c>
      <c r="S107" s="86">
        <v>33</v>
      </c>
      <c r="T107" s="88" t="s">
        <v>142</v>
      </c>
      <c r="U107" s="89">
        <f>R107*1000/(24*24)</f>
        <v>4.2534722222222223</v>
      </c>
      <c r="W107" s="351"/>
      <c r="X107" s="86">
        <v>35</v>
      </c>
      <c r="Y107" s="87">
        <v>3.08</v>
      </c>
      <c r="Z107" s="86">
        <v>33</v>
      </c>
      <c r="AA107" s="88" t="s">
        <v>142</v>
      </c>
      <c r="AB107" s="89">
        <f>Y107*1000/(24*24)</f>
        <v>5.3472222222222223</v>
      </c>
      <c r="AD107" s="351"/>
      <c r="AE107" s="86">
        <v>35</v>
      </c>
      <c r="AF107" s="87">
        <v>1.08</v>
      </c>
      <c r="AG107" s="86">
        <v>23.5</v>
      </c>
      <c r="AH107" s="88" t="s">
        <v>139</v>
      </c>
      <c r="AI107" s="89">
        <f t="shared" si="9"/>
        <v>7.5</v>
      </c>
      <c r="AK107" s="351"/>
      <c r="AL107" s="86">
        <v>35</v>
      </c>
      <c r="AM107" s="87">
        <v>1.64</v>
      </c>
      <c r="AN107" s="86">
        <v>23.5</v>
      </c>
      <c r="AO107" s="88" t="s">
        <v>144</v>
      </c>
      <c r="AP107" s="89">
        <f>AM107*1000/(15*15)</f>
        <v>7.2888888888888888</v>
      </c>
    </row>
    <row r="108" spans="2:42" x14ac:dyDescent="0.2">
      <c r="B108" s="78">
        <v>8</v>
      </c>
      <c r="C108" s="79">
        <v>25</v>
      </c>
      <c r="D108" s="80">
        <v>5.7</v>
      </c>
      <c r="E108" s="79">
        <v>36</v>
      </c>
      <c r="F108" s="79" t="s">
        <v>142</v>
      </c>
      <c r="G108" s="81">
        <f t="shared" si="10"/>
        <v>9.8958333333333339</v>
      </c>
      <c r="I108" s="78">
        <v>5.8</v>
      </c>
      <c r="J108" s="79">
        <v>25</v>
      </c>
      <c r="K108" s="80">
        <v>2.72</v>
      </c>
      <c r="L108" s="79">
        <v>31</v>
      </c>
      <c r="M108" s="79" t="s">
        <v>135</v>
      </c>
      <c r="N108" s="81">
        <f>K108*1000/(18*24)</f>
        <v>6.2962962962962967</v>
      </c>
      <c r="P108" s="349">
        <v>6.6</v>
      </c>
      <c r="Q108" s="79">
        <v>20</v>
      </c>
      <c r="R108" s="80">
        <v>2.1800000000000002</v>
      </c>
      <c r="S108" s="79">
        <v>32</v>
      </c>
      <c r="T108" s="79" t="s">
        <v>135</v>
      </c>
      <c r="U108" s="81">
        <f>R108*1000/(18*24)</f>
        <v>5.0462962962962967</v>
      </c>
      <c r="W108" s="349" t="s">
        <v>164</v>
      </c>
      <c r="X108" s="79">
        <v>20</v>
      </c>
      <c r="Y108" s="80">
        <v>2.6</v>
      </c>
      <c r="Z108" s="79">
        <v>32</v>
      </c>
      <c r="AA108" s="79" t="s">
        <v>135</v>
      </c>
      <c r="AB108" s="81">
        <f>Y108*1000/(18*24)</f>
        <v>6.0185185185185182</v>
      </c>
      <c r="AD108" s="349" t="s">
        <v>165</v>
      </c>
      <c r="AE108" s="79">
        <v>20</v>
      </c>
      <c r="AF108" s="80">
        <v>0.89</v>
      </c>
      <c r="AG108" s="79">
        <v>22.5</v>
      </c>
      <c r="AH108" s="79" t="s">
        <v>139</v>
      </c>
      <c r="AI108" s="81">
        <f t="shared" si="9"/>
        <v>6.1805555555555554</v>
      </c>
      <c r="AK108" s="349" t="s">
        <v>166</v>
      </c>
      <c r="AL108" s="79">
        <v>20</v>
      </c>
      <c r="AM108" s="80">
        <v>1.31</v>
      </c>
      <c r="AN108" s="79">
        <v>22.5</v>
      </c>
      <c r="AO108" s="79" t="s">
        <v>143</v>
      </c>
      <c r="AP108" s="81">
        <f>AM108*1000/(12*15)</f>
        <v>7.2777777777777777</v>
      </c>
    </row>
    <row r="109" spans="2:42" x14ac:dyDescent="0.2">
      <c r="B109" s="78" t="s">
        <v>141</v>
      </c>
      <c r="C109" s="82">
        <v>30</v>
      </c>
      <c r="D109" s="83">
        <v>6.24</v>
      </c>
      <c r="E109" s="82">
        <v>37</v>
      </c>
      <c r="F109" s="82" t="s">
        <v>142</v>
      </c>
      <c r="G109" s="84">
        <f t="shared" si="10"/>
        <v>10.833333333333334</v>
      </c>
      <c r="I109" s="78" t="s">
        <v>141</v>
      </c>
      <c r="J109" s="82">
        <v>30</v>
      </c>
      <c r="K109" s="83">
        <v>2.98</v>
      </c>
      <c r="L109" s="82">
        <v>33</v>
      </c>
      <c r="M109" s="82" t="s">
        <v>135</v>
      </c>
      <c r="N109" s="84">
        <f>K109*1000/(18*24)</f>
        <v>6.8981481481481479</v>
      </c>
      <c r="P109" s="350"/>
      <c r="Q109" s="82">
        <v>25</v>
      </c>
      <c r="R109" s="83">
        <v>2.4500000000000002</v>
      </c>
      <c r="S109" s="82">
        <v>33</v>
      </c>
      <c r="T109" s="82" t="s">
        <v>135</v>
      </c>
      <c r="U109" s="84">
        <f>R109*1000/(18*24)</f>
        <v>5.6712962962962967</v>
      </c>
      <c r="W109" s="350"/>
      <c r="X109" s="82">
        <v>25</v>
      </c>
      <c r="Y109" s="83">
        <v>2.88</v>
      </c>
      <c r="Z109" s="82">
        <v>33</v>
      </c>
      <c r="AA109" s="82" t="s">
        <v>135</v>
      </c>
      <c r="AB109" s="84">
        <f>Y109*1000/(18*24)</f>
        <v>6.666666666666667</v>
      </c>
      <c r="AD109" s="350"/>
      <c r="AE109" s="82">
        <v>25</v>
      </c>
      <c r="AF109" s="83">
        <v>0.99</v>
      </c>
      <c r="AG109" s="82">
        <v>23</v>
      </c>
      <c r="AH109" s="82" t="s">
        <v>139</v>
      </c>
      <c r="AI109" s="84">
        <f t="shared" si="9"/>
        <v>6.875</v>
      </c>
      <c r="AK109" s="350" t="s">
        <v>141</v>
      </c>
      <c r="AL109" s="82">
        <v>25</v>
      </c>
      <c r="AM109" s="83">
        <v>1.46</v>
      </c>
      <c r="AN109" s="82">
        <v>23</v>
      </c>
      <c r="AO109" s="82" t="s">
        <v>144</v>
      </c>
      <c r="AP109" s="84">
        <f>AM109*1000/(15*15)</f>
        <v>6.4888888888888889</v>
      </c>
    </row>
    <row r="110" spans="2:42" x14ac:dyDescent="0.2">
      <c r="B110" s="78">
        <v>6.6</v>
      </c>
      <c r="C110" s="79">
        <v>35</v>
      </c>
      <c r="D110" s="80">
        <v>6.74</v>
      </c>
      <c r="E110" s="79">
        <v>38</v>
      </c>
      <c r="F110" s="79" t="s">
        <v>142</v>
      </c>
      <c r="G110" s="81">
        <f t="shared" si="10"/>
        <v>11.701388888888889</v>
      </c>
      <c r="I110" s="78">
        <v>3.6</v>
      </c>
      <c r="J110" s="79">
        <v>35</v>
      </c>
      <c r="K110" s="80">
        <v>3.23</v>
      </c>
      <c r="L110" s="79">
        <v>35</v>
      </c>
      <c r="M110" s="79" t="s">
        <v>135</v>
      </c>
      <c r="N110" s="81">
        <f>K110*1000/(18*24)</f>
        <v>7.4768518518518521</v>
      </c>
      <c r="P110" s="350"/>
      <c r="Q110" s="79">
        <v>30</v>
      </c>
      <c r="R110" s="80">
        <v>2.67</v>
      </c>
      <c r="S110" s="79">
        <v>35</v>
      </c>
      <c r="T110" s="79" t="s">
        <v>135</v>
      </c>
      <c r="U110" s="81">
        <f>R110*1000/(18*24)</f>
        <v>6.1805555555555554</v>
      </c>
      <c r="W110" s="350"/>
      <c r="X110" s="79">
        <v>30</v>
      </c>
      <c r="Y110" s="80">
        <v>3.15</v>
      </c>
      <c r="Z110" s="79">
        <v>35</v>
      </c>
      <c r="AA110" s="79" t="s">
        <v>135</v>
      </c>
      <c r="AB110" s="81">
        <f>Y110*1000/(18*24)</f>
        <v>7.291666666666667</v>
      </c>
      <c r="AD110" s="350"/>
      <c r="AE110" s="79">
        <v>30</v>
      </c>
      <c r="AF110" s="80">
        <v>1.07</v>
      </c>
      <c r="AG110" s="79">
        <v>23.5</v>
      </c>
      <c r="AH110" s="79" t="s">
        <v>139</v>
      </c>
      <c r="AI110" s="81">
        <f t="shared" si="9"/>
        <v>7.4305555555555554</v>
      </c>
      <c r="AK110" s="350">
        <v>6.6</v>
      </c>
      <c r="AL110" s="79">
        <v>30</v>
      </c>
      <c r="AM110" s="80">
        <v>1.59</v>
      </c>
      <c r="AN110" s="79">
        <v>23.5</v>
      </c>
      <c r="AO110" s="79" t="s">
        <v>144</v>
      </c>
      <c r="AP110" s="81">
        <f>AM110*1000/(15*15)</f>
        <v>7.0666666666666664</v>
      </c>
    </row>
    <row r="111" spans="2:42" x14ac:dyDescent="0.2">
      <c r="B111" s="85"/>
      <c r="C111" s="86">
        <v>40</v>
      </c>
      <c r="D111" s="87">
        <v>7.2</v>
      </c>
      <c r="E111" s="86">
        <v>39</v>
      </c>
      <c r="F111" s="88" t="s">
        <v>142</v>
      </c>
      <c r="G111" s="89">
        <f t="shared" si="10"/>
        <v>12.5</v>
      </c>
      <c r="I111" s="85"/>
      <c r="J111" s="86">
        <v>40</v>
      </c>
      <c r="K111" s="87">
        <v>3.45</v>
      </c>
      <c r="L111" s="86">
        <v>37</v>
      </c>
      <c r="M111" s="88" t="s">
        <v>142</v>
      </c>
      <c r="N111" s="89">
        <f>K111*1000/(24*24)</f>
        <v>5.989583333333333</v>
      </c>
      <c r="P111" s="351"/>
      <c r="Q111" s="86">
        <v>35</v>
      </c>
      <c r="R111" s="87">
        <v>2.88</v>
      </c>
      <c r="S111" s="86">
        <v>37</v>
      </c>
      <c r="T111" s="88" t="s">
        <v>142</v>
      </c>
      <c r="U111" s="89">
        <f>R111*1000/(24*24)</f>
        <v>5</v>
      </c>
      <c r="W111" s="351"/>
      <c r="X111" s="86">
        <v>35</v>
      </c>
      <c r="Y111" s="87">
        <v>3.4</v>
      </c>
      <c r="Z111" s="86">
        <v>37</v>
      </c>
      <c r="AA111" s="88" t="s">
        <v>142</v>
      </c>
      <c r="AB111" s="89">
        <f>Y111*1000/(24*24)</f>
        <v>5.9027777777777777</v>
      </c>
      <c r="AD111" s="351"/>
      <c r="AE111" s="86">
        <v>35</v>
      </c>
      <c r="AF111" s="87">
        <v>1.1599999999999999</v>
      </c>
      <c r="AG111" s="86">
        <v>24</v>
      </c>
      <c r="AH111" s="88" t="s">
        <v>139</v>
      </c>
      <c r="AI111" s="89">
        <f t="shared" si="9"/>
        <v>8.0555555555555554</v>
      </c>
      <c r="AK111" s="351"/>
      <c r="AL111" s="86">
        <v>35</v>
      </c>
      <c r="AM111" s="87">
        <v>1.7</v>
      </c>
      <c r="AN111" s="86">
        <v>24</v>
      </c>
      <c r="AO111" s="88" t="s">
        <v>144</v>
      </c>
      <c r="AP111" s="89">
        <f>AM111*1000/(15*15)</f>
        <v>7.5555555555555554</v>
      </c>
    </row>
    <row r="112" spans="2:42" x14ac:dyDescent="0.2">
      <c r="B112" s="90"/>
      <c r="C112" s="91"/>
      <c r="D112" s="91"/>
      <c r="E112" s="91"/>
      <c r="F112" s="91"/>
      <c r="G112" s="91"/>
      <c r="H112" s="91"/>
      <c r="P112" s="349">
        <v>7.2</v>
      </c>
      <c r="Q112" s="79">
        <v>20</v>
      </c>
      <c r="R112" s="80">
        <v>2.59</v>
      </c>
      <c r="S112" s="79">
        <v>32</v>
      </c>
      <c r="T112" s="79" t="s">
        <v>135</v>
      </c>
      <c r="U112" s="81">
        <f>R112*1000/(18*24)</f>
        <v>5.9953703703703702</v>
      </c>
      <c r="W112" s="349" t="s">
        <v>167</v>
      </c>
      <c r="X112" s="79">
        <v>20</v>
      </c>
      <c r="Y112" s="80">
        <v>2.92</v>
      </c>
      <c r="Z112" s="79">
        <v>32</v>
      </c>
      <c r="AA112" s="79" t="s">
        <v>135</v>
      </c>
      <c r="AB112" s="81">
        <f>Y112*1000/(18*24)</f>
        <v>6.7592592592592595</v>
      </c>
      <c r="AK112" s="349" t="s">
        <v>168</v>
      </c>
      <c r="AL112" s="79">
        <v>20</v>
      </c>
      <c r="AM112" s="80">
        <v>1.44</v>
      </c>
      <c r="AN112" s="79">
        <v>22.5</v>
      </c>
      <c r="AO112" s="79" t="s">
        <v>143</v>
      </c>
      <c r="AP112" s="81">
        <f>AM112*1000/(12*15)</f>
        <v>8</v>
      </c>
    </row>
    <row r="113" spans="2:54" x14ac:dyDescent="0.2">
      <c r="B113" s="90"/>
      <c r="C113" s="91"/>
      <c r="D113" s="91"/>
      <c r="E113" s="91"/>
      <c r="F113" s="91"/>
      <c r="G113" s="91"/>
      <c r="H113" s="91"/>
      <c r="P113" s="350"/>
      <c r="Q113" s="82">
        <v>25</v>
      </c>
      <c r="R113" s="83">
        <v>2.9</v>
      </c>
      <c r="S113" s="82">
        <v>33</v>
      </c>
      <c r="T113" s="82" t="s">
        <v>135</v>
      </c>
      <c r="U113" s="84">
        <f>R113*1000/(18*24)</f>
        <v>6.7129629629629628</v>
      </c>
      <c r="W113" s="350"/>
      <c r="X113" s="82">
        <v>25</v>
      </c>
      <c r="Y113" s="83">
        <v>3.26</v>
      </c>
      <c r="Z113" s="82">
        <v>33</v>
      </c>
      <c r="AA113" s="82" t="s">
        <v>135</v>
      </c>
      <c r="AB113" s="84">
        <f>Y113*1000/(18*24)</f>
        <v>7.5462962962962967</v>
      </c>
      <c r="AK113" s="350" t="s">
        <v>141</v>
      </c>
      <c r="AL113" s="82">
        <v>25</v>
      </c>
      <c r="AM113" s="83">
        <v>1.58</v>
      </c>
      <c r="AN113" s="82">
        <v>23</v>
      </c>
      <c r="AO113" s="82" t="s">
        <v>144</v>
      </c>
      <c r="AP113" s="84">
        <f>AM113*1000/(15*15)</f>
        <v>7.0222222222222221</v>
      </c>
    </row>
    <row r="114" spans="2:54" x14ac:dyDescent="0.2">
      <c r="B114" s="90"/>
      <c r="C114" s="91"/>
      <c r="D114" s="91"/>
      <c r="E114" s="91"/>
      <c r="F114" s="91"/>
      <c r="G114" s="91"/>
      <c r="H114" s="91"/>
      <c r="P114" s="350"/>
      <c r="Q114" s="79">
        <v>30</v>
      </c>
      <c r="R114" s="80">
        <v>3.17</v>
      </c>
      <c r="S114" s="79">
        <v>35</v>
      </c>
      <c r="T114" s="79" t="s">
        <v>135</v>
      </c>
      <c r="U114" s="81">
        <f>R114*1000/(18*24)</f>
        <v>7.3379629629629628</v>
      </c>
      <c r="W114" s="350"/>
      <c r="X114" s="79">
        <v>30</v>
      </c>
      <c r="Y114" s="80">
        <v>3.55</v>
      </c>
      <c r="Z114" s="79">
        <v>35</v>
      </c>
      <c r="AA114" s="79" t="s">
        <v>135</v>
      </c>
      <c r="AB114" s="81">
        <f>Y114*1000/(18*24)</f>
        <v>8.2175925925925934</v>
      </c>
      <c r="AK114" s="350">
        <v>6.6</v>
      </c>
      <c r="AL114" s="79">
        <v>30</v>
      </c>
      <c r="AM114" s="80">
        <v>1.73</v>
      </c>
      <c r="AN114" s="79">
        <v>23.5</v>
      </c>
      <c r="AO114" s="79" t="s">
        <v>144</v>
      </c>
      <c r="AP114" s="81">
        <f>AM114*1000/(15*15)</f>
        <v>7.6888888888888891</v>
      </c>
    </row>
    <row r="115" spans="2:54" x14ac:dyDescent="0.2">
      <c r="B115" s="90"/>
      <c r="C115" s="91"/>
      <c r="D115" s="91"/>
      <c r="E115" s="91"/>
      <c r="F115" s="91"/>
      <c r="G115" s="91"/>
      <c r="H115" s="91"/>
      <c r="P115" s="351"/>
      <c r="Q115" s="86">
        <v>35</v>
      </c>
      <c r="R115" s="87">
        <v>3.4</v>
      </c>
      <c r="S115" s="86">
        <v>38</v>
      </c>
      <c r="T115" s="88" t="s">
        <v>142</v>
      </c>
      <c r="U115" s="89">
        <f>R115*1000/(24*24)</f>
        <v>5.9027777777777777</v>
      </c>
      <c r="W115" s="351"/>
      <c r="X115" s="86">
        <v>35</v>
      </c>
      <c r="Y115" s="87">
        <v>3.86</v>
      </c>
      <c r="Z115" s="86">
        <v>38</v>
      </c>
      <c r="AA115" s="88" t="s">
        <v>142</v>
      </c>
      <c r="AB115" s="89">
        <f>Y115*1000/(24*24)</f>
        <v>6.7013888888888893</v>
      </c>
      <c r="AK115" s="351"/>
      <c r="AL115" s="86">
        <v>35</v>
      </c>
      <c r="AM115" s="87">
        <v>1.86</v>
      </c>
      <c r="AN115" s="86">
        <v>24</v>
      </c>
      <c r="AO115" s="88" t="s">
        <v>144</v>
      </c>
      <c r="AP115" s="89">
        <f>AM115*1000/(15*15)</f>
        <v>8.2666666666666675</v>
      </c>
    </row>
    <row r="116" spans="2:54" x14ac:dyDescent="0.2">
      <c r="B116" s="90"/>
      <c r="C116" s="91"/>
      <c r="D116" s="91"/>
      <c r="E116" s="91"/>
      <c r="F116" s="91"/>
      <c r="G116" s="91"/>
      <c r="H116" s="91"/>
    </row>
    <row r="117" spans="2:54" x14ac:dyDescent="0.2">
      <c r="B117" s="90"/>
      <c r="C117" s="91"/>
      <c r="D117" s="91"/>
      <c r="E117" s="91"/>
      <c r="F117" s="91"/>
      <c r="G117" s="91"/>
      <c r="H117" s="91"/>
    </row>
    <row r="118" spans="2:54" x14ac:dyDescent="0.2">
      <c r="V118" s="37"/>
    </row>
    <row r="119" spans="2:54" ht="12.75" customHeight="1" x14ac:dyDescent="0.2">
      <c r="B119" s="92" t="s">
        <v>113</v>
      </c>
      <c r="C119" s="93"/>
      <c r="D119" s="93"/>
      <c r="E119" s="93"/>
      <c r="F119" s="93"/>
      <c r="G119" s="93"/>
      <c r="H119" s="93"/>
      <c r="M119" s="92" t="s">
        <v>113</v>
      </c>
      <c r="N119" s="93"/>
      <c r="O119" s="93"/>
      <c r="P119" s="93"/>
      <c r="Q119" s="93"/>
      <c r="R119" s="93"/>
      <c r="Y119" s="92" t="s">
        <v>113</v>
      </c>
      <c r="Z119" s="93"/>
      <c r="AA119" s="93"/>
      <c r="AB119" s="93"/>
      <c r="AC119" s="93"/>
      <c r="AD119" s="93"/>
      <c r="AI119" s="92" t="s">
        <v>113</v>
      </c>
      <c r="AJ119" s="93"/>
      <c r="AK119" s="93"/>
      <c r="AL119" s="93"/>
      <c r="AM119" s="93"/>
      <c r="AN119" s="93"/>
      <c r="AS119" s="92" t="s">
        <v>113</v>
      </c>
      <c r="AT119" s="93"/>
      <c r="AU119" s="93"/>
      <c r="AV119" s="93"/>
      <c r="AW119" s="93"/>
      <c r="AX119" s="93"/>
    </row>
    <row r="120" spans="2:54" x14ac:dyDescent="0.2">
      <c r="B120" s="66" t="s">
        <v>169</v>
      </c>
      <c r="M120" s="66" t="s">
        <v>170</v>
      </c>
      <c r="Y120" s="66" t="s">
        <v>171</v>
      </c>
      <c r="AH120" s="94"/>
      <c r="AI120" s="66" t="s">
        <v>172</v>
      </c>
      <c r="AS120" s="66" t="s">
        <v>173</v>
      </c>
    </row>
    <row r="121" spans="2:54" ht="12.75" customHeight="1" x14ac:dyDescent="0.2">
      <c r="B121" s="375" t="s">
        <v>174</v>
      </c>
      <c r="C121" s="375" t="s">
        <v>175</v>
      </c>
      <c r="D121" s="375" t="s">
        <v>176</v>
      </c>
      <c r="E121" s="95" t="s">
        <v>177</v>
      </c>
      <c r="F121" s="96"/>
      <c r="G121" s="96"/>
      <c r="H121" s="96"/>
      <c r="I121" s="96"/>
      <c r="J121" s="96"/>
      <c r="K121" s="97"/>
      <c r="M121" s="375" t="s">
        <v>178</v>
      </c>
      <c r="N121" s="375" t="s">
        <v>175</v>
      </c>
      <c r="O121" s="98"/>
      <c r="P121" s="365" t="s">
        <v>177</v>
      </c>
      <c r="Q121" s="366"/>
      <c r="R121" s="366"/>
      <c r="S121" s="366"/>
      <c r="T121" s="366"/>
      <c r="U121" s="366"/>
      <c r="V121" s="366"/>
      <c r="W121" s="367"/>
      <c r="Y121" s="375" t="s">
        <v>179</v>
      </c>
      <c r="Z121" s="375" t="s">
        <v>175</v>
      </c>
      <c r="AA121" s="375" t="s">
        <v>176</v>
      </c>
      <c r="AB121" s="365" t="s">
        <v>177</v>
      </c>
      <c r="AC121" s="366"/>
      <c r="AD121" s="366"/>
      <c r="AE121" s="366"/>
      <c r="AF121" s="366"/>
      <c r="AG121" s="367"/>
      <c r="AH121" s="99"/>
      <c r="AI121" s="375" t="s">
        <v>179</v>
      </c>
      <c r="AJ121" s="375" t="s">
        <v>175</v>
      </c>
      <c r="AK121" s="375" t="s">
        <v>176</v>
      </c>
      <c r="AL121" s="365" t="s">
        <v>177</v>
      </c>
      <c r="AM121" s="366"/>
      <c r="AN121" s="366"/>
      <c r="AO121" s="366"/>
      <c r="AP121" s="366"/>
      <c r="AQ121" s="367"/>
      <c r="AS121" s="376" t="s">
        <v>180</v>
      </c>
      <c r="AT121" s="375" t="s">
        <v>175</v>
      </c>
      <c r="AU121" s="375" t="s">
        <v>176</v>
      </c>
      <c r="AV121" s="365" t="s">
        <v>177</v>
      </c>
      <c r="AW121" s="366"/>
      <c r="AX121" s="366"/>
      <c r="AY121" s="366"/>
      <c r="AZ121" s="366"/>
      <c r="BA121" s="366"/>
      <c r="BB121" s="367"/>
    </row>
    <row r="122" spans="2:54" ht="15" customHeight="1" x14ac:dyDescent="0.2">
      <c r="B122" s="368"/>
      <c r="C122" s="368" t="s">
        <v>181</v>
      </c>
      <c r="D122" s="368"/>
      <c r="E122" s="368" t="s">
        <v>124</v>
      </c>
      <c r="F122" s="368" t="s">
        <v>182</v>
      </c>
      <c r="G122" s="368" t="s">
        <v>126</v>
      </c>
      <c r="H122" s="379" t="s">
        <v>183</v>
      </c>
      <c r="I122" s="380"/>
      <c r="J122" s="380"/>
      <c r="K122" s="381"/>
      <c r="M122" s="368"/>
      <c r="N122" s="368"/>
      <c r="O122" s="375" t="s">
        <v>176</v>
      </c>
      <c r="P122" s="375" t="s">
        <v>184</v>
      </c>
      <c r="Q122" s="375" t="s">
        <v>185</v>
      </c>
      <c r="R122" s="375" t="s">
        <v>186</v>
      </c>
      <c r="S122" s="369" t="s">
        <v>187</v>
      </c>
      <c r="T122" s="370"/>
      <c r="U122" s="370"/>
      <c r="V122" s="370"/>
      <c r="W122" s="371"/>
      <c r="Y122" s="368"/>
      <c r="Z122" s="368"/>
      <c r="AA122" s="368"/>
      <c r="AB122" s="368" t="s">
        <v>124</v>
      </c>
      <c r="AC122" s="368" t="s">
        <v>182</v>
      </c>
      <c r="AD122" s="368" t="s">
        <v>126</v>
      </c>
      <c r="AE122" s="369" t="s">
        <v>188</v>
      </c>
      <c r="AF122" s="370"/>
      <c r="AG122" s="371"/>
      <c r="AH122" s="99"/>
      <c r="AI122" s="368"/>
      <c r="AJ122" s="368"/>
      <c r="AK122" s="368"/>
      <c r="AL122" s="368" t="s">
        <v>124</v>
      </c>
      <c r="AM122" s="368" t="s">
        <v>182</v>
      </c>
      <c r="AN122" s="368" t="s">
        <v>126</v>
      </c>
      <c r="AO122" s="369" t="s">
        <v>188</v>
      </c>
      <c r="AP122" s="370"/>
      <c r="AQ122" s="371"/>
      <c r="AS122" s="377"/>
      <c r="AT122" s="368" t="s">
        <v>181</v>
      </c>
      <c r="AU122" s="368"/>
      <c r="AV122" s="368" t="s">
        <v>124</v>
      </c>
      <c r="AW122" s="368" t="s">
        <v>182</v>
      </c>
      <c r="AX122" s="368" t="s">
        <v>126</v>
      </c>
      <c r="AY122" s="369" t="s">
        <v>188</v>
      </c>
      <c r="AZ122" s="370"/>
      <c r="BA122" s="370"/>
      <c r="BB122" s="371"/>
    </row>
    <row r="123" spans="2:54" x14ac:dyDescent="0.2">
      <c r="B123" s="368"/>
      <c r="C123" s="368"/>
      <c r="D123" s="368"/>
      <c r="E123" s="368"/>
      <c r="F123" s="368"/>
      <c r="G123" s="368"/>
      <c r="H123" s="382"/>
      <c r="I123" s="383"/>
      <c r="J123" s="383"/>
      <c r="K123" s="384"/>
      <c r="M123" s="368"/>
      <c r="N123" s="368"/>
      <c r="O123" s="368"/>
      <c r="P123" s="368"/>
      <c r="Q123" s="368"/>
      <c r="R123" s="368"/>
      <c r="S123" s="365" t="s">
        <v>189</v>
      </c>
      <c r="T123" s="366"/>
      <c r="U123" s="366"/>
      <c r="V123" s="366"/>
      <c r="W123" s="367"/>
      <c r="Y123" s="368"/>
      <c r="Z123" s="368"/>
      <c r="AA123" s="368"/>
      <c r="AB123" s="368"/>
      <c r="AC123" s="368"/>
      <c r="AD123" s="368"/>
      <c r="AE123" s="372"/>
      <c r="AF123" s="373"/>
      <c r="AG123" s="374"/>
      <c r="AH123" s="99"/>
      <c r="AI123" s="368"/>
      <c r="AJ123" s="368"/>
      <c r="AK123" s="368"/>
      <c r="AL123" s="368"/>
      <c r="AM123" s="368"/>
      <c r="AN123" s="368"/>
      <c r="AO123" s="372"/>
      <c r="AP123" s="373"/>
      <c r="AQ123" s="374"/>
      <c r="AS123" s="377"/>
      <c r="AT123" s="368"/>
      <c r="AU123" s="368"/>
      <c r="AV123" s="368"/>
      <c r="AW123" s="368"/>
      <c r="AX123" s="368"/>
      <c r="AY123" s="372"/>
      <c r="AZ123" s="373"/>
      <c r="BA123" s="373"/>
      <c r="BB123" s="374"/>
    </row>
    <row r="124" spans="2:54" ht="15.6" customHeight="1" x14ac:dyDescent="0.2">
      <c r="B124" s="368"/>
      <c r="C124" s="368"/>
      <c r="D124" s="368"/>
      <c r="E124" s="368"/>
      <c r="F124" s="368"/>
      <c r="G124" s="368"/>
      <c r="H124" s="365" t="s">
        <v>189</v>
      </c>
      <c r="I124" s="366"/>
      <c r="J124" s="366"/>
      <c r="K124" s="367"/>
      <c r="M124" s="100" t="s">
        <v>131</v>
      </c>
      <c r="N124" s="378"/>
      <c r="O124" s="378"/>
      <c r="P124" s="101" t="s">
        <v>8</v>
      </c>
      <c r="Q124" s="102" t="s">
        <v>132</v>
      </c>
      <c r="R124" s="102" t="s">
        <v>10</v>
      </c>
      <c r="S124" s="100" t="s">
        <v>190</v>
      </c>
      <c r="T124" s="103" t="s">
        <v>139</v>
      </c>
      <c r="U124" s="103" t="s">
        <v>136</v>
      </c>
      <c r="V124" s="103" t="s">
        <v>148</v>
      </c>
      <c r="W124" s="103" t="s">
        <v>135</v>
      </c>
      <c r="Y124" s="368"/>
      <c r="Z124" s="368"/>
      <c r="AA124" s="368"/>
      <c r="AB124" s="368"/>
      <c r="AC124" s="368"/>
      <c r="AD124" s="368"/>
      <c r="AE124" s="365" t="s">
        <v>189</v>
      </c>
      <c r="AF124" s="366"/>
      <c r="AG124" s="367"/>
      <c r="AH124" s="99"/>
      <c r="AI124" s="368"/>
      <c r="AJ124" s="368"/>
      <c r="AK124" s="368"/>
      <c r="AL124" s="368"/>
      <c r="AM124" s="368"/>
      <c r="AN124" s="368"/>
      <c r="AO124" s="365" t="s">
        <v>189</v>
      </c>
      <c r="AP124" s="366"/>
      <c r="AQ124" s="367"/>
      <c r="AS124" s="377"/>
      <c r="AT124" s="368"/>
      <c r="AU124" s="368"/>
      <c r="AV124" s="368"/>
      <c r="AW124" s="368"/>
      <c r="AX124" s="368"/>
      <c r="AY124" s="365" t="s">
        <v>189</v>
      </c>
      <c r="AZ124" s="366"/>
      <c r="BA124" s="366"/>
      <c r="BB124" s="367"/>
    </row>
    <row r="125" spans="2:54" ht="16.149999999999999" customHeight="1" x14ac:dyDescent="0.2">
      <c r="B125" s="100" t="s">
        <v>131</v>
      </c>
      <c r="C125" s="378"/>
      <c r="D125" s="378"/>
      <c r="E125" s="101" t="s">
        <v>8</v>
      </c>
      <c r="F125" s="102" t="s">
        <v>132</v>
      </c>
      <c r="G125" s="102" t="s">
        <v>10</v>
      </c>
      <c r="H125" s="100" t="s">
        <v>191</v>
      </c>
      <c r="I125" s="103" t="s">
        <v>190</v>
      </c>
      <c r="J125" s="103" t="s">
        <v>139</v>
      </c>
      <c r="K125" s="103" t="s">
        <v>136</v>
      </c>
      <c r="M125" s="78">
        <v>0</v>
      </c>
      <c r="N125" s="104" t="s">
        <v>192</v>
      </c>
      <c r="O125" s="105"/>
      <c r="P125" s="106">
        <v>30</v>
      </c>
      <c r="Q125" s="80">
        <v>1.25</v>
      </c>
      <c r="R125" s="81">
        <v>21.2</v>
      </c>
      <c r="S125" s="80">
        <f>$Q125*1000/(6*12)</f>
        <v>17.361111111111111</v>
      </c>
      <c r="T125" s="107" t="s">
        <v>14</v>
      </c>
      <c r="U125" s="107" t="s">
        <v>14</v>
      </c>
      <c r="V125" s="107" t="s">
        <v>14</v>
      </c>
      <c r="W125" s="107" t="s">
        <v>14</v>
      </c>
      <c r="Y125" s="378"/>
      <c r="Z125" s="378"/>
      <c r="AA125" s="108"/>
      <c r="AB125" s="101" t="s">
        <v>8</v>
      </c>
      <c r="AC125" s="102" t="s">
        <v>132</v>
      </c>
      <c r="AD125" s="102" t="s">
        <v>10</v>
      </c>
      <c r="AE125" s="100" t="s">
        <v>191</v>
      </c>
      <c r="AF125" s="103" t="s">
        <v>190</v>
      </c>
      <c r="AG125" s="103" t="s">
        <v>139</v>
      </c>
      <c r="AH125" s="99"/>
      <c r="AI125" s="378"/>
      <c r="AJ125" s="378"/>
      <c r="AK125" s="378"/>
      <c r="AL125" s="101" t="s">
        <v>8</v>
      </c>
      <c r="AM125" s="102" t="s">
        <v>132</v>
      </c>
      <c r="AN125" s="102" t="s">
        <v>10</v>
      </c>
      <c r="AO125" s="100" t="s">
        <v>191</v>
      </c>
      <c r="AP125" s="103" t="s">
        <v>190</v>
      </c>
      <c r="AQ125" s="103" t="s">
        <v>139</v>
      </c>
      <c r="AS125" s="100" t="s">
        <v>131</v>
      </c>
      <c r="AT125" s="378"/>
      <c r="AU125" s="378"/>
      <c r="AV125" s="101" t="s">
        <v>8</v>
      </c>
      <c r="AW125" s="102" t="s">
        <v>132</v>
      </c>
      <c r="AX125" s="102" t="s">
        <v>10</v>
      </c>
      <c r="AY125" s="100" t="s">
        <v>193</v>
      </c>
      <c r="AZ125" s="103" t="s">
        <v>136</v>
      </c>
      <c r="BA125" s="103" t="s">
        <v>148</v>
      </c>
      <c r="BB125" s="103" t="s">
        <v>148</v>
      </c>
    </row>
    <row r="126" spans="2:54" x14ac:dyDescent="0.2">
      <c r="B126" s="78">
        <v>2.5</v>
      </c>
      <c r="C126" s="104" t="s">
        <v>194</v>
      </c>
      <c r="D126" s="105"/>
      <c r="E126" s="106">
        <v>20</v>
      </c>
      <c r="F126" s="109">
        <v>0.28899999999999998</v>
      </c>
      <c r="G126" s="79">
        <v>24</v>
      </c>
      <c r="H126" s="80">
        <f t="shared" ref="H126:H161" si="11">$F126*1000/(6*6)</f>
        <v>8.0277777777777786</v>
      </c>
      <c r="I126" s="80">
        <f t="shared" ref="I126:I161" si="12">$F126*1000/(6*12)</f>
        <v>4.0138888888888893</v>
      </c>
      <c r="J126" s="107" t="s">
        <v>14</v>
      </c>
      <c r="K126" s="107" t="s">
        <v>14</v>
      </c>
      <c r="M126" s="78" t="s">
        <v>141</v>
      </c>
      <c r="N126" s="104" t="s">
        <v>141</v>
      </c>
      <c r="O126" s="104" t="s">
        <v>195</v>
      </c>
      <c r="P126" s="110">
        <v>35</v>
      </c>
      <c r="Q126" s="111">
        <v>1.35</v>
      </c>
      <c r="R126" s="112">
        <v>21.2</v>
      </c>
      <c r="S126" s="111">
        <f>$Q126*1000/(6*12)</f>
        <v>18.75</v>
      </c>
      <c r="T126" s="113" t="s">
        <v>14</v>
      </c>
      <c r="U126" s="113" t="s">
        <v>14</v>
      </c>
      <c r="V126" s="113" t="s">
        <v>14</v>
      </c>
      <c r="W126" s="113" t="s">
        <v>14</v>
      </c>
      <c r="Y126" s="78"/>
      <c r="Z126" s="104"/>
      <c r="AA126" s="105"/>
      <c r="AB126" s="106">
        <v>20</v>
      </c>
      <c r="AC126" s="109">
        <v>0.38400000000000001</v>
      </c>
      <c r="AD126" s="81">
        <v>20</v>
      </c>
      <c r="AE126" s="80">
        <f t="shared" ref="AE126:AE141" si="13">$AC126*1000/(6*6)</f>
        <v>10.666666666666666</v>
      </c>
      <c r="AF126" s="80">
        <f t="shared" ref="AF126:AF141" si="14">$AC126*1000/(6*12)</f>
        <v>5.333333333333333</v>
      </c>
      <c r="AG126" s="80">
        <f t="shared" ref="AG126:AG141" si="15">$AC126*1000/(12*12)</f>
        <v>2.6666666666666665</v>
      </c>
      <c r="AH126" s="114"/>
      <c r="AI126" s="78">
        <v>3</v>
      </c>
      <c r="AJ126" s="104" t="s">
        <v>196</v>
      </c>
      <c r="AK126" s="105"/>
      <c r="AL126" s="106">
        <v>25</v>
      </c>
      <c r="AM126" s="109">
        <v>1.3440000000000001</v>
      </c>
      <c r="AN126" s="81">
        <v>16.399999999999999</v>
      </c>
      <c r="AO126" s="80">
        <f t="shared" ref="AO126:AO134" si="16">$AM126*1000/(6*6)</f>
        <v>37.333333333333336</v>
      </c>
      <c r="AP126" s="80">
        <f t="shared" ref="AP126:AP134" si="17">$AM126*1000/(6*12)</f>
        <v>18.666666666666668</v>
      </c>
      <c r="AQ126" s="80">
        <f t="shared" ref="AQ126:AQ134" si="18">$AM126*1000/(12*12)</f>
        <v>9.3333333333333339</v>
      </c>
      <c r="AS126" s="78">
        <v>3</v>
      </c>
      <c r="AT126" s="104" t="s">
        <v>197</v>
      </c>
      <c r="AU126" s="105"/>
      <c r="AV126" s="106">
        <v>25</v>
      </c>
      <c r="AW126" s="79">
        <v>1.0669999999999999</v>
      </c>
      <c r="AX126" s="79">
        <v>27</v>
      </c>
      <c r="AY126" s="80">
        <f t="shared" ref="AY126:AY133" si="19">($AW126*1000)/(6*18)</f>
        <v>9.8796296296296298</v>
      </c>
      <c r="AZ126" s="80">
        <f t="shared" ref="AZ126:BB133" si="20">($AW126*1000)/(18*18)</f>
        <v>3.2932098765432101</v>
      </c>
      <c r="BA126" s="80">
        <f t="shared" si="20"/>
        <v>3.2932098765432101</v>
      </c>
      <c r="BB126" s="80">
        <f t="shared" si="20"/>
        <v>3.2932098765432101</v>
      </c>
    </row>
    <row r="127" spans="2:54" x14ac:dyDescent="0.2">
      <c r="B127" s="78" t="s">
        <v>141</v>
      </c>
      <c r="C127" s="104" t="s">
        <v>141</v>
      </c>
      <c r="D127" s="104" t="s">
        <v>198</v>
      </c>
      <c r="E127" s="110">
        <v>25</v>
      </c>
      <c r="F127" s="115">
        <v>0.32300000000000001</v>
      </c>
      <c r="G127" s="110">
        <v>24</v>
      </c>
      <c r="H127" s="111">
        <f t="shared" si="11"/>
        <v>8.9722222222222214</v>
      </c>
      <c r="I127" s="111">
        <f t="shared" si="12"/>
        <v>4.4861111111111107</v>
      </c>
      <c r="J127" s="113" t="s">
        <v>14</v>
      </c>
      <c r="K127" s="113" t="s">
        <v>14</v>
      </c>
      <c r="M127" s="78">
        <v>4.5999999999999996</v>
      </c>
      <c r="N127" s="104" t="s">
        <v>199</v>
      </c>
      <c r="O127" s="104" t="s">
        <v>200</v>
      </c>
      <c r="P127" s="79">
        <v>40</v>
      </c>
      <c r="Q127" s="80">
        <v>1.44</v>
      </c>
      <c r="R127" s="81">
        <v>21.2</v>
      </c>
      <c r="S127" s="80">
        <f>$Q127*1000/(6*12)</f>
        <v>20</v>
      </c>
      <c r="T127" s="107" t="s">
        <v>14</v>
      </c>
      <c r="U127" s="107" t="s">
        <v>14</v>
      </c>
      <c r="V127" s="107" t="s">
        <v>14</v>
      </c>
      <c r="W127" s="107" t="s">
        <v>14</v>
      </c>
      <c r="Y127" s="78">
        <v>2.8</v>
      </c>
      <c r="Z127" s="104" t="s">
        <v>196</v>
      </c>
      <c r="AA127" s="104" t="s">
        <v>201</v>
      </c>
      <c r="AB127" s="116">
        <v>25</v>
      </c>
      <c r="AC127" s="115">
        <v>0.43</v>
      </c>
      <c r="AD127" s="112">
        <v>21.6</v>
      </c>
      <c r="AE127" s="111">
        <f t="shared" si="13"/>
        <v>11.944444444444445</v>
      </c>
      <c r="AF127" s="111">
        <f t="shared" si="14"/>
        <v>5.9722222222222223</v>
      </c>
      <c r="AG127" s="111">
        <f t="shared" si="15"/>
        <v>2.9861111111111112</v>
      </c>
      <c r="AH127" s="114"/>
      <c r="AI127" s="78" t="s">
        <v>141</v>
      </c>
      <c r="AJ127" s="104" t="s">
        <v>141</v>
      </c>
      <c r="AK127" s="104" t="s">
        <v>202</v>
      </c>
      <c r="AL127" s="116">
        <v>30</v>
      </c>
      <c r="AM127" s="115">
        <v>1.472</v>
      </c>
      <c r="AN127" s="112">
        <v>16</v>
      </c>
      <c r="AO127" s="111">
        <f t="shared" si="16"/>
        <v>40.888888888888886</v>
      </c>
      <c r="AP127" s="111">
        <f t="shared" si="17"/>
        <v>20.444444444444443</v>
      </c>
      <c r="AQ127" s="111">
        <f t="shared" si="18"/>
        <v>10.222222222222221</v>
      </c>
      <c r="AS127" s="78" t="s">
        <v>141</v>
      </c>
      <c r="AT127" s="104" t="s">
        <v>141</v>
      </c>
      <c r="AU127" s="104" t="s">
        <v>203</v>
      </c>
      <c r="AV127" s="110">
        <v>30</v>
      </c>
      <c r="AW127" s="110">
        <v>1.1679999999999999</v>
      </c>
      <c r="AX127" s="110">
        <v>29</v>
      </c>
      <c r="AY127" s="111">
        <f t="shared" si="19"/>
        <v>10.814814814814815</v>
      </c>
      <c r="AZ127" s="111">
        <f t="shared" si="20"/>
        <v>3.6049382716049383</v>
      </c>
      <c r="BA127" s="111">
        <f t="shared" si="20"/>
        <v>3.6049382716049383</v>
      </c>
      <c r="BB127" s="111">
        <f t="shared" si="20"/>
        <v>3.6049382716049383</v>
      </c>
    </row>
    <row r="128" spans="2:54" x14ac:dyDescent="0.2">
      <c r="B128" s="117">
        <v>0</v>
      </c>
      <c r="C128" s="104" t="s">
        <v>192</v>
      </c>
      <c r="D128" s="104" t="s">
        <v>204</v>
      </c>
      <c r="E128" s="79">
        <v>30</v>
      </c>
      <c r="F128" s="109">
        <v>0.35399999999999998</v>
      </c>
      <c r="G128" s="79">
        <v>24</v>
      </c>
      <c r="H128" s="80">
        <f t="shared" si="11"/>
        <v>9.8333333333333339</v>
      </c>
      <c r="I128" s="80">
        <f t="shared" si="12"/>
        <v>4.916666666666667</v>
      </c>
      <c r="J128" s="80" t="str">
        <f>ROUND($F128*1000/(12*12),2)&amp;" *"</f>
        <v>2,46 *</v>
      </c>
      <c r="K128" s="80">
        <f t="shared" ref="K128:K161" si="21">$F128*1000/(12*18)</f>
        <v>1.6388888888888888</v>
      </c>
      <c r="M128" s="85"/>
      <c r="N128" s="118"/>
      <c r="O128" s="118"/>
      <c r="P128" s="119">
        <v>45</v>
      </c>
      <c r="Q128" s="120">
        <v>1.53</v>
      </c>
      <c r="R128" s="121">
        <v>21</v>
      </c>
      <c r="S128" s="120">
        <f>$Q128*1000/(6*12)</f>
        <v>21.25</v>
      </c>
      <c r="T128" s="122" t="s">
        <v>14</v>
      </c>
      <c r="U128" s="122" t="s">
        <v>14</v>
      </c>
      <c r="V128" s="122" t="s">
        <v>14</v>
      </c>
      <c r="W128" s="122" t="s">
        <v>14</v>
      </c>
      <c r="Y128" s="117"/>
      <c r="Z128" s="104"/>
      <c r="AA128" s="104" t="s">
        <v>205</v>
      </c>
      <c r="AB128" s="106">
        <v>30</v>
      </c>
      <c r="AC128" s="109">
        <v>0.47099999999999997</v>
      </c>
      <c r="AD128" s="81">
        <v>21.8</v>
      </c>
      <c r="AE128" s="80">
        <f t="shared" si="13"/>
        <v>13.083333333333334</v>
      </c>
      <c r="AF128" s="80">
        <f t="shared" si="14"/>
        <v>6.541666666666667</v>
      </c>
      <c r="AG128" s="80">
        <f t="shared" si="15"/>
        <v>3.2708333333333335</v>
      </c>
      <c r="AH128" s="123"/>
      <c r="AI128" s="85">
        <v>3.8</v>
      </c>
      <c r="AJ128" s="124" t="s">
        <v>194</v>
      </c>
      <c r="AK128" s="124" t="s">
        <v>206</v>
      </c>
      <c r="AL128" s="125">
        <v>35</v>
      </c>
      <c r="AM128" s="126">
        <v>1.59</v>
      </c>
      <c r="AN128" s="127">
        <v>16</v>
      </c>
      <c r="AO128" s="128">
        <f t="shared" si="16"/>
        <v>44.166666666666664</v>
      </c>
      <c r="AP128" s="128">
        <f t="shared" si="17"/>
        <v>22.083333333333332</v>
      </c>
      <c r="AQ128" s="128">
        <f t="shared" si="18"/>
        <v>11.041666666666666</v>
      </c>
      <c r="AS128" s="78">
        <v>3</v>
      </c>
      <c r="AT128" s="104" t="s">
        <v>196</v>
      </c>
      <c r="AU128" s="104" t="s">
        <v>207</v>
      </c>
      <c r="AV128" s="79">
        <v>35</v>
      </c>
      <c r="AW128" s="79">
        <v>1.262</v>
      </c>
      <c r="AX128" s="79">
        <v>28</v>
      </c>
      <c r="AY128" s="80">
        <f t="shared" si="19"/>
        <v>11.685185185185185</v>
      </c>
      <c r="AZ128" s="80">
        <f t="shared" si="20"/>
        <v>3.8950617283950617</v>
      </c>
      <c r="BA128" s="80">
        <f t="shared" si="20"/>
        <v>3.8950617283950617</v>
      </c>
      <c r="BB128" s="80">
        <f t="shared" si="20"/>
        <v>3.8950617283950617</v>
      </c>
    </row>
    <row r="129" spans="2:54" x14ac:dyDescent="0.2">
      <c r="B129" s="129"/>
      <c r="C129" s="118"/>
      <c r="D129" s="118"/>
      <c r="E129" s="119">
        <v>35</v>
      </c>
      <c r="F129" s="130">
        <v>0.38200000000000001</v>
      </c>
      <c r="G129" s="119">
        <v>24</v>
      </c>
      <c r="H129" s="120">
        <f t="shared" si="11"/>
        <v>10.611111111111111</v>
      </c>
      <c r="I129" s="120">
        <f t="shared" si="12"/>
        <v>5.3055555555555554</v>
      </c>
      <c r="J129" s="120">
        <f t="shared" ref="J129:J161" si="22">$F129*1000/(12*12)</f>
        <v>2.6527777777777777</v>
      </c>
      <c r="K129" s="120">
        <f t="shared" si="21"/>
        <v>1.7685185185185186</v>
      </c>
      <c r="M129" s="78"/>
      <c r="N129" s="104"/>
      <c r="O129" s="104"/>
      <c r="P129" s="106">
        <v>20</v>
      </c>
      <c r="Q129" s="80">
        <v>1.79</v>
      </c>
      <c r="R129" s="81">
        <v>26.8</v>
      </c>
      <c r="S129" s="80" t="s">
        <v>14</v>
      </c>
      <c r="T129" s="131">
        <f t="shared" ref="T129:T148" si="23">$Q129*1000/(12*12)</f>
        <v>12.430555555555555</v>
      </c>
      <c r="U129" s="80" t="s">
        <v>14</v>
      </c>
      <c r="V129" s="80" t="s">
        <v>14</v>
      </c>
      <c r="W129" s="80" t="s">
        <v>14</v>
      </c>
      <c r="Y129" s="129"/>
      <c r="Z129" s="118"/>
      <c r="AA129" s="118"/>
      <c r="AB129" s="132">
        <v>35</v>
      </c>
      <c r="AC129" s="130">
        <v>0.50800000000000001</v>
      </c>
      <c r="AD129" s="121">
        <v>22.8</v>
      </c>
      <c r="AE129" s="120">
        <f t="shared" si="13"/>
        <v>14.111111111111111</v>
      </c>
      <c r="AF129" s="120">
        <f t="shared" si="14"/>
        <v>7.0555555555555554</v>
      </c>
      <c r="AG129" s="120">
        <f t="shared" si="15"/>
        <v>3.5277777777777777</v>
      </c>
      <c r="AH129" s="123"/>
      <c r="AI129" s="78">
        <v>3</v>
      </c>
      <c r="AJ129" s="104" t="s">
        <v>196</v>
      </c>
      <c r="AK129" s="104"/>
      <c r="AL129" s="106">
        <v>25</v>
      </c>
      <c r="AM129" s="109">
        <v>1.5580000000000001</v>
      </c>
      <c r="AN129" s="81">
        <v>16</v>
      </c>
      <c r="AO129" s="80">
        <f t="shared" si="16"/>
        <v>43.277777777777779</v>
      </c>
      <c r="AP129" s="80">
        <f t="shared" si="17"/>
        <v>21.638888888888889</v>
      </c>
      <c r="AQ129" s="80">
        <f t="shared" si="18"/>
        <v>10.819444444444445</v>
      </c>
      <c r="AS129" s="129"/>
      <c r="AT129" s="118"/>
      <c r="AU129" s="118"/>
      <c r="AV129" s="119">
        <v>40</v>
      </c>
      <c r="AW129" s="119">
        <v>1.349</v>
      </c>
      <c r="AX129" s="119">
        <v>28</v>
      </c>
      <c r="AY129" s="120">
        <f t="shared" si="19"/>
        <v>12.49074074074074</v>
      </c>
      <c r="AZ129" s="120">
        <f t="shared" si="20"/>
        <v>4.1635802469135799</v>
      </c>
      <c r="BA129" s="120">
        <f t="shared" si="20"/>
        <v>4.1635802469135799</v>
      </c>
      <c r="BB129" s="120">
        <f t="shared" si="20"/>
        <v>4.1635802469135799</v>
      </c>
    </row>
    <row r="130" spans="2:54" ht="14.25" customHeight="1" x14ac:dyDescent="0.2">
      <c r="B130" s="78">
        <v>2.8</v>
      </c>
      <c r="C130" s="104" t="s">
        <v>196</v>
      </c>
      <c r="D130" s="104"/>
      <c r="E130" s="106">
        <v>20</v>
      </c>
      <c r="F130" s="109">
        <v>0.36</v>
      </c>
      <c r="G130" s="79">
        <v>24</v>
      </c>
      <c r="H130" s="80">
        <f t="shared" si="11"/>
        <v>10</v>
      </c>
      <c r="I130" s="80">
        <f t="shared" si="12"/>
        <v>5</v>
      </c>
      <c r="J130" s="80">
        <f t="shared" si="22"/>
        <v>2.5</v>
      </c>
      <c r="K130" s="80">
        <f t="shared" si="21"/>
        <v>1.6666666666666667</v>
      </c>
      <c r="M130" s="78">
        <v>4</v>
      </c>
      <c r="N130" s="104" t="s">
        <v>208</v>
      </c>
      <c r="O130" s="104"/>
      <c r="P130" s="110">
        <v>25</v>
      </c>
      <c r="Q130" s="111">
        <v>2</v>
      </c>
      <c r="R130" s="112">
        <v>27</v>
      </c>
      <c r="S130" s="111" t="s">
        <v>14</v>
      </c>
      <c r="T130" s="133">
        <f t="shared" si="23"/>
        <v>13.888888888888889</v>
      </c>
      <c r="U130" s="111" t="s">
        <v>14</v>
      </c>
      <c r="V130" s="111" t="s">
        <v>14</v>
      </c>
      <c r="W130" s="111" t="s">
        <v>14</v>
      </c>
      <c r="Y130" s="78"/>
      <c r="Z130" s="104"/>
      <c r="AA130" s="104"/>
      <c r="AB130" s="106">
        <v>20</v>
      </c>
      <c r="AC130" s="109">
        <v>0.441</v>
      </c>
      <c r="AD130" s="81">
        <v>20</v>
      </c>
      <c r="AE130" s="80">
        <f t="shared" si="13"/>
        <v>12.25</v>
      </c>
      <c r="AF130" s="80">
        <f t="shared" si="14"/>
        <v>6.125</v>
      </c>
      <c r="AG130" s="80">
        <f t="shared" si="15"/>
        <v>3.0625</v>
      </c>
      <c r="AH130" s="123"/>
      <c r="AI130" s="78" t="s">
        <v>141</v>
      </c>
      <c r="AJ130" s="104" t="s">
        <v>141</v>
      </c>
      <c r="AK130" s="104" t="s">
        <v>209</v>
      </c>
      <c r="AL130" s="116">
        <v>30</v>
      </c>
      <c r="AM130" s="115">
        <v>1.706</v>
      </c>
      <c r="AN130" s="112">
        <v>16</v>
      </c>
      <c r="AO130" s="111">
        <f t="shared" si="16"/>
        <v>47.388888888888886</v>
      </c>
      <c r="AP130" s="111">
        <f t="shared" si="17"/>
        <v>23.694444444444443</v>
      </c>
      <c r="AQ130" s="111">
        <f t="shared" si="18"/>
        <v>11.847222222222221</v>
      </c>
      <c r="AS130" s="78">
        <v>4</v>
      </c>
      <c r="AT130" s="104" t="s">
        <v>210</v>
      </c>
      <c r="AU130" s="104"/>
      <c r="AV130" s="79">
        <v>25</v>
      </c>
      <c r="AW130" s="79">
        <v>1.4890000000000001</v>
      </c>
      <c r="AX130" s="79">
        <v>30</v>
      </c>
      <c r="AY130" s="80">
        <f t="shared" si="19"/>
        <v>13.787037037037036</v>
      </c>
      <c r="AZ130" s="80">
        <f t="shared" si="20"/>
        <v>4.5956790123456788</v>
      </c>
      <c r="BA130" s="80">
        <f t="shared" si="20"/>
        <v>4.5956790123456788</v>
      </c>
      <c r="BB130" s="80">
        <f t="shared" si="20"/>
        <v>4.5956790123456788</v>
      </c>
    </row>
    <row r="131" spans="2:54" x14ac:dyDescent="0.2">
      <c r="B131" s="78" t="s">
        <v>141</v>
      </c>
      <c r="C131" s="104" t="s">
        <v>141</v>
      </c>
      <c r="D131" s="104" t="s">
        <v>211</v>
      </c>
      <c r="E131" s="110">
        <v>25</v>
      </c>
      <c r="F131" s="115">
        <v>0.40200000000000002</v>
      </c>
      <c r="G131" s="110">
        <v>26</v>
      </c>
      <c r="H131" s="111">
        <f t="shared" si="11"/>
        <v>11.166666666666666</v>
      </c>
      <c r="I131" s="111">
        <f t="shared" si="12"/>
        <v>5.583333333333333</v>
      </c>
      <c r="J131" s="111">
        <f t="shared" si="22"/>
        <v>2.7916666666666665</v>
      </c>
      <c r="K131" s="111">
        <f t="shared" si="21"/>
        <v>1.8611111111111112</v>
      </c>
      <c r="M131" s="78" t="s">
        <v>141</v>
      </c>
      <c r="N131" s="104" t="s">
        <v>141</v>
      </c>
      <c r="O131" s="104" t="s">
        <v>212</v>
      </c>
      <c r="P131" s="79">
        <v>30</v>
      </c>
      <c r="Q131" s="80">
        <v>2.19</v>
      </c>
      <c r="R131" s="81">
        <v>27.2</v>
      </c>
      <c r="S131" s="80" t="s">
        <v>14</v>
      </c>
      <c r="T131" s="134">
        <f t="shared" si="23"/>
        <v>15.208333333333334</v>
      </c>
      <c r="U131" s="80" t="s">
        <v>14</v>
      </c>
      <c r="V131" s="80" t="s">
        <v>14</v>
      </c>
      <c r="W131" s="80" t="s">
        <v>14</v>
      </c>
      <c r="Y131" s="78">
        <v>3</v>
      </c>
      <c r="Z131" s="104" t="s">
        <v>213</v>
      </c>
      <c r="AA131" s="104" t="s">
        <v>214</v>
      </c>
      <c r="AB131" s="116">
        <v>25</v>
      </c>
      <c r="AC131" s="115">
        <v>0.49299999999999999</v>
      </c>
      <c r="AD131" s="112">
        <v>21.4</v>
      </c>
      <c r="AE131" s="111">
        <f t="shared" si="13"/>
        <v>13.694444444444445</v>
      </c>
      <c r="AF131" s="111">
        <f t="shared" si="14"/>
        <v>6.8472222222222223</v>
      </c>
      <c r="AG131" s="111">
        <f t="shared" si="15"/>
        <v>3.4236111111111112</v>
      </c>
      <c r="AH131" s="123"/>
      <c r="AI131" s="85">
        <v>4.3</v>
      </c>
      <c r="AJ131" s="124" t="s">
        <v>215</v>
      </c>
      <c r="AK131" s="124" t="s">
        <v>216</v>
      </c>
      <c r="AL131" s="125">
        <v>35</v>
      </c>
      <c r="AM131" s="126">
        <v>1.843</v>
      </c>
      <c r="AN131" s="127">
        <v>16</v>
      </c>
      <c r="AO131" s="128">
        <f t="shared" si="16"/>
        <v>51.194444444444443</v>
      </c>
      <c r="AP131" s="128">
        <f t="shared" si="17"/>
        <v>25.597222222222221</v>
      </c>
      <c r="AQ131" s="128">
        <f t="shared" si="18"/>
        <v>12.798611111111111</v>
      </c>
      <c r="AS131" s="78" t="s">
        <v>141</v>
      </c>
      <c r="AT131" s="104" t="s">
        <v>141</v>
      </c>
      <c r="AU131" s="104" t="s">
        <v>217</v>
      </c>
      <c r="AV131" s="110">
        <v>30</v>
      </c>
      <c r="AW131" s="110">
        <v>1.631</v>
      </c>
      <c r="AX131" s="110">
        <v>30</v>
      </c>
      <c r="AY131" s="111">
        <f t="shared" si="19"/>
        <v>15.101851851851851</v>
      </c>
      <c r="AZ131" s="111">
        <f t="shared" si="20"/>
        <v>5.033950617283951</v>
      </c>
      <c r="BA131" s="111">
        <f t="shared" si="20"/>
        <v>5.033950617283951</v>
      </c>
      <c r="BB131" s="111">
        <f t="shared" si="20"/>
        <v>5.033950617283951</v>
      </c>
    </row>
    <row r="132" spans="2:54" x14ac:dyDescent="0.2">
      <c r="B132" s="117">
        <v>0</v>
      </c>
      <c r="C132" s="104" t="s">
        <v>192</v>
      </c>
      <c r="D132" s="104" t="s">
        <v>218</v>
      </c>
      <c r="E132" s="79">
        <v>30</v>
      </c>
      <c r="F132" s="109">
        <v>0.441</v>
      </c>
      <c r="G132" s="79">
        <v>26</v>
      </c>
      <c r="H132" s="80">
        <f t="shared" si="11"/>
        <v>12.25</v>
      </c>
      <c r="I132" s="80">
        <f t="shared" si="12"/>
        <v>6.125</v>
      </c>
      <c r="J132" s="80">
        <f t="shared" si="22"/>
        <v>3.0625</v>
      </c>
      <c r="K132" s="80">
        <f t="shared" si="21"/>
        <v>2.0416666666666665</v>
      </c>
      <c r="M132" s="78">
        <v>4.5999999999999996</v>
      </c>
      <c r="N132" s="104" t="s">
        <v>199</v>
      </c>
      <c r="O132" s="104" t="s">
        <v>219</v>
      </c>
      <c r="P132" s="110">
        <v>35</v>
      </c>
      <c r="Q132" s="111">
        <v>2.34</v>
      </c>
      <c r="R132" s="112">
        <v>27.6</v>
      </c>
      <c r="S132" s="111" t="s">
        <v>14</v>
      </c>
      <c r="T132" s="133">
        <f t="shared" si="23"/>
        <v>16.25</v>
      </c>
      <c r="U132" s="111" t="s">
        <v>14</v>
      </c>
      <c r="V132" s="111" t="s">
        <v>14</v>
      </c>
      <c r="W132" s="111" t="s">
        <v>14</v>
      </c>
      <c r="Y132" s="117"/>
      <c r="Z132" s="104"/>
      <c r="AA132" s="104" t="s">
        <v>220</v>
      </c>
      <c r="AB132" s="106">
        <v>30</v>
      </c>
      <c r="AC132" s="109">
        <v>0.54</v>
      </c>
      <c r="AD132" s="81">
        <v>21.8</v>
      </c>
      <c r="AE132" s="80">
        <f t="shared" si="13"/>
        <v>15</v>
      </c>
      <c r="AF132" s="80">
        <f t="shared" si="14"/>
        <v>7.5</v>
      </c>
      <c r="AG132" s="80">
        <f t="shared" si="15"/>
        <v>3.75</v>
      </c>
      <c r="AH132" s="123"/>
      <c r="AI132" s="78">
        <v>4.5999999999999996</v>
      </c>
      <c r="AJ132" s="104" t="s">
        <v>221</v>
      </c>
      <c r="AK132" s="104"/>
      <c r="AL132" s="106">
        <v>25</v>
      </c>
      <c r="AM132" s="109">
        <v>1.9390000000000001</v>
      </c>
      <c r="AN132" s="81">
        <v>18</v>
      </c>
      <c r="AO132" s="80">
        <f t="shared" si="16"/>
        <v>53.861111111111114</v>
      </c>
      <c r="AP132" s="80">
        <f t="shared" si="17"/>
        <v>26.930555555555557</v>
      </c>
      <c r="AQ132" s="80">
        <f t="shared" si="18"/>
        <v>13.465277777777779</v>
      </c>
      <c r="AS132" s="78">
        <v>3</v>
      </c>
      <c r="AT132" s="104" t="s">
        <v>196</v>
      </c>
      <c r="AU132" s="104" t="s">
        <v>222</v>
      </c>
      <c r="AV132" s="79">
        <v>35</v>
      </c>
      <c r="AW132" s="79">
        <v>1.7609999999999999</v>
      </c>
      <c r="AX132" s="79">
        <v>31</v>
      </c>
      <c r="AY132" s="80">
        <f t="shared" si="19"/>
        <v>16.305555555555557</v>
      </c>
      <c r="AZ132" s="80">
        <f t="shared" si="20"/>
        <v>5.4351851851851851</v>
      </c>
      <c r="BA132" s="80">
        <f t="shared" si="20"/>
        <v>5.4351851851851851</v>
      </c>
      <c r="BB132" s="80">
        <f t="shared" si="20"/>
        <v>5.4351851851851851</v>
      </c>
    </row>
    <row r="133" spans="2:54" x14ac:dyDescent="0.2">
      <c r="B133" s="85"/>
      <c r="C133" s="124"/>
      <c r="D133" s="124"/>
      <c r="E133" s="119">
        <v>35</v>
      </c>
      <c r="F133" s="130">
        <v>0.47599999999999998</v>
      </c>
      <c r="G133" s="119">
        <v>24</v>
      </c>
      <c r="H133" s="120">
        <f t="shared" si="11"/>
        <v>13.222222222222221</v>
      </c>
      <c r="I133" s="120">
        <f t="shared" si="12"/>
        <v>6.6111111111111107</v>
      </c>
      <c r="J133" s="120">
        <f t="shared" si="22"/>
        <v>3.3055555555555554</v>
      </c>
      <c r="K133" s="120">
        <f t="shared" si="21"/>
        <v>2.2037037037037037</v>
      </c>
      <c r="M133" s="78"/>
      <c r="N133" s="104"/>
      <c r="O133" s="104"/>
      <c r="P133" s="79">
        <v>40</v>
      </c>
      <c r="Q133" s="80">
        <v>2.5299999999999998</v>
      </c>
      <c r="R133" s="81">
        <v>28</v>
      </c>
      <c r="S133" s="80" t="s">
        <v>14</v>
      </c>
      <c r="T133" s="134">
        <f t="shared" si="23"/>
        <v>17.569444444444443</v>
      </c>
      <c r="U133" s="80" t="s">
        <v>14</v>
      </c>
      <c r="V133" s="80" t="s">
        <v>14</v>
      </c>
      <c r="W133" s="80" t="s">
        <v>14</v>
      </c>
      <c r="Y133" s="85"/>
      <c r="Z133" s="124"/>
      <c r="AA133" s="124"/>
      <c r="AB133" s="132">
        <v>35</v>
      </c>
      <c r="AC133" s="130">
        <v>0.58399999999999996</v>
      </c>
      <c r="AD133" s="121">
        <v>21.8</v>
      </c>
      <c r="AE133" s="120">
        <f t="shared" si="13"/>
        <v>16.222222222222221</v>
      </c>
      <c r="AF133" s="120">
        <f t="shared" si="14"/>
        <v>8.1111111111111107</v>
      </c>
      <c r="AG133" s="120">
        <f t="shared" si="15"/>
        <v>4.0555555555555554</v>
      </c>
      <c r="AH133" s="123"/>
      <c r="AI133" s="78" t="s">
        <v>141</v>
      </c>
      <c r="AJ133" s="104" t="s">
        <v>141</v>
      </c>
      <c r="AK133" s="104" t="s">
        <v>223</v>
      </c>
      <c r="AL133" s="116">
        <v>30</v>
      </c>
      <c r="AM133" s="115">
        <v>2.1240000000000001</v>
      </c>
      <c r="AN133" s="112">
        <v>18.399999999999999</v>
      </c>
      <c r="AO133" s="111">
        <f t="shared" si="16"/>
        <v>59</v>
      </c>
      <c r="AP133" s="111">
        <f t="shared" si="17"/>
        <v>29.5</v>
      </c>
      <c r="AQ133" s="111">
        <f t="shared" si="18"/>
        <v>14.75</v>
      </c>
      <c r="AS133" s="85"/>
      <c r="AT133" s="124"/>
      <c r="AU133" s="124"/>
      <c r="AV133" s="119">
        <v>40</v>
      </c>
      <c r="AW133" s="119">
        <v>1.883</v>
      </c>
      <c r="AX133" s="119">
        <v>32</v>
      </c>
      <c r="AY133" s="120">
        <f t="shared" si="19"/>
        <v>17.435185185185187</v>
      </c>
      <c r="AZ133" s="120">
        <f t="shared" si="20"/>
        <v>5.8117283950617287</v>
      </c>
      <c r="BA133" s="120">
        <f t="shared" si="20"/>
        <v>5.8117283950617287</v>
      </c>
      <c r="BB133" s="120">
        <f t="shared" si="20"/>
        <v>5.8117283950617287</v>
      </c>
    </row>
    <row r="134" spans="2:54" x14ac:dyDescent="0.2">
      <c r="B134" s="78">
        <v>3</v>
      </c>
      <c r="C134" s="104" t="s">
        <v>213</v>
      </c>
      <c r="D134" s="104"/>
      <c r="E134" s="106">
        <v>20</v>
      </c>
      <c r="F134" s="109">
        <v>0.42599999999999999</v>
      </c>
      <c r="G134" s="79">
        <v>24</v>
      </c>
      <c r="H134" s="80">
        <f t="shared" si="11"/>
        <v>11.833333333333334</v>
      </c>
      <c r="I134" s="80">
        <f t="shared" si="12"/>
        <v>5.916666666666667</v>
      </c>
      <c r="J134" s="80">
        <f t="shared" si="22"/>
        <v>2.9583333333333335</v>
      </c>
      <c r="K134" s="80">
        <f t="shared" si="21"/>
        <v>1.9722222222222223</v>
      </c>
      <c r="M134" s="85"/>
      <c r="N134" s="124"/>
      <c r="O134" s="124"/>
      <c r="P134" s="119">
        <v>45</v>
      </c>
      <c r="Q134" s="120">
        <v>2.68</v>
      </c>
      <c r="R134" s="121">
        <v>28</v>
      </c>
      <c r="S134" s="120" t="s">
        <v>14</v>
      </c>
      <c r="T134" s="135">
        <f t="shared" si="23"/>
        <v>18.611111111111111</v>
      </c>
      <c r="U134" s="120" t="s">
        <v>14</v>
      </c>
      <c r="V134" s="120" t="s">
        <v>14</v>
      </c>
      <c r="W134" s="120" t="s">
        <v>14</v>
      </c>
      <c r="Y134" s="78"/>
      <c r="Z134" s="104"/>
      <c r="AA134" s="104"/>
      <c r="AB134" s="106">
        <v>20</v>
      </c>
      <c r="AC134" s="109">
        <v>0.51400000000000001</v>
      </c>
      <c r="AD134" s="81">
        <v>19.8</v>
      </c>
      <c r="AE134" s="80">
        <f t="shared" si="13"/>
        <v>14.277777777777779</v>
      </c>
      <c r="AF134" s="80">
        <f t="shared" si="14"/>
        <v>7.1388888888888893</v>
      </c>
      <c r="AG134" s="80">
        <f t="shared" si="15"/>
        <v>3.5694444444444446</v>
      </c>
      <c r="AH134" s="123"/>
      <c r="AI134" s="85">
        <v>4</v>
      </c>
      <c r="AJ134" s="124" t="s">
        <v>213</v>
      </c>
      <c r="AK134" s="124" t="s">
        <v>224</v>
      </c>
      <c r="AL134" s="125">
        <v>35</v>
      </c>
      <c r="AM134" s="126">
        <v>2.294</v>
      </c>
      <c r="AN134" s="127">
        <v>19.600000000000001</v>
      </c>
      <c r="AO134" s="128">
        <f t="shared" si="16"/>
        <v>63.722222222222221</v>
      </c>
      <c r="AP134" s="128">
        <f t="shared" si="17"/>
        <v>31.861111111111111</v>
      </c>
      <c r="AQ134" s="128">
        <f t="shared" si="18"/>
        <v>15.930555555555555</v>
      </c>
      <c r="AS134" s="352" t="s">
        <v>225</v>
      </c>
      <c r="AT134" s="352"/>
      <c r="AU134" s="136" t="s">
        <v>226</v>
      </c>
      <c r="AV134" s="91"/>
      <c r="AW134" s="91"/>
      <c r="AX134" s="91"/>
      <c r="AY134" s="91"/>
      <c r="AZ134" s="91"/>
    </row>
    <row r="135" spans="2:54" x14ac:dyDescent="0.2">
      <c r="B135" s="78" t="s">
        <v>141</v>
      </c>
      <c r="C135" s="104" t="s">
        <v>141</v>
      </c>
      <c r="D135" s="104" t="s">
        <v>227</v>
      </c>
      <c r="E135" s="110">
        <v>25</v>
      </c>
      <c r="F135" s="115">
        <v>0.47599999999999998</v>
      </c>
      <c r="G135" s="110">
        <v>24</v>
      </c>
      <c r="H135" s="111">
        <f t="shared" si="11"/>
        <v>13.222222222222221</v>
      </c>
      <c r="I135" s="111">
        <f t="shared" si="12"/>
        <v>6.6111111111111107</v>
      </c>
      <c r="J135" s="111">
        <f t="shared" si="22"/>
        <v>3.3055555555555554</v>
      </c>
      <c r="K135" s="111">
        <f t="shared" si="21"/>
        <v>2.2037037037037037</v>
      </c>
      <c r="M135" s="78"/>
      <c r="N135" s="104"/>
      <c r="O135" s="104"/>
      <c r="P135" s="106">
        <v>20</v>
      </c>
      <c r="Q135" s="80">
        <v>2.17</v>
      </c>
      <c r="R135" s="81">
        <v>29.4</v>
      </c>
      <c r="S135" s="80" t="s">
        <v>14</v>
      </c>
      <c r="T135" s="80">
        <f t="shared" si="23"/>
        <v>15.069444444444445</v>
      </c>
      <c r="U135" s="80">
        <f t="shared" ref="U135:U152" si="24">$Q135*1000/(12*18)</f>
        <v>10.046296296296296</v>
      </c>
      <c r="V135" s="80" t="s">
        <v>14</v>
      </c>
      <c r="W135" s="80" t="s">
        <v>14</v>
      </c>
      <c r="Y135" s="78">
        <v>3.2</v>
      </c>
      <c r="Z135" s="104" t="s">
        <v>221</v>
      </c>
      <c r="AA135" s="104" t="s">
        <v>228</v>
      </c>
      <c r="AB135" s="116">
        <v>25</v>
      </c>
      <c r="AC135" s="115">
        <v>0.57499999999999996</v>
      </c>
      <c r="AD135" s="112">
        <v>21.6</v>
      </c>
      <c r="AE135" s="111">
        <f t="shared" si="13"/>
        <v>15.972222222222221</v>
      </c>
      <c r="AF135" s="111">
        <f t="shared" si="14"/>
        <v>7.9861111111111107</v>
      </c>
      <c r="AG135" s="111">
        <f t="shared" si="15"/>
        <v>3.9930555555555554</v>
      </c>
      <c r="AH135" s="123"/>
      <c r="AI135" s="352" t="s">
        <v>225</v>
      </c>
      <c r="AJ135" s="352"/>
      <c r="AK135" s="136" t="s">
        <v>226</v>
      </c>
      <c r="AL135" s="91"/>
      <c r="AM135" s="137"/>
      <c r="AN135" s="138"/>
      <c r="AO135" s="123"/>
      <c r="AP135" s="123"/>
      <c r="AQ135" s="123"/>
      <c r="AS135" s="139"/>
      <c r="AT135" s="139"/>
      <c r="AU135" s="139"/>
      <c r="AV135" s="91"/>
      <c r="AW135" s="91"/>
      <c r="AX135" s="91"/>
      <c r="AY135" s="91"/>
      <c r="AZ135" s="91"/>
    </row>
    <row r="136" spans="2:54" ht="12" customHeight="1" x14ac:dyDescent="0.2">
      <c r="B136" s="117">
        <v>0</v>
      </c>
      <c r="C136" s="104" t="s">
        <v>192</v>
      </c>
      <c r="D136" s="104" t="s">
        <v>229</v>
      </c>
      <c r="E136" s="79">
        <v>30</v>
      </c>
      <c r="F136" s="109">
        <v>0.52100000000000002</v>
      </c>
      <c r="G136" s="79">
        <v>26</v>
      </c>
      <c r="H136" s="80">
        <f t="shared" si="11"/>
        <v>14.472222222222221</v>
      </c>
      <c r="I136" s="80">
        <f t="shared" si="12"/>
        <v>7.2361111111111107</v>
      </c>
      <c r="J136" s="80">
        <f t="shared" si="22"/>
        <v>3.6180555555555554</v>
      </c>
      <c r="K136" s="80">
        <f t="shared" si="21"/>
        <v>2.4120370370370372</v>
      </c>
      <c r="M136" s="78">
        <v>5</v>
      </c>
      <c r="N136" s="104" t="s">
        <v>230</v>
      </c>
      <c r="O136" s="104"/>
      <c r="P136" s="110">
        <v>25</v>
      </c>
      <c r="Q136" s="111">
        <v>2.4300000000000002</v>
      </c>
      <c r="R136" s="112">
        <v>31</v>
      </c>
      <c r="S136" s="111" t="s">
        <v>14</v>
      </c>
      <c r="T136" s="111">
        <f t="shared" si="23"/>
        <v>16.875</v>
      </c>
      <c r="U136" s="111">
        <f t="shared" si="24"/>
        <v>11.25</v>
      </c>
      <c r="V136" s="111">
        <f t="shared" ref="V136:V152" si="25">$Q136*1000/(18*18)</f>
        <v>7.5</v>
      </c>
      <c r="W136" s="111" t="s">
        <v>14</v>
      </c>
      <c r="Y136" s="117"/>
      <c r="Z136" s="104"/>
      <c r="AA136" s="104" t="s">
        <v>231</v>
      </c>
      <c r="AB136" s="106">
        <v>30</v>
      </c>
      <c r="AC136" s="109">
        <v>0.629</v>
      </c>
      <c r="AD136" s="81">
        <v>21.8</v>
      </c>
      <c r="AE136" s="80">
        <f t="shared" si="13"/>
        <v>17.472222222222221</v>
      </c>
      <c r="AF136" s="80">
        <f t="shared" si="14"/>
        <v>8.7361111111111107</v>
      </c>
      <c r="AG136" s="80">
        <f t="shared" si="15"/>
        <v>4.3680555555555554</v>
      </c>
      <c r="AH136" s="123"/>
      <c r="AS136" s="139"/>
      <c r="AT136" s="139"/>
      <c r="AU136" s="139"/>
      <c r="AV136" s="91"/>
      <c r="AW136" s="91"/>
      <c r="AX136" s="91"/>
      <c r="AY136" s="91"/>
      <c r="AZ136" s="91"/>
    </row>
    <row r="137" spans="2:54" x14ac:dyDescent="0.2">
      <c r="B137" s="85"/>
      <c r="C137" s="124"/>
      <c r="D137" s="124"/>
      <c r="E137" s="119">
        <v>35</v>
      </c>
      <c r="F137" s="130">
        <v>0.56299999999999994</v>
      </c>
      <c r="G137" s="119">
        <v>26</v>
      </c>
      <c r="H137" s="120">
        <f t="shared" si="11"/>
        <v>15.638888888888889</v>
      </c>
      <c r="I137" s="120">
        <f t="shared" si="12"/>
        <v>7.8194444444444446</v>
      </c>
      <c r="J137" s="120">
        <f t="shared" si="22"/>
        <v>3.9097222222222223</v>
      </c>
      <c r="K137" s="120">
        <f t="shared" si="21"/>
        <v>2.6064814814814814</v>
      </c>
      <c r="M137" s="78" t="s">
        <v>141</v>
      </c>
      <c r="N137" s="104" t="s">
        <v>141</v>
      </c>
      <c r="O137" s="104" t="s">
        <v>232</v>
      </c>
      <c r="P137" s="79">
        <v>30</v>
      </c>
      <c r="Q137" s="80">
        <v>2.66</v>
      </c>
      <c r="R137" s="81">
        <v>31.8</v>
      </c>
      <c r="S137" s="80" t="s">
        <v>14</v>
      </c>
      <c r="T137" s="80">
        <f t="shared" si="23"/>
        <v>18.472222222222221</v>
      </c>
      <c r="U137" s="80">
        <f t="shared" si="24"/>
        <v>12.314814814814815</v>
      </c>
      <c r="V137" s="80">
        <f t="shared" si="25"/>
        <v>8.2098765432098766</v>
      </c>
      <c r="W137" s="80" t="s">
        <v>14</v>
      </c>
      <c r="Y137" s="85"/>
      <c r="Z137" s="124"/>
      <c r="AA137" s="124"/>
      <c r="AB137" s="132">
        <v>35</v>
      </c>
      <c r="AC137" s="130">
        <v>0.68</v>
      </c>
      <c r="AD137" s="121">
        <v>22.6</v>
      </c>
      <c r="AE137" s="120">
        <f t="shared" si="13"/>
        <v>18.888888888888889</v>
      </c>
      <c r="AF137" s="120">
        <f t="shared" si="14"/>
        <v>9.4444444444444446</v>
      </c>
      <c r="AG137" s="120">
        <f t="shared" si="15"/>
        <v>4.7222222222222223</v>
      </c>
      <c r="AH137" s="123"/>
      <c r="AS137" s="139"/>
      <c r="AT137" s="139"/>
      <c r="AU137" s="139"/>
      <c r="AV137" s="91"/>
      <c r="AW137" s="91"/>
      <c r="AX137" s="91"/>
      <c r="AY137" s="91"/>
      <c r="AZ137" s="91"/>
    </row>
    <row r="138" spans="2:54" x14ac:dyDescent="0.2">
      <c r="B138" s="78">
        <v>3.2</v>
      </c>
      <c r="C138" s="104" t="s">
        <v>221</v>
      </c>
      <c r="D138" s="104"/>
      <c r="E138" s="106">
        <v>20</v>
      </c>
      <c r="F138" s="109">
        <v>0.495</v>
      </c>
      <c r="G138" s="79">
        <v>26</v>
      </c>
      <c r="H138" s="80">
        <f t="shared" si="11"/>
        <v>13.75</v>
      </c>
      <c r="I138" s="80">
        <f t="shared" si="12"/>
        <v>6.875</v>
      </c>
      <c r="J138" s="80">
        <f t="shared" si="22"/>
        <v>3.4375</v>
      </c>
      <c r="K138" s="80">
        <f t="shared" si="21"/>
        <v>2.2916666666666665</v>
      </c>
      <c r="M138" s="78">
        <v>4.5999999999999996</v>
      </c>
      <c r="N138" s="104" t="s">
        <v>199</v>
      </c>
      <c r="O138" s="104" t="s">
        <v>233</v>
      </c>
      <c r="P138" s="110">
        <v>35</v>
      </c>
      <c r="Q138" s="111">
        <v>2.87</v>
      </c>
      <c r="R138" s="112">
        <v>32.4</v>
      </c>
      <c r="S138" s="111" t="s">
        <v>14</v>
      </c>
      <c r="T138" s="111">
        <f t="shared" si="23"/>
        <v>19.930555555555557</v>
      </c>
      <c r="U138" s="111">
        <f t="shared" si="24"/>
        <v>13.287037037037036</v>
      </c>
      <c r="V138" s="111">
        <f t="shared" si="25"/>
        <v>8.8580246913580254</v>
      </c>
      <c r="W138" s="111" t="s">
        <v>14</v>
      </c>
      <c r="Y138" s="78"/>
      <c r="Z138" s="104"/>
      <c r="AA138" s="104"/>
      <c r="AB138" s="106">
        <v>20</v>
      </c>
      <c r="AC138" s="109">
        <v>0.62</v>
      </c>
      <c r="AD138" s="81">
        <v>21.2</v>
      </c>
      <c r="AE138" s="80">
        <f t="shared" si="13"/>
        <v>17.222222222222221</v>
      </c>
      <c r="AF138" s="80">
        <f t="shared" si="14"/>
        <v>8.6111111111111107</v>
      </c>
      <c r="AG138" s="80">
        <f t="shared" si="15"/>
        <v>4.3055555555555554</v>
      </c>
      <c r="AH138" s="123"/>
    </row>
    <row r="139" spans="2:54" x14ac:dyDescent="0.2">
      <c r="B139" s="78" t="s">
        <v>141</v>
      </c>
      <c r="C139" s="104" t="s">
        <v>141</v>
      </c>
      <c r="D139" s="104" t="s">
        <v>234</v>
      </c>
      <c r="E139" s="110">
        <v>25</v>
      </c>
      <c r="F139" s="115">
        <v>0.55300000000000005</v>
      </c>
      <c r="G139" s="110">
        <v>26</v>
      </c>
      <c r="H139" s="111">
        <f t="shared" si="11"/>
        <v>15.361111111111111</v>
      </c>
      <c r="I139" s="111">
        <f t="shared" si="12"/>
        <v>7.6805555555555554</v>
      </c>
      <c r="J139" s="111">
        <f t="shared" si="22"/>
        <v>3.8402777777777777</v>
      </c>
      <c r="K139" s="111">
        <f t="shared" si="21"/>
        <v>2.5601851851851851</v>
      </c>
      <c r="M139" s="78"/>
      <c r="N139" s="104"/>
      <c r="O139" s="104"/>
      <c r="P139" s="79">
        <v>40</v>
      </c>
      <c r="Q139" s="80">
        <v>3.07</v>
      </c>
      <c r="R139" s="81">
        <v>32.4</v>
      </c>
      <c r="S139" s="80" t="s">
        <v>14</v>
      </c>
      <c r="T139" s="80">
        <f t="shared" si="23"/>
        <v>21.319444444444443</v>
      </c>
      <c r="U139" s="80">
        <f t="shared" si="24"/>
        <v>14.212962962962964</v>
      </c>
      <c r="V139" s="80">
        <f t="shared" si="25"/>
        <v>9.4753086419753085</v>
      </c>
      <c r="W139" s="80" t="s">
        <v>14</v>
      </c>
      <c r="Y139" s="78">
        <v>3.5</v>
      </c>
      <c r="Z139" s="104" t="s">
        <v>235</v>
      </c>
      <c r="AA139" s="104" t="s">
        <v>236</v>
      </c>
      <c r="AB139" s="116">
        <v>25</v>
      </c>
      <c r="AC139" s="115">
        <v>0.69399999999999995</v>
      </c>
      <c r="AD139" s="112">
        <v>21.8</v>
      </c>
      <c r="AE139" s="111">
        <f t="shared" si="13"/>
        <v>19.277777777777779</v>
      </c>
      <c r="AF139" s="111">
        <f t="shared" si="14"/>
        <v>9.6388888888888893</v>
      </c>
      <c r="AG139" s="111">
        <f t="shared" si="15"/>
        <v>4.8194444444444446</v>
      </c>
      <c r="AH139" s="123"/>
    </row>
    <row r="140" spans="2:54" x14ac:dyDescent="0.2">
      <c r="B140" s="117">
        <v>0</v>
      </c>
      <c r="C140" s="104" t="s">
        <v>192</v>
      </c>
      <c r="D140" s="104" t="s">
        <v>237</v>
      </c>
      <c r="E140" s="79">
        <v>30</v>
      </c>
      <c r="F140" s="109">
        <v>0.60599999999999998</v>
      </c>
      <c r="G140" s="79">
        <v>26</v>
      </c>
      <c r="H140" s="80">
        <f t="shared" si="11"/>
        <v>16.833333333333332</v>
      </c>
      <c r="I140" s="80">
        <f t="shared" si="12"/>
        <v>8.4166666666666661</v>
      </c>
      <c r="J140" s="80">
        <f t="shared" si="22"/>
        <v>4.208333333333333</v>
      </c>
      <c r="K140" s="80">
        <f t="shared" si="21"/>
        <v>2.8055555555555554</v>
      </c>
      <c r="M140" s="85"/>
      <c r="N140" s="124"/>
      <c r="O140" s="124"/>
      <c r="P140" s="119">
        <v>45</v>
      </c>
      <c r="Q140" s="120">
        <v>3.26</v>
      </c>
      <c r="R140" s="121">
        <v>32.4</v>
      </c>
      <c r="S140" s="120" t="s">
        <v>14</v>
      </c>
      <c r="T140" s="111">
        <f t="shared" si="23"/>
        <v>22.638888888888889</v>
      </c>
      <c r="U140" s="120">
        <f t="shared" si="24"/>
        <v>15.092592592592593</v>
      </c>
      <c r="V140" s="120">
        <f t="shared" si="25"/>
        <v>10.061728395061728</v>
      </c>
      <c r="W140" s="120" t="s">
        <v>14</v>
      </c>
      <c r="Y140" s="117"/>
      <c r="Z140" s="104"/>
      <c r="AA140" s="104" t="s">
        <v>238</v>
      </c>
      <c r="AB140" s="106">
        <v>30</v>
      </c>
      <c r="AC140" s="109">
        <v>0.76</v>
      </c>
      <c r="AD140" s="81">
        <v>23.4</v>
      </c>
      <c r="AE140" s="80">
        <f t="shared" si="13"/>
        <v>21.111111111111111</v>
      </c>
      <c r="AF140" s="80">
        <f t="shared" si="14"/>
        <v>10.555555555555555</v>
      </c>
      <c r="AG140" s="80">
        <f t="shared" si="15"/>
        <v>5.2777777777777777</v>
      </c>
      <c r="AH140" s="123"/>
    </row>
    <row r="141" spans="2:54" x14ac:dyDescent="0.2">
      <c r="B141" s="85"/>
      <c r="C141" s="124"/>
      <c r="D141" s="124"/>
      <c r="E141" s="119">
        <v>35</v>
      </c>
      <c r="F141" s="130">
        <v>0.65400000000000003</v>
      </c>
      <c r="G141" s="119">
        <v>26</v>
      </c>
      <c r="H141" s="120">
        <f t="shared" si="11"/>
        <v>18.166666666666668</v>
      </c>
      <c r="I141" s="120">
        <f t="shared" si="12"/>
        <v>9.0833333333333339</v>
      </c>
      <c r="J141" s="120">
        <f t="shared" si="22"/>
        <v>4.541666666666667</v>
      </c>
      <c r="K141" s="120">
        <f t="shared" si="21"/>
        <v>3.0277777777777777</v>
      </c>
      <c r="M141" s="78"/>
      <c r="N141" s="104"/>
      <c r="O141" s="104"/>
      <c r="P141" s="106">
        <v>20</v>
      </c>
      <c r="Q141" s="80">
        <v>2.88</v>
      </c>
      <c r="R141" s="81">
        <v>30.4</v>
      </c>
      <c r="S141" s="80" t="s">
        <v>14</v>
      </c>
      <c r="T141" s="131">
        <f t="shared" si="23"/>
        <v>20</v>
      </c>
      <c r="U141" s="80">
        <f t="shared" si="24"/>
        <v>13.333333333333334</v>
      </c>
      <c r="V141" s="80">
        <f t="shared" si="25"/>
        <v>8.8888888888888893</v>
      </c>
      <c r="W141" s="80" t="s">
        <v>14</v>
      </c>
      <c r="Y141" s="85"/>
      <c r="Z141" s="124"/>
      <c r="AA141" s="124"/>
      <c r="AB141" s="132">
        <v>35</v>
      </c>
      <c r="AC141" s="130">
        <v>0.82099999999999995</v>
      </c>
      <c r="AD141" s="121">
        <v>23.6</v>
      </c>
      <c r="AE141" s="120">
        <f t="shared" si="13"/>
        <v>22.805555555555557</v>
      </c>
      <c r="AF141" s="120">
        <f t="shared" si="14"/>
        <v>11.402777777777779</v>
      </c>
      <c r="AG141" s="120">
        <f t="shared" si="15"/>
        <v>5.7013888888888893</v>
      </c>
      <c r="AH141" s="123"/>
    </row>
    <row r="142" spans="2:54" ht="12" customHeight="1" x14ac:dyDescent="0.2">
      <c r="B142" s="78">
        <v>2.5</v>
      </c>
      <c r="C142" s="104" t="s">
        <v>194</v>
      </c>
      <c r="D142" s="104"/>
      <c r="E142" s="106">
        <v>20</v>
      </c>
      <c r="F142" s="109">
        <v>0.52800000000000002</v>
      </c>
      <c r="G142" s="79">
        <v>24</v>
      </c>
      <c r="H142" s="80">
        <f t="shared" si="11"/>
        <v>14.666666666666666</v>
      </c>
      <c r="I142" s="80">
        <f t="shared" si="12"/>
        <v>7.333333333333333</v>
      </c>
      <c r="J142" s="80">
        <f t="shared" si="22"/>
        <v>3.6666666666666665</v>
      </c>
      <c r="K142" s="80">
        <f t="shared" si="21"/>
        <v>2.4444444444444446</v>
      </c>
      <c r="M142" s="78">
        <v>6.2</v>
      </c>
      <c r="N142" s="104" t="s">
        <v>239</v>
      </c>
      <c r="O142" s="104"/>
      <c r="P142" s="110">
        <v>25</v>
      </c>
      <c r="Q142" s="111">
        <v>3.22</v>
      </c>
      <c r="R142" s="112">
        <v>31.6</v>
      </c>
      <c r="S142" s="111" t="s">
        <v>14</v>
      </c>
      <c r="T142" s="133">
        <f t="shared" si="23"/>
        <v>22.361111111111111</v>
      </c>
      <c r="U142" s="111">
        <f t="shared" si="24"/>
        <v>14.907407407407407</v>
      </c>
      <c r="V142" s="111">
        <f t="shared" si="25"/>
        <v>9.9382716049382722</v>
      </c>
      <c r="W142" s="111" t="s">
        <v>14</v>
      </c>
    </row>
    <row r="143" spans="2:54" x14ac:dyDescent="0.2">
      <c r="B143" s="78" t="s">
        <v>141</v>
      </c>
      <c r="C143" s="104" t="s">
        <v>141</v>
      </c>
      <c r="D143" s="104" t="s">
        <v>240</v>
      </c>
      <c r="E143" s="110">
        <v>25</v>
      </c>
      <c r="F143" s="115">
        <v>0.59099999999999997</v>
      </c>
      <c r="G143" s="110">
        <v>24</v>
      </c>
      <c r="H143" s="111">
        <f t="shared" si="11"/>
        <v>16.416666666666668</v>
      </c>
      <c r="I143" s="111">
        <f t="shared" si="12"/>
        <v>8.2083333333333339</v>
      </c>
      <c r="J143" s="111">
        <f t="shared" si="22"/>
        <v>4.104166666666667</v>
      </c>
      <c r="K143" s="111">
        <f t="shared" si="21"/>
        <v>2.7361111111111112</v>
      </c>
      <c r="M143" s="78" t="s">
        <v>141</v>
      </c>
      <c r="N143" s="104" t="s">
        <v>141</v>
      </c>
      <c r="O143" s="104" t="s">
        <v>241</v>
      </c>
      <c r="P143" s="79">
        <v>30</v>
      </c>
      <c r="Q143" s="80">
        <v>3.53</v>
      </c>
      <c r="R143" s="81">
        <v>33.4</v>
      </c>
      <c r="S143" s="80" t="s">
        <v>14</v>
      </c>
      <c r="T143" s="134">
        <f t="shared" si="23"/>
        <v>24.513888888888889</v>
      </c>
      <c r="U143" s="80">
        <f t="shared" si="24"/>
        <v>16.342592592592592</v>
      </c>
      <c r="V143" s="80">
        <f t="shared" si="25"/>
        <v>10.895061728395062</v>
      </c>
      <c r="W143" s="80" t="s">
        <v>14</v>
      </c>
    </row>
    <row r="144" spans="2:54" x14ac:dyDescent="0.2">
      <c r="B144" s="78">
        <v>2.5</v>
      </c>
      <c r="C144" s="104" t="s">
        <v>215</v>
      </c>
      <c r="D144" s="104" t="s">
        <v>242</v>
      </c>
      <c r="E144" s="79">
        <v>30</v>
      </c>
      <c r="F144" s="109">
        <v>0.64700000000000002</v>
      </c>
      <c r="G144" s="79">
        <v>24</v>
      </c>
      <c r="H144" s="80">
        <f t="shared" si="11"/>
        <v>17.972222222222221</v>
      </c>
      <c r="I144" s="80">
        <f t="shared" si="12"/>
        <v>8.9861111111111107</v>
      </c>
      <c r="J144" s="80">
        <f t="shared" si="22"/>
        <v>4.4930555555555554</v>
      </c>
      <c r="K144" s="80">
        <f t="shared" si="21"/>
        <v>2.9953703703703702</v>
      </c>
      <c r="M144" s="78">
        <v>4.5999999999999996</v>
      </c>
      <c r="N144" s="104" t="s">
        <v>199</v>
      </c>
      <c r="O144" s="104" t="s">
        <v>243</v>
      </c>
      <c r="P144" s="110">
        <v>35</v>
      </c>
      <c r="Q144" s="111">
        <v>3.81</v>
      </c>
      <c r="R144" s="112">
        <v>35.200000000000003</v>
      </c>
      <c r="S144" s="111" t="s">
        <v>14</v>
      </c>
      <c r="T144" s="133">
        <f t="shared" si="23"/>
        <v>26.458333333333332</v>
      </c>
      <c r="U144" s="111">
        <f t="shared" si="24"/>
        <v>17.638888888888889</v>
      </c>
      <c r="V144" s="111">
        <f t="shared" si="25"/>
        <v>11.75925925925926</v>
      </c>
      <c r="W144" s="111">
        <f>$Q144*1000/(18*24)</f>
        <v>8.8194444444444446</v>
      </c>
    </row>
    <row r="145" spans="2:23" x14ac:dyDescent="0.2">
      <c r="B145" s="85"/>
      <c r="C145" s="124"/>
      <c r="D145" s="124"/>
      <c r="E145" s="119">
        <v>35</v>
      </c>
      <c r="F145" s="130">
        <v>0.69899999999999995</v>
      </c>
      <c r="G145" s="119">
        <v>24</v>
      </c>
      <c r="H145" s="120">
        <f t="shared" si="11"/>
        <v>19.416666666666668</v>
      </c>
      <c r="I145" s="120">
        <f t="shared" si="12"/>
        <v>9.7083333333333339</v>
      </c>
      <c r="J145" s="120">
        <f t="shared" si="22"/>
        <v>4.854166666666667</v>
      </c>
      <c r="K145" s="120">
        <f t="shared" si="21"/>
        <v>3.2361111111111112</v>
      </c>
      <c r="M145" s="78"/>
      <c r="N145" s="104"/>
      <c r="O145" s="104"/>
      <c r="P145" s="79">
        <v>40</v>
      </c>
      <c r="Q145" s="80">
        <v>4.07</v>
      </c>
      <c r="R145" s="81">
        <v>36</v>
      </c>
      <c r="S145" s="80" t="s">
        <v>14</v>
      </c>
      <c r="T145" s="134">
        <f t="shared" si="23"/>
        <v>28.263888888888893</v>
      </c>
      <c r="U145" s="80">
        <f t="shared" si="24"/>
        <v>18.842592592592595</v>
      </c>
      <c r="V145" s="80">
        <f t="shared" si="25"/>
        <v>12.56172839506173</v>
      </c>
      <c r="W145" s="80">
        <f>$Q145*1000/(18*24)</f>
        <v>9.4212962962962976</v>
      </c>
    </row>
    <row r="146" spans="2:23" x14ac:dyDescent="0.2">
      <c r="B146" s="78">
        <v>2.8</v>
      </c>
      <c r="C146" s="104" t="s">
        <v>196</v>
      </c>
      <c r="D146" s="104"/>
      <c r="E146" s="106">
        <v>20</v>
      </c>
      <c r="F146" s="109">
        <v>0.59699999999999998</v>
      </c>
      <c r="G146" s="79">
        <v>24</v>
      </c>
      <c r="H146" s="80">
        <f t="shared" si="11"/>
        <v>16.583333333333332</v>
      </c>
      <c r="I146" s="80">
        <f t="shared" si="12"/>
        <v>8.2916666666666661</v>
      </c>
      <c r="J146" s="80">
        <f t="shared" si="22"/>
        <v>4.145833333333333</v>
      </c>
      <c r="K146" s="80">
        <f t="shared" si="21"/>
        <v>2.7638888888888888</v>
      </c>
      <c r="M146" s="85"/>
      <c r="N146" s="124"/>
      <c r="O146" s="124"/>
      <c r="P146" s="119">
        <v>45</v>
      </c>
      <c r="Q146" s="120">
        <v>4.32</v>
      </c>
      <c r="R146" s="121">
        <v>36.799999999999997</v>
      </c>
      <c r="S146" s="120" t="s">
        <v>14</v>
      </c>
      <c r="T146" s="135">
        <f t="shared" si="23"/>
        <v>30</v>
      </c>
      <c r="U146" s="120">
        <f t="shared" si="24"/>
        <v>20</v>
      </c>
      <c r="V146" s="120">
        <f t="shared" si="25"/>
        <v>13.333333333333334</v>
      </c>
      <c r="W146" s="120" t="s">
        <v>14</v>
      </c>
    </row>
    <row r="147" spans="2:23" x14ac:dyDescent="0.2">
      <c r="B147" s="78" t="s">
        <v>141</v>
      </c>
      <c r="C147" s="104" t="s">
        <v>141</v>
      </c>
      <c r="D147" s="104" t="s">
        <v>244</v>
      </c>
      <c r="E147" s="110">
        <v>25</v>
      </c>
      <c r="F147" s="115">
        <v>0.66800000000000004</v>
      </c>
      <c r="G147" s="110">
        <v>24</v>
      </c>
      <c r="H147" s="111">
        <f t="shared" si="11"/>
        <v>18.555555555555557</v>
      </c>
      <c r="I147" s="111">
        <f t="shared" si="12"/>
        <v>9.2777777777777786</v>
      </c>
      <c r="J147" s="111">
        <f t="shared" si="22"/>
        <v>4.6388888888888893</v>
      </c>
      <c r="K147" s="111">
        <f t="shared" si="21"/>
        <v>3.0925925925925926</v>
      </c>
      <c r="M147" s="78"/>
      <c r="N147" s="104"/>
      <c r="O147" s="104"/>
      <c r="P147" s="106">
        <v>20</v>
      </c>
      <c r="Q147" s="80">
        <v>3.27</v>
      </c>
      <c r="R147" s="81">
        <v>31</v>
      </c>
      <c r="S147" s="80" t="s">
        <v>14</v>
      </c>
      <c r="T147" s="80">
        <f t="shared" si="23"/>
        <v>22.708333333333332</v>
      </c>
      <c r="U147" s="80">
        <f t="shared" si="24"/>
        <v>15.138888888888889</v>
      </c>
      <c r="V147" s="80">
        <f t="shared" si="25"/>
        <v>10.092592592592593</v>
      </c>
      <c r="W147" s="80" t="s">
        <v>14</v>
      </c>
    </row>
    <row r="148" spans="2:23" x14ac:dyDescent="0.2">
      <c r="B148" s="78">
        <v>2.5</v>
      </c>
      <c r="C148" s="104" t="s">
        <v>215</v>
      </c>
      <c r="D148" s="104" t="s">
        <v>245</v>
      </c>
      <c r="E148" s="79">
        <v>30</v>
      </c>
      <c r="F148" s="109">
        <v>0.73099999999999998</v>
      </c>
      <c r="G148" s="79">
        <v>24</v>
      </c>
      <c r="H148" s="80">
        <f t="shared" si="11"/>
        <v>20.305555555555557</v>
      </c>
      <c r="I148" s="80">
        <f t="shared" si="12"/>
        <v>10.152777777777779</v>
      </c>
      <c r="J148" s="80">
        <f t="shared" si="22"/>
        <v>5.0763888888888893</v>
      </c>
      <c r="K148" s="80">
        <f t="shared" si="21"/>
        <v>3.3842592592592591</v>
      </c>
      <c r="M148" s="78">
        <v>7.1</v>
      </c>
      <c r="N148" s="104" t="s">
        <v>246</v>
      </c>
      <c r="O148" s="104"/>
      <c r="P148" s="110">
        <v>25</v>
      </c>
      <c r="Q148" s="111">
        <v>3.66</v>
      </c>
      <c r="R148" s="112">
        <v>32</v>
      </c>
      <c r="S148" s="111" t="s">
        <v>14</v>
      </c>
      <c r="T148" s="111">
        <f t="shared" si="23"/>
        <v>25.416666666666668</v>
      </c>
      <c r="U148" s="111">
        <f t="shared" si="24"/>
        <v>16.944444444444443</v>
      </c>
      <c r="V148" s="111">
        <f t="shared" si="25"/>
        <v>11.296296296296296</v>
      </c>
      <c r="W148" s="111" t="s">
        <v>14</v>
      </c>
    </row>
    <row r="149" spans="2:23" x14ac:dyDescent="0.2">
      <c r="B149" s="85"/>
      <c r="C149" s="124"/>
      <c r="D149" s="124"/>
      <c r="E149" s="119">
        <v>35</v>
      </c>
      <c r="F149" s="130">
        <v>0.77</v>
      </c>
      <c r="G149" s="119">
        <v>26</v>
      </c>
      <c r="H149" s="120">
        <f t="shared" si="11"/>
        <v>21.388888888888889</v>
      </c>
      <c r="I149" s="120">
        <f t="shared" si="12"/>
        <v>10.694444444444445</v>
      </c>
      <c r="J149" s="120">
        <f t="shared" si="22"/>
        <v>5.3472222222222223</v>
      </c>
      <c r="K149" s="120">
        <f t="shared" si="21"/>
        <v>3.5648148148148149</v>
      </c>
      <c r="M149" s="78" t="s">
        <v>141</v>
      </c>
      <c r="N149" s="104" t="s">
        <v>141</v>
      </c>
      <c r="O149" s="104" t="s">
        <v>247</v>
      </c>
      <c r="P149" s="79">
        <v>30</v>
      </c>
      <c r="Q149" s="80">
        <v>4.01</v>
      </c>
      <c r="R149" s="81">
        <v>34</v>
      </c>
      <c r="S149" s="80" t="s">
        <v>14</v>
      </c>
      <c r="T149" s="80" t="s">
        <v>14</v>
      </c>
      <c r="U149" s="80">
        <f t="shared" si="24"/>
        <v>18.564814814814813</v>
      </c>
      <c r="V149" s="80">
        <f t="shared" si="25"/>
        <v>12.376543209876543</v>
      </c>
      <c r="W149" s="80" t="s">
        <v>14</v>
      </c>
    </row>
    <row r="150" spans="2:23" x14ac:dyDescent="0.2">
      <c r="B150" s="78">
        <v>3</v>
      </c>
      <c r="C150" s="104" t="s">
        <v>213</v>
      </c>
      <c r="D150" s="104"/>
      <c r="E150" s="106">
        <v>20</v>
      </c>
      <c r="F150" s="109">
        <v>0.67</v>
      </c>
      <c r="G150" s="79">
        <v>24</v>
      </c>
      <c r="H150" s="80">
        <f t="shared" si="11"/>
        <v>18.611111111111111</v>
      </c>
      <c r="I150" s="80">
        <f t="shared" si="12"/>
        <v>9.3055555555555554</v>
      </c>
      <c r="J150" s="80">
        <f t="shared" si="22"/>
        <v>4.6527777777777777</v>
      </c>
      <c r="K150" s="80">
        <f t="shared" si="21"/>
        <v>3.1018518518518516</v>
      </c>
      <c r="M150" s="78">
        <v>4.5999999999999996</v>
      </c>
      <c r="N150" s="104" t="s">
        <v>199</v>
      </c>
      <c r="O150" s="104" t="s">
        <v>248</v>
      </c>
      <c r="P150" s="110">
        <v>35</v>
      </c>
      <c r="Q150" s="111">
        <v>4.33</v>
      </c>
      <c r="R150" s="112">
        <v>36</v>
      </c>
      <c r="S150" s="111" t="s">
        <v>14</v>
      </c>
      <c r="T150" s="111" t="s">
        <v>14</v>
      </c>
      <c r="U150" s="111">
        <f t="shared" si="24"/>
        <v>20.046296296296298</v>
      </c>
      <c r="V150" s="111">
        <f t="shared" si="25"/>
        <v>13.364197530864198</v>
      </c>
      <c r="W150" s="111">
        <f>$Q150*1000/(18*24)</f>
        <v>10.023148148148149</v>
      </c>
    </row>
    <row r="151" spans="2:23" x14ac:dyDescent="0.2">
      <c r="B151" s="78" t="s">
        <v>141</v>
      </c>
      <c r="C151" s="104" t="s">
        <v>141</v>
      </c>
      <c r="D151" s="104" t="s">
        <v>249</v>
      </c>
      <c r="E151" s="110">
        <v>25</v>
      </c>
      <c r="F151" s="115">
        <v>0.75</v>
      </c>
      <c r="G151" s="110">
        <v>26</v>
      </c>
      <c r="H151" s="111">
        <f t="shared" si="11"/>
        <v>20.833333333333332</v>
      </c>
      <c r="I151" s="111">
        <f t="shared" si="12"/>
        <v>10.416666666666666</v>
      </c>
      <c r="J151" s="111">
        <f t="shared" si="22"/>
        <v>5.208333333333333</v>
      </c>
      <c r="K151" s="111">
        <f t="shared" si="21"/>
        <v>3.4722222222222223</v>
      </c>
      <c r="M151" s="78"/>
      <c r="N151" s="104"/>
      <c r="O151" s="104"/>
      <c r="P151" s="79">
        <v>40</v>
      </c>
      <c r="Q151" s="80">
        <v>4.63</v>
      </c>
      <c r="R151" s="81">
        <v>37.200000000000003</v>
      </c>
      <c r="S151" s="80" t="s">
        <v>14</v>
      </c>
      <c r="T151" s="80" t="s">
        <v>14</v>
      </c>
      <c r="U151" s="80">
        <f t="shared" si="24"/>
        <v>21.435185185185187</v>
      </c>
      <c r="V151" s="80">
        <f t="shared" si="25"/>
        <v>14.290123456790123</v>
      </c>
      <c r="W151" s="80">
        <f>$Q151*1000/(18*24)</f>
        <v>10.717592592592593</v>
      </c>
    </row>
    <row r="152" spans="2:23" x14ac:dyDescent="0.2">
      <c r="B152" s="78">
        <v>2.5</v>
      </c>
      <c r="C152" s="104" t="s">
        <v>215</v>
      </c>
      <c r="D152" s="104" t="s">
        <v>250</v>
      </c>
      <c r="E152" s="79">
        <v>30</v>
      </c>
      <c r="F152" s="109">
        <v>0.82099999999999995</v>
      </c>
      <c r="G152" s="79">
        <v>26</v>
      </c>
      <c r="H152" s="80">
        <f t="shared" si="11"/>
        <v>22.805555555555557</v>
      </c>
      <c r="I152" s="80">
        <f t="shared" si="12"/>
        <v>11.402777777777779</v>
      </c>
      <c r="J152" s="80">
        <f t="shared" si="22"/>
        <v>5.7013888888888893</v>
      </c>
      <c r="K152" s="80">
        <f t="shared" si="21"/>
        <v>3.800925925925926</v>
      </c>
      <c r="M152" s="85"/>
      <c r="N152" s="124"/>
      <c r="O152" s="124"/>
      <c r="P152" s="119">
        <v>45</v>
      </c>
      <c r="Q152" s="120">
        <v>4.91</v>
      </c>
      <c r="R152" s="121">
        <v>38.4</v>
      </c>
      <c r="S152" s="120" t="s">
        <v>14</v>
      </c>
      <c r="T152" s="120" t="s">
        <v>14</v>
      </c>
      <c r="U152" s="120">
        <f t="shared" si="24"/>
        <v>22.731481481481481</v>
      </c>
      <c r="V152" s="120">
        <f t="shared" si="25"/>
        <v>15.154320987654321</v>
      </c>
      <c r="W152" s="120">
        <f>$Q152*1000/(18*24)</f>
        <v>11.36574074074074</v>
      </c>
    </row>
    <row r="153" spans="2:23" x14ac:dyDescent="0.2">
      <c r="B153" s="85"/>
      <c r="C153" s="124"/>
      <c r="D153" s="124"/>
      <c r="E153" s="119">
        <v>35</v>
      </c>
      <c r="F153" s="130">
        <v>0.88700000000000001</v>
      </c>
      <c r="G153" s="119">
        <v>26</v>
      </c>
      <c r="H153" s="120">
        <f t="shared" si="11"/>
        <v>24.638888888888889</v>
      </c>
      <c r="I153" s="120">
        <f t="shared" si="12"/>
        <v>12.319444444444445</v>
      </c>
      <c r="J153" s="120">
        <f t="shared" si="22"/>
        <v>6.1597222222222223</v>
      </c>
      <c r="K153" s="120">
        <f t="shared" si="21"/>
        <v>4.1064814814814818</v>
      </c>
    </row>
    <row r="154" spans="2:23" x14ac:dyDescent="0.2">
      <c r="B154" s="78">
        <v>3.2</v>
      </c>
      <c r="C154" s="104" t="s">
        <v>221</v>
      </c>
      <c r="D154" s="104"/>
      <c r="E154" s="106">
        <v>20</v>
      </c>
      <c r="F154" s="109">
        <v>0.73599999999999999</v>
      </c>
      <c r="G154" s="79">
        <v>26</v>
      </c>
      <c r="H154" s="80">
        <f t="shared" si="11"/>
        <v>20.444444444444443</v>
      </c>
      <c r="I154" s="80">
        <f t="shared" si="12"/>
        <v>10.222222222222221</v>
      </c>
      <c r="J154" s="80">
        <f t="shared" si="22"/>
        <v>5.1111111111111107</v>
      </c>
      <c r="K154" s="80">
        <f t="shared" si="21"/>
        <v>3.4074074074074074</v>
      </c>
    </row>
    <row r="155" spans="2:23" x14ac:dyDescent="0.2">
      <c r="B155" s="78" t="s">
        <v>141</v>
      </c>
      <c r="C155" s="104" t="s">
        <v>141</v>
      </c>
      <c r="D155" s="104" t="s">
        <v>251</v>
      </c>
      <c r="E155" s="110">
        <v>25</v>
      </c>
      <c r="F155" s="115">
        <v>0.82299999999999995</v>
      </c>
      <c r="G155" s="110">
        <v>26</v>
      </c>
      <c r="H155" s="111">
        <f t="shared" si="11"/>
        <v>22.861111111111111</v>
      </c>
      <c r="I155" s="111">
        <f t="shared" si="12"/>
        <v>11.430555555555555</v>
      </c>
      <c r="J155" s="111">
        <f t="shared" si="22"/>
        <v>5.7152777777777777</v>
      </c>
      <c r="K155" s="111">
        <f t="shared" si="21"/>
        <v>3.8101851851851851</v>
      </c>
    </row>
    <row r="156" spans="2:23" x14ac:dyDescent="0.2">
      <c r="B156" s="78">
        <v>2.5</v>
      </c>
      <c r="C156" s="104" t="s">
        <v>215</v>
      </c>
      <c r="D156" s="104" t="s">
        <v>252</v>
      </c>
      <c r="E156" s="79">
        <v>30</v>
      </c>
      <c r="F156" s="109">
        <v>0.90100000000000002</v>
      </c>
      <c r="G156" s="79">
        <v>26</v>
      </c>
      <c r="H156" s="80">
        <f t="shared" si="11"/>
        <v>25.027777777777779</v>
      </c>
      <c r="I156" s="80">
        <f t="shared" si="12"/>
        <v>12.513888888888889</v>
      </c>
      <c r="J156" s="80">
        <f t="shared" si="22"/>
        <v>6.2569444444444446</v>
      </c>
      <c r="K156" s="80">
        <f t="shared" si="21"/>
        <v>4.1712962962962967</v>
      </c>
    </row>
    <row r="157" spans="2:23" x14ac:dyDescent="0.2">
      <c r="B157" s="85"/>
      <c r="C157" s="124"/>
      <c r="D157" s="124"/>
      <c r="E157" s="119">
        <v>35</v>
      </c>
      <c r="F157" s="130">
        <v>0.97299999999999998</v>
      </c>
      <c r="G157" s="119">
        <v>26</v>
      </c>
      <c r="H157" s="120">
        <f t="shared" si="11"/>
        <v>27.027777777777779</v>
      </c>
      <c r="I157" s="120">
        <f t="shared" si="12"/>
        <v>13.513888888888889</v>
      </c>
      <c r="J157" s="120">
        <f t="shared" si="22"/>
        <v>6.7569444444444446</v>
      </c>
      <c r="K157" s="120">
        <f t="shared" si="21"/>
        <v>4.5046296296296298</v>
      </c>
    </row>
    <row r="158" spans="2:23" x14ac:dyDescent="0.2">
      <c r="B158" s="78">
        <v>3.5</v>
      </c>
      <c r="C158" s="104" t="s">
        <v>235</v>
      </c>
      <c r="D158" s="104"/>
      <c r="E158" s="106">
        <v>20</v>
      </c>
      <c r="F158" s="109">
        <v>0.86</v>
      </c>
      <c r="G158" s="79">
        <v>26</v>
      </c>
      <c r="H158" s="80">
        <f t="shared" si="11"/>
        <v>23.888888888888889</v>
      </c>
      <c r="I158" s="80">
        <f t="shared" si="12"/>
        <v>11.944444444444445</v>
      </c>
      <c r="J158" s="80">
        <f t="shared" si="22"/>
        <v>5.9722222222222223</v>
      </c>
      <c r="K158" s="80">
        <f t="shared" si="21"/>
        <v>3.9814814814814814</v>
      </c>
    </row>
    <row r="159" spans="2:23" x14ac:dyDescent="0.2">
      <c r="B159" s="78" t="s">
        <v>141</v>
      </c>
      <c r="C159" s="104" t="s">
        <v>141</v>
      </c>
      <c r="D159" s="104" t="s">
        <v>253</v>
      </c>
      <c r="E159" s="110">
        <v>25</v>
      </c>
      <c r="F159" s="115">
        <v>0.97199999999999998</v>
      </c>
      <c r="G159" s="110">
        <v>26</v>
      </c>
      <c r="H159" s="111">
        <f t="shared" si="11"/>
        <v>27</v>
      </c>
      <c r="I159" s="111">
        <f t="shared" si="12"/>
        <v>13.5</v>
      </c>
      <c r="J159" s="111">
        <f t="shared" si="22"/>
        <v>6.75</v>
      </c>
      <c r="K159" s="111">
        <f t="shared" si="21"/>
        <v>4.5</v>
      </c>
    </row>
    <row r="160" spans="2:23" x14ac:dyDescent="0.2">
      <c r="B160" s="78">
        <v>2.5</v>
      </c>
      <c r="C160" s="104" t="s">
        <v>215</v>
      </c>
      <c r="D160" s="104" t="s">
        <v>254</v>
      </c>
      <c r="E160" s="79">
        <v>30</v>
      </c>
      <c r="F160" s="109">
        <v>1.0720000000000001</v>
      </c>
      <c r="G160" s="79">
        <v>28</v>
      </c>
      <c r="H160" s="80">
        <f t="shared" si="11"/>
        <v>29.777777777777779</v>
      </c>
      <c r="I160" s="80">
        <f t="shared" si="12"/>
        <v>14.888888888888889</v>
      </c>
      <c r="J160" s="80">
        <f t="shared" si="22"/>
        <v>7.4444444444444446</v>
      </c>
      <c r="K160" s="80">
        <f t="shared" si="21"/>
        <v>4.9629629629629628</v>
      </c>
    </row>
    <row r="161" spans="2:22" x14ac:dyDescent="0.2">
      <c r="B161" s="85"/>
      <c r="C161" s="124"/>
      <c r="D161" s="124"/>
      <c r="E161" s="119">
        <v>35</v>
      </c>
      <c r="F161" s="130">
        <v>1.157</v>
      </c>
      <c r="G161" s="119">
        <v>28</v>
      </c>
      <c r="H161" s="120">
        <f t="shared" si="11"/>
        <v>32.138888888888886</v>
      </c>
      <c r="I161" s="120">
        <f t="shared" si="12"/>
        <v>16.069444444444443</v>
      </c>
      <c r="J161" s="120">
        <f t="shared" si="22"/>
        <v>8.0347222222222214</v>
      </c>
      <c r="K161" s="120">
        <f t="shared" si="21"/>
        <v>5.3564814814814818</v>
      </c>
    </row>
    <row r="162" spans="2:22" ht="12.75" customHeight="1" x14ac:dyDescent="0.2">
      <c r="B162" s="140" t="s">
        <v>255</v>
      </c>
      <c r="C162" s="140"/>
      <c r="P162" s="136"/>
      <c r="Q162" s="90"/>
      <c r="R162" s="91"/>
      <c r="S162" s="91"/>
      <c r="T162" s="91"/>
      <c r="U162" s="91"/>
      <c r="V162" s="91"/>
    </row>
    <row r="163" spans="2:22" x14ac:dyDescent="0.2">
      <c r="B163" s="141"/>
      <c r="C163" s="136"/>
      <c r="D163" s="90"/>
      <c r="E163" s="91"/>
      <c r="F163" s="91"/>
      <c r="G163" s="91"/>
      <c r="H163" s="91"/>
      <c r="I163" s="91"/>
      <c r="J163" s="91"/>
      <c r="K163" s="91"/>
    </row>
    <row r="164" spans="2:22" x14ac:dyDescent="0.2">
      <c r="B164" s="142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22" x14ac:dyDescent="0.2">
      <c r="B165" s="90"/>
      <c r="C165" s="90"/>
      <c r="D165" s="90"/>
      <c r="E165" s="91"/>
      <c r="F165" s="91"/>
      <c r="G165" s="91"/>
      <c r="H165" s="91"/>
      <c r="I165" s="91"/>
      <c r="J165" s="91"/>
      <c r="K165" s="91"/>
    </row>
    <row r="166" spans="2:22" x14ac:dyDescent="0.2">
      <c r="B166" s="92" t="s">
        <v>113</v>
      </c>
      <c r="C166" s="93"/>
      <c r="D166" s="93"/>
      <c r="E166" s="93"/>
      <c r="F166" s="93"/>
      <c r="G166" s="93"/>
      <c r="H166" s="93"/>
    </row>
    <row r="167" spans="2:22" x14ac:dyDescent="0.2">
      <c r="B167" s="66" t="s">
        <v>256</v>
      </c>
    </row>
    <row r="168" spans="2:22" ht="13.15" customHeight="1" x14ac:dyDescent="0.2">
      <c r="B168" s="353" t="s">
        <v>257</v>
      </c>
      <c r="C168" s="353" t="s">
        <v>175</v>
      </c>
      <c r="D168" s="356" t="s">
        <v>177</v>
      </c>
      <c r="E168" s="357"/>
      <c r="F168" s="357"/>
      <c r="G168" s="357"/>
      <c r="H168" s="357"/>
      <c r="I168" s="357"/>
      <c r="J168" s="357"/>
      <c r="K168" s="358"/>
    </row>
    <row r="169" spans="2:22" ht="13.15" customHeight="1" x14ac:dyDescent="0.2">
      <c r="B169" s="354"/>
      <c r="C169" s="354"/>
      <c r="D169" s="354" t="s">
        <v>124</v>
      </c>
      <c r="E169" s="354" t="s">
        <v>258</v>
      </c>
      <c r="F169" s="354" t="s">
        <v>126</v>
      </c>
      <c r="G169" s="359" t="s">
        <v>259</v>
      </c>
      <c r="H169" s="360"/>
      <c r="I169" s="360"/>
      <c r="J169" s="360"/>
      <c r="K169" s="361"/>
    </row>
    <row r="170" spans="2:22" x14ac:dyDescent="0.2">
      <c r="B170" s="354"/>
      <c r="C170" s="354"/>
      <c r="D170" s="354"/>
      <c r="E170" s="354"/>
      <c r="F170" s="354"/>
      <c r="G170" s="362"/>
      <c r="H170" s="363"/>
      <c r="I170" s="363"/>
      <c r="J170" s="363"/>
      <c r="K170" s="364"/>
    </row>
    <row r="171" spans="2:22" ht="13.15" customHeight="1" x14ac:dyDescent="0.2">
      <c r="B171" s="354"/>
      <c r="C171" s="354"/>
      <c r="D171" s="354"/>
      <c r="E171" s="354"/>
      <c r="F171" s="354"/>
      <c r="G171" s="356" t="s">
        <v>189</v>
      </c>
      <c r="H171" s="357"/>
      <c r="I171" s="357"/>
      <c r="J171" s="357"/>
      <c r="K171" s="358"/>
    </row>
    <row r="172" spans="2:22" ht="14.25" x14ac:dyDescent="0.2">
      <c r="B172" s="355"/>
      <c r="C172" s="355"/>
      <c r="D172" s="143" t="s">
        <v>8</v>
      </c>
      <c r="E172" s="144" t="s">
        <v>132</v>
      </c>
      <c r="F172" s="144" t="s">
        <v>10</v>
      </c>
      <c r="G172" s="145" t="s">
        <v>191</v>
      </c>
      <c r="H172" s="146" t="s">
        <v>190</v>
      </c>
      <c r="I172" s="146" t="s">
        <v>139</v>
      </c>
      <c r="J172" s="146" t="s">
        <v>136</v>
      </c>
      <c r="K172" s="146" t="s">
        <v>148</v>
      </c>
    </row>
    <row r="173" spans="2:22" x14ac:dyDescent="0.2">
      <c r="B173" s="349">
        <v>4.5</v>
      </c>
      <c r="C173" s="349" t="s">
        <v>199</v>
      </c>
      <c r="D173" s="106">
        <v>20</v>
      </c>
      <c r="E173" s="109">
        <v>1.95</v>
      </c>
      <c r="F173" s="81">
        <v>23.6</v>
      </c>
      <c r="G173" s="80">
        <f t="shared" ref="G173:G187" si="26">$E173*1000/(6*6)</f>
        <v>54.166666666666664</v>
      </c>
      <c r="H173" s="80">
        <f t="shared" ref="H173:H187" si="27">$E173*1000/(6*12)</f>
        <v>27.083333333333332</v>
      </c>
      <c r="I173" s="80">
        <f t="shared" ref="I173:I187" si="28">$E173*1000/(12*12)</f>
        <v>13.541666666666666</v>
      </c>
      <c r="J173" s="80">
        <f t="shared" ref="J173:J187" si="29">$E173*1000/(12*18)</f>
        <v>9.0277777777777786</v>
      </c>
      <c r="K173" s="80">
        <f t="shared" ref="K173:K187" si="30">$E173*1000/(18*18)</f>
        <v>6.0185185185185182</v>
      </c>
    </row>
    <row r="174" spans="2:22" x14ac:dyDescent="0.2">
      <c r="B174" s="350"/>
      <c r="C174" s="350"/>
      <c r="D174" s="147">
        <v>25</v>
      </c>
      <c r="E174" s="148">
        <v>2.2000000000000002</v>
      </c>
      <c r="F174" s="149">
        <v>24.6</v>
      </c>
      <c r="G174" s="150">
        <f t="shared" si="26"/>
        <v>61.111111111111114</v>
      </c>
      <c r="H174" s="150">
        <f t="shared" si="27"/>
        <v>30.555555555555557</v>
      </c>
      <c r="I174" s="150">
        <f t="shared" si="28"/>
        <v>15.277777777777779</v>
      </c>
      <c r="J174" s="150">
        <f t="shared" si="29"/>
        <v>10.185185185185185</v>
      </c>
      <c r="K174" s="150">
        <f t="shared" si="30"/>
        <v>6.7901234567901234</v>
      </c>
    </row>
    <row r="175" spans="2:22" x14ac:dyDescent="0.2">
      <c r="B175" s="350"/>
      <c r="C175" s="350"/>
      <c r="D175" s="106">
        <v>30</v>
      </c>
      <c r="E175" s="109">
        <v>2.4</v>
      </c>
      <c r="F175" s="81">
        <v>25.6</v>
      </c>
      <c r="G175" s="80">
        <f t="shared" si="26"/>
        <v>66.666666666666671</v>
      </c>
      <c r="H175" s="80">
        <f t="shared" si="27"/>
        <v>33.333333333333336</v>
      </c>
      <c r="I175" s="80">
        <f t="shared" si="28"/>
        <v>16.666666666666668</v>
      </c>
      <c r="J175" s="80">
        <f t="shared" si="29"/>
        <v>11.111111111111111</v>
      </c>
      <c r="K175" s="80">
        <f t="shared" si="30"/>
        <v>7.4074074074074074</v>
      </c>
    </row>
    <row r="176" spans="2:22" x14ac:dyDescent="0.2">
      <c r="B176" s="350"/>
      <c r="C176" s="350"/>
      <c r="D176" s="147">
        <v>35</v>
      </c>
      <c r="E176" s="148">
        <v>2.66</v>
      </c>
      <c r="F176" s="149">
        <v>25.8</v>
      </c>
      <c r="G176" s="150">
        <f t="shared" si="26"/>
        <v>73.888888888888886</v>
      </c>
      <c r="H176" s="150">
        <f t="shared" si="27"/>
        <v>36.944444444444443</v>
      </c>
      <c r="I176" s="150">
        <f t="shared" si="28"/>
        <v>18.472222222222221</v>
      </c>
      <c r="J176" s="150">
        <f t="shared" si="29"/>
        <v>12.314814814814815</v>
      </c>
      <c r="K176" s="150">
        <f t="shared" si="30"/>
        <v>8.2098765432098766</v>
      </c>
    </row>
    <row r="177" spans="2:23" x14ac:dyDescent="0.2">
      <c r="B177" s="351"/>
      <c r="C177" s="351"/>
      <c r="D177" s="151">
        <v>40</v>
      </c>
      <c r="E177" s="152">
        <v>2.8</v>
      </c>
      <c r="F177" s="153">
        <v>25.9</v>
      </c>
      <c r="G177" s="154">
        <f t="shared" si="26"/>
        <v>77.777777777777771</v>
      </c>
      <c r="H177" s="154">
        <f t="shared" si="27"/>
        <v>38.888888888888886</v>
      </c>
      <c r="I177" s="154">
        <f t="shared" si="28"/>
        <v>19.444444444444443</v>
      </c>
      <c r="J177" s="154">
        <f t="shared" si="29"/>
        <v>12.962962962962964</v>
      </c>
      <c r="K177" s="154">
        <f t="shared" si="30"/>
        <v>8.6419753086419746</v>
      </c>
    </row>
    <row r="178" spans="2:23" x14ac:dyDescent="0.2">
      <c r="B178" s="78"/>
      <c r="C178" s="349" t="s">
        <v>260</v>
      </c>
      <c r="D178" s="106">
        <v>20</v>
      </c>
      <c r="E178" s="109">
        <v>2.1</v>
      </c>
      <c r="F178" s="81">
        <v>24.6</v>
      </c>
      <c r="G178" s="80">
        <f t="shared" si="26"/>
        <v>58.333333333333336</v>
      </c>
      <c r="H178" s="80">
        <f t="shared" si="27"/>
        <v>29.166666666666668</v>
      </c>
      <c r="I178" s="80">
        <f t="shared" si="28"/>
        <v>14.583333333333334</v>
      </c>
      <c r="J178" s="80">
        <f t="shared" si="29"/>
        <v>9.7222222222222214</v>
      </c>
      <c r="K178" s="80">
        <f t="shared" si="30"/>
        <v>6.4814814814814818</v>
      </c>
    </row>
    <row r="179" spans="2:23" x14ac:dyDescent="0.2">
      <c r="B179" s="78">
        <v>5</v>
      </c>
      <c r="C179" s="350"/>
      <c r="D179" s="147">
        <v>25</v>
      </c>
      <c r="E179" s="148">
        <v>2.4</v>
      </c>
      <c r="F179" s="149">
        <v>25.4</v>
      </c>
      <c r="G179" s="150">
        <f t="shared" si="26"/>
        <v>66.666666666666671</v>
      </c>
      <c r="H179" s="150">
        <f t="shared" si="27"/>
        <v>33.333333333333336</v>
      </c>
      <c r="I179" s="150">
        <f t="shared" si="28"/>
        <v>16.666666666666668</v>
      </c>
      <c r="J179" s="150">
        <f t="shared" si="29"/>
        <v>11.111111111111111</v>
      </c>
      <c r="K179" s="150">
        <f t="shared" si="30"/>
        <v>7.4074074074074074</v>
      </c>
    </row>
    <row r="180" spans="2:23" x14ac:dyDescent="0.2">
      <c r="B180" s="117"/>
      <c r="C180" s="350"/>
      <c r="D180" s="106">
        <v>30</v>
      </c>
      <c r="E180" s="109">
        <v>2.6</v>
      </c>
      <c r="F180" s="81">
        <v>25.8</v>
      </c>
      <c r="G180" s="80">
        <f t="shared" si="26"/>
        <v>72.222222222222229</v>
      </c>
      <c r="H180" s="80">
        <f t="shared" si="27"/>
        <v>36.111111111111114</v>
      </c>
      <c r="I180" s="80">
        <f t="shared" si="28"/>
        <v>18.055555555555557</v>
      </c>
      <c r="J180" s="80">
        <f t="shared" si="29"/>
        <v>12.037037037037036</v>
      </c>
      <c r="K180" s="80">
        <f t="shared" si="30"/>
        <v>8.0246913580246915</v>
      </c>
    </row>
    <row r="181" spans="2:23" x14ac:dyDescent="0.2">
      <c r="B181" s="117"/>
      <c r="C181" s="350"/>
      <c r="D181" s="147">
        <v>35</v>
      </c>
      <c r="E181" s="148">
        <v>2.75</v>
      </c>
      <c r="F181" s="149">
        <v>26.4</v>
      </c>
      <c r="G181" s="150">
        <f t="shared" si="26"/>
        <v>76.388888888888886</v>
      </c>
      <c r="H181" s="150">
        <f t="shared" si="27"/>
        <v>38.194444444444443</v>
      </c>
      <c r="I181" s="150">
        <f t="shared" si="28"/>
        <v>19.097222222222221</v>
      </c>
      <c r="J181" s="150">
        <f t="shared" si="29"/>
        <v>12.731481481481481</v>
      </c>
      <c r="K181" s="150">
        <f t="shared" si="30"/>
        <v>8.4876543209876552</v>
      </c>
    </row>
    <row r="182" spans="2:23" x14ac:dyDescent="0.2">
      <c r="B182" s="85"/>
      <c r="C182" s="351"/>
      <c r="D182" s="151">
        <v>40</v>
      </c>
      <c r="E182" s="152">
        <v>2.9</v>
      </c>
      <c r="F182" s="153">
        <v>26.8</v>
      </c>
      <c r="G182" s="154">
        <f t="shared" si="26"/>
        <v>80.555555555555557</v>
      </c>
      <c r="H182" s="154">
        <f t="shared" si="27"/>
        <v>40.277777777777779</v>
      </c>
      <c r="I182" s="154">
        <f t="shared" si="28"/>
        <v>20.138888888888889</v>
      </c>
      <c r="J182" s="154">
        <f t="shared" si="29"/>
        <v>13.425925925925926</v>
      </c>
      <c r="K182" s="154">
        <f t="shared" si="30"/>
        <v>8.9506172839506171</v>
      </c>
    </row>
    <row r="183" spans="2:23" x14ac:dyDescent="0.2">
      <c r="B183" s="349">
        <v>6</v>
      </c>
      <c r="C183" s="349" t="s">
        <v>221</v>
      </c>
      <c r="D183" s="106">
        <v>20</v>
      </c>
      <c r="E183" s="109">
        <v>2.7</v>
      </c>
      <c r="F183" s="81">
        <v>24.8</v>
      </c>
      <c r="G183" s="80">
        <f t="shared" si="26"/>
        <v>75</v>
      </c>
      <c r="H183" s="80">
        <f t="shared" si="27"/>
        <v>37.5</v>
      </c>
      <c r="I183" s="80">
        <f t="shared" si="28"/>
        <v>18.75</v>
      </c>
      <c r="J183" s="80">
        <f t="shared" si="29"/>
        <v>12.5</v>
      </c>
      <c r="K183" s="80">
        <f t="shared" si="30"/>
        <v>8.3333333333333339</v>
      </c>
    </row>
    <row r="184" spans="2:23" x14ac:dyDescent="0.2">
      <c r="B184" s="350"/>
      <c r="C184" s="350"/>
      <c r="D184" s="147">
        <v>25</v>
      </c>
      <c r="E184" s="148">
        <v>3</v>
      </c>
      <c r="F184" s="149">
        <v>25.6</v>
      </c>
      <c r="G184" s="150">
        <f t="shared" si="26"/>
        <v>83.333333333333329</v>
      </c>
      <c r="H184" s="150">
        <f t="shared" si="27"/>
        <v>41.666666666666664</v>
      </c>
      <c r="I184" s="150">
        <f t="shared" si="28"/>
        <v>20.833333333333332</v>
      </c>
      <c r="J184" s="150">
        <f t="shared" si="29"/>
        <v>13.888888888888889</v>
      </c>
      <c r="K184" s="150">
        <f t="shared" si="30"/>
        <v>9.2592592592592595</v>
      </c>
    </row>
    <row r="185" spans="2:23" x14ac:dyDescent="0.2">
      <c r="B185" s="350"/>
      <c r="C185" s="350"/>
      <c r="D185" s="106">
        <v>30</v>
      </c>
      <c r="E185" s="109">
        <v>3.3</v>
      </c>
      <c r="F185" s="81">
        <v>26.1</v>
      </c>
      <c r="G185" s="80">
        <f t="shared" si="26"/>
        <v>91.666666666666671</v>
      </c>
      <c r="H185" s="80">
        <f t="shared" si="27"/>
        <v>45.833333333333336</v>
      </c>
      <c r="I185" s="80">
        <f t="shared" si="28"/>
        <v>22.916666666666668</v>
      </c>
      <c r="J185" s="80">
        <f t="shared" si="29"/>
        <v>15.277777777777779</v>
      </c>
      <c r="K185" s="80">
        <f t="shared" si="30"/>
        <v>10.185185185185185</v>
      </c>
    </row>
    <row r="186" spans="2:23" x14ac:dyDescent="0.2">
      <c r="B186" s="350"/>
      <c r="C186" s="350"/>
      <c r="D186" s="147">
        <v>35</v>
      </c>
      <c r="E186" s="148">
        <v>3.5</v>
      </c>
      <c r="F186" s="149">
        <v>26.5</v>
      </c>
      <c r="G186" s="150">
        <f t="shared" si="26"/>
        <v>97.222222222222229</v>
      </c>
      <c r="H186" s="150">
        <f t="shared" si="27"/>
        <v>48.611111111111114</v>
      </c>
      <c r="I186" s="150">
        <f t="shared" si="28"/>
        <v>24.305555555555557</v>
      </c>
      <c r="J186" s="150">
        <f t="shared" si="29"/>
        <v>16.203703703703702</v>
      </c>
      <c r="K186" s="150">
        <f t="shared" si="30"/>
        <v>10.802469135802468</v>
      </c>
    </row>
    <row r="187" spans="2:23" ht="12.75" customHeight="1" x14ac:dyDescent="0.2">
      <c r="B187" s="351"/>
      <c r="C187" s="351"/>
      <c r="D187" s="151">
        <v>40</v>
      </c>
      <c r="E187" s="152">
        <v>3.7</v>
      </c>
      <c r="F187" s="153">
        <v>27</v>
      </c>
      <c r="G187" s="154">
        <f t="shared" si="26"/>
        <v>102.77777777777777</v>
      </c>
      <c r="H187" s="154">
        <f t="shared" si="27"/>
        <v>51.388888888888886</v>
      </c>
      <c r="I187" s="154">
        <f t="shared" si="28"/>
        <v>25.694444444444443</v>
      </c>
      <c r="J187" s="154">
        <f t="shared" si="29"/>
        <v>17.12962962962963</v>
      </c>
      <c r="K187" s="154">
        <f t="shared" si="30"/>
        <v>11.419753086419753</v>
      </c>
    </row>
    <row r="188" spans="2:23" x14ac:dyDescent="0.2">
      <c r="B188" s="92"/>
      <c r="C188" s="93"/>
      <c r="D188" s="93"/>
      <c r="E188" s="93"/>
      <c r="F188" s="93"/>
      <c r="G188" s="93"/>
      <c r="H188" s="155"/>
      <c r="I188" s="155"/>
      <c r="J188" s="155"/>
      <c r="K188" s="155"/>
      <c r="L188" s="155"/>
      <c r="M188" s="155"/>
    </row>
    <row r="189" spans="2:23" ht="12.75" customHeight="1" x14ac:dyDescent="0.2">
      <c r="H189" s="155"/>
      <c r="I189" s="155"/>
      <c r="J189" s="155"/>
      <c r="K189" s="155"/>
      <c r="L189" s="155"/>
      <c r="M189" s="155"/>
    </row>
    <row r="190" spans="2:23" x14ac:dyDescent="0.2">
      <c r="H190" s="155"/>
      <c r="I190" s="155"/>
      <c r="J190" s="155"/>
      <c r="K190" s="155"/>
      <c r="L190" s="155"/>
      <c r="M190" s="155"/>
    </row>
    <row r="191" spans="2:23" x14ac:dyDescent="0.2">
      <c r="B191" s="92" t="s">
        <v>113</v>
      </c>
      <c r="H191" s="92" t="s">
        <v>113</v>
      </c>
      <c r="I191" s="155"/>
      <c r="J191" s="155"/>
      <c r="K191" s="155"/>
      <c r="L191" s="155"/>
      <c r="N191" s="92" t="s">
        <v>113</v>
      </c>
      <c r="O191" s="155"/>
      <c r="P191" s="155"/>
      <c r="S191" s="156"/>
      <c r="T191" s="157"/>
      <c r="U191" s="157"/>
      <c r="V191" s="157"/>
      <c r="W191" s="94"/>
    </row>
    <row r="192" spans="2:23" x14ac:dyDescent="0.2">
      <c r="B192" s="66" t="s">
        <v>261</v>
      </c>
      <c r="H192" s="66" t="s">
        <v>262</v>
      </c>
      <c r="I192" s="155"/>
      <c r="J192" s="155"/>
      <c r="K192" s="155"/>
      <c r="L192" s="155"/>
      <c r="N192" s="66" t="s">
        <v>263</v>
      </c>
      <c r="O192" s="155"/>
      <c r="P192" s="155"/>
      <c r="S192" s="142"/>
      <c r="T192" s="157"/>
      <c r="U192" s="157"/>
      <c r="V192" s="157"/>
      <c r="W192" s="94"/>
    </row>
    <row r="193" spans="2:24" ht="12.75" customHeight="1" x14ac:dyDescent="0.2">
      <c r="B193" s="336" t="s">
        <v>257</v>
      </c>
      <c r="C193" s="333" t="s">
        <v>264</v>
      </c>
      <c r="D193" s="334"/>
      <c r="E193" s="334"/>
      <c r="F193" s="335"/>
      <c r="G193" s="99"/>
      <c r="H193" s="336" t="s">
        <v>257</v>
      </c>
      <c r="I193" s="333" t="s">
        <v>264</v>
      </c>
      <c r="J193" s="334"/>
      <c r="K193" s="334"/>
      <c r="L193" s="335"/>
      <c r="M193" s="99"/>
      <c r="N193" s="336" t="s">
        <v>257</v>
      </c>
      <c r="O193" s="333" t="s">
        <v>264</v>
      </c>
      <c r="P193" s="334"/>
      <c r="Q193" s="334"/>
      <c r="R193" s="335"/>
      <c r="T193" s="158"/>
      <c r="U193" s="99"/>
      <c r="V193" s="99"/>
      <c r="W193" s="99"/>
      <c r="X193" s="99"/>
    </row>
    <row r="194" spans="2:24" ht="12.75" customHeight="1" x14ac:dyDescent="0.2">
      <c r="B194" s="337"/>
      <c r="C194" s="336" t="s">
        <v>124</v>
      </c>
      <c r="D194" s="338" t="s">
        <v>258</v>
      </c>
      <c r="E194" s="338" t="s">
        <v>265</v>
      </c>
      <c r="F194" s="341"/>
      <c r="G194" s="159"/>
      <c r="H194" s="337"/>
      <c r="I194" s="336" t="s">
        <v>124</v>
      </c>
      <c r="J194" s="338" t="s">
        <v>258</v>
      </c>
      <c r="K194" s="338" t="s">
        <v>265</v>
      </c>
      <c r="L194" s="341"/>
      <c r="M194" s="159"/>
      <c r="N194" s="337"/>
      <c r="O194" s="336" t="s">
        <v>124</v>
      </c>
      <c r="P194" s="338" t="s">
        <v>258</v>
      </c>
      <c r="Q194" s="338" t="s">
        <v>265</v>
      </c>
      <c r="R194" s="341"/>
      <c r="T194" s="158"/>
      <c r="U194" s="159"/>
      <c r="V194" s="159"/>
      <c r="W194" s="159"/>
      <c r="X194" s="159"/>
    </row>
    <row r="195" spans="2:24" ht="12.75" customHeight="1" x14ac:dyDescent="0.2">
      <c r="B195" s="337"/>
      <c r="C195" s="337"/>
      <c r="D195" s="339"/>
      <c r="E195" s="342"/>
      <c r="F195" s="344"/>
      <c r="G195" s="159"/>
      <c r="H195" s="337"/>
      <c r="I195" s="337"/>
      <c r="J195" s="339"/>
      <c r="K195" s="342"/>
      <c r="L195" s="344"/>
      <c r="M195" s="159"/>
      <c r="N195" s="337"/>
      <c r="O195" s="337"/>
      <c r="P195" s="339"/>
      <c r="Q195" s="342"/>
      <c r="R195" s="344"/>
      <c r="T195" s="158"/>
      <c r="U195" s="159"/>
      <c r="V195" s="159"/>
      <c r="W195" s="159"/>
      <c r="X195" s="159"/>
    </row>
    <row r="196" spans="2:24" ht="14.25" x14ac:dyDescent="0.2">
      <c r="B196" s="345"/>
      <c r="C196" s="160" t="s">
        <v>8</v>
      </c>
      <c r="D196" s="160" t="s">
        <v>132</v>
      </c>
      <c r="E196" s="160" t="s">
        <v>266</v>
      </c>
      <c r="F196" s="161" t="s">
        <v>267</v>
      </c>
      <c r="G196" s="99"/>
      <c r="H196" s="337"/>
      <c r="I196" s="160" t="s">
        <v>8</v>
      </c>
      <c r="J196" s="160" t="s">
        <v>132</v>
      </c>
      <c r="K196" s="160" t="s">
        <v>266</v>
      </c>
      <c r="L196" s="161" t="s">
        <v>267</v>
      </c>
      <c r="M196" s="162"/>
      <c r="N196" s="337"/>
      <c r="O196" s="160" t="s">
        <v>8</v>
      </c>
      <c r="P196" s="160" t="s">
        <v>132</v>
      </c>
      <c r="Q196" s="160" t="s">
        <v>266</v>
      </c>
      <c r="R196" s="161" t="s">
        <v>267</v>
      </c>
      <c r="T196" s="158"/>
      <c r="U196" s="162"/>
      <c r="V196" s="162"/>
      <c r="W196" s="162"/>
      <c r="X196" s="162"/>
    </row>
    <row r="197" spans="2:24" x14ac:dyDescent="0.2">
      <c r="B197" s="330">
        <v>2.38</v>
      </c>
      <c r="C197" s="106">
        <v>20</v>
      </c>
      <c r="D197" s="109">
        <v>0.28799999999999998</v>
      </c>
      <c r="E197" s="81">
        <v>17.600000000000001</v>
      </c>
      <c r="F197" s="80" t="s">
        <v>59</v>
      </c>
      <c r="G197" s="99"/>
      <c r="H197" s="330">
        <v>2.38</v>
      </c>
      <c r="I197" s="106">
        <v>20</v>
      </c>
      <c r="J197" s="109">
        <v>0.28799999999999998</v>
      </c>
      <c r="K197" s="81">
        <v>20</v>
      </c>
      <c r="L197" s="80" t="s">
        <v>59</v>
      </c>
      <c r="M197" s="123"/>
      <c r="N197" s="330">
        <v>2.38</v>
      </c>
      <c r="O197" s="106">
        <v>20</v>
      </c>
      <c r="P197" s="109">
        <v>0.28799999999999998</v>
      </c>
      <c r="Q197" s="81">
        <v>22.5</v>
      </c>
      <c r="R197" s="80" t="s">
        <v>59</v>
      </c>
      <c r="T197" s="163"/>
      <c r="U197" s="91"/>
      <c r="V197" s="137"/>
      <c r="W197" s="138"/>
      <c r="X197" s="123"/>
    </row>
    <row r="198" spans="2:24" x14ac:dyDescent="0.2">
      <c r="B198" s="331"/>
      <c r="C198" s="164">
        <v>25</v>
      </c>
      <c r="D198" s="165">
        <v>0.32400000000000001</v>
      </c>
      <c r="E198" s="166">
        <v>18.399999999999999</v>
      </c>
      <c r="F198" s="167" t="s">
        <v>59</v>
      </c>
      <c r="G198" s="138"/>
      <c r="H198" s="331"/>
      <c r="I198" s="164">
        <v>25</v>
      </c>
      <c r="J198" s="165">
        <v>0.32400000000000001</v>
      </c>
      <c r="K198" s="166">
        <v>20.9</v>
      </c>
      <c r="L198" s="167" t="s">
        <v>59</v>
      </c>
      <c r="M198" s="123"/>
      <c r="N198" s="331"/>
      <c r="O198" s="164">
        <v>25</v>
      </c>
      <c r="P198" s="165">
        <v>0.32400000000000001</v>
      </c>
      <c r="Q198" s="166">
        <v>22.9</v>
      </c>
      <c r="R198" s="167" t="s">
        <v>59</v>
      </c>
      <c r="T198" s="163"/>
      <c r="U198" s="91"/>
      <c r="V198" s="137"/>
      <c r="W198" s="138"/>
      <c r="X198" s="123"/>
    </row>
    <row r="199" spans="2:24" x14ac:dyDescent="0.2">
      <c r="B199" s="331"/>
      <c r="C199" s="79">
        <v>30</v>
      </c>
      <c r="D199" s="109">
        <v>0.36</v>
      </c>
      <c r="E199" s="81">
        <v>19.3</v>
      </c>
      <c r="F199" s="80" t="s">
        <v>59</v>
      </c>
      <c r="G199" s="138"/>
      <c r="H199" s="331"/>
      <c r="I199" s="79">
        <v>30</v>
      </c>
      <c r="J199" s="109">
        <v>0.36</v>
      </c>
      <c r="K199" s="81">
        <v>21.8</v>
      </c>
      <c r="L199" s="80" t="s">
        <v>59</v>
      </c>
      <c r="M199" s="123"/>
      <c r="N199" s="331"/>
      <c r="O199" s="79">
        <v>30</v>
      </c>
      <c r="P199" s="109">
        <v>0.36</v>
      </c>
      <c r="Q199" s="81">
        <v>23.4</v>
      </c>
      <c r="R199" s="80" t="s">
        <v>59</v>
      </c>
      <c r="T199" s="163"/>
      <c r="U199" s="91"/>
      <c r="V199" s="137"/>
      <c r="W199" s="138"/>
      <c r="X199" s="123"/>
    </row>
    <row r="200" spans="2:24" x14ac:dyDescent="0.2">
      <c r="B200" s="332"/>
      <c r="C200" s="168">
        <v>35</v>
      </c>
      <c r="D200" s="169" t="s">
        <v>59</v>
      </c>
      <c r="E200" s="170" t="s">
        <v>59</v>
      </c>
      <c r="F200" s="171" t="s">
        <v>59</v>
      </c>
      <c r="G200" s="138"/>
      <c r="H200" s="332"/>
      <c r="I200" s="168">
        <v>35</v>
      </c>
      <c r="J200" s="169" t="s">
        <v>59</v>
      </c>
      <c r="K200" s="170" t="s">
        <v>59</v>
      </c>
      <c r="L200" s="171" t="s">
        <v>59</v>
      </c>
      <c r="M200" s="123"/>
      <c r="N200" s="332"/>
      <c r="O200" s="168">
        <v>35</v>
      </c>
      <c r="P200" s="169" t="s">
        <v>59</v>
      </c>
      <c r="Q200" s="170" t="s">
        <v>59</v>
      </c>
      <c r="R200" s="171" t="s">
        <v>59</v>
      </c>
      <c r="T200" s="163"/>
      <c r="U200" s="91"/>
      <c r="V200" s="137"/>
      <c r="W200" s="138"/>
      <c r="X200" s="123"/>
    </row>
    <row r="201" spans="2:24" x14ac:dyDescent="0.2">
      <c r="B201" s="330">
        <v>2.78</v>
      </c>
      <c r="C201" s="106">
        <v>20</v>
      </c>
      <c r="D201" s="109">
        <v>0.39600000000000002</v>
      </c>
      <c r="E201" s="81">
        <v>18.2</v>
      </c>
      <c r="F201" s="80" t="s">
        <v>59</v>
      </c>
      <c r="G201" s="138"/>
      <c r="H201" s="330">
        <v>2.78</v>
      </c>
      <c r="I201" s="106">
        <v>20</v>
      </c>
      <c r="J201" s="109">
        <v>0.39600000000000002</v>
      </c>
      <c r="K201" s="81">
        <v>20.6</v>
      </c>
      <c r="L201" s="80" t="s">
        <v>59</v>
      </c>
      <c r="M201" s="123"/>
      <c r="N201" s="330">
        <v>2.78</v>
      </c>
      <c r="O201" s="106">
        <v>20</v>
      </c>
      <c r="P201" s="109">
        <v>0.39600000000000002</v>
      </c>
      <c r="Q201" s="81">
        <v>23.1</v>
      </c>
      <c r="R201" s="80" t="s">
        <v>59</v>
      </c>
      <c r="T201" s="163"/>
      <c r="U201" s="91"/>
      <c r="V201" s="137"/>
      <c r="W201" s="138"/>
      <c r="X201" s="123"/>
    </row>
    <row r="202" spans="2:24" x14ac:dyDescent="0.2">
      <c r="B202" s="331"/>
      <c r="C202" s="164">
        <v>25</v>
      </c>
      <c r="D202" s="165">
        <v>0.46800000000000003</v>
      </c>
      <c r="E202" s="166">
        <v>19</v>
      </c>
      <c r="F202" s="167" t="s">
        <v>59</v>
      </c>
      <c r="G202" s="138"/>
      <c r="H202" s="331"/>
      <c r="I202" s="164">
        <v>25</v>
      </c>
      <c r="J202" s="165">
        <v>0.46800000000000003</v>
      </c>
      <c r="K202" s="166">
        <v>21.5</v>
      </c>
      <c r="L202" s="167" t="s">
        <v>59</v>
      </c>
      <c r="M202" s="123"/>
      <c r="N202" s="331"/>
      <c r="O202" s="164">
        <v>25</v>
      </c>
      <c r="P202" s="165">
        <v>0.46800000000000003</v>
      </c>
      <c r="Q202" s="166">
        <v>23.5</v>
      </c>
      <c r="R202" s="167" t="s">
        <v>59</v>
      </c>
      <c r="T202" s="163"/>
      <c r="U202" s="91"/>
      <c r="V202" s="137"/>
      <c r="W202" s="138"/>
      <c r="X202" s="123"/>
    </row>
    <row r="203" spans="2:24" x14ac:dyDescent="0.2">
      <c r="B203" s="331"/>
      <c r="C203" s="79">
        <v>30</v>
      </c>
      <c r="D203" s="109">
        <v>0.504</v>
      </c>
      <c r="E203" s="81">
        <v>19.899999999999999</v>
      </c>
      <c r="F203" s="80" t="s">
        <v>59</v>
      </c>
      <c r="G203" s="138"/>
      <c r="H203" s="331"/>
      <c r="I203" s="79">
        <v>30</v>
      </c>
      <c r="J203" s="109">
        <v>0.504</v>
      </c>
      <c r="K203" s="81">
        <v>22.4</v>
      </c>
      <c r="L203" s="80" t="s">
        <v>59</v>
      </c>
      <c r="M203" s="123"/>
      <c r="N203" s="331"/>
      <c r="O203" s="79">
        <v>30</v>
      </c>
      <c r="P203" s="109">
        <v>0.504</v>
      </c>
      <c r="Q203" s="81">
        <v>24</v>
      </c>
      <c r="R203" s="80" t="s">
        <v>59</v>
      </c>
      <c r="T203" s="163"/>
      <c r="U203" s="91"/>
      <c r="V203" s="137"/>
      <c r="W203" s="138"/>
      <c r="X203" s="123"/>
    </row>
    <row r="204" spans="2:24" x14ac:dyDescent="0.2">
      <c r="B204" s="332"/>
      <c r="C204" s="168">
        <v>35</v>
      </c>
      <c r="D204" s="169">
        <v>0.54</v>
      </c>
      <c r="E204" s="170">
        <v>20.5</v>
      </c>
      <c r="F204" s="171" t="s">
        <v>59</v>
      </c>
      <c r="G204" s="138"/>
      <c r="H204" s="332"/>
      <c r="I204" s="168">
        <v>35</v>
      </c>
      <c r="J204" s="169">
        <v>0.54</v>
      </c>
      <c r="K204" s="170">
        <v>22.9</v>
      </c>
      <c r="L204" s="171" t="s">
        <v>59</v>
      </c>
      <c r="M204" s="123"/>
      <c r="N204" s="332"/>
      <c r="O204" s="168">
        <v>35</v>
      </c>
      <c r="P204" s="169">
        <v>0.54</v>
      </c>
      <c r="Q204" s="170">
        <v>24.4</v>
      </c>
      <c r="R204" s="171" t="s">
        <v>59</v>
      </c>
      <c r="T204" s="163"/>
      <c r="U204" s="91"/>
      <c r="V204" s="137"/>
      <c r="W204" s="138"/>
      <c r="X204" s="123"/>
    </row>
    <row r="205" spans="2:24" x14ac:dyDescent="0.2">
      <c r="B205" s="330">
        <v>3.18</v>
      </c>
      <c r="C205" s="106">
        <v>20</v>
      </c>
      <c r="D205" s="109">
        <v>0.54</v>
      </c>
      <c r="E205" s="81">
        <v>18.8</v>
      </c>
      <c r="F205" s="80" t="s">
        <v>59</v>
      </c>
      <c r="G205" s="138"/>
      <c r="H205" s="330">
        <v>3.18</v>
      </c>
      <c r="I205" s="106">
        <v>20</v>
      </c>
      <c r="J205" s="109">
        <v>0.54</v>
      </c>
      <c r="K205" s="81">
        <v>21.2</v>
      </c>
      <c r="L205" s="80" t="s">
        <v>59</v>
      </c>
      <c r="M205" s="123"/>
      <c r="N205" s="330">
        <v>3.18</v>
      </c>
      <c r="O205" s="106">
        <v>20</v>
      </c>
      <c r="P205" s="109">
        <v>0.54</v>
      </c>
      <c r="Q205" s="81">
        <v>23.7</v>
      </c>
      <c r="R205" s="80" t="s">
        <v>59</v>
      </c>
      <c r="T205" s="163"/>
      <c r="U205" s="91"/>
      <c r="V205" s="137"/>
      <c r="W205" s="138"/>
      <c r="X205" s="123"/>
    </row>
    <row r="206" spans="2:24" ht="12.75" customHeight="1" x14ac:dyDescent="0.2">
      <c r="B206" s="331"/>
      <c r="C206" s="164">
        <v>25</v>
      </c>
      <c r="D206" s="165">
        <v>0.61199999999999999</v>
      </c>
      <c r="E206" s="166">
        <v>19.7</v>
      </c>
      <c r="F206" s="167" t="s">
        <v>59</v>
      </c>
      <c r="G206" s="138"/>
      <c r="H206" s="331"/>
      <c r="I206" s="164">
        <v>25</v>
      </c>
      <c r="J206" s="165">
        <v>0.61199999999999999</v>
      </c>
      <c r="K206" s="166">
        <v>22.1</v>
      </c>
      <c r="L206" s="167" t="s">
        <v>59</v>
      </c>
      <c r="M206" s="123"/>
      <c r="N206" s="331"/>
      <c r="O206" s="164">
        <v>25</v>
      </c>
      <c r="P206" s="165">
        <v>0.61199999999999999</v>
      </c>
      <c r="Q206" s="166">
        <v>24.2</v>
      </c>
      <c r="R206" s="167" t="s">
        <v>59</v>
      </c>
      <c r="T206" s="163"/>
      <c r="U206" s="91"/>
      <c r="V206" s="137"/>
      <c r="W206" s="138"/>
      <c r="X206" s="123"/>
    </row>
    <row r="207" spans="2:24" ht="12.75" customHeight="1" x14ac:dyDescent="0.2">
      <c r="B207" s="331"/>
      <c r="C207" s="79">
        <v>30</v>
      </c>
      <c r="D207" s="109">
        <v>0.64800000000000002</v>
      </c>
      <c r="E207" s="81">
        <v>20.5</v>
      </c>
      <c r="F207" s="80" t="s">
        <v>59</v>
      </c>
      <c r="G207" s="138"/>
      <c r="H207" s="331"/>
      <c r="I207" s="79">
        <v>30</v>
      </c>
      <c r="J207" s="109">
        <v>0.64800000000000002</v>
      </c>
      <c r="K207" s="81">
        <v>23</v>
      </c>
      <c r="L207" s="80" t="s">
        <v>59</v>
      </c>
      <c r="M207" s="123"/>
      <c r="N207" s="331"/>
      <c r="O207" s="79">
        <v>30</v>
      </c>
      <c r="P207" s="109">
        <v>0.64800000000000002</v>
      </c>
      <c r="Q207" s="81">
        <v>24.6</v>
      </c>
      <c r="R207" s="80" t="s">
        <v>59</v>
      </c>
      <c r="T207" s="163"/>
      <c r="U207" s="91"/>
      <c r="V207" s="137"/>
      <c r="W207" s="138"/>
      <c r="X207" s="123"/>
    </row>
    <row r="208" spans="2:24" x14ac:dyDescent="0.2">
      <c r="B208" s="332"/>
      <c r="C208" s="168">
        <v>35</v>
      </c>
      <c r="D208" s="169">
        <v>0.72</v>
      </c>
      <c r="E208" s="170">
        <v>21.1</v>
      </c>
      <c r="F208" s="171" t="s">
        <v>59</v>
      </c>
      <c r="G208" s="138"/>
      <c r="H208" s="332"/>
      <c r="I208" s="168">
        <v>35</v>
      </c>
      <c r="J208" s="169">
        <v>0.72</v>
      </c>
      <c r="K208" s="170">
        <v>23.5</v>
      </c>
      <c r="L208" s="171" t="s">
        <v>59</v>
      </c>
      <c r="M208" s="123"/>
      <c r="N208" s="332"/>
      <c r="O208" s="168">
        <v>35</v>
      </c>
      <c r="P208" s="169">
        <v>0.72</v>
      </c>
      <c r="Q208" s="170">
        <v>25</v>
      </c>
      <c r="R208" s="171" t="s">
        <v>59</v>
      </c>
      <c r="T208" s="163"/>
      <c r="U208" s="91"/>
      <c r="V208" s="137"/>
      <c r="W208" s="138"/>
      <c r="X208" s="123"/>
    </row>
    <row r="209" spans="2:26" ht="12.75" customHeight="1" x14ac:dyDescent="0.2">
      <c r="B209" s="330">
        <v>3.57</v>
      </c>
      <c r="C209" s="106">
        <v>20</v>
      </c>
      <c r="D209" s="109">
        <v>0.68400000000000005</v>
      </c>
      <c r="E209" s="81">
        <v>19.399999999999999</v>
      </c>
      <c r="F209" s="80" t="s">
        <v>59</v>
      </c>
      <c r="G209" s="138"/>
      <c r="H209" s="330">
        <v>3.57</v>
      </c>
      <c r="I209" s="106">
        <v>20</v>
      </c>
      <c r="J209" s="109">
        <v>0.68400000000000005</v>
      </c>
      <c r="K209" s="81">
        <v>21.5</v>
      </c>
      <c r="L209" s="80" t="s">
        <v>59</v>
      </c>
      <c r="M209" s="123"/>
      <c r="N209" s="330">
        <v>3.57</v>
      </c>
      <c r="O209" s="106">
        <v>20</v>
      </c>
      <c r="P209" s="109">
        <v>0.68400000000000005</v>
      </c>
      <c r="Q209" s="81">
        <v>24</v>
      </c>
      <c r="R209" s="80" t="s">
        <v>59</v>
      </c>
      <c r="T209" s="163"/>
      <c r="U209" s="91"/>
      <c r="V209" s="137"/>
      <c r="W209" s="138"/>
      <c r="X209" s="123"/>
    </row>
    <row r="210" spans="2:26" x14ac:dyDescent="0.2">
      <c r="B210" s="331"/>
      <c r="C210" s="164">
        <v>25</v>
      </c>
      <c r="D210" s="165">
        <v>0.75600000000000001</v>
      </c>
      <c r="E210" s="166">
        <v>20.3</v>
      </c>
      <c r="F210" s="167" t="s">
        <v>59</v>
      </c>
      <c r="H210" s="331"/>
      <c r="I210" s="164">
        <v>25</v>
      </c>
      <c r="J210" s="165">
        <v>0.75600000000000001</v>
      </c>
      <c r="K210" s="166">
        <v>22.4</v>
      </c>
      <c r="L210" s="167" t="s">
        <v>59</v>
      </c>
      <c r="M210" s="123"/>
      <c r="N210" s="331"/>
      <c r="O210" s="164">
        <v>25</v>
      </c>
      <c r="P210" s="165">
        <v>0.75600000000000001</v>
      </c>
      <c r="Q210" s="166">
        <v>24.5</v>
      </c>
      <c r="R210" s="167" t="s">
        <v>59</v>
      </c>
      <c r="T210" s="163"/>
      <c r="U210" s="91"/>
      <c r="V210" s="137"/>
      <c r="W210" s="138"/>
      <c r="X210" s="123"/>
    </row>
    <row r="211" spans="2:26" x14ac:dyDescent="0.2">
      <c r="B211" s="331"/>
      <c r="C211" s="79">
        <v>30</v>
      </c>
      <c r="D211" s="109">
        <v>0.82799999999999996</v>
      </c>
      <c r="E211" s="81">
        <v>21.2</v>
      </c>
      <c r="F211" s="80" t="s">
        <v>59</v>
      </c>
      <c r="H211" s="331"/>
      <c r="I211" s="79">
        <v>30</v>
      </c>
      <c r="J211" s="109">
        <v>0.82799999999999996</v>
      </c>
      <c r="K211" s="81">
        <v>23.3</v>
      </c>
      <c r="L211" s="80" t="s">
        <v>59</v>
      </c>
      <c r="M211" s="123"/>
      <c r="N211" s="331"/>
      <c r="O211" s="79">
        <v>30</v>
      </c>
      <c r="P211" s="109">
        <v>0.82799999999999996</v>
      </c>
      <c r="Q211" s="81">
        <v>24.9</v>
      </c>
      <c r="R211" s="80" t="s">
        <v>59</v>
      </c>
      <c r="T211" s="163"/>
      <c r="U211" s="91"/>
      <c r="V211" s="137"/>
      <c r="W211" s="138"/>
      <c r="X211" s="123"/>
    </row>
    <row r="212" spans="2:26" x14ac:dyDescent="0.2">
      <c r="B212" s="332"/>
      <c r="C212" s="168">
        <v>35</v>
      </c>
      <c r="D212" s="169">
        <v>0.9</v>
      </c>
      <c r="E212" s="170">
        <v>21.7</v>
      </c>
      <c r="F212" s="171" t="s">
        <v>59</v>
      </c>
      <c r="H212" s="332"/>
      <c r="I212" s="168">
        <v>35</v>
      </c>
      <c r="J212" s="169">
        <v>0.9</v>
      </c>
      <c r="K212" s="170">
        <v>23.8</v>
      </c>
      <c r="L212" s="171" t="s">
        <v>59</v>
      </c>
      <c r="M212" s="123"/>
      <c r="N212" s="332"/>
      <c r="O212" s="168">
        <v>35</v>
      </c>
      <c r="P212" s="169">
        <v>0.9</v>
      </c>
      <c r="Q212" s="170">
        <v>25.3</v>
      </c>
      <c r="R212" s="171" t="s">
        <v>59</v>
      </c>
      <c r="T212" s="163"/>
      <c r="U212" s="91"/>
      <c r="V212" s="137"/>
      <c r="W212" s="138"/>
      <c r="X212" s="123"/>
    </row>
    <row r="216" spans="2:26" x14ac:dyDescent="0.2">
      <c r="B216" s="92" t="s">
        <v>113</v>
      </c>
      <c r="H216" s="155"/>
      <c r="I216" s="92" t="s">
        <v>113</v>
      </c>
      <c r="J216" s="155"/>
      <c r="K216" s="155"/>
      <c r="L216" s="155"/>
      <c r="M216" s="155"/>
      <c r="P216" s="156"/>
      <c r="Q216" s="157"/>
      <c r="R216" s="157"/>
      <c r="S216" s="157"/>
      <c r="T216" s="94"/>
      <c r="U216" s="94"/>
      <c r="V216" s="156"/>
      <c r="W216" s="157"/>
      <c r="X216" s="157"/>
      <c r="Y216" s="157"/>
      <c r="Z216" s="94"/>
    </row>
    <row r="217" spans="2:26" x14ac:dyDescent="0.2">
      <c r="B217" s="66" t="s">
        <v>268</v>
      </c>
      <c r="H217" s="155"/>
      <c r="I217" s="66" t="s">
        <v>269</v>
      </c>
      <c r="J217" s="155"/>
      <c r="K217" s="155"/>
      <c r="L217" s="155"/>
      <c r="M217" s="155"/>
      <c r="P217" s="142"/>
      <c r="Q217" s="157"/>
      <c r="R217" s="157"/>
      <c r="S217" s="157"/>
      <c r="T217" s="94"/>
      <c r="U217" s="94"/>
      <c r="V217" s="142"/>
      <c r="W217" s="157"/>
      <c r="X217" s="157"/>
      <c r="Y217" s="157"/>
      <c r="Z217" s="94"/>
    </row>
    <row r="218" spans="2:26" ht="12.75" customHeight="1" x14ac:dyDescent="0.2">
      <c r="B218" s="336" t="s">
        <v>257</v>
      </c>
      <c r="C218" s="333" t="s">
        <v>264</v>
      </c>
      <c r="D218" s="334"/>
      <c r="E218" s="334"/>
      <c r="F218" s="335"/>
      <c r="G218" s="99"/>
      <c r="H218" s="336" t="s">
        <v>257</v>
      </c>
      <c r="I218" s="333" t="s">
        <v>264</v>
      </c>
      <c r="J218" s="334"/>
      <c r="K218" s="334"/>
      <c r="L218" s="334"/>
      <c r="M218" s="334"/>
      <c r="N218" s="335"/>
      <c r="P218" s="172"/>
      <c r="Q218" s="173"/>
      <c r="R218" s="173"/>
      <c r="S218" s="173"/>
      <c r="T218" s="173"/>
      <c r="U218" s="94"/>
      <c r="V218" s="348"/>
      <c r="W218" s="99"/>
      <c r="X218" s="99"/>
      <c r="Y218" s="99"/>
      <c r="Z218" s="99"/>
    </row>
    <row r="219" spans="2:26" ht="12.75" customHeight="1" x14ac:dyDescent="0.2">
      <c r="B219" s="337"/>
      <c r="C219" s="336" t="s">
        <v>124</v>
      </c>
      <c r="D219" s="338" t="s">
        <v>258</v>
      </c>
      <c r="E219" s="338" t="s">
        <v>265</v>
      </c>
      <c r="F219" s="341"/>
      <c r="G219" s="159"/>
      <c r="H219" s="337"/>
      <c r="I219" s="336" t="s">
        <v>124</v>
      </c>
      <c r="J219" s="338" t="s">
        <v>258</v>
      </c>
      <c r="K219" s="338" t="s">
        <v>265</v>
      </c>
      <c r="L219" s="340"/>
      <c r="M219" s="340"/>
      <c r="N219" s="341"/>
      <c r="P219" s="172"/>
      <c r="Q219" s="174"/>
      <c r="R219" s="174"/>
      <c r="S219" s="174"/>
      <c r="T219" s="174"/>
      <c r="U219" s="94"/>
      <c r="V219" s="348"/>
      <c r="W219" s="347"/>
      <c r="X219" s="347"/>
      <c r="Y219" s="347"/>
      <c r="Z219" s="347"/>
    </row>
    <row r="220" spans="2:26" x14ac:dyDescent="0.2">
      <c r="B220" s="337"/>
      <c r="C220" s="337"/>
      <c r="D220" s="339"/>
      <c r="E220" s="342"/>
      <c r="F220" s="344"/>
      <c r="G220" s="159"/>
      <c r="H220" s="337"/>
      <c r="I220" s="337"/>
      <c r="J220" s="339"/>
      <c r="K220" s="342"/>
      <c r="L220" s="343"/>
      <c r="M220" s="343"/>
      <c r="N220" s="344"/>
      <c r="P220" s="172"/>
      <c r="Q220" s="174"/>
      <c r="R220" s="174"/>
      <c r="S220" s="174"/>
      <c r="T220" s="174"/>
      <c r="U220" s="94"/>
      <c r="V220" s="348"/>
      <c r="W220" s="347"/>
      <c r="X220" s="347"/>
      <c r="Y220" s="347"/>
      <c r="Z220" s="347"/>
    </row>
    <row r="221" spans="2:26" ht="14.25" x14ac:dyDescent="0.2">
      <c r="B221" s="345"/>
      <c r="C221" s="160" t="s">
        <v>8</v>
      </c>
      <c r="D221" s="160" t="s">
        <v>132</v>
      </c>
      <c r="E221" s="160" t="s">
        <v>266</v>
      </c>
      <c r="F221" s="161" t="s">
        <v>267</v>
      </c>
      <c r="G221" s="99"/>
      <c r="H221" s="337"/>
      <c r="I221" s="160" t="s">
        <v>8</v>
      </c>
      <c r="J221" s="160" t="s">
        <v>132</v>
      </c>
      <c r="K221" s="160" t="s">
        <v>266</v>
      </c>
      <c r="L221" s="161" t="s">
        <v>270</v>
      </c>
      <c r="M221" s="161" t="s">
        <v>271</v>
      </c>
      <c r="N221" s="161" t="s">
        <v>267</v>
      </c>
      <c r="P221" s="172"/>
      <c r="Q221" s="162"/>
      <c r="R221" s="162"/>
      <c r="S221" s="162"/>
      <c r="T221" s="162"/>
      <c r="U221" s="94"/>
      <c r="V221" s="348"/>
      <c r="W221" s="162"/>
      <c r="X221" s="162"/>
      <c r="Y221" s="162"/>
      <c r="Z221" s="162"/>
    </row>
    <row r="222" spans="2:26" x14ac:dyDescent="0.2">
      <c r="B222" s="330">
        <v>2.78</v>
      </c>
      <c r="C222" s="106">
        <v>20</v>
      </c>
      <c r="D222" s="109">
        <f>0.11*3.6</f>
        <v>0.39600000000000002</v>
      </c>
      <c r="E222" s="81">
        <v>21.4</v>
      </c>
      <c r="F222" s="80" t="s">
        <v>59</v>
      </c>
      <c r="G222" s="99"/>
      <c r="H222" s="330" t="s">
        <v>272</v>
      </c>
      <c r="I222" s="106">
        <v>20</v>
      </c>
      <c r="J222" s="109">
        <f>0.19*3.6</f>
        <v>0.68400000000000005</v>
      </c>
      <c r="K222" s="81">
        <v>24.2</v>
      </c>
      <c r="L222" s="175">
        <f>K222+(N222-K222)/1.5*0.5</f>
        <v>24.566666666666666</v>
      </c>
      <c r="M222" s="175">
        <f>K222+(N222-K222)/1.5</f>
        <v>24.933333333333334</v>
      </c>
      <c r="N222" s="81">
        <v>25.3</v>
      </c>
      <c r="P222" s="346"/>
      <c r="Q222" s="91"/>
      <c r="R222" s="137"/>
      <c r="S222" s="138"/>
      <c r="T222" s="138"/>
      <c r="U222" s="94"/>
      <c r="V222" s="346"/>
      <c r="W222" s="91"/>
      <c r="X222" s="137"/>
      <c r="Y222" s="138"/>
      <c r="Z222" s="138"/>
    </row>
    <row r="223" spans="2:26" ht="12.75" customHeight="1" x14ac:dyDescent="0.2">
      <c r="B223" s="331"/>
      <c r="C223" s="164">
        <v>25</v>
      </c>
      <c r="D223" s="165">
        <f>0.13*3.6</f>
        <v>0.46800000000000003</v>
      </c>
      <c r="E223" s="166">
        <v>22.8</v>
      </c>
      <c r="F223" s="167" t="s">
        <v>59</v>
      </c>
      <c r="G223" s="138"/>
      <c r="H223" s="331"/>
      <c r="I223" s="164">
        <v>25</v>
      </c>
      <c r="J223" s="165">
        <f>0.21*3.6</f>
        <v>0.75600000000000001</v>
      </c>
      <c r="K223" s="166">
        <v>25.2</v>
      </c>
      <c r="L223" s="166">
        <f t="shared" ref="L223:L245" si="31">K223+(N223-K223)/1.5*0.5</f>
        <v>25.366666666666667</v>
      </c>
      <c r="M223" s="166">
        <f t="shared" ref="M223:M245" si="32">K223+(N223-K223)/1.5</f>
        <v>25.533333333333331</v>
      </c>
      <c r="N223" s="166">
        <v>25.7</v>
      </c>
      <c r="P223" s="346"/>
      <c r="Q223" s="91"/>
      <c r="R223" s="137"/>
      <c r="S223" s="138"/>
      <c r="T223" s="138"/>
      <c r="U223" s="94"/>
      <c r="V223" s="346"/>
      <c r="W223" s="91"/>
      <c r="X223" s="137"/>
      <c r="Y223" s="138"/>
      <c r="Z223" s="138"/>
    </row>
    <row r="224" spans="2:26" ht="12.75" customHeight="1" x14ac:dyDescent="0.2">
      <c r="B224" s="331"/>
      <c r="C224" s="79">
        <v>30</v>
      </c>
      <c r="D224" s="109">
        <f>0.14*3.6</f>
        <v>0.50400000000000011</v>
      </c>
      <c r="E224" s="81">
        <v>24.1</v>
      </c>
      <c r="F224" s="80" t="s">
        <v>59</v>
      </c>
      <c r="G224" s="138"/>
      <c r="H224" s="331"/>
      <c r="I224" s="79">
        <v>30</v>
      </c>
      <c r="J224" s="109">
        <f>0.23*3.6</f>
        <v>0.82800000000000007</v>
      </c>
      <c r="K224" s="81">
        <v>26.1</v>
      </c>
      <c r="L224" s="81">
        <f t="shared" si="31"/>
        <v>26.1</v>
      </c>
      <c r="M224" s="81">
        <f t="shared" si="32"/>
        <v>26.1</v>
      </c>
      <c r="N224" s="81">
        <v>26.1</v>
      </c>
      <c r="P224" s="346"/>
      <c r="Q224" s="91"/>
      <c r="R224" s="137"/>
      <c r="S224" s="138"/>
      <c r="T224" s="138"/>
      <c r="U224" s="94"/>
      <c r="V224" s="346"/>
      <c r="W224" s="91"/>
      <c r="X224" s="137"/>
      <c r="Y224" s="138"/>
      <c r="Z224" s="138"/>
    </row>
    <row r="225" spans="2:26" x14ac:dyDescent="0.2">
      <c r="B225" s="332"/>
      <c r="C225" s="168">
        <v>35</v>
      </c>
      <c r="D225" s="169">
        <f>0.15*3.6</f>
        <v>0.54</v>
      </c>
      <c r="E225" s="170">
        <v>25.1</v>
      </c>
      <c r="F225" s="171" t="s">
        <v>59</v>
      </c>
      <c r="G225" s="138"/>
      <c r="H225" s="332"/>
      <c r="I225" s="168">
        <v>35</v>
      </c>
      <c r="J225" s="169">
        <f>0.25*3.6</f>
        <v>0.9</v>
      </c>
      <c r="K225" s="170">
        <v>26.8</v>
      </c>
      <c r="L225" s="170">
        <f t="shared" si="31"/>
        <v>26.7</v>
      </c>
      <c r="M225" s="170">
        <f t="shared" si="32"/>
        <v>26.6</v>
      </c>
      <c r="N225" s="170">
        <v>26.5</v>
      </c>
      <c r="P225" s="346"/>
      <c r="Q225" s="91"/>
      <c r="R225" s="137"/>
      <c r="S225" s="138"/>
      <c r="T225" s="138"/>
      <c r="U225" s="94"/>
      <c r="V225" s="346"/>
      <c r="W225" s="91"/>
      <c r="X225" s="137"/>
      <c r="Y225" s="138"/>
      <c r="Z225" s="138"/>
    </row>
    <row r="226" spans="2:26" ht="12.75" customHeight="1" x14ac:dyDescent="0.2">
      <c r="B226" s="330">
        <v>3.18</v>
      </c>
      <c r="C226" s="106">
        <v>20</v>
      </c>
      <c r="D226" s="109">
        <f>0.15*3.6</f>
        <v>0.54</v>
      </c>
      <c r="E226" s="81">
        <v>22</v>
      </c>
      <c r="F226" s="80" t="s">
        <v>59</v>
      </c>
      <c r="G226" s="138"/>
      <c r="H226" s="330" t="s">
        <v>273</v>
      </c>
      <c r="I226" s="106">
        <v>20</v>
      </c>
      <c r="J226" s="109">
        <f>0.22*3.6</f>
        <v>0.79200000000000004</v>
      </c>
      <c r="K226" s="81">
        <v>25.1</v>
      </c>
      <c r="L226" s="81">
        <f t="shared" si="31"/>
        <v>25.400000000000002</v>
      </c>
      <c r="M226" s="81">
        <f t="shared" si="32"/>
        <v>25.7</v>
      </c>
      <c r="N226" s="81">
        <v>26</v>
      </c>
      <c r="P226" s="346"/>
      <c r="Q226" s="91"/>
      <c r="R226" s="137"/>
      <c r="S226" s="138"/>
      <c r="T226" s="138"/>
      <c r="U226" s="94"/>
      <c r="V226" s="346"/>
      <c r="W226" s="91"/>
      <c r="X226" s="137"/>
      <c r="Y226" s="138"/>
      <c r="Z226" s="138"/>
    </row>
    <row r="227" spans="2:26" x14ac:dyDescent="0.2">
      <c r="B227" s="331"/>
      <c r="C227" s="164">
        <v>25</v>
      </c>
      <c r="D227" s="165">
        <f>0.17*3.6</f>
        <v>0.6120000000000001</v>
      </c>
      <c r="E227" s="166">
        <v>23.4</v>
      </c>
      <c r="F227" s="167" t="s">
        <v>59</v>
      </c>
      <c r="G227" s="138"/>
      <c r="H227" s="331"/>
      <c r="I227" s="164">
        <v>25</v>
      </c>
      <c r="J227" s="165">
        <f>0.25*3.6</f>
        <v>0.9</v>
      </c>
      <c r="K227" s="166">
        <v>26</v>
      </c>
      <c r="L227" s="166">
        <f t="shared" si="31"/>
        <v>26.2</v>
      </c>
      <c r="M227" s="166">
        <f t="shared" si="32"/>
        <v>26.400000000000002</v>
      </c>
      <c r="N227" s="166">
        <v>26.6</v>
      </c>
      <c r="P227" s="346"/>
      <c r="Q227" s="91"/>
      <c r="R227" s="137"/>
      <c r="S227" s="138"/>
      <c r="T227" s="138"/>
      <c r="U227" s="94"/>
      <c r="V227" s="346"/>
      <c r="W227" s="91"/>
      <c r="X227" s="137"/>
      <c r="Y227" s="138"/>
      <c r="Z227" s="138"/>
    </row>
    <row r="228" spans="2:26" x14ac:dyDescent="0.2">
      <c r="B228" s="331"/>
      <c r="C228" s="79">
        <v>30</v>
      </c>
      <c r="D228" s="109">
        <f>0.18*3.6</f>
        <v>0.64800000000000002</v>
      </c>
      <c r="E228" s="81">
        <v>24.7</v>
      </c>
      <c r="F228" s="80" t="s">
        <v>59</v>
      </c>
      <c r="G228" s="138"/>
      <c r="H228" s="331"/>
      <c r="I228" s="79">
        <v>30</v>
      </c>
      <c r="J228" s="109">
        <f>0.27*3.6</f>
        <v>0.97200000000000009</v>
      </c>
      <c r="K228" s="81">
        <v>26.7</v>
      </c>
      <c r="L228" s="81">
        <f t="shared" si="31"/>
        <v>26.833333333333332</v>
      </c>
      <c r="M228" s="81">
        <f t="shared" si="32"/>
        <v>26.966666666666669</v>
      </c>
      <c r="N228" s="81">
        <v>27.1</v>
      </c>
      <c r="P228" s="346"/>
      <c r="Q228" s="91"/>
      <c r="R228" s="137"/>
      <c r="S228" s="138"/>
      <c r="T228" s="138"/>
      <c r="U228" s="94"/>
      <c r="V228" s="346"/>
      <c r="W228" s="91"/>
      <c r="X228" s="137"/>
      <c r="Y228" s="138"/>
      <c r="Z228" s="138"/>
    </row>
    <row r="229" spans="2:26" x14ac:dyDescent="0.2">
      <c r="B229" s="332"/>
      <c r="C229" s="168">
        <v>35</v>
      </c>
      <c r="D229" s="169">
        <f>0.2*3.6</f>
        <v>0.72000000000000008</v>
      </c>
      <c r="E229" s="170">
        <v>25.7</v>
      </c>
      <c r="F229" s="171" t="s">
        <v>59</v>
      </c>
      <c r="G229" s="138"/>
      <c r="H229" s="332"/>
      <c r="I229" s="168">
        <v>35</v>
      </c>
      <c r="J229" s="169">
        <f>0.29*3.6</f>
        <v>1.044</v>
      </c>
      <c r="K229" s="170">
        <v>27.4</v>
      </c>
      <c r="L229" s="170">
        <f t="shared" si="31"/>
        <v>27.433333333333334</v>
      </c>
      <c r="M229" s="170">
        <f t="shared" si="32"/>
        <v>27.466666666666665</v>
      </c>
      <c r="N229" s="170">
        <v>27.5</v>
      </c>
      <c r="P229" s="346"/>
      <c r="Q229" s="91"/>
      <c r="R229" s="137"/>
      <c r="S229" s="138"/>
      <c r="T229" s="138"/>
      <c r="U229" s="94"/>
      <c r="V229" s="346"/>
      <c r="W229" s="91"/>
      <c r="X229" s="137"/>
      <c r="Y229" s="138"/>
      <c r="Z229" s="138"/>
    </row>
    <row r="230" spans="2:26" x14ac:dyDescent="0.2">
      <c r="B230" s="330">
        <v>3.57</v>
      </c>
      <c r="C230" s="106">
        <v>20</v>
      </c>
      <c r="D230" s="109">
        <f>0.19*3.6</f>
        <v>0.68400000000000005</v>
      </c>
      <c r="E230" s="81">
        <v>22.6</v>
      </c>
      <c r="F230" s="80" t="s">
        <v>59</v>
      </c>
      <c r="G230" s="138"/>
      <c r="H230" s="330" t="s">
        <v>274</v>
      </c>
      <c r="I230" s="106">
        <v>20</v>
      </c>
      <c r="J230" s="109">
        <f>0.24*3.6</f>
        <v>0.86399999999999999</v>
      </c>
      <c r="K230" s="81">
        <v>25.1</v>
      </c>
      <c r="L230" s="81">
        <f t="shared" si="31"/>
        <v>25.400000000000002</v>
      </c>
      <c r="M230" s="81">
        <f t="shared" si="32"/>
        <v>25.7</v>
      </c>
      <c r="N230" s="81">
        <v>26</v>
      </c>
      <c r="P230" s="346"/>
      <c r="Q230" s="91"/>
      <c r="R230" s="137"/>
      <c r="S230" s="138"/>
      <c r="T230" s="138"/>
      <c r="U230" s="94"/>
      <c r="V230" s="346"/>
      <c r="W230" s="91"/>
      <c r="X230" s="137"/>
      <c r="Y230" s="138"/>
      <c r="Z230" s="138"/>
    </row>
    <row r="231" spans="2:26" x14ac:dyDescent="0.2">
      <c r="B231" s="331"/>
      <c r="C231" s="164">
        <v>25</v>
      </c>
      <c r="D231" s="165">
        <f>0.21*3.6</f>
        <v>0.75600000000000001</v>
      </c>
      <c r="E231" s="166">
        <v>24</v>
      </c>
      <c r="F231" s="167" t="s">
        <v>59</v>
      </c>
      <c r="G231" s="138"/>
      <c r="H231" s="331"/>
      <c r="I231" s="164">
        <v>25</v>
      </c>
      <c r="J231" s="165">
        <f>0.27*3.6</f>
        <v>0.97200000000000009</v>
      </c>
      <c r="K231" s="166">
        <v>26</v>
      </c>
      <c r="L231" s="166">
        <f t="shared" si="31"/>
        <v>26.2</v>
      </c>
      <c r="M231" s="166">
        <f t="shared" si="32"/>
        <v>26.400000000000002</v>
      </c>
      <c r="N231" s="166">
        <v>26.6</v>
      </c>
      <c r="P231" s="346"/>
      <c r="Q231" s="91"/>
      <c r="R231" s="137"/>
      <c r="S231" s="138"/>
      <c r="T231" s="138"/>
      <c r="U231" s="94"/>
      <c r="V231" s="346"/>
      <c r="W231" s="91"/>
      <c r="X231" s="137"/>
      <c r="Y231" s="138"/>
      <c r="Z231" s="138"/>
    </row>
    <row r="232" spans="2:26" x14ac:dyDescent="0.2">
      <c r="B232" s="331"/>
      <c r="C232" s="79">
        <v>30</v>
      </c>
      <c r="D232" s="109">
        <f>0.23*3.6</f>
        <v>0.82800000000000007</v>
      </c>
      <c r="E232" s="81">
        <v>25.3</v>
      </c>
      <c r="F232" s="80" t="s">
        <v>59</v>
      </c>
      <c r="G232" s="138"/>
      <c r="H232" s="331"/>
      <c r="I232" s="79">
        <v>30</v>
      </c>
      <c r="J232" s="109">
        <f>0.29*3.6</f>
        <v>1.044</v>
      </c>
      <c r="K232" s="81">
        <v>26.7</v>
      </c>
      <c r="L232" s="81">
        <f t="shared" si="31"/>
        <v>26.833333333333332</v>
      </c>
      <c r="M232" s="81">
        <f t="shared" si="32"/>
        <v>26.966666666666669</v>
      </c>
      <c r="N232" s="81">
        <v>27.1</v>
      </c>
      <c r="P232" s="346"/>
      <c r="Q232" s="91"/>
      <c r="R232" s="137"/>
      <c r="S232" s="138"/>
      <c r="T232" s="138"/>
      <c r="U232" s="94"/>
      <c r="V232" s="346"/>
      <c r="W232" s="91"/>
      <c r="X232" s="137"/>
      <c r="Y232" s="138"/>
      <c r="Z232" s="138"/>
    </row>
    <row r="233" spans="2:26" x14ac:dyDescent="0.2">
      <c r="B233" s="332"/>
      <c r="C233" s="168">
        <v>35</v>
      </c>
      <c r="D233" s="169">
        <f>0.25*3.6</f>
        <v>0.9</v>
      </c>
      <c r="E233" s="170">
        <v>26.3</v>
      </c>
      <c r="F233" s="171" t="s">
        <v>59</v>
      </c>
      <c r="G233" s="138"/>
      <c r="H233" s="332"/>
      <c r="I233" s="168">
        <v>35</v>
      </c>
      <c r="J233" s="169">
        <f>0.31*3.6</f>
        <v>1.1160000000000001</v>
      </c>
      <c r="K233" s="170">
        <v>27.4</v>
      </c>
      <c r="L233" s="170">
        <f t="shared" si="31"/>
        <v>27.433333333333334</v>
      </c>
      <c r="M233" s="170">
        <f t="shared" si="32"/>
        <v>27.466666666666665</v>
      </c>
      <c r="N233" s="170">
        <v>27.5</v>
      </c>
      <c r="P233" s="346"/>
      <c r="Q233" s="91"/>
      <c r="R233" s="137"/>
      <c r="S233" s="138"/>
      <c r="T233" s="138"/>
      <c r="U233" s="94"/>
      <c r="V233" s="346"/>
      <c r="W233" s="91"/>
      <c r="X233" s="137"/>
      <c r="Y233" s="138"/>
      <c r="Z233" s="138"/>
    </row>
    <row r="234" spans="2:26" x14ac:dyDescent="0.2">
      <c r="B234" s="330">
        <v>3.97</v>
      </c>
      <c r="C234" s="106">
        <v>20</v>
      </c>
      <c r="D234" s="109">
        <f>0.24*3.6</f>
        <v>0.86399999999999999</v>
      </c>
      <c r="E234" s="81">
        <v>22.9</v>
      </c>
      <c r="F234" s="80" t="s">
        <v>59</v>
      </c>
      <c r="G234" s="138"/>
      <c r="H234" s="330" t="s">
        <v>275</v>
      </c>
      <c r="I234" s="106">
        <v>20</v>
      </c>
      <c r="J234" s="109">
        <f>0.26*3.6</f>
        <v>0.93600000000000005</v>
      </c>
      <c r="K234" s="81">
        <v>25.8</v>
      </c>
      <c r="L234" s="81">
        <f t="shared" si="31"/>
        <v>26</v>
      </c>
      <c r="M234" s="81">
        <f t="shared" si="32"/>
        <v>26.2</v>
      </c>
      <c r="N234" s="81">
        <v>26.4</v>
      </c>
      <c r="P234" s="346"/>
      <c r="Q234" s="91"/>
      <c r="R234" s="137"/>
      <c r="S234" s="138"/>
      <c r="T234" s="138"/>
      <c r="U234" s="94"/>
      <c r="V234" s="346"/>
      <c r="W234" s="91"/>
      <c r="X234" s="137"/>
      <c r="Y234" s="138"/>
      <c r="Z234" s="138"/>
    </row>
    <row r="235" spans="2:26" x14ac:dyDescent="0.2">
      <c r="B235" s="331"/>
      <c r="C235" s="164">
        <v>25</v>
      </c>
      <c r="D235" s="165">
        <f>0.26*3.6</f>
        <v>0.93600000000000005</v>
      </c>
      <c r="E235" s="166">
        <v>24.3</v>
      </c>
      <c r="F235" s="167" t="s">
        <v>59</v>
      </c>
      <c r="H235" s="331"/>
      <c r="I235" s="164">
        <v>25</v>
      </c>
      <c r="J235" s="165">
        <f>0.29*3.6</f>
        <v>1.044</v>
      </c>
      <c r="K235" s="166">
        <v>26.6</v>
      </c>
      <c r="L235" s="166">
        <f t="shared" si="31"/>
        <v>26.766666666666669</v>
      </c>
      <c r="M235" s="166">
        <f t="shared" si="32"/>
        <v>26.933333333333334</v>
      </c>
      <c r="N235" s="166">
        <v>27.1</v>
      </c>
      <c r="P235" s="346"/>
      <c r="Q235" s="91"/>
      <c r="R235" s="137"/>
      <c r="S235" s="138"/>
      <c r="T235" s="138"/>
      <c r="U235" s="94"/>
      <c r="V235" s="346"/>
      <c r="W235" s="91"/>
      <c r="X235" s="137"/>
      <c r="Y235" s="138"/>
      <c r="Z235" s="138"/>
    </row>
    <row r="236" spans="2:26" x14ac:dyDescent="0.2">
      <c r="B236" s="331"/>
      <c r="C236" s="79">
        <v>30</v>
      </c>
      <c r="D236" s="109">
        <f>0.29*3.6</f>
        <v>1.044</v>
      </c>
      <c r="E236" s="81">
        <v>25.6</v>
      </c>
      <c r="F236" s="80" t="s">
        <v>59</v>
      </c>
      <c r="H236" s="331"/>
      <c r="I236" s="79">
        <v>30</v>
      </c>
      <c r="J236" s="109">
        <f>0.32*3.6</f>
        <v>1.1520000000000001</v>
      </c>
      <c r="K236" s="81">
        <v>27.2</v>
      </c>
      <c r="L236" s="81">
        <f t="shared" si="31"/>
        <v>27.333333333333332</v>
      </c>
      <c r="M236" s="81">
        <f t="shared" si="32"/>
        <v>27.466666666666669</v>
      </c>
      <c r="N236" s="81">
        <v>27.6</v>
      </c>
      <c r="P236" s="346"/>
      <c r="Q236" s="91"/>
      <c r="R236" s="137"/>
      <c r="S236" s="138"/>
      <c r="T236" s="138"/>
      <c r="U236" s="94"/>
      <c r="V236" s="346"/>
      <c r="W236" s="91"/>
      <c r="X236" s="137"/>
      <c r="Y236" s="138"/>
      <c r="Z236" s="138"/>
    </row>
    <row r="237" spans="2:26" x14ac:dyDescent="0.2">
      <c r="B237" s="332"/>
      <c r="C237" s="168">
        <v>35</v>
      </c>
      <c r="D237" s="169">
        <f>0.31*3.6</f>
        <v>1.1160000000000001</v>
      </c>
      <c r="E237" s="170">
        <v>26.6</v>
      </c>
      <c r="F237" s="171" t="s">
        <v>59</v>
      </c>
      <c r="H237" s="332"/>
      <c r="I237" s="168">
        <v>35</v>
      </c>
      <c r="J237" s="169">
        <f>0.34*3.6</f>
        <v>1.2240000000000002</v>
      </c>
      <c r="K237" s="170">
        <v>27.8</v>
      </c>
      <c r="L237" s="170">
        <f t="shared" si="31"/>
        <v>27.900000000000002</v>
      </c>
      <c r="M237" s="170">
        <f t="shared" si="32"/>
        <v>28</v>
      </c>
      <c r="N237" s="170">
        <v>28.1</v>
      </c>
      <c r="P237" s="346"/>
      <c r="Q237" s="91"/>
      <c r="R237" s="137"/>
      <c r="S237" s="138"/>
      <c r="T237" s="138"/>
      <c r="U237" s="94"/>
      <c r="V237" s="346"/>
      <c r="W237" s="91"/>
      <c r="X237" s="137"/>
      <c r="Y237" s="138"/>
      <c r="Z237" s="138"/>
    </row>
    <row r="238" spans="2:26" x14ac:dyDescent="0.2">
      <c r="H238" s="330" t="s">
        <v>276</v>
      </c>
      <c r="I238" s="106">
        <v>20</v>
      </c>
      <c r="J238" s="109">
        <f>0.27*3.6</f>
        <v>0.97200000000000009</v>
      </c>
      <c r="K238" s="81">
        <v>25.8</v>
      </c>
      <c r="L238" s="81">
        <f t="shared" si="31"/>
        <v>26</v>
      </c>
      <c r="M238" s="81">
        <f t="shared" si="32"/>
        <v>26.2</v>
      </c>
      <c r="N238" s="81">
        <v>26.4</v>
      </c>
      <c r="P238" s="346"/>
      <c r="Q238" s="91"/>
      <c r="R238" s="137"/>
      <c r="S238" s="138"/>
      <c r="T238" s="138"/>
      <c r="U238" s="94"/>
      <c r="V238" s="94"/>
      <c r="W238" s="94"/>
      <c r="X238" s="94"/>
      <c r="Y238" s="94"/>
      <c r="Z238" s="94"/>
    </row>
    <row r="239" spans="2:26" x14ac:dyDescent="0.2">
      <c r="H239" s="331"/>
      <c r="I239" s="164">
        <v>25</v>
      </c>
      <c r="J239" s="165">
        <f>0.31*3.6</f>
        <v>1.1160000000000001</v>
      </c>
      <c r="K239" s="166">
        <v>26.6</v>
      </c>
      <c r="L239" s="166">
        <f t="shared" si="31"/>
        <v>26.766666666666669</v>
      </c>
      <c r="M239" s="166">
        <f t="shared" si="32"/>
        <v>26.933333333333334</v>
      </c>
      <c r="N239" s="166">
        <v>27.1</v>
      </c>
      <c r="P239" s="346"/>
      <c r="Q239" s="91"/>
      <c r="R239" s="137"/>
      <c r="S239" s="138"/>
      <c r="T239" s="138"/>
      <c r="U239" s="94"/>
      <c r="V239" s="94"/>
      <c r="W239" s="94"/>
      <c r="X239" s="94"/>
      <c r="Y239" s="94"/>
      <c r="Z239" s="94"/>
    </row>
    <row r="240" spans="2:26" x14ac:dyDescent="0.2">
      <c r="H240" s="331"/>
      <c r="I240" s="79">
        <v>30</v>
      </c>
      <c r="J240" s="109">
        <f>0.33*3.6</f>
        <v>1.1880000000000002</v>
      </c>
      <c r="K240" s="81">
        <v>27.2</v>
      </c>
      <c r="L240" s="81">
        <f t="shared" si="31"/>
        <v>27.333333333333332</v>
      </c>
      <c r="M240" s="81">
        <f t="shared" si="32"/>
        <v>27.466666666666669</v>
      </c>
      <c r="N240" s="81">
        <v>27.6</v>
      </c>
      <c r="P240" s="346"/>
      <c r="Q240" s="91"/>
      <c r="R240" s="137"/>
      <c r="S240" s="138"/>
      <c r="T240" s="138"/>
      <c r="U240" s="94"/>
      <c r="V240" s="94"/>
      <c r="W240" s="94"/>
      <c r="X240" s="94"/>
      <c r="Y240" s="94"/>
      <c r="Z240" s="94"/>
    </row>
    <row r="241" spans="2:28" x14ac:dyDescent="0.2">
      <c r="H241" s="332"/>
      <c r="I241" s="168">
        <v>35</v>
      </c>
      <c r="J241" s="169">
        <f>0.36*3.6</f>
        <v>1.296</v>
      </c>
      <c r="K241" s="170">
        <v>27.8</v>
      </c>
      <c r="L241" s="170">
        <f t="shared" si="31"/>
        <v>27.900000000000002</v>
      </c>
      <c r="M241" s="170">
        <f t="shared" si="32"/>
        <v>28</v>
      </c>
      <c r="N241" s="170">
        <v>28.1</v>
      </c>
      <c r="P241" s="346"/>
      <c r="Q241" s="91"/>
      <c r="R241" s="137"/>
      <c r="S241" s="138"/>
      <c r="T241" s="138"/>
      <c r="U241" s="94"/>
      <c r="V241" s="94"/>
      <c r="W241" s="94"/>
      <c r="X241" s="94"/>
      <c r="Y241" s="94"/>
      <c r="Z241" s="94"/>
    </row>
    <row r="242" spans="2:28" x14ac:dyDescent="0.2">
      <c r="B242" s="90"/>
      <c r="H242" s="330" t="s">
        <v>277</v>
      </c>
      <c r="I242" s="106">
        <v>20</v>
      </c>
      <c r="J242" s="109">
        <f>0.31*3.6</f>
        <v>1.1160000000000001</v>
      </c>
      <c r="K242" s="81">
        <v>26.4</v>
      </c>
      <c r="L242" s="81">
        <f t="shared" si="31"/>
        <v>26.533333333333331</v>
      </c>
      <c r="M242" s="81">
        <f t="shared" si="32"/>
        <v>26.666666666666668</v>
      </c>
      <c r="N242" s="81">
        <v>26.8</v>
      </c>
      <c r="P242" s="346"/>
      <c r="Q242" s="91"/>
      <c r="R242" s="137"/>
      <c r="S242" s="138"/>
      <c r="T242" s="138"/>
      <c r="U242" s="94"/>
      <c r="V242" s="94"/>
      <c r="W242" s="94"/>
      <c r="X242" s="94"/>
      <c r="Y242" s="94"/>
      <c r="Z242" s="94"/>
    </row>
    <row r="243" spans="2:28" x14ac:dyDescent="0.2">
      <c r="B243" s="90"/>
      <c r="H243" s="331"/>
      <c r="I243" s="164">
        <v>25</v>
      </c>
      <c r="J243" s="165">
        <f>0.34*3.6</f>
        <v>1.2240000000000002</v>
      </c>
      <c r="K243" s="166">
        <v>27.1</v>
      </c>
      <c r="L243" s="166">
        <f t="shared" si="31"/>
        <v>27.233333333333334</v>
      </c>
      <c r="M243" s="166">
        <f t="shared" si="32"/>
        <v>27.366666666666667</v>
      </c>
      <c r="N243" s="166">
        <v>27.5</v>
      </c>
      <c r="P243" s="346"/>
      <c r="Q243" s="91"/>
      <c r="R243" s="137"/>
      <c r="S243" s="138"/>
      <c r="T243" s="138"/>
      <c r="U243" s="94"/>
      <c r="V243" s="94"/>
      <c r="W243" s="94"/>
      <c r="X243" s="94"/>
      <c r="Y243" s="94"/>
      <c r="Z243" s="94"/>
    </row>
    <row r="244" spans="2:28" x14ac:dyDescent="0.2">
      <c r="B244" s="90"/>
      <c r="C244" s="90"/>
      <c r="D244" s="90"/>
      <c r="E244" s="91"/>
      <c r="F244" s="91"/>
      <c r="G244" s="137"/>
      <c r="H244" s="331"/>
      <c r="I244" s="79">
        <v>30</v>
      </c>
      <c r="J244" s="109">
        <f>0.38*3.6</f>
        <v>1.3680000000000001</v>
      </c>
      <c r="K244" s="81">
        <v>27.6</v>
      </c>
      <c r="L244" s="81">
        <f t="shared" si="31"/>
        <v>27.8</v>
      </c>
      <c r="M244" s="81">
        <f t="shared" si="32"/>
        <v>28</v>
      </c>
      <c r="N244" s="81">
        <v>28.2</v>
      </c>
      <c r="P244" s="346"/>
      <c r="Q244" s="91"/>
      <c r="R244" s="137"/>
      <c r="S244" s="138"/>
      <c r="T244" s="138"/>
      <c r="U244" s="94"/>
      <c r="V244" s="94"/>
      <c r="W244" s="94"/>
      <c r="X244" s="94"/>
      <c r="Y244" s="94"/>
      <c r="Z244" s="94"/>
    </row>
    <row r="245" spans="2:28" x14ac:dyDescent="0.2">
      <c r="C245" s="90"/>
      <c r="D245" s="90"/>
      <c r="E245" s="91"/>
      <c r="F245" s="91"/>
      <c r="G245" s="137"/>
      <c r="H245" s="332"/>
      <c r="I245" s="168">
        <v>35</v>
      </c>
      <c r="J245" s="169">
        <f>0.41*3.6</f>
        <v>1.476</v>
      </c>
      <c r="K245" s="170">
        <v>28.1</v>
      </c>
      <c r="L245" s="170">
        <f t="shared" si="31"/>
        <v>28.3</v>
      </c>
      <c r="M245" s="170">
        <f t="shared" si="32"/>
        <v>28.5</v>
      </c>
      <c r="N245" s="170">
        <v>28.7</v>
      </c>
      <c r="P245" s="346"/>
      <c r="Q245" s="91"/>
      <c r="R245" s="137"/>
      <c r="S245" s="138"/>
      <c r="T245" s="138"/>
      <c r="U245" s="94"/>
      <c r="V245" s="94"/>
      <c r="W245" s="94"/>
      <c r="X245" s="94"/>
      <c r="Y245" s="94"/>
      <c r="Z245" s="94"/>
    </row>
    <row r="246" spans="2:28" x14ac:dyDescent="0.2">
      <c r="C246" s="90"/>
      <c r="D246" s="90"/>
      <c r="E246" s="91"/>
      <c r="F246" s="91"/>
      <c r="G246" s="137"/>
      <c r="H246" s="91"/>
      <c r="I246" s="123"/>
      <c r="J246" s="123"/>
      <c r="K246" s="123"/>
      <c r="L246" s="123"/>
      <c r="M246" s="123"/>
      <c r="N246" s="123"/>
      <c r="O246" s="123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</row>
    <row r="247" spans="2:28" x14ac:dyDescent="0.2">
      <c r="M247" s="123"/>
      <c r="N247" s="123"/>
      <c r="O247" s="123"/>
    </row>
    <row r="248" spans="2:28" x14ac:dyDescent="0.2">
      <c r="M248" s="123"/>
      <c r="N248" s="123"/>
      <c r="O248" s="123"/>
    </row>
    <row r="249" spans="2:28" ht="12.75" customHeight="1" x14ac:dyDescent="0.2">
      <c r="B249" s="92" t="s">
        <v>113</v>
      </c>
      <c r="C249" s="155"/>
      <c r="D249" s="155"/>
      <c r="E249" s="155"/>
      <c r="F249" s="155"/>
      <c r="H249" s="92" t="s">
        <v>113</v>
      </c>
      <c r="I249" s="155"/>
      <c r="J249" s="155"/>
      <c r="K249" s="155"/>
      <c r="L249" s="155"/>
      <c r="M249" s="155"/>
      <c r="N249" s="155"/>
      <c r="P249" s="92" t="s">
        <v>113</v>
      </c>
      <c r="Q249" s="155"/>
      <c r="R249" s="155"/>
      <c r="S249" s="155"/>
    </row>
    <row r="250" spans="2:28" x14ac:dyDescent="0.2">
      <c r="B250" s="66" t="s">
        <v>278</v>
      </c>
      <c r="C250" s="155"/>
      <c r="D250" s="155"/>
      <c r="E250" s="155"/>
      <c r="F250" s="155"/>
      <c r="H250" s="66" t="s">
        <v>279</v>
      </c>
      <c r="I250" s="155"/>
      <c r="J250" s="155"/>
      <c r="K250" s="155"/>
      <c r="L250" s="155"/>
      <c r="M250" s="155"/>
      <c r="N250" s="155"/>
      <c r="P250" s="66" t="s">
        <v>280</v>
      </c>
      <c r="Q250" s="155"/>
      <c r="R250" s="155"/>
      <c r="S250" s="155"/>
    </row>
    <row r="251" spans="2:28" ht="12.75" customHeight="1" x14ac:dyDescent="0.2">
      <c r="B251" s="336" t="s">
        <v>257</v>
      </c>
      <c r="C251" s="333" t="s">
        <v>264</v>
      </c>
      <c r="D251" s="334"/>
      <c r="E251" s="334"/>
      <c r="F251" s="335"/>
      <c r="H251" s="336" t="s">
        <v>257</v>
      </c>
      <c r="I251" s="333" t="s">
        <v>264</v>
      </c>
      <c r="J251" s="334"/>
      <c r="K251" s="334"/>
      <c r="L251" s="334"/>
      <c r="M251" s="334"/>
      <c r="N251" s="335"/>
      <c r="P251" s="336" t="s">
        <v>257</v>
      </c>
      <c r="Q251" s="333" t="s">
        <v>264</v>
      </c>
      <c r="R251" s="334"/>
      <c r="S251" s="334"/>
      <c r="T251" s="334"/>
      <c r="U251" s="334"/>
      <c r="V251" s="335"/>
    </row>
    <row r="252" spans="2:28" ht="12.75" customHeight="1" x14ac:dyDescent="0.2">
      <c r="B252" s="337"/>
      <c r="C252" s="336" t="s">
        <v>124</v>
      </c>
      <c r="D252" s="338" t="s">
        <v>258</v>
      </c>
      <c r="E252" s="338" t="s">
        <v>265</v>
      </c>
      <c r="F252" s="341"/>
      <c r="H252" s="337"/>
      <c r="I252" s="336" t="s">
        <v>124</v>
      </c>
      <c r="J252" s="338" t="s">
        <v>258</v>
      </c>
      <c r="K252" s="338" t="s">
        <v>265</v>
      </c>
      <c r="L252" s="340"/>
      <c r="M252" s="340"/>
      <c r="N252" s="341"/>
      <c r="P252" s="337"/>
      <c r="Q252" s="336" t="s">
        <v>124</v>
      </c>
      <c r="R252" s="338" t="s">
        <v>258</v>
      </c>
      <c r="S252" s="338" t="s">
        <v>265</v>
      </c>
      <c r="T252" s="340"/>
      <c r="U252" s="340"/>
      <c r="V252" s="341"/>
    </row>
    <row r="253" spans="2:28" x14ac:dyDescent="0.2">
      <c r="B253" s="337"/>
      <c r="C253" s="337"/>
      <c r="D253" s="339"/>
      <c r="E253" s="342"/>
      <c r="F253" s="344"/>
      <c r="H253" s="337"/>
      <c r="I253" s="337"/>
      <c r="J253" s="339"/>
      <c r="K253" s="342"/>
      <c r="L253" s="343"/>
      <c r="M253" s="343"/>
      <c r="N253" s="344"/>
      <c r="P253" s="337"/>
      <c r="Q253" s="337"/>
      <c r="R253" s="339"/>
      <c r="S253" s="342"/>
      <c r="T253" s="343"/>
      <c r="U253" s="343"/>
      <c r="V253" s="344"/>
    </row>
    <row r="254" spans="2:28" ht="14.25" x14ac:dyDescent="0.2">
      <c r="B254" s="345"/>
      <c r="C254" s="160" t="s">
        <v>8</v>
      </c>
      <c r="D254" s="160" t="s">
        <v>132</v>
      </c>
      <c r="E254" s="160" t="s">
        <v>266</v>
      </c>
      <c r="F254" s="161" t="s">
        <v>267</v>
      </c>
      <c r="H254" s="337"/>
      <c r="I254" s="160" t="s">
        <v>8</v>
      </c>
      <c r="J254" s="160" t="s">
        <v>132</v>
      </c>
      <c r="K254" s="160" t="s">
        <v>266</v>
      </c>
      <c r="L254" s="161" t="s">
        <v>270</v>
      </c>
      <c r="M254" s="161" t="s">
        <v>271</v>
      </c>
      <c r="N254" s="161" t="s">
        <v>267</v>
      </c>
      <c r="P254" s="337"/>
      <c r="Q254" s="160" t="s">
        <v>8</v>
      </c>
      <c r="R254" s="160" t="s">
        <v>132</v>
      </c>
      <c r="S254" s="160" t="s">
        <v>266</v>
      </c>
      <c r="T254" s="161" t="s">
        <v>270</v>
      </c>
      <c r="U254" s="161" t="s">
        <v>271</v>
      </c>
      <c r="V254" s="161" t="s">
        <v>267</v>
      </c>
    </row>
    <row r="255" spans="2:28" x14ac:dyDescent="0.2">
      <c r="B255" s="330">
        <v>3.97</v>
      </c>
      <c r="C255" s="176">
        <v>20</v>
      </c>
      <c r="D255" s="177">
        <f>0.24*3.6</f>
        <v>0.86399999999999999</v>
      </c>
      <c r="E255" s="175">
        <v>22</v>
      </c>
      <c r="F255" s="175" t="s">
        <v>59</v>
      </c>
      <c r="H255" s="330">
        <v>3.97</v>
      </c>
      <c r="I255" s="176">
        <v>20</v>
      </c>
      <c r="J255" s="177">
        <f>0.24*3.6</f>
        <v>0.86399999999999999</v>
      </c>
      <c r="K255" s="175">
        <v>26</v>
      </c>
      <c r="L255" s="175">
        <f>K255+(N255-K255)/1.5*0.5</f>
        <v>26.633333333333333</v>
      </c>
      <c r="M255" s="175">
        <f>K255+(N255-K255)/1.5</f>
        <v>27.266666666666666</v>
      </c>
      <c r="N255" s="175">
        <v>27.9</v>
      </c>
      <c r="P255" s="330" t="s">
        <v>281</v>
      </c>
      <c r="Q255" s="176">
        <v>20</v>
      </c>
      <c r="R255" s="177">
        <f>0.33*3.6</f>
        <v>1.1880000000000002</v>
      </c>
      <c r="S255" s="175">
        <v>26</v>
      </c>
      <c r="T255" s="175">
        <f>S255+(V255-S255)/1.5*0.5</f>
        <v>26.633333333333333</v>
      </c>
      <c r="U255" s="175">
        <f>S255+(V255-S255)/1.5</f>
        <v>27.266666666666666</v>
      </c>
      <c r="V255" s="175">
        <v>27.9</v>
      </c>
    </row>
    <row r="256" spans="2:28" x14ac:dyDescent="0.2">
      <c r="B256" s="331"/>
      <c r="C256" s="164">
        <v>25</v>
      </c>
      <c r="D256" s="165">
        <f>0.26*3.6</f>
        <v>0.93600000000000005</v>
      </c>
      <c r="E256" s="166">
        <v>23.7</v>
      </c>
      <c r="F256" s="166" t="s">
        <v>59</v>
      </c>
      <c r="H256" s="331"/>
      <c r="I256" s="164">
        <v>25</v>
      </c>
      <c r="J256" s="165">
        <f>0.26*3.6</f>
        <v>0.93600000000000005</v>
      </c>
      <c r="K256" s="166">
        <v>27.3</v>
      </c>
      <c r="L256" s="166">
        <f t="shared" ref="L256:L279" si="33">K256+(N256-K256)/1.5*0.5</f>
        <v>27.8</v>
      </c>
      <c r="M256" s="166">
        <f t="shared" ref="M256:M279" si="34">K256+(N256-K256)/1.5</f>
        <v>28.3</v>
      </c>
      <c r="N256" s="166">
        <v>28.8</v>
      </c>
      <c r="P256" s="331"/>
      <c r="Q256" s="164">
        <v>25</v>
      </c>
      <c r="R256" s="165">
        <f>0.36*3.6</f>
        <v>1.296</v>
      </c>
      <c r="S256" s="166">
        <v>27.3</v>
      </c>
      <c r="T256" s="166">
        <f t="shared" ref="T256:T279" si="35">S256+(V256-S256)/1.5*0.5</f>
        <v>27.8</v>
      </c>
      <c r="U256" s="166">
        <f t="shared" ref="U256:U279" si="36">S256+(V256-S256)/1.5</f>
        <v>28.3</v>
      </c>
      <c r="V256" s="166">
        <v>28.8</v>
      </c>
    </row>
    <row r="257" spans="2:22" x14ac:dyDescent="0.2">
      <c r="B257" s="331"/>
      <c r="C257" s="79">
        <v>30</v>
      </c>
      <c r="D257" s="109">
        <f>0.29*3.6</f>
        <v>1.044</v>
      </c>
      <c r="E257" s="81">
        <v>25</v>
      </c>
      <c r="F257" s="81" t="s">
        <v>59</v>
      </c>
      <c r="H257" s="331"/>
      <c r="I257" s="79">
        <v>30</v>
      </c>
      <c r="J257" s="109">
        <f>0.29*3.6</f>
        <v>1.044</v>
      </c>
      <c r="K257" s="81">
        <v>28.2</v>
      </c>
      <c r="L257" s="81">
        <f t="shared" si="33"/>
        <v>28.633333333333333</v>
      </c>
      <c r="M257" s="81">
        <f t="shared" si="34"/>
        <v>29.066666666666666</v>
      </c>
      <c r="N257" s="81">
        <v>29.5</v>
      </c>
      <c r="P257" s="331"/>
      <c r="Q257" s="79">
        <v>30</v>
      </c>
      <c r="R257" s="109">
        <f>0.4*3.6</f>
        <v>1.4400000000000002</v>
      </c>
      <c r="S257" s="81">
        <v>28.2</v>
      </c>
      <c r="T257" s="81">
        <f t="shared" si="35"/>
        <v>28.633333333333333</v>
      </c>
      <c r="U257" s="81">
        <f t="shared" si="36"/>
        <v>29.066666666666666</v>
      </c>
      <c r="V257" s="81">
        <v>29.5</v>
      </c>
    </row>
    <row r="258" spans="2:22" x14ac:dyDescent="0.2">
      <c r="B258" s="331"/>
      <c r="C258" s="164">
        <v>35</v>
      </c>
      <c r="D258" s="165">
        <f>0.31*3.6</f>
        <v>1.1160000000000001</v>
      </c>
      <c r="E258" s="166">
        <v>26.3</v>
      </c>
      <c r="F258" s="166" t="s">
        <v>59</v>
      </c>
      <c r="H258" s="331"/>
      <c r="I258" s="164">
        <v>35</v>
      </c>
      <c r="J258" s="165">
        <f>0.31*3.6</f>
        <v>1.1160000000000001</v>
      </c>
      <c r="K258" s="166">
        <v>29</v>
      </c>
      <c r="L258" s="166">
        <f t="shared" si="33"/>
        <v>29.3</v>
      </c>
      <c r="M258" s="166">
        <f t="shared" si="34"/>
        <v>29.599999999999998</v>
      </c>
      <c r="N258" s="166">
        <v>29.9</v>
      </c>
      <c r="P258" s="331"/>
      <c r="Q258" s="164">
        <v>35</v>
      </c>
      <c r="R258" s="165">
        <f>0.43*3.6</f>
        <v>1.548</v>
      </c>
      <c r="S258" s="166">
        <v>29</v>
      </c>
      <c r="T258" s="166">
        <f t="shared" si="35"/>
        <v>29.3</v>
      </c>
      <c r="U258" s="166">
        <f t="shared" si="36"/>
        <v>29.599999999999998</v>
      </c>
      <c r="V258" s="166">
        <v>29.9</v>
      </c>
    </row>
    <row r="259" spans="2:22" x14ac:dyDescent="0.2">
      <c r="B259" s="332"/>
      <c r="C259" s="125">
        <v>40</v>
      </c>
      <c r="D259" s="126">
        <f>0.33*3.6</f>
        <v>1.1880000000000002</v>
      </c>
      <c r="E259" s="127">
        <v>27.5</v>
      </c>
      <c r="F259" s="127" t="s">
        <v>59</v>
      </c>
      <c r="H259" s="332"/>
      <c r="I259" s="125">
        <v>40</v>
      </c>
      <c r="J259" s="126">
        <f>0.33*3.6</f>
        <v>1.1880000000000002</v>
      </c>
      <c r="K259" s="127">
        <v>29.4</v>
      </c>
      <c r="L259" s="127">
        <f t="shared" si="33"/>
        <v>29.733333333333331</v>
      </c>
      <c r="M259" s="127">
        <f t="shared" si="34"/>
        <v>30.066666666666666</v>
      </c>
      <c r="N259" s="127">
        <v>30.4</v>
      </c>
      <c r="P259" s="332"/>
      <c r="Q259" s="125">
        <v>40</v>
      </c>
      <c r="R259" s="126">
        <f>0.46*3.6</f>
        <v>1.6560000000000001</v>
      </c>
      <c r="S259" s="127">
        <v>29.4</v>
      </c>
      <c r="T259" s="127">
        <f t="shared" si="35"/>
        <v>29.733333333333331</v>
      </c>
      <c r="U259" s="127">
        <f t="shared" si="36"/>
        <v>30.066666666666666</v>
      </c>
      <c r="V259" s="127">
        <v>30.4</v>
      </c>
    </row>
    <row r="260" spans="2:22" x14ac:dyDescent="0.2">
      <c r="B260" s="330">
        <v>4.37</v>
      </c>
      <c r="C260" s="164">
        <v>20</v>
      </c>
      <c r="D260" s="165">
        <f>0.29*3.6</f>
        <v>1.044</v>
      </c>
      <c r="E260" s="166">
        <v>22.9</v>
      </c>
      <c r="F260" s="166" t="s">
        <v>59</v>
      </c>
      <c r="H260" s="330">
        <v>4.37</v>
      </c>
      <c r="I260" s="164">
        <v>20</v>
      </c>
      <c r="J260" s="165">
        <f>0.29*3.6</f>
        <v>1.044</v>
      </c>
      <c r="K260" s="166">
        <v>26.9</v>
      </c>
      <c r="L260" s="166">
        <f t="shared" si="33"/>
        <v>27.433333333333334</v>
      </c>
      <c r="M260" s="166">
        <f t="shared" si="34"/>
        <v>27.966666666666665</v>
      </c>
      <c r="N260" s="166">
        <v>28.5</v>
      </c>
      <c r="P260" s="330" t="s">
        <v>282</v>
      </c>
      <c r="Q260" s="164">
        <v>20</v>
      </c>
      <c r="R260" s="165">
        <f>0.38*3.6</f>
        <v>1.3680000000000001</v>
      </c>
      <c r="S260" s="166">
        <v>26.9</v>
      </c>
      <c r="T260" s="166">
        <f t="shared" si="35"/>
        <v>27.433333333333334</v>
      </c>
      <c r="U260" s="166">
        <f t="shared" si="36"/>
        <v>27.966666666666665</v>
      </c>
      <c r="V260" s="166">
        <v>28.5</v>
      </c>
    </row>
    <row r="261" spans="2:22" x14ac:dyDescent="0.2">
      <c r="B261" s="331"/>
      <c r="C261" s="79">
        <v>25</v>
      </c>
      <c r="D261" s="109">
        <f>0.32*3.6</f>
        <v>1.1520000000000001</v>
      </c>
      <c r="E261" s="81">
        <v>24.6</v>
      </c>
      <c r="F261" s="81" t="s">
        <v>59</v>
      </c>
      <c r="H261" s="331"/>
      <c r="I261" s="79">
        <v>25</v>
      </c>
      <c r="J261" s="109">
        <f>0.32*3.6</f>
        <v>1.1520000000000001</v>
      </c>
      <c r="K261" s="81">
        <v>28.2</v>
      </c>
      <c r="L261" s="81">
        <f t="shared" si="33"/>
        <v>28.599999999999998</v>
      </c>
      <c r="M261" s="81">
        <f t="shared" si="34"/>
        <v>29</v>
      </c>
      <c r="N261" s="81">
        <v>29.4</v>
      </c>
      <c r="P261" s="331"/>
      <c r="Q261" s="79">
        <v>25</v>
      </c>
      <c r="R261" s="109">
        <f>0.42*3.6</f>
        <v>1.512</v>
      </c>
      <c r="S261" s="81">
        <v>28.2</v>
      </c>
      <c r="T261" s="81">
        <f t="shared" si="35"/>
        <v>28.599999999999998</v>
      </c>
      <c r="U261" s="81">
        <f t="shared" si="36"/>
        <v>29</v>
      </c>
      <c r="V261" s="81">
        <v>29.4</v>
      </c>
    </row>
    <row r="262" spans="2:22" x14ac:dyDescent="0.2">
      <c r="B262" s="331"/>
      <c r="C262" s="164">
        <v>30</v>
      </c>
      <c r="D262" s="165">
        <f>0.35*3.6</f>
        <v>1.26</v>
      </c>
      <c r="E262" s="166">
        <v>25.9</v>
      </c>
      <c r="F262" s="166" t="s">
        <v>59</v>
      </c>
      <c r="H262" s="331"/>
      <c r="I262" s="164">
        <v>30</v>
      </c>
      <c r="J262" s="165">
        <f>0.35*3.6</f>
        <v>1.26</v>
      </c>
      <c r="K262" s="166">
        <v>29.1</v>
      </c>
      <c r="L262" s="166">
        <f t="shared" si="33"/>
        <v>29.5</v>
      </c>
      <c r="M262" s="166">
        <f t="shared" si="34"/>
        <v>29.900000000000002</v>
      </c>
      <c r="N262" s="166">
        <v>30.3</v>
      </c>
      <c r="P262" s="331"/>
      <c r="Q262" s="164">
        <v>30</v>
      </c>
      <c r="R262" s="165">
        <f>0.46*3.6</f>
        <v>1.6560000000000001</v>
      </c>
      <c r="S262" s="166">
        <v>29.1</v>
      </c>
      <c r="T262" s="166">
        <f t="shared" si="35"/>
        <v>29.5</v>
      </c>
      <c r="U262" s="166">
        <f t="shared" si="36"/>
        <v>29.900000000000002</v>
      </c>
      <c r="V262" s="166">
        <v>30.3</v>
      </c>
    </row>
    <row r="263" spans="2:22" x14ac:dyDescent="0.2">
      <c r="B263" s="331"/>
      <c r="C263" s="79">
        <v>35</v>
      </c>
      <c r="D263" s="109">
        <f>0.38*3.6</f>
        <v>1.3680000000000001</v>
      </c>
      <c r="E263" s="81">
        <v>27.3</v>
      </c>
      <c r="F263" s="81" t="s">
        <v>59</v>
      </c>
      <c r="H263" s="331"/>
      <c r="I263" s="79">
        <v>35</v>
      </c>
      <c r="J263" s="109">
        <f>0.38*3.6</f>
        <v>1.3680000000000001</v>
      </c>
      <c r="K263" s="81">
        <v>29.9</v>
      </c>
      <c r="L263" s="81">
        <f t="shared" si="33"/>
        <v>30.3</v>
      </c>
      <c r="M263" s="81">
        <f t="shared" si="34"/>
        <v>30.7</v>
      </c>
      <c r="N263" s="81">
        <v>31.1</v>
      </c>
      <c r="P263" s="331"/>
      <c r="Q263" s="79">
        <v>35</v>
      </c>
      <c r="R263" s="109">
        <f>0.5*3.6</f>
        <v>1.8</v>
      </c>
      <c r="S263" s="81">
        <v>29.9</v>
      </c>
      <c r="T263" s="81">
        <f t="shared" si="35"/>
        <v>30.3</v>
      </c>
      <c r="U263" s="81">
        <f t="shared" si="36"/>
        <v>30.7</v>
      </c>
      <c r="V263" s="81">
        <v>31.1</v>
      </c>
    </row>
    <row r="264" spans="2:22" x14ac:dyDescent="0.2">
      <c r="B264" s="332"/>
      <c r="C264" s="178">
        <v>40</v>
      </c>
      <c r="D264" s="169">
        <f>0.41*3.6</f>
        <v>1.476</v>
      </c>
      <c r="E264" s="170">
        <v>28.4</v>
      </c>
      <c r="F264" s="170" t="s">
        <v>59</v>
      </c>
      <c r="H264" s="332"/>
      <c r="I264" s="178">
        <v>40</v>
      </c>
      <c r="J264" s="169">
        <f>0.41*3.6</f>
        <v>1.476</v>
      </c>
      <c r="K264" s="170">
        <v>30.4</v>
      </c>
      <c r="L264" s="170">
        <f t="shared" si="33"/>
        <v>30.8</v>
      </c>
      <c r="M264" s="170">
        <f t="shared" si="34"/>
        <v>31.2</v>
      </c>
      <c r="N264" s="170">
        <v>31.6</v>
      </c>
      <c r="P264" s="332"/>
      <c r="Q264" s="178">
        <v>40</v>
      </c>
      <c r="R264" s="169">
        <f>0.53*3.6</f>
        <v>1.9080000000000001</v>
      </c>
      <c r="S264" s="170">
        <v>30.4</v>
      </c>
      <c r="T264" s="170">
        <f t="shared" si="35"/>
        <v>30.8</v>
      </c>
      <c r="U264" s="170">
        <f t="shared" si="36"/>
        <v>31.2</v>
      </c>
      <c r="V264" s="170">
        <v>31.6</v>
      </c>
    </row>
    <row r="265" spans="2:22" x14ac:dyDescent="0.2">
      <c r="B265" s="330">
        <v>4.76</v>
      </c>
      <c r="C265" s="176">
        <v>20</v>
      </c>
      <c r="D265" s="177">
        <f>0.34*3.6</f>
        <v>1.2240000000000002</v>
      </c>
      <c r="E265" s="175">
        <v>23.5</v>
      </c>
      <c r="F265" s="175" t="s">
        <v>59</v>
      </c>
      <c r="G265" s="138"/>
      <c r="H265" s="330">
        <v>4.76</v>
      </c>
      <c r="I265" s="176">
        <v>20</v>
      </c>
      <c r="J265" s="177">
        <f>0.34*3.6</f>
        <v>1.2240000000000002</v>
      </c>
      <c r="K265" s="175">
        <v>27.9</v>
      </c>
      <c r="L265" s="175">
        <f t="shared" si="33"/>
        <v>28.4</v>
      </c>
      <c r="M265" s="175">
        <f t="shared" si="34"/>
        <v>28.9</v>
      </c>
      <c r="N265" s="175">
        <v>29.4</v>
      </c>
      <c r="P265" s="330" t="s">
        <v>283</v>
      </c>
      <c r="Q265" s="176">
        <v>20</v>
      </c>
      <c r="R265" s="177">
        <f>0.43*3.6</f>
        <v>1.548</v>
      </c>
      <c r="S265" s="175">
        <v>27.9</v>
      </c>
      <c r="T265" s="175">
        <f t="shared" si="35"/>
        <v>28.4</v>
      </c>
      <c r="U265" s="175">
        <f t="shared" si="36"/>
        <v>28.9</v>
      </c>
      <c r="V265" s="175">
        <v>29.4</v>
      </c>
    </row>
    <row r="266" spans="2:22" x14ac:dyDescent="0.2">
      <c r="B266" s="331"/>
      <c r="C266" s="164">
        <v>25</v>
      </c>
      <c r="D266" s="165">
        <f>0.38*3.6</f>
        <v>1.3680000000000001</v>
      </c>
      <c r="E266" s="166">
        <v>25.2</v>
      </c>
      <c r="F266" s="166" t="s">
        <v>59</v>
      </c>
      <c r="G266" s="138"/>
      <c r="H266" s="331"/>
      <c r="I266" s="164">
        <v>25</v>
      </c>
      <c r="J266" s="165">
        <f>0.38*3.6</f>
        <v>1.3680000000000001</v>
      </c>
      <c r="K266" s="166">
        <v>29.1</v>
      </c>
      <c r="L266" s="166">
        <f t="shared" si="33"/>
        <v>29.5</v>
      </c>
      <c r="M266" s="166">
        <f t="shared" si="34"/>
        <v>29.900000000000002</v>
      </c>
      <c r="N266" s="166">
        <v>30.3</v>
      </c>
      <c r="P266" s="331"/>
      <c r="Q266" s="164">
        <v>25</v>
      </c>
      <c r="R266" s="165">
        <f>0.48*3.6</f>
        <v>1.728</v>
      </c>
      <c r="S266" s="166">
        <v>29.1</v>
      </c>
      <c r="T266" s="166">
        <f t="shared" si="35"/>
        <v>29.5</v>
      </c>
      <c r="U266" s="166">
        <f t="shared" si="36"/>
        <v>29.900000000000002</v>
      </c>
      <c r="V266" s="166">
        <v>30.3</v>
      </c>
    </row>
    <row r="267" spans="2:22" x14ac:dyDescent="0.2">
      <c r="B267" s="331"/>
      <c r="C267" s="79">
        <v>30</v>
      </c>
      <c r="D267" s="109">
        <f>0.42*3.6</f>
        <v>1.512</v>
      </c>
      <c r="E267" s="81">
        <v>26.5</v>
      </c>
      <c r="F267" s="81" t="s">
        <v>59</v>
      </c>
      <c r="G267" s="138"/>
      <c r="H267" s="331"/>
      <c r="I267" s="79">
        <v>30</v>
      </c>
      <c r="J267" s="109">
        <f>0.42*3.6</f>
        <v>1.512</v>
      </c>
      <c r="K267" s="81">
        <v>30</v>
      </c>
      <c r="L267" s="81">
        <f t="shared" si="33"/>
        <v>30.4</v>
      </c>
      <c r="M267" s="81">
        <f t="shared" si="34"/>
        <v>30.8</v>
      </c>
      <c r="N267" s="81">
        <v>31.2</v>
      </c>
      <c r="P267" s="331"/>
      <c r="Q267" s="79">
        <v>30</v>
      </c>
      <c r="R267" s="109">
        <f>0.53*3.6</f>
        <v>1.9080000000000001</v>
      </c>
      <c r="S267" s="81">
        <v>30</v>
      </c>
      <c r="T267" s="81">
        <f t="shared" si="35"/>
        <v>30.4</v>
      </c>
      <c r="U267" s="81">
        <f t="shared" si="36"/>
        <v>30.8</v>
      </c>
      <c r="V267" s="81">
        <v>31.2</v>
      </c>
    </row>
    <row r="268" spans="2:22" x14ac:dyDescent="0.2">
      <c r="B268" s="331"/>
      <c r="C268" s="164">
        <v>35</v>
      </c>
      <c r="D268" s="165">
        <f>0.45*3.6</f>
        <v>1.62</v>
      </c>
      <c r="E268" s="166">
        <v>27.9</v>
      </c>
      <c r="F268" s="166" t="s">
        <v>59</v>
      </c>
      <c r="H268" s="331"/>
      <c r="I268" s="164">
        <v>35</v>
      </c>
      <c r="J268" s="165">
        <f>0.45*3.6</f>
        <v>1.62</v>
      </c>
      <c r="K268" s="166">
        <v>30.8</v>
      </c>
      <c r="L268" s="166">
        <f t="shared" si="33"/>
        <v>31.233333333333334</v>
      </c>
      <c r="M268" s="166">
        <f t="shared" si="34"/>
        <v>31.666666666666668</v>
      </c>
      <c r="N268" s="166">
        <v>32.1</v>
      </c>
      <c r="P268" s="331"/>
      <c r="Q268" s="164">
        <v>35</v>
      </c>
      <c r="R268" s="165">
        <f>0.57*3.6</f>
        <v>2.052</v>
      </c>
      <c r="S268" s="166">
        <v>30.8</v>
      </c>
      <c r="T268" s="166">
        <f t="shared" si="35"/>
        <v>31.233333333333334</v>
      </c>
      <c r="U268" s="166">
        <f t="shared" si="36"/>
        <v>31.666666666666668</v>
      </c>
      <c r="V268" s="166">
        <v>32.1</v>
      </c>
    </row>
    <row r="269" spans="2:22" x14ac:dyDescent="0.2">
      <c r="B269" s="332"/>
      <c r="C269" s="125">
        <v>40</v>
      </c>
      <c r="D269" s="126">
        <f>0.48*3.6</f>
        <v>1.728</v>
      </c>
      <c r="E269" s="127">
        <v>29</v>
      </c>
      <c r="F269" s="127" t="s">
        <v>59</v>
      </c>
      <c r="H269" s="332"/>
      <c r="I269" s="125">
        <v>40</v>
      </c>
      <c r="J269" s="126">
        <f>0.48*3.6</f>
        <v>1.728</v>
      </c>
      <c r="K269" s="127">
        <v>31.3</v>
      </c>
      <c r="L269" s="127">
        <f t="shared" si="33"/>
        <v>31.8</v>
      </c>
      <c r="M269" s="127">
        <f t="shared" si="34"/>
        <v>32.299999999999997</v>
      </c>
      <c r="N269" s="127">
        <v>32.799999999999997</v>
      </c>
      <c r="P269" s="332"/>
      <c r="Q269" s="125">
        <v>40</v>
      </c>
      <c r="R269" s="126">
        <f>0.61*3.6</f>
        <v>2.1960000000000002</v>
      </c>
      <c r="S269" s="127">
        <v>31.3</v>
      </c>
      <c r="T269" s="127">
        <f t="shared" si="35"/>
        <v>31.8</v>
      </c>
      <c r="U269" s="127">
        <f t="shared" si="36"/>
        <v>32.299999999999997</v>
      </c>
      <c r="V269" s="127">
        <v>32.799999999999997</v>
      </c>
    </row>
    <row r="270" spans="2:22" x14ac:dyDescent="0.2">
      <c r="B270" s="330">
        <v>5.16</v>
      </c>
      <c r="C270" s="164">
        <v>20</v>
      </c>
      <c r="D270" s="165">
        <f>0.4*3.6</f>
        <v>1.4400000000000002</v>
      </c>
      <c r="E270" s="166">
        <v>24.1</v>
      </c>
      <c r="F270" s="166" t="s">
        <v>59</v>
      </c>
      <c r="H270" s="330">
        <v>5.16</v>
      </c>
      <c r="I270" s="164">
        <v>20</v>
      </c>
      <c r="J270" s="165">
        <f>0.4*3.6</f>
        <v>1.4400000000000002</v>
      </c>
      <c r="K270" s="166">
        <v>28.5</v>
      </c>
      <c r="L270" s="166">
        <f t="shared" si="33"/>
        <v>29.066666666666666</v>
      </c>
      <c r="M270" s="166">
        <f t="shared" si="34"/>
        <v>29.633333333333333</v>
      </c>
      <c r="N270" s="166">
        <v>30.2</v>
      </c>
      <c r="P270" s="330" t="s">
        <v>284</v>
      </c>
      <c r="Q270" s="164">
        <v>20</v>
      </c>
      <c r="R270" s="165">
        <f>0.49*3.6</f>
        <v>1.764</v>
      </c>
      <c r="S270" s="166">
        <v>28.5</v>
      </c>
      <c r="T270" s="166">
        <f t="shared" si="35"/>
        <v>29.066666666666666</v>
      </c>
      <c r="U270" s="166">
        <f t="shared" si="36"/>
        <v>29.633333333333333</v>
      </c>
      <c r="V270" s="166">
        <v>30.2</v>
      </c>
    </row>
    <row r="271" spans="2:22" x14ac:dyDescent="0.2">
      <c r="B271" s="331"/>
      <c r="C271" s="79">
        <v>25</v>
      </c>
      <c r="D271" s="109">
        <f>0.45*3.6</f>
        <v>1.62</v>
      </c>
      <c r="E271" s="81">
        <v>25.8</v>
      </c>
      <c r="F271" s="81" t="s">
        <v>59</v>
      </c>
      <c r="H271" s="331"/>
      <c r="I271" s="79">
        <v>25</v>
      </c>
      <c r="J271" s="109">
        <f>0.45*3.6</f>
        <v>1.62</v>
      </c>
      <c r="K271" s="81">
        <v>29.7</v>
      </c>
      <c r="L271" s="81">
        <f t="shared" si="33"/>
        <v>30.333333333333332</v>
      </c>
      <c r="M271" s="81">
        <f t="shared" si="34"/>
        <v>30.966666666666669</v>
      </c>
      <c r="N271" s="81">
        <v>31.6</v>
      </c>
      <c r="P271" s="331"/>
      <c r="Q271" s="79">
        <v>25</v>
      </c>
      <c r="R271" s="109">
        <f>0.55*3.6</f>
        <v>1.9800000000000002</v>
      </c>
      <c r="S271" s="81">
        <v>29.7</v>
      </c>
      <c r="T271" s="81">
        <f t="shared" si="35"/>
        <v>30.333333333333332</v>
      </c>
      <c r="U271" s="81">
        <f t="shared" si="36"/>
        <v>30.966666666666669</v>
      </c>
      <c r="V271" s="81">
        <v>31.6</v>
      </c>
    </row>
    <row r="272" spans="2:22" x14ac:dyDescent="0.2">
      <c r="B272" s="331"/>
      <c r="C272" s="164">
        <v>30</v>
      </c>
      <c r="D272" s="165">
        <f>0.49*3.6</f>
        <v>1.764</v>
      </c>
      <c r="E272" s="166">
        <v>27.2</v>
      </c>
      <c r="F272" s="166" t="s">
        <v>59</v>
      </c>
      <c r="H272" s="331"/>
      <c r="I272" s="164">
        <v>30</v>
      </c>
      <c r="J272" s="165">
        <f>0.49*3.6</f>
        <v>1.764</v>
      </c>
      <c r="K272" s="166">
        <v>30.6</v>
      </c>
      <c r="L272" s="166">
        <f t="shared" si="33"/>
        <v>31.366666666666667</v>
      </c>
      <c r="M272" s="166">
        <f t="shared" si="34"/>
        <v>32.133333333333333</v>
      </c>
      <c r="N272" s="166">
        <v>32.9</v>
      </c>
      <c r="P272" s="331"/>
      <c r="Q272" s="164">
        <v>30</v>
      </c>
      <c r="R272" s="165">
        <f>0.6*3.6</f>
        <v>2.16</v>
      </c>
      <c r="S272" s="166">
        <v>30.6</v>
      </c>
      <c r="T272" s="166">
        <f t="shared" si="35"/>
        <v>31.366666666666667</v>
      </c>
      <c r="U272" s="166">
        <f t="shared" si="36"/>
        <v>32.133333333333333</v>
      </c>
      <c r="V272" s="166">
        <v>32.9</v>
      </c>
    </row>
    <row r="273" spans="2:22" x14ac:dyDescent="0.2">
      <c r="B273" s="331"/>
      <c r="C273" s="79">
        <v>35</v>
      </c>
      <c r="D273" s="109">
        <f>0.53*3.6</f>
        <v>1.9080000000000001</v>
      </c>
      <c r="E273" s="81">
        <v>28.5</v>
      </c>
      <c r="F273" s="81" t="s">
        <v>59</v>
      </c>
      <c r="H273" s="331"/>
      <c r="I273" s="79">
        <v>35</v>
      </c>
      <c r="J273" s="109">
        <f>0.53*3.6</f>
        <v>1.9080000000000001</v>
      </c>
      <c r="K273" s="81">
        <v>31.4</v>
      </c>
      <c r="L273" s="81">
        <f t="shared" si="33"/>
        <v>32.366666666666667</v>
      </c>
      <c r="M273" s="81">
        <f t="shared" si="34"/>
        <v>33.333333333333329</v>
      </c>
      <c r="N273" s="81">
        <v>34.299999999999997</v>
      </c>
      <c r="P273" s="331"/>
      <c r="Q273" s="79">
        <v>35</v>
      </c>
      <c r="R273" s="109">
        <f>0.65*3.6</f>
        <v>2.3400000000000003</v>
      </c>
      <c r="S273" s="81">
        <v>31.4</v>
      </c>
      <c r="T273" s="81">
        <f t="shared" si="35"/>
        <v>32.366666666666667</v>
      </c>
      <c r="U273" s="81">
        <f t="shared" si="36"/>
        <v>33.333333333333329</v>
      </c>
      <c r="V273" s="81">
        <v>34.299999999999997</v>
      </c>
    </row>
    <row r="274" spans="2:22" x14ac:dyDescent="0.2">
      <c r="B274" s="332"/>
      <c r="C274" s="178">
        <v>40</v>
      </c>
      <c r="D274" s="169">
        <f>0.57*3.6</f>
        <v>2.052</v>
      </c>
      <c r="E274" s="170">
        <v>29.8</v>
      </c>
      <c r="F274" s="170" t="s">
        <v>59</v>
      </c>
      <c r="H274" s="332"/>
      <c r="I274" s="178">
        <v>40</v>
      </c>
      <c r="J274" s="169">
        <f>0.57*3.6</f>
        <v>2.052</v>
      </c>
      <c r="K274" s="170">
        <v>31.9</v>
      </c>
      <c r="L274" s="170">
        <f t="shared" si="33"/>
        <v>33.066666666666663</v>
      </c>
      <c r="M274" s="170">
        <f t="shared" si="34"/>
        <v>34.233333333333334</v>
      </c>
      <c r="N274" s="170">
        <v>35.4</v>
      </c>
      <c r="P274" s="332"/>
      <c r="Q274" s="178">
        <v>40</v>
      </c>
      <c r="R274" s="169">
        <f>0.69*3.6</f>
        <v>2.484</v>
      </c>
      <c r="S274" s="170">
        <v>31.9</v>
      </c>
      <c r="T274" s="170">
        <f t="shared" si="35"/>
        <v>33.066666666666663</v>
      </c>
      <c r="U274" s="170">
        <f t="shared" si="36"/>
        <v>34.233333333333334</v>
      </c>
      <c r="V274" s="170">
        <v>35.4</v>
      </c>
    </row>
    <row r="275" spans="2:22" x14ac:dyDescent="0.2">
      <c r="B275" s="330">
        <v>5.56</v>
      </c>
      <c r="C275" s="176">
        <v>20</v>
      </c>
      <c r="D275" s="177">
        <f>0.46*3.6</f>
        <v>1.6560000000000001</v>
      </c>
      <c r="E275" s="175">
        <v>24.7</v>
      </c>
      <c r="F275" s="175" t="s">
        <v>59</v>
      </c>
      <c r="H275" s="330">
        <v>5.56</v>
      </c>
      <c r="I275" s="176">
        <v>20</v>
      </c>
      <c r="J275" s="177">
        <f>0.46*3.6</f>
        <v>1.6560000000000001</v>
      </c>
      <c r="K275" s="175">
        <v>29.1</v>
      </c>
      <c r="L275" s="175">
        <f t="shared" si="33"/>
        <v>29.666666666666668</v>
      </c>
      <c r="M275" s="175">
        <f t="shared" si="34"/>
        <v>30.233333333333334</v>
      </c>
      <c r="N275" s="175">
        <v>30.8</v>
      </c>
      <c r="P275" s="330" t="s">
        <v>285</v>
      </c>
      <c r="Q275" s="176">
        <v>20</v>
      </c>
      <c r="R275" s="177">
        <f>0.55*3.6</f>
        <v>1.9800000000000002</v>
      </c>
      <c r="S275" s="175">
        <v>29.1</v>
      </c>
      <c r="T275" s="175">
        <f t="shared" si="35"/>
        <v>29.666666666666668</v>
      </c>
      <c r="U275" s="175">
        <f t="shared" si="36"/>
        <v>30.233333333333334</v>
      </c>
      <c r="V275" s="175">
        <v>30.8</v>
      </c>
    </row>
    <row r="276" spans="2:22" x14ac:dyDescent="0.2">
      <c r="B276" s="331"/>
      <c r="C276" s="164">
        <v>25</v>
      </c>
      <c r="D276" s="165">
        <f>0.52*3.6</f>
        <v>1.8720000000000001</v>
      </c>
      <c r="E276" s="166">
        <v>26.4</v>
      </c>
      <c r="F276" s="166" t="s">
        <v>59</v>
      </c>
      <c r="H276" s="331"/>
      <c r="I276" s="164">
        <v>25</v>
      </c>
      <c r="J276" s="165">
        <f>0.52*3.6</f>
        <v>1.8720000000000001</v>
      </c>
      <c r="K276" s="166">
        <v>30.3</v>
      </c>
      <c r="L276" s="166">
        <f t="shared" si="33"/>
        <v>31.066666666666666</v>
      </c>
      <c r="M276" s="166">
        <f t="shared" si="34"/>
        <v>31.833333333333336</v>
      </c>
      <c r="N276" s="166">
        <v>32.6</v>
      </c>
      <c r="P276" s="331"/>
      <c r="Q276" s="164">
        <v>25</v>
      </c>
      <c r="R276" s="165">
        <f>0.62*3.6</f>
        <v>2.2320000000000002</v>
      </c>
      <c r="S276" s="166">
        <v>30.3</v>
      </c>
      <c r="T276" s="166">
        <f t="shared" si="35"/>
        <v>31.066666666666666</v>
      </c>
      <c r="U276" s="166">
        <f t="shared" si="36"/>
        <v>31.833333333333336</v>
      </c>
      <c r="V276" s="166">
        <v>32.6</v>
      </c>
    </row>
    <row r="277" spans="2:22" x14ac:dyDescent="0.2">
      <c r="B277" s="331"/>
      <c r="C277" s="79">
        <v>30</v>
      </c>
      <c r="D277" s="109">
        <f>0.57*3.6</f>
        <v>2.052</v>
      </c>
      <c r="E277" s="81">
        <v>28</v>
      </c>
      <c r="F277" s="81" t="s">
        <v>59</v>
      </c>
      <c r="H277" s="331"/>
      <c r="I277" s="79">
        <v>30</v>
      </c>
      <c r="J277" s="109">
        <f>0.57*3.6</f>
        <v>2.052</v>
      </c>
      <c r="K277" s="81">
        <v>31.2</v>
      </c>
      <c r="L277" s="81">
        <f t="shared" si="33"/>
        <v>32.266666666666666</v>
      </c>
      <c r="M277" s="81">
        <f t="shared" si="34"/>
        <v>33.333333333333329</v>
      </c>
      <c r="N277" s="81">
        <v>34.4</v>
      </c>
      <c r="P277" s="331"/>
      <c r="Q277" s="79">
        <v>30</v>
      </c>
      <c r="R277" s="109">
        <f>0.67*3.6</f>
        <v>2.4120000000000004</v>
      </c>
      <c r="S277" s="81">
        <v>31.2</v>
      </c>
      <c r="T277" s="81">
        <f t="shared" si="35"/>
        <v>32.266666666666666</v>
      </c>
      <c r="U277" s="81">
        <f t="shared" si="36"/>
        <v>33.333333333333329</v>
      </c>
      <c r="V277" s="81">
        <v>34.4</v>
      </c>
    </row>
    <row r="278" spans="2:22" x14ac:dyDescent="0.2">
      <c r="B278" s="331"/>
      <c r="C278" s="164">
        <v>35</v>
      </c>
      <c r="D278" s="165">
        <f>0.61*3.6</f>
        <v>2.1960000000000002</v>
      </c>
      <c r="E278" s="166">
        <v>29.4</v>
      </c>
      <c r="F278" s="166" t="s">
        <v>59</v>
      </c>
      <c r="H278" s="331"/>
      <c r="I278" s="164">
        <v>35</v>
      </c>
      <c r="J278" s="165">
        <f>0.61*3.6</f>
        <v>2.1960000000000002</v>
      </c>
      <c r="K278" s="166">
        <v>32</v>
      </c>
      <c r="L278" s="166">
        <f t="shared" si="33"/>
        <v>33.366666666666667</v>
      </c>
      <c r="M278" s="166">
        <f t="shared" si="34"/>
        <v>34.733333333333334</v>
      </c>
      <c r="N278" s="166">
        <v>36.1</v>
      </c>
      <c r="P278" s="331"/>
      <c r="Q278" s="164">
        <v>35</v>
      </c>
      <c r="R278" s="165">
        <f>0.73*3.6</f>
        <v>2.6280000000000001</v>
      </c>
      <c r="S278" s="166">
        <v>32</v>
      </c>
      <c r="T278" s="166">
        <f t="shared" si="35"/>
        <v>33.366666666666667</v>
      </c>
      <c r="U278" s="166">
        <f t="shared" si="36"/>
        <v>34.733333333333334</v>
      </c>
      <c r="V278" s="166">
        <v>36.1</v>
      </c>
    </row>
    <row r="279" spans="2:22" x14ac:dyDescent="0.2">
      <c r="B279" s="332"/>
      <c r="C279" s="125">
        <v>40</v>
      </c>
      <c r="D279" s="126">
        <f>0.66*3.6</f>
        <v>2.3760000000000003</v>
      </c>
      <c r="E279" s="127">
        <v>30.5</v>
      </c>
      <c r="F279" s="127" t="s">
        <v>59</v>
      </c>
      <c r="H279" s="332"/>
      <c r="I279" s="125">
        <v>40</v>
      </c>
      <c r="J279" s="126">
        <f>0.66*3.6</f>
        <v>2.3760000000000003</v>
      </c>
      <c r="K279" s="127">
        <v>32.5</v>
      </c>
      <c r="L279" s="127">
        <f t="shared" si="33"/>
        <v>34.233333333333334</v>
      </c>
      <c r="M279" s="127">
        <f t="shared" si="34"/>
        <v>35.966666666666669</v>
      </c>
      <c r="N279" s="127">
        <v>37.700000000000003</v>
      </c>
      <c r="P279" s="332"/>
      <c r="Q279" s="125">
        <v>40</v>
      </c>
      <c r="R279" s="126">
        <f>0.78*3.6</f>
        <v>2.8080000000000003</v>
      </c>
      <c r="S279" s="127">
        <v>32.5</v>
      </c>
      <c r="T279" s="127">
        <f t="shared" si="35"/>
        <v>34.233333333333334</v>
      </c>
      <c r="U279" s="127">
        <f t="shared" si="36"/>
        <v>35.966666666666669</v>
      </c>
      <c r="V279" s="127">
        <v>37.700000000000003</v>
      </c>
    </row>
    <row r="283" spans="2:22" x14ac:dyDescent="0.2">
      <c r="B283" s="92" t="s">
        <v>113</v>
      </c>
      <c r="C283" s="155"/>
      <c r="D283" s="155"/>
      <c r="E283" s="155"/>
      <c r="F283" s="155"/>
      <c r="I283" s="92" t="s">
        <v>113</v>
      </c>
      <c r="J283" s="155"/>
      <c r="K283" s="155"/>
      <c r="L283" s="155"/>
      <c r="M283" s="155"/>
      <c r="N283" s="155"/>
      <c r="O283" s="155"/>
      <c r="R283" s="92" t="s">
        <v>113</v>
      </c>
      <c r="S283" s="155"/>
      <c r="T283" s="155"/>
      <c r="U283" s="155"/>
    </row>
    <row r="284" spans="2:22" x14ac:dyDescent="0.2">
      <c r="B284" s="66" t="s">
        <v>286</v>
      </c>
      <c r="C284" s="155"/>
      <c r="D284" s="155"/>
      <c r="E284" s="155"/>
      <c r="F284" s="155"/>
      <c r="I284" s="66" t="s">
        <v>287</v>
      </c>
      <c r="J284" s="155"/>
      <c r="K284" s="155"/>
      <c r="L284" s="155"/>
      <c r="M284" s="155"/>
      <c r="N284" s="155"/>
      <c r="O284" s="155"/>
      <c r="R284" s="66" t="s">
        <v>288</v>
      </c>
      <c r="S284" s="155"/>
      <c r="T284" s="155"/>
      <c r="U284" s="155"/>
    </row>
    <row r="285" spans="2:22" ht="12.75" customHeight="1" x14ac:dyDescent="0.2">
      <c r="B285" s="336" t="s">
        <v>257</v>
      </c>
      <c r="C285" s="333" t="s">
        <v>264</v>
      </c>
      <c r="D285" s="334"/>
      <c r="E285" s="334"/>
      <c r="F285" s="335"/>
      <c r="H285" s="336" t="s">
        <v>257</v>
      </c>
      <c r="I285" s="333" t="s">
        <v>264</v>
      </c>
      <c r="J285" s="334"/>
      <c r="K285" s="334"/>
      <c r="L285" s="334"/>
      <c r="M285" s="334"/>
      <c r="N285" s="335"/>
      <c r="P285" s="336" t="s">
        <v>257</v>
      </c>
      <c r="Q285" s="333" t="s">
        <v>264</v>
      </c>
      <c r="R285" s="334"/>
      <c r="S285" s="334"/>
      <c r="T285" s="334"/>
      <c r="U285" s="334"/>
      <c r="V285" s="335"/>
    </row>
    <row r="286" spans="2:22" ht="12.75" customHeight="1" x14ac:dyDescent="0.2">
      <c r="B286" s="337"/>
      <c r="C286" s="336" t="s">
        <v>124</v>
      </c>
      <c r="D286" s="338" t="s">
        <v>258</v>
      </c>
      <c r="E286" s="338" t="s">
        <v>265</v>
      </c>
      <c r="F286" s="341"/>
      <c r="H286" s="337"/>
      <c r="I286" s="336" t="s">
        <v>124</v>
      </c>
      <c r="J286" s="336" t="s">
        <v>258</v>
      </c>
      <c r="K286" s="338" t="s">
        <v>265</v>
      </c>
      <c r="L286" s="340"/>
      <c r="M286" s="340"/>
      <c r="N286" s="341"/>
      <c r="P286" s="337"/>
      <c r="Q286" s="336" t="s">
        <v>124</v>
      </c>
      <c r="R286" s="338" t="s">
        <v>258</v>
      </c>
      <c r="S286" s="338" t="s">
        <v>265</v>
      </c>
      <c r="T286" s="340"/>
      <c r="U286" s="340"/>
      <c r="V286" s="341"/>
    </row>
    <row r="287" spans="2:22" x14ac:dyDescent="0.2">
      <c r="B287" s="337"/>
      <c r="C287" s="337"/>
      <c r="D287" s="339"/>
      <c r="E287" s="342"/>
      <c r="F287" s="344"/>
      <c r="H287" s="337"/>
      <c r="I287" s="337"/>
      <c r="J287" s="337"/>
      <c r="K287" s="342"/>
      <c r="L287" s="343"/>
      <c r="M287" s="343"/>
      <c r="N287" s="344"/>
      <c r="P287" s="337"/>
      <c r="Q287" s="337"/>
      <c r="R287" s="339"/>
      <c r="S287" s="342"/>
      <c r="T287" s="343"/>
      <c r="U287" s="343"/>
      <c r="V287" s="344"/>
    </row>
    <row r="288" spans="2:22" ht="14.25" x14ac:dyDescent="0.2">
      <c r="B288" s="345"/>
      <c r="C288" s="160" t="s">
        <v>8</v>
      </c>
      <c r="D288" s="160" t="s">
        <v>132</v>
      </c>
      <c r="E288" s="160" t="s">
        <v>266</v>
      </c>
      <c r="F288" s="161" t="s">
        <v>267</v>
      </c>
      <c r="H288" s="337"/>
      <c r="I288" s="160" t="s">
        <v>8</v>
      </c>
      <c r="J288" s="160" t="s">
        <v>132</v>
      </c>
      <c r="K288" s="160" t="s">
        <v>266</v>
      </c>
      <c r="L288" s="161" t="s">
        <v>270</v>
      </c>
      <c r="M288" s="161" t="s">
        <v>271</v>
      </c>
      <c r="N288" s="161" t="s">
        <v>267</v>
      </c>
      <c r="P288" s="337"/>
      <c r="Q288" s="160" t="s">
        <v>8</v>
      </c>
      <c r="R288" s="160" t="s">
        <v>132</v>
      </c>
      <c r="S288" s="160" t="s">
        <v>266</v>
      </c>
      <c r="T288" s="161" t="s">
        <v>270</v>
      </c>
      <c r="U288" s="161" t="s">
        <v>271</v>
      </c>
      <c r="V288" s="161" t="s">
        <v>267</v>
      </c>
    </row>
    <row r="289" spans="2:22" x14ac:dyDescent="0.2">
      <c r="B289" s="330">
        <v>5.16</v>
      </c>
      <c r="C289" s="176">
        <v>20</v>
      </c>
      <c r="D289" s="177">
        <f>0.4*3.6</f>
        <v>1.4400000000000002</v>
      </c>
      <c r="E289" s="175">
        <v>23</v>
      </c>
      <c r="F289" s="175" t="s">
        <v>59</v>
      </c>
      <c r="H289" s="330">
        <v>5.16</v>
      </c>
      <c r="I289" s="176">
        <v>20</v>
      </c>
      <c r="J289" s="177">
        <f>0.4*3.6</f>
        <v>1.4400000000000002</v>
      </c>
      <c r="K289" s="175">
        <v>27.8</v>
      </c>
      <c r="L289" s="175">
        <f>K289+(N289-K289)/1.5*0.5</f>
        <v>28.533333333333335</v>
      </c>
      <c r="M289" s="175">
        <f t="shared" ref="M289:M324" si="37">K289+(N289-K289)/1.5</f>
        <v>29.266666666666666</v>
      </c>
      <c r="N289" s="175">
        <v>30</v>
      </c>
      <c r="P289" s="330" t="s">
        <v>289</v>
      </c>
      <c r="Q289" s="176">
        <v>20</v>
      </c>
      <c r="R289" s="177">
        <f>0.51*3.6</f>
        <v>1.8360000000000001</v>
      </c>
      <c r="S289" s="175">
        <v>27.8</v>
      </c>
      <c r="T289" s="175">
        <f>S289+(V289-S289)/1.5*0.5</f>
        <v>28.533333333333335</v>
      </c>
      <c r="U289" s="175">
        <f t="shared" ref="U289:U324" si="38">S289+(V289-S289)/1.5</f>
        <v>29.266666666666666</v>
      </c>
      <c r="V289" s="175">
        <v>30</v>
      </c>
    </row>
    <row r="290" spans="2:22" x14ac:dyDescent="0.2">
      <c r="B290" s="331"/>
      <c r="C290" s="179">
        <v>25</v>
      </c>
      <c r="D290" s="165">
        <f>0.45*3.6</f>
        <v>1.62</v>
      </c>
      <c r="E290" s="166">
        <v>25.8</v>
      </c>
      <c r="F290" s="166" t="s">
        <v>59</v>
      </c>
      <c r="H290" s="331"/>
      <c r="I290" s="179">
        <v>25</v>
      </c>
      <c r="J290" s="165">
        <f>0.45*3.6</f>
        <v>1.62</v>
      </c>
      <c r="K290" s="166">
        <v>29.2</v>
      </c>
      <c r="L290" s="166">
        <f t="shared" ref="L290:L324" si="39">K290+(N290-K290)/1.5*0.5</f>
        <v>29.866666666666667</v>
      </c>
      <c r="M290" s="166">
        <f t="shared" si="37"/>
        <v>30.533333333333331</v>
      </c>
      <c r="N290" s="166">
        <v>31.2</v>
      </c>
      <c r="P290" s="331"/>
      <c r="Q290" s="179">
        <v>25</v>
      </c>
      <c r="R290" s="165">
        <f>0.57*3.6</f>
        <v>2.052</v>
      </c>
      <c r="S290" s="166">
        <v>29.2</v>
      </c>
      <c r="T290" s="166">
        <f t="shared" ref="T290:T324" si="40">S290+(V290-S290)/1.5*0.5</f>
        <v>29.866666666666667</v>
      </c>
      <c r="U290" s="166">
        <f t="shared" si="38"/>
        <v>30.533333333333331</v>
      </c>
      <c r="V290" s="166">
        <v>31.2</v>
      </c>
    </row>
    <row r="291" spans="2:22" x14ac:dyDescent="0.2">
      <c r="B291" s="331"/>
      <c r="C291" s="106">
        <v>30</v>
      </c>
      <c r="D291" s="109">
        <f>0.49*3.6</f>
        <v>1.764</v>
      </c>
      <c r="E291" s="81">
        <v>29.2</v>
      </c>
      <c r="F291" s="81" t="s">
        <v>59</v>
      </c>
      <c r="H291" s="331"/>
      <c r="I291" s="106">
        <v>30</v>
      </c>
      <c r="J291" s="109">
        <f>0.49*3.6</f>
        <v>1.764</v>
      </c>
      <c r="K291" s="81">
        <v>30.3</v>
      </c>
      <c r="L291" s="81">
        <f t="shared" si="39"/>
        <v>30.900000000000002</v>
      </c>
      <c r="M291" s="81">
        <f t="shared" si="37"/>
        <v>31.5</v>
      </c>
      <c r="N291" s="81">
        <v>32.1</v>
      </c>
      <c r="P291" s="331"/>
      <c r="Q291" s="106">
        <v>30</v>
      </c>
      <c r="R291" s="109">
        <f>0.62*3.6</f>
        <v>2.2320000000000002</v>
      </c>
      <c r="S291" s="81">
        <v>30.3</v>
      </c>
      <c r="T291" s="81">
        <f t="shared" si="40"/>
        <v>30.900000000000002</v>
      </c>
      <c r="U291" s="81">
        <f t="shared" si="38"/>
        <v>31.5</v>
      </c>
      <c r="V291" s="81">
        <v>32.1</v>
      </c>
    </row>
    <row r="292" spans="2:22" x14ac:dyDescent="0.2">
      <c r="B292" s="331"/>
      <c r="C292" s="179">
        <v>35</v>
      </c>
      <c r="D292" s="165">
        <f>0.53*3.6</f>
        <v>1.9080000000000001</v>
      </c>
      <c r="E292" s="166">
        <v>29.7</v>
      </c>
      <c r="F292" s="166" t="s">
        <v>59</v>
      </c>
      <c r="H292" s="331"/>
      <c r="I292" s="179">
        <v>35</v>
      </c>
      <c r="J292" s="165">
        <f>0.53*3.6</f>
        <v>1.9080000000000001</v>
      </c>
      <c r="K292" s="166">
        <v>31.1</v>
      </c>
      <c r="L292" s="166">
        <f t="shared" si="39"/>
        <v>31.733333333333334</v>
      </c>
      <c r="M292" s="166">
        <f t="shared" si="37"/>
        <v>32.366666666666667</v>
      </c>
      <c r="N292" s="166">
        <v>33</v>
      </c>
      <c r="P292" s="331"/>
      <c r="Q292" s="179">
        <v>35</v>
      </c>
      <c r="R292" s="165">
        <f>0.67*3.6</f>
        <v>2.4120000000000004</v>
      </c>
      <c r="S292" s="166">
        <v>31.1</v>
      </c>
      <c r="T292" s="166">
        <f t="shared" si="40"/>
        <v>31.733333333333334</v>
      </c>
      <c r="U292" s="166">
        <f t="shared" si="38"/>
        <v>32.366666666666667</v>
      </c>
      <c r="V292" s="166">
        <v>33</v>
      </c>
    </row>
    <row r="293" spans="2:22" x14ac:dyDescent="0.2">
      <c r="B293" s="331"/>
      <c r="C293" s="106">
        <v>40</v>
      </c>
      <c r="D293" s="109">
        <f>0.57*3.6</f>
        <v>2.052</v>
      </c>
      <c r="E293" s="81">
        <v>31</v>
      </c>
      <c r="F293" s="81" t="s">
        <v>59</v>
      </c>
      <c r="H293" s="331"/>
      <c r="I293" s="106">
        <v>40</v>
      </c>
      <c r="J293" s="109">
        <f>0.57*3.6</f>
        <v>2.052</v>
      </c>
      <c r="K293" s="81">
        <v>31.6</v>
      </c>
      <c r="L293" s="81">
        <f t="shared" si="39"/>
        <v>32.366666666666667</v>
      </c>
      <c r="M293" s="81">
        <f t="shared" si="37"/>
        <v>33.133333333333333</v>
      </c>
      <c r="N293" s="81">
        <v>33.9</v>
      </c>
      <c r="P293" s="331"/>
      <c r="Q293" s="106">
        <v>40</v>
      </c>
      <c r="R293" s="109">
        <f>0.72*3.6</f>
        <v>2.5920000000000001</v>
      </c>
      <c r="S293" s="81">
        <v>31.6</v>
      </c>
      <c r="T293" s="81">
        <f t="shared" si="40"/>
        <v>32.366666666666667</v>
      </c>
      <c r="U293" s="81">
        <f t="shared" si="38"/>
        <v>33.133333333333333</v>
      </c>
      <c r="V293" s="81">
        <v>33.9</v>
      </c>
    </row>
    <row r="294" spans="2:22" x14ac:dyDescent="0.2">
      <c r="B294" s="332"/>
      <c r="C294" s="178">
        <v>45</v>
      </c>
      <c r="D294" s="169">
        <f>0.6*3.6</f>
        <v>2.16</v>
      </c>
      <c r="E294" s="170">
        <v>32</v>
      </c>
      <c r="F294" s="170"/>
      <c r="H294" s="332"/>
      <c r="I294" s="178">
        <v>45</v>
      </c>
      <c r="J294" s="169">
        <f>0.6*3.6</f>
        <v>2.16</v>
      </c>
      <c r="K294" s="170">
        <v>32</v>
      </c>
      <c r="L294" s="170">
        <f t="shared" si="39"/>
        <v>32.93333333333333</v>
      </c>
      <c r="M294" s="170">
        <f t="shared" si="37"/>
        <v>33.866666666666667</v>
      </c>
      <c r="N294" s="170">
        <v>34.799999999999997</v>
      </c>
      <c r="P294" s="332"/>
      <c r="Q294" s="178">
        <v>45</v>
      </c>
      <c r="R294" s="169">
        <f>0.76*3.6</f>
        <v>2.7360000000000002</v>
      </c>
      <c r="S294" s="170">
        <v>32</v>
      </c>
      <c r="T294" s="170">
        <f t="shared" si="40"/>
        <v>32.93333333333333</v>
      </c>
      <c r="U294" s="170">
        <f t="shared" si="38"/>
        <v>33.866666666666667</v>
      </c>
      <c r="V294" s="170">
        <v>34.799999999999997</v>
      </c>
    </row>
    <row r="295" spans="2:22" x14ac:dyDescent="0.2">
      <c r="B295" s="330">
        <v>5.56</v>
      </c>
      <c r="C295" s="176">
        <v>20</v>
      </c>
      <c r="D295" s="177">
        <f>0.46*3.6</f>
        <v>1.6560000000000001</v>
      </c>
      <c r="E295" s="175">
        <v>23.7</v>
      </c>
      <c r="F295" s="175" t="s">
        <v>59</v>
      </c>
      <c r="H295" s="330">
        <v>5.56</v>
      </c>
      <c r="I295" s="176">
        <v>20</v>
      </c>
      <c r="J295" s="177">
        <f>0.46*3.6</f>
        <v>1.6560000000000001</v>
      </c>
      <c r="K295" s="175">
        <v>28.4</v>
      </c>
      <c r="L295" s="175">
        <f t="shared" si="39"/>
        <v>29.099999999999998</v>
      </c>
      <c r="M295" s="175">
        <f t="shared" si="37"/>
        <v>29.8</v>
      </c>
      <c r="N295" s="175">
        <v>30.5</v>
      </c>
      <c r="P295" s="330" t="s">
        <v>290</v>
      </c>
      <c r="Q295" s="176">
        <v>20</v>
      </c>
      <c r="R295" s="177">
        <f>0.58*3.6</f>
        <v>2.0880000000000001</v>
      </c>
      <c r="S295" s="175">
        <v>28.4</v>
      </c>
      <c r="T295" s="175">
        <f t="shared" si="40"/>
        <v>29.099999999999998</v>
      </c>
      <c r="U295" s="175">
        <f t="shared" si="38"/>
        <v>29.8</v>
      </c>
      <c r="V295" s="175">
        <v>30.5</v>
      </c>
    </row>
    <row r="296" spans="2:22" x14ac:dyDescent="0.2">
      <c r="B296" s="331"/>
      <c r="C296" s="179">
        <v>25</v>
      </c>
      <c r="D296" s="165">
        <f>0.52*3.6</f>
        <v>1.8720000000000001</v>
      </c>
      <c r="E296" s="166">
        <v>26.4</v>
      </c>
      <c r="F296" s="166" t="s">
        <v>59</v>
      </c>
      <c r="H296" s="331"/>
      <c r="I296" s="179">
        <v>25</v>
      </c>
      <c r="J296" s="165">
        <f>0.52*3.6</f>
        <v>1.8720000000000001</v>
      </c>
      <c r="K296" s="166">
        <v>30.1</v>
      </c>
      <c r="L296" s="166">
        <f t="shared" si="39"/>
        <v>30.7</v>
      </c>
      <c r="M296" s="166">
        <f t="shared" si="37"/>
        <v>31.3</v>
      </c>
      <c r="N296" s="166">
        <v>31.9</v>
      </c>
      <c r="P296" s="331"/>
      <c r="Q296" s="179">
        <v>25</v>
      </c>
      <c r="R296" s="165">
        <f>0.65*3.6</f>
        <v>2.3400000000000003</v>
      </c>
      <c r="S296" s="166">
        <v>30.1</v>
      </c>
      <c r="T296" s="166">
        <f t="shared" si="40"/>
        <v>30.7</v>
      </c>
      <c r="U296" s="166">
        <f t="shared" si="38"/>
        <v>31.3</v>
      </c>
      <c r="V296" s="166">
        <v>31.9</v>
      </c>
    </row>
    <row r="297" spans="2:22" x14ac:dyDescent="0.2">
      <c r="B297" s="331"/>
      <c r="C297" s="106">
        <v>30</v>
      </c>
      <c r="D297" s="109">
        <f>0.57*3.6</f>
        <v>2.052</v>
      </c>
      <c r="E297" s="81">
        <v>29.8</v>
      </c>
      <c r="F297" s="81" t="s">
        <v>59</v>
      </c>
      <c r="H297" s="331"/>
      <c r="I297" s="106">
        <v>30</v>
      </c>
      <c r="J297" s="109">
        <f>0.57*3.6</f>
        <v>2.052</v>
      </c>
      <c r="K297" s="81">
        <v>31.2</v>
      </c>
      <c r="L297" s="81">
        <f t="shared" si="39"/>
        <v>31.9</v>
      </c>
      <c r="M297" s="81">
        <f t="shared" si="37"/>
        <v>32.599999999999994</v>
      </c>
      <c r="N297" s="81">
        <v>33.299999999999997</v>
      </c>
      <c r="P297" s="331"/>
      <c r="Q297" s="106">
        <v>30</v>
      </c>
      <c r="R297" s="109">
        <f>0.71*3.6</f>
        <v>2.556</v>
      </c>
      <c r="S297" s="81">
        <v>31.2</v>
      </c>
      <c r="T297" s="81">
        <f t="shared" si="40"/>
        <v>31.9</v>
      </c>
      <c r="U297" s="81">
        <f t="shared" si="38"/>
        <v>32.599999999999994</v>
      </c>
      <c r="V297" s="81">
        <v>33.299999999999997</v>
      </c>
    </row>
    <row r="298" spans="2:22" x14ac:dyDescent="0.2">
      <c r="B298" s="331"/>
      <c r="C298" s="179">
        <v>35</v>
      </c>
      <c r="D298" s="165">
        <f>0.61*3.6</f>
        <v>2.1960000000000002</v>
      </c>
      <c r="E298" s="166">
        <v>30.3</v>
      </c>
      <c r="F298" s="166" t="s">
        <v>59</v>
      </c>
      <c r="H298" s="331"/>
      <c r="I298" s="179">
        <v>35</v>
      </c>
      <c r="J298" s="165">
        <f>0.61*3.6</f>
        <v>2.1960000000000002</v>
      </c>
      <c r="K298" s="166">
        <v>32</v>
      </c>
      <c r="L298" s="166">
        <f t="shared" si="39"/>
        <v>32.733333333333334</v>
      </c>
      <c r="M298" s="166">
        <f t="shared" si="37"/>
        <v>33.466666666666669</v>
      </c>
      <c r="N298" s="166">
        <v>34.200000000000003</v>
      </c>
      <c r="P298" s="331"/>
      <c r="Q298" s="179">
        <v>35</v>
      </c>
      <c r="R298" s="165">
        <f>0.771*3.6</f>
        <v>2.7756000000000003</v>
      </c>
      <c r="S298" s="166">
        <v>32</v>
      </c>
      <c r="T298" s="166">
        <f t="shared" si="40"/>
        <v>32.733333333333334</v>
      </c>
      <c r="U298" s="166">
        <f t="shared" si="38"/>
        <v>33.466666666666669</v>
      </c>
      <c r="V298" s="166">
        <v>34.200000000000003</v>
      </c>
    </row>
    <row r="299" spans="2:22" x14ac:dyDescent="0.2">
      <c r="B299" s="331"/>
      <c r="C299" s="106">
        <v>40</v>
      </c>
      <c r="D299" s="109">
        <f>0.66*3.6</f>
        <v>2.3760000000000003</v>
      </c>
      <c r="E299" s="81">
        <v>31.6</v>
      </c>
      <c r="F299" s="81" t="s">
        <v>59</v>
      </c>
      <c r="H299" s="331"/>
      <c r="I299" s="106">
        <v>40</v>
      </c>
      <c r="J299" s="109">
        <f>0.66*3.6</f>
        <v>2.3760000000000003</v>
      </c>
      <c r="K299" s="81">
        <v>32.5</v>
      </c>
      <c r="L299" s="81">
        <f t="shared" si="39"/>
        <v>33.366666666666667</v>
      </c>
      <c r="M299" s="81">
        <f t="shared" si="37"/>
        <v>34.233333333333334</v>
      </c>
      <c r="N299" s="81">
        <v>35.1</v>
      </c>
      <c r="P299" s="331"/>
      <c r="Q299" s="106">
        <v>40</v>
      </c>
      <c r="R299" s="109">
        <f>0.82*3.6</f>
        <v>2.952</v>
      </c>
      <c r="S299" s="81">
        <v>32.5</v>
      </c>
      <c r="T299" s="81">
        <f t="shared" si="40"/>
        <v>33.366666666666667</v>
      </c>
      <c r="U299" s="81">
        <f t="shared" si="38"/>
        <v>34.233333333333334</v>
      </c>
      <c r="V299" s="81">
        <v>35.1</v>
      </c>
    </row>
    <row r="300" spans="2:22" x14ac:dyDescent="0.2">
      <c r="B300" s="332"/>
      <c r="C300" s="178">
        <v>45</v>
      </c>
      <c r="D300" s="169">
        <f>0.7*3.6</f>
        <v>2.52</v>
      </c>
      <c r="E300" s="170">
        <v>32.6</v>
      </c>
      <c r="F300" s="170"/>
      <c r="H300" s="332"/>
      <c r="I300" s="178">
        <v>45</v>
      </c>
      <c r="J300" s="169">
        <f>0.7*3.6</f>
        <v>2.52</v>
      </c>
      <c r="K300" s="170">
        <v>32.9</v>
      </c>
      <c r="L300" s="170">
        <f t="shared" si="39"/>
        <v>33.93333333333333</v>
      </c>
      <c r="M300" s="170">
        <f t="shared" si="37"/>
        <v>34.966666666666669</v>
      </c>
      <c r="N300" s="170">
        <v>36</v>
      </c>
      <c r="P300" s="332"/>
      <c r="Q300" s="178">
        <v>45</v>
      </c>
      <c r="R300" s="169">
        <f>0.87*3.6</f>
        <v>3.1320000000000001</v>
      </c>
      <c r="S300" s="170">
        <v>32.9</v>
      </c>
      <c r="T300" s="170">
        <f t="shared" si="40"/>
        <v>33.93333333333333</v>
      </c>
      <c r="U300" s="170">
        <f t="shared" si="38"/>
        <v>34.966666666666669</v>
      </c>
      <c r="V300" s="170">
        <v>36</v>
      </c>
    </row>
    <row r="301" spans="2:22" x14ac:dyDescent="0.2">
      <c r="B301" s="330">
        <v>5.95</v>
      </c>
      <c r="C301" s="176">
        <v>20</v>
      </c>
      <c r="D301" s="177">
        <f>0.53*3.6</f>
        <v>1.9080000000000001</v>
      </c>
      <c r="E301" s="175">
        <v>24.3</v>
      </c>
      <c r="F301" s="175" t="s">
        <v>59</v>
      </c>
      <c r="H301" s="330">
        <v>5.95</v>
      </c>
      <c r="I301" s="176">
        <v>20</v>
      </c>
      <c r="J301" s="177">
        <f>0.53*3.6</f>
        <v>1.9080000000000001</v>
      </c>
      <c r="K301" s="175">
        <v>29</v>
      </c>
      <c r="L301" s="175">
        <f t="shared" si="39"/>
        <v>29.6</v>
      </c>
      <c r="M301" s="175">
        <f t="shared" si="37"/>
        <v>30.2</v>
      </c>
      <c r="N301" s="175">
        <v>30.8</v>
      </c>
      <c r="P301" s="330" t="s">
        <v>291</v>
      </c>
      <c r="Q301" s="176">
        <v>20</v>
      </c>
      <c r="R301" s="177">
        <f>0.64*3.6</f>
        <v>2.3040000000000003</v>
      </c>
      <c r="S301" s="175">
        <v>29</v>
      </c>
      <c r="T301" s="175">
        <f t="shared" si="40"/>
        <v>29.6</v>
      </c>
      <c r="U301" s="175">
        <f t="shared" si="38"/>
        <v>30.2</v>
      </c>
      <c r="V301" s="175">
        <v>30.8</v>
      </c>
    </row>
    <row r="302" spans="2:22" x14ac:dyDescent="0.2">
      <c r="B302" s="331"/>
      <c r="C302" s="179">
        <v>25</v>
      </c>
      <c r="D302" s="165">
        <f>0.59*3.6</f>
        <v>2.1240000000000001</v>
      </c>
      <c r="E302" s="166">
        <v>27</v>
      </c>
      <c r="F302" s="166" t="s">
        <v>59</v>
      </c>
      <c r="H302" s="331"/>
      <c r="I302" s="179">
        <v>25</v>
      </c>
      <c r="J302" s="165">
        <f>0.59*3.6</f>
        <v>2.1240000000000001</v>
      </c>
      <c r="K302" s="166">
        <v>30.7</v>
      </c>
      <c r="L302" s="166">
        <f t="shared" si="39"/>
        <v>31.3</v>
      </c>
      <c r="M302" s="166">
        <f t="shared" si="37"/>
        <v>31.9</v>
      </c>
      <c r="N302" s="166">
        <v>32.5</v>
      </c>
      <c r="P302" s="331"/>
      <c r="Q302" s="179">
        <v>25</v>
      </c>
      <c r="R302" s="165">
        <f>0.72*3.6</f>
        <v>2.5920000000000001</v>
      </c>
      <c r="S302" s="166">
        <v>30.7</v>
      </c>
      <c r="T302" s="166">
        <f t="shared" si="40"/>
        <v>31.3</v>
      </c>
      <c r="U302" s="166">
        <f t="shared" si="38"/>
        <v>31.9</v>
      </c>
      <c r="V302" s="166">
        <v>32.5</v>
      </c>
    </row>
    <row r="303" spans="2:22" x14ac:dyDescent="0.2">
      <c r="B303" s="331"/>
      <c r="C303" s="106">
        <v>30</v>
      </c>
      <c r="D303" s="109">
        <f>0.64*3.6</f>
        <v>2.3040000000000003</v>
      </c>
      <c r="E303" s="81">
        <v>30.4</v>
      </c>
      <c r="F303" s="81" t="s">
        <v>59</v>
      </c>
      <c r="H303" s="331"/>
      <c r="I303" s="106">
        <v>30</v>
      </c>
      <c r="J303" s="109">
        <f>0.64*3.6</f>
        <v>2.3040000000000003</v>
      </c>
      <c r="K303" s="81">
        <v>32.1</v>
      </c>
      <c r="L303" s="81">
        <f t="shared" si="39"/>
        <v>32.700000000000003</v>
      </c>
      <c r="M303" s="81">
        <f t="shared" si="37"/>
        <v>33.299999999999997</v>
      </c>
      <c r="N303" s="81">
        <v>33.9</v>
      </c>
      <c r="P303" s="331"/>
      <c r="Q303" s="106">
        <v>30</v>
      </c>
      <c r="R303" s="109">
        <f>0.78*3.6</f>
        <v>2.8080000000000003</v>
      </c>
      <c r="S303" s="81">
        <v>32</v>
      </c>
      <c r="T303" s="81">
        <f t="shared" si="40"/>
        <v>32.633333333333333</v>
      </c>
      <c r="U303" s="81">
        <f t="shared" si="38"/>
        <v>33.266666666666666</v>
      </c>
      <c r="V303" s="81">
        <v>33.9</v>
      </c>
    </row>
    <row r="304" spans="2:22" x14ac:dyDescent="0.2">
      <c r="B304" s="331"/>
      <c r="C304" s="179">
        <v>35</v>
      </c>
      <c r="D304" s="165">
        <f>0.7*3.6</f>
        <v>2.52</v>
      </c>
      <c r="E304" s="166">
        <v>30.9</v>
      </c>
      <c r="F304" s="166" t="s">
        <v>59</v>
      </c>
      <c r="H304" s="331"/>
      <c r="I304" s="179">
        <v>35</v>
      </c>
      <c r="J304" s="165">
        <f>0.7*3.6</f>
        <v>2.52</v>
      </c>
      <c r="K304" s="166">
        <v>32.700000000000003</v>
      </c>
      <c r="L304" s="166">
        <f t="shared" si="39"/>
        <v>33.4</v>
      </c>
      <c r="M304" s="166">
        <f t="shared" si="37"/>
        <v>34.1</v>
      </c>
      <c r="N304" s="166">
        <v>34.799999999999997</v>
      </c>
      <c r="P304" s="331"/>
      <c r="Q304" s="179">
        <v>35</v>
      </c>
      <c r="R304" s="165">
        <f>0.85*3.6</f>
        <v>3.06</v>
      </c>
      <c r="S304" s="166">
        <v>32.700000000000003</v>
      </c>
      <c r="T304" s="166">
        <f t="shared" si="40"/>
        <v>33.4</v>
      </c>
      <c r="U304" s="166">
        <f t="shared" si="38"/>
        <v>34.1</v>
      </c>
      <c r="V304" s="166">
        <v>34.799999999999997</v>
      </c>
    </row>
    <row r="305" spans="2:22" x14ac:dyDescent="0.2">
      <c r="B305" s="331"/>
      <c r="C305" s="106">
        <v>40</v>
      </c>
      <c r="D305" s="109">
        <f>0.74*3.6</f>
        <v>2.6640000000000001</v>
      </c>
      <c r="E305" s="81">
        <v>32.200000000000003</v>
      </c>
      <c r="F305" s="81" t="s">
        <v>59</v>
      </c>
      <c r="H305" s="331"/>
      <c r="I305" s="106">
        <v>40</v>
      </c>
      <c r="J305" s="109">
        <f>0.74*3.6</f>
        <v>2.6640000000000001</v>
      </c>
      <c r="K305" s="81">
        <v>33.1</v>
      </c>
      <c r="L305" s="81">
        <f t="shared" si="39"/>
        <v>33.966666666666669</v>
      </c>
      <c r="M305" s="81">
        <f t="shared" si="37"/>
        <v>34.833333333333336</v>
      </c>
      <c r="N305" s="81">
        <v>35.700000000000003</v>
      </c>
      <c r="P305" s="331"/>
      <c r="Q305" s="106">
        <v>40</v>
      </c>
      <c r="R305" s="109">
        <f>0.91*3.6</f>
        <v>3.2760000000000002</v>
      </c>
      <c r="S305" s="81">
        <v>33.1</v>
      </c>
      <c r="T305" s="81">
        <f t="shared" si="40"/>
        <v>33.966666666666669</v>
      </c>
      <c r="U305" s="81">
        <f t="shared" si="38"/>
        <v>34.833333333333336</v>
      </c>
      <c r="V305" s="81">
        <v>35.700000000000003</v>
      </c>
    </row>
    <row r="306" spans="2:22" x14ac:dyDescent="0.2">
      <c r="B306" s="332"/>
      <c r="C306" s="178">
        <v>45</v>
      </c>
      <c r="D306" s="169">
        <f>0.79*3.6</f>
        <v>2.8440000000000003</v>
      </c>
      <c r="E306" s="170">
        <v>33.299999999999997</v>
      </c>
      <c r="F306" s="170"/>
      <c r="H306" s="332"/>
      <c r="I306" s="178">
        <v>45</v>
      </c>
      <c r="J306" s="169">
        <f>0.79*3.6</f>
        <v>2.8440000000000003</v>
      </c>
      <c r="K306" s="170">
        <v>33.5</v>
      </c>
      <c r="L306" s="170">
        <f t="shared" si="39"/>
        <v>34.533333333333331</v>
      </c>
      <c r="M306" s="170">
        <f t="shared" si="37"/>
        <v>35.56666666666667</v>
      </c>
      <c r="N306" s="170">
        <v>36.6</v>
      </c>
      <c r="P306" s="332"/>
      <c r="Q306" s="178">
        <v>45</v>
      </c>
      <c r="R306" s="169">
        <f>0.96*3.6</f>
        <v>3.456</v>
      </c>
      <c r="S306" s="170">
        <v>33.5</v>
      </c>
      <c r="T306" s="170">
        <f t="shared" si="40"/>
        <v>34.533333333333331</v>
      </c>
      <c r="U306" s="170">
        <f t="shared" si="38"/>
        <v>35.56666666666667</v>
      </c>
      <c r="V306" s="170">
        <v>36.6</v>
      </c>
    </row>
    <row r="307" spans="2:22" x14ac:dyDescent="0.2">
      <c r="B307" s="330">
        <v>6.35</v>
      </c>
      <c r="C307" s="176">
        <v>20</v>
      </c>
      <c r="D307" s="177">
        <f>0.6*3.6</f>
        <v>2.16</v>
      </c>
      <c r="E307" s="175">
        <v>24.9</v>
      </c>
      <c r="F307" s="175" t="s">
        <v>59</v>
      </c>
      <c r="H307" s="330">
        <v>6.35</v>
      </c>
      <c r="I307" s="176">
        <v>20</v>
      </c>
      <c r="J307" s="177">
        <f>0.6*3.6</f>
        <v>2.16</v>
      </c>
      <c r="K307" s="175">
        <v>29.5</v>
      </c>
      <c r="L307" s="175">
        <f t="shared" si="39"/>
        <v>30.066666666666666</v>
      </c>
      <c r="M307" s="175">
        <f t="shared" si="37"/>
        <v>30.633333333333333</v>
      </c>
      <c r="N307" s="175">
        <v>31.2</v>
      </c>
      <c r="P307" s="330" t="s">
        <v>292</v>
      </c>
      <c r="Q307" s="176">
        <v>20</v>
      </c>
      <c r="R307" s="177">
        <f>0.71*3.6</f>
        <v>2.556</v>
      </c>
      <c r="S307" s="175">
        <v>29.5</v>
      </c>
      <c r="T307" s="175">
        <f t="shared" si="40"/>
        <v>30.066666666666666</v>
      </c>
      <c r="U307" s="175">
        <f t="shared" si="38"/>
        <v>30.633333333333333</v>
      </c>
      <c r="V307" s="175">
        <v>31.2</v>
      </c>
    </row>
    <row r="308" spans="2:22" x14ac:dyDescent="0.2">
      <c r="B308" s="331"/>
      <c r="C308" s="179">
        <v>25</v>
      </c>
      <c r="D308" s="165">
        <f>0.67*3.6</f>
        <v>2.4120000000000004</v>
      </c>
      <c r="E308" s="166">
        <v>27.6</v>
      </c>
      <c r="F308" s="166" t="s">
        <v>59</v>
      </c>
      <c r="H308" s="331"/>
      <c r="I308" s="179">
        <v>25</v>
      </c>
      <c r="J308" s="165">
        <f>0.67*3.6</f>
        <v>2.4120000000000004</v>
      </c>
      <c r="K308" s="166">
        <v>31.3</v>
      </c>
      <c r="L308" s="166">
        <f t="shared" si="39"/>
        <v>31.833333333333332</v>
      </c>
      <c r="M308" s="166">
        <f t="shared" si="37"/>
        <v>32.366666666666667</v>
      </c>
      <c r="N308" s="166">
        <v>32.9</v>
      </c>
      <c r="P308" s="331"/>
      <c r="Q308" s="179">
        <v>25</v>
      </c>
      <c r="R308" s="165">
        <f>0.79*3.6</f>
        <v>2.8440000000000003</v>
      </c>
      <c r="S308" s="166">
        <v>31.3</v>
      </c>
      <c r="T308" s="166">
        <f t="shared" si="40"/>
        <v>31.833333333333332</v>
      </c>
      <c r="U308" s="166">
        <f t="shared" si="38"/>
        <v>32.366666666666667</v>
      </c>
      <c r="V308" s="166">
        <v>32.9</v>
      </c>
    </row>
    <row r="309" spans="2:22" x14ac:dyDescent="0.2">
      <c r="B309" s="331"/>
      <c r="C309" s="106">
        <v>30</v>
      </c>
      <c r="D309" s="109">
        <f>0.73*3.6</f>
        <v>2.6280000000000001</v>
      </c>
      <c r="E309" s="81">
        <v>31</v>
      </c>
      <c r="F309" s="81" t="s">
        <v>59</v>
      </c>
      <c r="H309" s="331"/>
      <c r="I309" s="106">
        <v>30</v>
      </c>
      <c r="J309" s="109">
        <f>0.73*3.6</f>
        <v>2.6280000000000001</v>
      </c>
      <c r="K309" s="81">
        <v>32.6</v>
      </c>
      <c r="L309" s="81">
        <f t="shared" si="39"/>
        <v>33.233333333333334</v>
      </c>
      <c r="M309" s="81">
        <f t="shared" si="37"/>
        <v>33.866666666666667</v>
      </c>
      <c r="N309" s="81">
        <v>34.5</v>
      </c>
      <c r="P309" s="331"/>
      <c r="Q309" s="106">
        <v>30</v>
      </c>
      <c r="R309" s="109">
        <f>0.87*3.6</f>
        <v>3.1320000000000001</v>
      </c>
      <c r="S309" s="81">
        <v>32.6</v>
      </c>
      <c r="T309" s="81">
        <f t="shared" si="40"/>
        <v>33.233333333333334</v>
      </c>
      <c r="U309" s="81">
        <f t="shared" si="38"/>
        <v>33.866666666666667</v>
      </c>
      <c r="V309" s="81">
        <v>34.5</v>
      </c>
    </row>
    <row r="310" spans="2:22" x14ac:dyDescent="0.2">
      <c r="B310" s="331"/>
      <c r="C310" s="179">
        <v>35</v>
      </c>
      <c r="D310" s="165">
        <f>0.79*3.6</f>
        <v>2.8440000000000003</v>
      </c>
      <c r="E310" s="166">
        <v>31.5</v>
      </c>
      <c r="F310" s="166" t="s">
        <v>59</v>
      </c>
      <c r="H310" s="331"/>
      <c r="I310" s="179">
        <v>35</v>
      </c>
      <c r="J310" s="165">
        <f>0.79*3.6</f>
        <v>2.8440000000000003</v>
      </c>
      <c r="K310" s="166">
        <v>33.299999999999997</v>
      </c>
      <c r="L310" s="166">
        <f t="shared" si="39"/>
        <v>34.033333333333331</v>
      </c>
      <c r="M310" s="166">
        <f t="shared" si="37"/>
        <v>34.766666666666666</v>
      </c>
      <c r="N310" s="166">
        <v>35.5</v>
      </c>
      <c r="P310" s="331"/>
      <c r="Q310" s="179">
        <v>35</v>
      </c>
      <c r="R310" s="165">
        <f>0.94*3.6</f>
        <v>3.3839999999999999</v>
      </c>
      <c r="S310" s="166">
        <v>33.299999999999997</v>
      </c>
      <c r="T310" s="166">
        <f t="shared" si="40"/>
        <v>34</v>
      </c>
      <c r="U310" s="166">
        <f t="shared" si="38"/>
        <v>34.699999999999996</v>
      </c>
      <c r="V310" s="166">
        <v>35.4</v>
      </c>
    </row>
    <row r="311" spans="2:22" x14ac:dyDescent="0.2">
      <c r="B311" s="331"/>
      <c r="C311" s="106">
        <v>40</v>
      </c>
      <c r="D311" s="109">
        <f>0.84*3.6</f>
        <v>3.024</v>
      </c>
      <c r="E311" s="81">
        <v>32.9</v>
      </c>
      <c r="F311" s="81" t="s">
        <v>59</v>
      </c>
      <c r="H311" s="331"/>
      <c r="I311" s="106">
        <v>40</v>
      </c>
      <c r="J311" s="109">
        <f>0.84*3.6</f>
        <v>3.024</v>
      </c>
      <c r="K311" s="81">
        <v>33.700000000000003</v>
      </c>
      <c r="L311" s="81">
        <f t="shared" si="39"/>
        <v>34.56666666666667</v>
      </c>
      <c r="M311" s="81">
        <f t="shared" si="37"/>
        <v>35.43333333333333</v>
      </c>
      <c r="N311" s="81">
        <v>36.299999999999997</v>
      </c>
      <c r="P311" s="331"/>
      <c r="Q311" s="106">
        <v>40</v>
      </c>
      <c r="R311" s="109">
        <f>1.01*3.6</f>
        <v>3.6360000000000001</v>
      </c>
      <c r="S311" s="81">
        <v>33.700000000000003</v>
      </c>
      <c r="T311" s="81">
        <f t="shared" si="40"/>
        <v>34.56666666666667</v>
      </c>
      <c r="U311" s="81">
        <f t="shared" si="38"/>
        <v>35.43333333333333</v>
      </c>
      <c r="V311" s="81">
        <v>36.299999999999997</v>
      </c>
    </row>
    <row r="312" spans="2:22" x14ac:dyDescent="0.2">
      <c r="B312" s="332"/>
      <c r="C312" s="178">
        <v>45</v>
      </c>
      <c r="D312" s="169">
        <f>0.89*3.6</f>
        <v>3.2040000000000002</v>
      </c>
      <c r="E312" s="170">
        <v>33.799999999999997</v>
      </c>
      <c r="F312" s="170"/>
      <c r="H312" s="332"/>
      <c r="I312" s="178">
        <v>45</v>
      </c>
      <c r="J312" s="169">
        <f>0.89*3.6</f>
        <v>3.2040000000000002</v>
      </c>
      <c r="K312" s="170">
        <v>34.200000000000003</v>
      </c>
      <c r="L312" s="170">
        <f t="shared" si="39"/>
        <v>35.200000000000003</v>
      </c>
      <c r="M312" s="170">
        <f t="shared" si="37"/>
        <v>36.200000000000003</v>
      </c>
      <c r="N312" s="170">
        <v>37.200000000000003</v>
      </c>
      <c r="P312" s="332"/>
      <c r="Q312" s="178">
        <v>45</v>
      </c>
      <c r="R312" s="169">
        <f>1.07*3.6</f>
        <v>3.8520000000000003</v>
      </c>
      <c r="S312" s="170">
        <v>34.200000000000003</v>
      </c>
      <c r="T312" s="170">
        <f t="shared" si="40"/>
        <v>35.200000000000003</v>
      </c>
      <c r="U312" s="170">
        <f t="shared" si="38"/>
        <v>36.200000000000003</v>
      </c>
      <c r="V312" s="170">
        <v>37.200000000000003</v>
      </c>
    </row>
    <row r="313" spans="2:22" x14ac:dyDescent="0.2">
      <c r="B313" s="330">
        <v>6.75</v>
      </c>
      <c r="C313" s="176">
        <v>20</v>
      </c>
      <c r="D313" s="177">
        <f>0.66*3.6</f>
        <v>2.3760000000000003</v>
      </c>
      <c r="E313" s="175">
        <v>25.5</v>
      </c>
      <c r="F313" s="175" t="s">
        <v>59</v>
      </c>
      <c r="H313" s="330">
        <v>6.75</v>
      </c>
      <c r="I313" s="176">
        <v>20</v>
      </c>
      <c r="J313" s="177">
        <f>0.66*3.6</f>
        <v>2.3760000000000003</v>
      </c>
      <c r="K313" s="175">
        <v>29.8</v>
      </c>
      <c r="L313" s="175">
        <f t="shared" si="39"/>
        <v>30.366666666666667</v>
      </c>
      <c r="M313" s="175">
        <f t="shared" si="37"/>
        <v>30.933333333333334</v>
      </c>
      <c r="N313" s="175">
        <v>31.5</v>
      </c>
      <c r="P313" s="330" t="s">
        <v>293</v>
      </c>
      <c r="Q313" s="176">
        <v>20</v>
      </c>
      <c r="R313" s="177">
        <f>0.77*3.6</f>
        <v>2.7720000000000002</v>
      </c>
      <c r="S313" s="175">
        <v>29.8</v>
      </c>
      <c r="T313" s="175">
        <f t="shared" si="40"/>
        <v>30.366666666666667</v>
      </c>
      <c r="U313" s="175">
        <f t="shared" si="38"/>
        <v>30.933333333333334</v>
      </c>
      <c r="V313" s="175">
        <v>31.5</v>
      </c>
    </row>
    <row r="314" spans="2:22" x14ac:dyDescent="0.2">
      <c r="B314" s="331"/>
      <c r="C314" s="179">
        <v>25</v>
      </c>
      <c r="D314" s="165">
        <f>0.74*3.6</f>
        <v>2.6640000000000001</v>
      </c>
      <c r="E314" s="166">
        <v>28.1</v>
      </c>
      <c r="F314" s="166" t="s">
        <v>59</v>
      </c>
      <c r="H314" s="331"/>
      <c r="I314" s="179">
        <v>25</v>
      </c>
      <c r="J314" s="165">
        <f>0.74*3.6</f>
        <v>2.6640000000000001</v>
      </c>
      <c r="K314" s="166">
        <v>31.9</v>
      </c>
      <c r="L314" s="166">
        <f t="shared" si="39"/>
        <v>32.333333333333336</v>
      </c>
      <c r="M314" s="166">
        <f t="shared" si="37"/>
        <v>32.766666666666666</v>
      </c>
      <c r="N314" s="166">
        <v>33.200000000000003</v>
      </c>
      <c r="P314" s="331"/>
      <c r="Q314" s="179">
        <v>25</v>
      </c>
      <c r="R314" s="165">
        <f>0.86*3.6</f>
        <v>3.0960000000000001</v>
      </c>
      <c r="S314" s="166">
        <v>31.9</v>
      </c>
      <c r="T314" s="166">
        <f t="shared" si="40"/>
        <v>32.333333333333336</v>
      </c>
      <c r="U314" s="166">
        <f t="shared" si="38"/>
        <v>32.766666666666666</v>
      </c>
      <c r="V314" s="166">
        <v>33.200000000000003</v>
      </c>
    </row>
    <row r="315" spans="2:22" x14ac:dyDescent="0.2">
      <c r="B315" s="331"/>
      <c r="C315" s="106">
        <v>30</v>
      </c>
      <c r="D315" s="109">
        <f>0.81*3.6</f>
        <v>2.9160000000000004</v>
      </c>
      <c r="E315" s="81">
        <v>31.3</v>
      </c>
      <c r="F315" s="81" t="s">
        <v>59</v>
      </c>
      <c r="H315" s="331"/>
      <c r="I315" s="106">
        <v>30</v>
      </c>
      <c r="J315" s="109">
        <f>0.81*3.6</f>
        <v>2.9160000000000004</v>
      </c>
      <c r="K315" s="81">
        <v>33.299999999999997</v>
      </c>
      <c r="L315" s="81">
        <f t="shared" si="39"/>
        <v>33.799999999999997</v>
      </c>
      <c r="M315" s="81">
        <f t="shared" si="37"/>
        <v>34.299999999999997</v>
      </c>
      <c r="N315" s="81">
        <v>34.799999999999997</v>
      </c>
      <c r="P315" s="331"/>
      <c r="Q315" s="106">
        <v>30</v>
      </c>
      <c r="R315" s="109">
        <f>0.95*3.6</f>
        <v>3.42</v>
      </c>
      <c r="S315" s="81">
        <v>33.299999999999997</v>
      </c>
      <c r="T315" s="81">
        <f t="shared" si="40"/>
        <v>33.799999999999997</v>
      </c>
      <c r="U315" s="81">
        <f t="shared" si="38"/>
        <v>34.299999999999997</v>
      </c>
      <c r="V315" s="81">
        <v>34.799999999999997</v>
      </c>
    </row>
    <row r="316" spans="2:22" x14ac:dyDescent="0.2">
      <c r="B316" s="331"/>
      <c r="C316" s="179">
        <v>35</v>
      </c>
      <c r="D316" s="165">
        <f>0.88*3.6</f>
        <v>3.1680000000000001</v>
      </c>
      <c r="E316" s="166">
        <v>32.1</v>
      </c>
      <c r="F316" s="166" t="s">
        <v>59</v>
      </c>
      <c r="H316" s="331"/>
      <c r="I316" s="179">
        <v>35</v>
      </c>
      <c r="J316" s="165">
        <f>0.88*3.6</f>
        <v>3.1680000000000001</v>
      </c>
      <c r="K316" s="166">
        <v>33.9</v>
      </c>
      <c r="L316" s="166">
        <f t="shared" si="39"/>
        <v>34.633333333333333</v>
      </c>
      <c r="M316" s="166">
        <f t="shared" si="37"/>
        <v>35.366666666666667</v>
      </c>
      <c r="N316" s="166">
        <v>36.1</v>
      </c>
      <c r="P316" s="331"/>
      <c r="Q316" s="179">
        <v>35</v>
      </c>
      <c r="R316" s="165">
        <f>1.02*3.6</f>
        <v>3.6720000000000002</v>
      </c>
      <c r="S316" s="166">
        <v>33.9</v>
      </c>
      <c r="T316" s="166">
        <f t="shared" si="40"/>
        <v>34.633333333333333</v>
      </c>
      <c r="U316" s="166">
        <f t="shared" si="38"/>
        <v>35.366666666666667</v>
      </c>
      <c r="V316" s="166">
        <v>36.1</v>
      </c>
    </row>
    <row r="317" spans="2:22" x14ac:dyDescent="0.2">
      <c r="B317" s="331"/>
      <c r="C317" s="106">
        <v>40</v>
      </c>
      <c r="D317" s="109">
        <f>0.94*3.6</f>
        <v>3.3839999999999999</v>
      </c>
      <c r="E317" s="81">
        <v>33.5</v>
      </c>
      <c r="F317" s="81" t="s">
        <v>59</v>
      </c>
      <c r="H317" s="331"/>
      <c r="I317" s="106">
        <v>40</v>
      </c>
      <c r="J317" s="109">
        <f>0.94*3.6</f>
        <v>3.3839999999999999</v>
      </c>
      <c r="K317" s="81">
        <v>34.299999999999997</v>
      </c>
      <c r="L317" s="81">
        <f t="shared" si="39"/>
        <v>35.166666666666664</v>
      </c>
      <c r="M317" s="81">
        <f t="shared" si="37"/>
        <v>36.033333333333331</v>
      </c>
      <c r="N317" s="81">
        <v>36.9</v>
      </c>
      <c r="P317" s="331"/>
      <c r="Q317" s="106">
        <v>40</v>
      </c>
      <c r="R317" s="109">
        <f>1.09*3.6</f>
        <v>3.9240000000000004</v>
      </c>
      <c r="S317" s="81">
        <v>34.299999999999997</v>
      </c>
      <c r="T317" s="81">
        <f t="shared" si="40"/>
        <v>35.166666666666664</v>
      </c>
      <c r="U317" s="81">
        <f t="shared" si="38"/>
        <v>36.033333333333331</v>
      </c>
      <c r="V317" s="81">
        <v>36.9</v>
      </c>
    </row>
    <row r="318" spans="2:22" x14ac:dyDescent="0.2">
      <c r="B318" s="332"/>
      <c r="C318" s="178">
        <v>45</v>
      </c>
      <c r="D318" s="169">
        <f>0.99*3.6</f>
        <v>3.5640000000000001</v>
      </c>
      <c r="E318" s="170">
        <v>34.4</v>
      </c>
      <c r="F318" s="170"/>
      <c r="H318" s="332"/>
      <c r="I318" s="178">
        <v>45</v>
      </c>
      <c r="J318" s="169">
        <f>0.99*3.6</f>
        <v>3.5640000000000001</v>
      </c>
      <c r="K318" s="170">
        <v>34.799999999999997</v>
      </c>
      <c r="L318" s="170">
        <f t="shared" si="39"/>
        <v>35.799999999999997</v>
      </c>
      <c r="M318" s="170">
        <f t="shared" si="37"/>
        <v>36.799999999999997</v>
      </c>
      <c r="N318" s="170">
        <v>37.799999999999997</v>
      </c>
      <c r="P318" s="332"/>
      <c r="Q318" s="178">
        <v>45</v>
      </c>
      <c r="R318" s="169">
        <f>1.16*3.6</f>
        <v>4.1760000000000002</v>
      </c>
      <c r="S318" s="170">
        <v>34.799999999999997</v>
      </c>
      <c r="T318" s="170">
        <f t="shared" si="40"/>
        <v>35.799999999999997</v>
      </c>
      <c r="U318" s="170">
        <f t="shared" si="38"/>
        <v>36.799999999999997</v>
      </c>
      <c r="V318" s="170">
        <v>37.799999999999997</v>
      </c>
    </row>
    <row r="319" spans="2:22" x14ac:dyDescent="0.2">
      <c r="B319" s="330">
        <v>7.14</v>
      </c>
      <c r="C319" s="176">
        <v>20</v>
      </c>
      <c r="D319" s="177">
        <f>0.74*3.6</f>
        <v>2.6640000000000001</v>
      </c>
      <c r="E319" s="175">
        <v>26.1</v>
      </c>
      <c r="F319" s="175" t="s">
        <v>59</v>
      </c>
      <c r="H319" s="330">
        <v>7.14</v>
      </c>
      <c r="I319" s="176">
        <v>20</v>
      </c>
      <c r="J319" s="177">
        <f>0.74*3.6</f>
        <v>2.6640000000000001</v>
      </c>
      <c r="K319" s="175">
        <v>30.1</v>
      </c>
      <c r="L319" s="175">
        <f t="shared" si="39"/>
        <v>30.666666666666668</v>
      </c>
      <c r="M319" s="175">
        <f t="shared" si="37"/>
        <v>31.233333333333334</v>
      </c>
      <c r="N319" s="175">
        <v>31.8</v>
      </c>
      <c r="P319" s="330" t="s">
        <v>294</v>
      </c>
      <c r="Q319" s="176">
        <v>20</v>
      </c>
      <c r="R319" s="177">
        <f>0.85*3.6</f>
        <v>3.06</v>
      </c>
      <c r="S319" s="175">
        <v>30.1</v>
      </c>
      <c r="T319" s="175">
        <f t="shared" si="40"/>
        <v>30.666666666666668</v>
      </c>
      <c r="U319" s="175">
        <f t="shared" si="38"/>
        <v>31.233333333333334</v>
      </c>
      <c r="V319" s="175">
        <v>31.8</v>
      </c>
    </row>
    <row r="320" spans="2:22" x14ac:dyDescent="0.2">
      <c r="B320" s="331"/>
      <c r="C320" s="179">
        <v>25</v>
      </c>
      <c r="D320" s="165">
        <f>0.82*3.6</f>
        <v>2.952</v>
      </c>
      <c r="E320" s="166">
        <v>28.4</v>
      </c>
      <c r="F320" s="166" t="s">
        <v>59</v>
      </c>
      <c r="H320" s="331"/>
      <c r="I320" s="179">
        <v>25</v>
      </c>
      <c r="J320" s="165">
        <f>0.82*3.6</f>
        <v>2.952</v>
      </c>
      <c r="K320" s="166">
        <v>32.299999999999997</v>
      </c>
      <c r="L320" s="166">
        <f t="shared" si="39"/>
        <v>32.699999999999996</v>
      </c>
      <c r="M320" s="166">
        <f t="shared" si="37"/>
        <v>33.1</v>
      </c>
      <c r="N320" s="166">
        <v>33.5</v>
      </c>
      <c r="P320" s="331"/>
      <c r="Q320" s="179">
        <v>25</v>
      </c>
      <c r="R320" s="165">
        <f>0.95*3.6</f>
        <v>3.42</v>
      </c>
      <c r="S320" s="166">
        <v>32.299999999999997</v>
      </c>
      <c r="T320" s="166">
        <f t="shared" si="40"/>
        <v>32.699999999999996</v>
      </c>
      <c r="U320" s="166">
        <f t="shared" si="38"/>
        <v>33.1</v>
      </c>
      <c r="V320" s="166">
        <v>33.5</v>
      </c>
    </row>
    <row r="321" spans="2:22" x14ac:dyDescent="0.2">
      <c r="B321" s="331"/>
      <c r="C321" s="106">
        <v>30</v>
      </c>
      <c r="D321" s="109">
        <f>0.9*3.6</f>
        <v>3.24</v>
      </c>
      <c r="E321" s="81">
        <v>31.6</v>
      </c>
      <c r="F321" s="81" t="s">
        <v>59</v>
      </c>
      <c r="H321" s="331"/>
      <c r="I321" s="106">
        <v>30</v>
      </c>
      <c r="J321" s="109">
        <f>0.9*3.6</f>
        <v>3.24</v>
      </c>
      <c r="K321" s="81">
        <v>33.9</v>
      </c>
      <c r="L321" s="81">
        <f t="shared" si="39"/>
        <v>34.299999999999997</v>
      </c>
      <c r="M321" s="81">
        <f t="shared" si="37"/>
        <v>34.700000000000003</v>
      </c>
      <c r="N321" s="81">
        <v>35.1</v>
      </c>
      <c r="P321" s="331"/>
      <c r="Q321" s="106">
        <v>30</v>
      </c>
      <c r="R321" s="109">
        <f>1.04*3.6</f>
        <v>3.7440000000000002</v>
      </c>
      <c r="S321" s="81">
        <v>33.9</v>
      </c>
      <c r="T321" s="81">
        <f t="shared" si="40"/>
        <v>34.299999999999997</v>
      </c>
      <c r="U321" s="81">
        <f t="shared" si="38"/>
        <v>34.700000000000003</v>
      </c>
      <c r="V321" s="81">
        <v>35.1</v>
      </c>
    </row>
    <row r="322" spans="2:22" x14ac:dyDescent="0.2">
      <c r="B322" s="331"/>
      <c r="C322" s="179">
        <v>35</v>
      </c>
      <c r="D322" s="165">
        <f>0.98*3.6</f>
        <v>3.528</v>
      </c>
      <c r="E322" s="166">
        <v>32.700000000000003</v>
      </c>
      <c r="F322" s="166" t="s">
        <v>59</v>
      </c>
      <c r="H322" s="331"/>
      <c r="I322" s="179">
        <v>35</v>
      </c>
      <c r="J322" s="165">
        <f>0.98*3.6</f>
        <v>3.528</v>
      </c>
      <c r="K322" s="166">
        <v>34.5</v>
      </c>
      <c r="L322" s="166">
        <f t="shared" si="39"/>
        <v>35.133333333333333</v>
      </c>
      <c r="M322" s="166">
        <f t="shared" si="37"/>
        <v>35.766666666666666</v>
      </c>
      <c r="N322" s="166">
        <v>36.4</v>
      </c>
      <c r="P322" s="331"/>
      <c r="Q322" s="179">
        <v>35</v>
      </c>
      <c r="R322" s="165">
        <f>1.12*3.6</f>
        <v>4.0320000000000009</v>
      </c>
      <c r="S322" s="166">
        <v>34.5</v>
      </c>
      <c r="T322" s="166">
        <f t="shared" si="40"/>
        <v>35.133333333333333</v>
      </c>
      <c r="U322" s="166">
        <f t="shared" si="38"/>
        <v>35.766666666666666</v>
      </c>
      <c r="V322" s="166">
        <v>36.4</v>
      </c>
    </row>
    <row r="323" spans="2:22" x14ac:dyDescent="0.2">
      <c r="B323" s="331"/>
      <c r="C323" s="106">
        <v>40</v>
      </c>
      <c r="D323" s="109">
        <f>1.04*3.6</f>
        <v>3.7440000000000002</v>
      </c>
      <c r="E323" s="81">
        <v>34.1</v>
      </c>
      <c r="F323" s="81" t="s">
        <v>59</v>
      </c>
      <c r="H323" s="331"/>
      <c r="I323" s="106">
        <v>40</v>
      </c>
      <c r="J323" s="109">
        <f>1.04*3.6</f>
        <v>3.7440000000000002</v>
      </c>
      <c r="K323" s="81">
        <v>34.9</v>
      </c>
      <c r="L323" s="81">
        <f t="shared" si="39"/>
        <v>35.799999999999997</v>
      </c>
      <c r="M323" s="81">
        <f t="shared" si="37"/>
        <v>36.700000000000003</v>
      </c>
      <c r="N323" s="81">
        <v>37.6</v>
      </c>
      <c r="P323" s="331"/>
      <c r="Q323" s="106">
        <v>40</v>
      </c>
      <c r="R323" s="109">
        <f>1.12*3.6</f>
        <v>4.0320000000000009</v>
      </c>
      <c r="S323" s="81">
        <v>34.9</v>
      </c>
      <c r="T323" s="81">
        <f t="shared" si="40"/>
        <v>35.766666666666666</v>
      </c>
      <c r="U323" s="81">
        <f t="shared" si="38"/>
        <v>36.633333333333333</v>
      </c>
      <c r="V323" s="81">
        <v>37.5</v>
      </c>
    </row>
    <row r="324" spans="2:22" x14ac:dyDescent="0.2">
      <c r="B324" s="332"/>
      <c r="C324" s="178">
        <v>45</v>
      </c>
      <c r="D324" s="169">
        <f>1.11*3.6</f>
        <v>3.9960000000000004</v>
      </c>
      <c r="E324" s="170">
        <v>34.700000000000003</v>
      </c>
      <c r="F324" s="170"/>
      <c r="H324" s="332"/>
      <c r="I324" s="178">
        <v>45</v>
      </c>
      <c r="J324" s="169">
        <f>1.11*3.6</f>
        <v>3.9960000000000004</v>
      </c>
      <c r="K324" s="170">
        <v>35.4</v>
      </c>
      <c r="L324" s="170">
        <f t="shared" si="39"/>
        <v>36.4</v>
      </c>
      <c r="M324" s="170">
        <f t="shared" si="37"/>
        <v>37.4</v>
      </c>
      <c r="N324" s="170">
        <v>38.4</v>
      </c>
      <c r="P324" s="332"/>
      <c r="Q324" s="178">
        <v>45</v>
      </c>
      <c r="R324" s="169">
        <f>1.27*3.6</f>
        <v>4.5720000000000001</v>
      </c>
      <c r="S324" s="170">
        <v>35.4</v>
      </c>
      <c r="T324" s="170">
        <f t="shared" si="40"/>
        <v>36.4</v>
      </c>
      <c r="U324" s="170">
        <f t="shared" si="38"/>
        <v>37.4</v>
      </c>
      <c r="V324" s="170">
        <v>38.4</v>
      </c>
    </row>
    <row r="328" spans="2:22" x14ac:dyDescent="0.2">
      <c r="B328" s="92" t="s">
        <v>113</v>
      </c>
      <c r="C328" s="155"/>
      <c r="D328" s="155"/>
      <c r="E328" s="155"/>
      <c r="F328" s="155"/>
      <c r="G328" s="155"/>
      <c r="H328" s="155"/>
      <c r="L328" s="92" t="s">
        <v>113</v>
      </c>
      <c r="M328" s="155"/>
      <c r="N328" s="155"/>
      <c r="O328" s="155"/>
      <c r="P328" s="155"/>
      <c r="Q328" s="155"/>
    </row>
    <row r="329" spans="2:22" x14ac:dyDescent="0.2">
      <c r="B329" s="66" t="s">
        <v>295</v>
      </c>
      <c r="C329" s="155"/>
      <c r="D329" s="155"/>
      <c r="E329" s="155"/>
      <c r="F329" s="155"/>
      <c r="G329" s="155"/>
      <c r="H329" s="155"/>
      <c r="L329" s="66" t="s">
        <v>296</v>
      </c>
      <c r="M329" s="155"/>
      <c r="N329" s="155"/>
      <c r="O329" s="155"/>
      <c r="P329" s="155"/>
      <c r="Q329" s="155"/>
    </row>
    <row r="330" spans="2:22" ht="12.75" customHeight="1" x14ac:dyDescent="0.2">
      <c r="B330" s="336" t="s">
        <v>257</v>
      </c>
      <c r="C330" s="333" t="s">
        <v>264</v>
      </c>
      <c r="D330" s="334"/>
      <c r="E330" s="334"/>
      <c r="F330" s="334"/>
      <c r="G330" s="334"/>
      <c r="H330" s="335"/>
      <c r="K330" s="336" t="s">
        <v>257</v>
      </c>
      <c r="L330" s="333" t="s">
        <v>264</v>
      </c>
      <c r="M330" s="334"/>
      <c r="N330" s="334"/>
      <c r="O330" s="334"/>
      <c r="P330" s="334"/>
      <c r="Q330" s="335"/>
    </row>
    <row r="331" spans="2:22" ht="12.75" customHeight="1" x14ac:dyDescent="0.2">
      <c r="B331" s="337"/>
      <c r="C331" s="336" t="s">
        <v>124</v>
      </c>
      <c r="D331" s="338" t="s">
        <v>258</v>
      </c>
      <c r="E331" s="338" t="s">
        <v>265</v>
      </c>
      <c r="F331" s="340"/>
      <c r="G331" s="340"/>
      <c r="H331" s="341"/>
      <c r="K331" s="337"/>
      <c r="L331" s="336" t="s">
        <v>124</v>
      </c>
      <c r="M331" s="338" t="s">
        <v>258</v>
      </c>
      <c r="N331" s="338" t="s">
        <v>265</v>
      </c>
      <c r="O331" s="340"/>
      <c r="P331" s="340"/>
      <c r="Q331" s="341"/>
    </row>
    <row r="332" spans="2:22" x14ac:dyDescent="0.2">
      <c r="B332" s="337"/>
      <c r="C332" s="337"/>
      <c r="D332" s="339"/>
      <c r="E332" s="342"/>
      <c r="F332" s="343"/>
      <c r="G332" s="343"/>
      <c r="H332" s="344"/>
      <c r="K332" s="337"/>
      <c r="L332" s="337"/>
      <c r="M332" s="339"/>
      <c r="N332" s="342"/>
      <c r="O332" s="343"/>
      <c r="P332" s="343"/>
      <c r="Q332" s="344"/>
    </row>
    <row r="333" spans="2:22" ht="14.25" x14ac:dyDescent="0.2">
      <c r="B333" s="337"/>
      <c r="C333" s="160" t="s">
        <v>8</v>
      </c>
      <c r="D333" s="160" t="s">
        <v>132</v>
      </c>
      <c r="E333" s="160" t="s">
        <v>266</v>
      </c>
      <c r="F333" s="161" t="s">
        <v>270</v>
      </c>
      <c r="G333" s="161" t="s">
        <v>271</v>
      </c>
      <c r="H333" s="161" t="s">
        <v>267</v>
      </c>
      <c r="K333" s="337"/>
      <c r="L333" s="160" t="s">
        <v>8</v>
      </c>
      <c r="M333" s="160" t="s">
        <v>132</v>
      </c>
      <c r="N333" s="160" t="s">
        <v>266</v>
      </c>
      <c r="O333" s="161" t="s">
        <v>270</v>
      </c>
      <c r="P333" s="161" t="s">
        <v>271</v>
      </c>
      <c r="Q333" s="161" t="s">
        <v>267</v>
      </c>
    </row>
    <row r="334" spans="2:22" x14ac:dyDescent="0.2">
      <c r="B334" s="330">
        <v>5.56</v>
      </c>
      <c r="C334" s="176">
        <v>20</v>
      </c>
      <c r="D334" s="177">
        <f>0.52*3.6</f>
        <v>1.8720000000000001</v>
      </c>
      <c r="E334" s="175">
        <v>32.700000000000003</v>
      </c>
      <c r="F334" s="175">
        <f t="shared" ref="F334:F369" si="41">E334+(H334-E334)/1.5*0.5</f>
        <v>33.5</v>
      </c>
      <c r="G334" s="175">
        <f t="shared" ref="G334:G369" si="42">E334+(H334-E334)/1.5</f>
        <v>34.300000000000004</v>
      </c>
      <c r="H334" s="175">
        <v>35.1</v>
      </c>
      <c r="K334" s="330" t="s">
        <v>290</v>
      </c>
      <c r="L334" s="176">
        <v>20</v>
      </c>
      <c r="M334" s="177">
        <f>0.68*3.6</f>
        <v>2.4480000000000004</v>
      </c>
      <c r="N334" s="175">
        <v>32.700000000000003</v>
      </c>
      <c r="O334" s="175">
        <f>N334+(Q334-N334)/1.5*0.5</f>
        <v>33.5</v>
      </c>
      <c r="P334" s="175">
        <f>N334+(Q334-N334)/1.5</f>
        <v>34.300000000000004</v>
      </c>
      <c r="Q334" s="175">
        <v>35.1</v>
      </c>
    </row>
    <row r="335" spans="2:22" x14ac:dyDescent="0.2">
      <c r="B335" s="331"/>
      <c r="C335" s="179">
        <v>25</v>
      </c>
      <c r="D335" s="165">
        <f>0.57*3.6</f>
        <v>2.052</v>
      </c>
      <c r="E335" s="166">
        <v>34.299999999999997</v>
      </c>
      <c r="F335" s="166">
        <f t="shared" si="41"/>
        <v>35.066666666666663</v>
      </c>
      <c r="G335" s="166">
        <f t="shared" si="42"/>
        <v>35.833333333333336</v>
      </c>
      <c r="H335" s="166">
        <v>36.6</v>
      </c>
      <c r="K335" s="331"/>
      <c r="L335" s="179">
        <v>25</v>
      </c>
      <c r="M335" s="165">
        <f>0.75*3.6</f>
        <v>2.7</v>
      </c>
      <c r="N335" s="166">
        <v>34.299999999999997</v>
      </c>
      <c r="O335" s="166">
        <f t="shared" ref="O335:O387" si="43">N335+(Q335-N335)/1.5*0.5</f>
        <v>35.066666666666663</v>
      </c>
      <c r="P335" s="166">
        <f t="shared" ref="P335:P387" si="44">N335+(Q335-N335)/1.5</f>
        <v>35.833333333333336</v>
      </c>
      <c r="Q335" s="166">
        <v>36.6</v>
      </c>
    </row>
    <row r="336" spans="2:22" x14ac:dyDescent="0.2">
      <c r="B336" s="331"/>
      <c r="C336" s="106">
        <v>30</v>
      </c>
      <c r="D336" s="109">
        <f>0.61*3.6</f>
        <v>2.1960000000000002</v>
      </c>
      <c r="E336" s="81">
        <v>35.1</v>
      </c>
      <c r="F336" s="81">
        <f t="shared" si="41"/>
        <v>36.033333333333331</v>
      </c>
      <c r="G336" s="81">
        <f t="shared" si="42"/>
        <v>36.966666666666669</v>
      </c>
      <c r="H336" s="81">
        <v>37.9</v>
      </c>
      <c r="K336" s="331"/>
      <c r="L336" s="106">
        <v>30</v>
      </c>
      <c r="M336" s="109">
        <f>0.81*3.6</f>
        <v>2.9160000000000004</v>
      </c>
      <c r="N336" s="81">
        <v>35.1</v>
      </c>
      <c r="O336" s="81">
        <f t="shared" si="43"/>
        <v>36.033333333333331</v>
      </c>
      <c r="P336" s="81">
        <f t="shared" si="44"/>
        <v>36.966666666666669</v>
      </c>
      <c r="Q336" s="81">
        <v>37.9</v>
      </c>
    </row>
    <row r="337" spans="1:17" x14ac:dyDescent="0.2">
      <c r="B337" s="331"/>
      <c r="C337" s="179">
        <v>35</v>
      </c>
      <c r="D337" s="165">
        <f>0.66*3.6</f>
        <v>2.3760000000000003</v>
      </c>
      <c r="E337" s="166">
        <v>36</v>
      </c>
      <c r="F337" s="166">
        <f t="shared" si="41"/>
        <v>36.93333333333333</v>
      </c>
      <c r="G337" s="166">
        <f t="shared" si="42"/>
        <v>37.866666666666667</v>
      </c>
      <c r="H337" s="166">
        <v>38.799999999999997</v>
      </c>
      <c r="K337" s="331"/>
      <c r="L337" s="179">
        <v>35</v>
      </c>
      <c r="M337" s="165">
        <f>0.86*3.6</f>
        <v>3.0960000000000001</v>
      </c>
      <c r="N337" s="166">
        <v>36</v>
      </c>
      <c r="O337" s="166">
        <f t="shared" si="43"/>
        <v>36.93333333333333</v>
      </c>
      <c r="P337" s="166">
        <f t="shared" si="44"/>
        <v>37.866666666666667</v>
      </c>
      <c r="Q337" s="166">
        <v>38.799999999999997</v>
      </c>
    </row>
    <row r="338" spans="1:17" x14ac:dyDescent="0.2">
      <c r="B338" s="331"/>
      <c r="C338" s="106">
        <v>40</v>
      </c>
      <c r="D338" s="109">
        <f>0.7*3.6</f>
        <v>2.52</v>
      </c>
      <c r="E338" s="81">
        <v>36.9</v>
      </c>
      <c r="F338" s="81">
        <f t="shared" si="41"/>
        <v>37.699999999999996</v>
      </c>
      <c r="G338" s="81">
        <f t="shared" si="42"/>
        <v>38.5</v>
      </c>
      <c r="H338" s="81">
        <v>39.299999999999997</v>
      </c>
      <c r="K338" s="331"/>
      <c r="L338" s="106">
        <v>40</v>
      </c>
      <c r="M338" s="109">
        <f>0.92*3.6</f>
        <v>3.3120000000000003</v>
      </c>
      <c r="N338" s="81">
        <v>36.9</v>
      </c>
      <c r="O338" s="81">
        <f t="shared" si="43"/>
        <v>37.699999999999996</v>
      </c>
      <c r="P338" s="81">
        <f t="shared" si="44"/>
        <v>38.5</v>
      </c>
      <c r="Q338" s="81">
        <v>39.299999999999997</v>
      </c>
    </row>
    <row r="339" spans="1:17" x14ac:dyDescent="0.2">
      <c r="B339" s="332"/>
      <c r="C339" s="178">
        <v>45</v>
      </c>
      <c r="D339" s="169">
        <f>0.73*3.6</f>
        <v>2.6280000000000001</v>
      </c>
      <c r="E339" s="170">
        <v>37.799999999999997</v>
      </c>
      <c r="F339" s="170">
        <f t="shared" si="41"/>
        <v>38.466666666666661</v>
      </c>
      <c r="G339" s="170">
        <f t="shared" si="42"/>
        <v>39.133333333333333</v>
      </c>
      <c r="H339" s="170">
        <v>39.799999999999997</v>
      </c>
      <c r="K339" s="332"/>
      <c r="L339" s="178">
        <v>45</v>
      </c>
      <c r="M339" s="169">
        <f>0.97*3.6</f>
        <v>3.492</v>
      </c>
      <c r="N339" s="170">
        <v>37.799999999999997</v>
      </c>
      <c r="O339" s="170">
        <f t="shared" si="43"/>
        <v>38.466666666666661</v>
      </c>
      <c r="P339" s="170">
        <f t="shared" si="44"/>
        <v>39.133333333333333</v>
      </c>
      <c r="Q339" s="170">
        <v>39.799999999999997</v>
      </c>
    </row>
    <row r="340" spans="1:17" x14ac:dyDescent="0.2">
      <c r="B340" s="330">
        <v>6.35</v>
      </c>
      <c r="C340" s="176">
        <v>20</v>
      </c>
      <c r="D340" s="177">
        <f>0.69*3.6</f>
        <v>2.484</v>
      </c>
      <c r="E340" s="175">
        <v>34.299999999999997</v>
      </c>
      <c r="F340" s="175">
        <f t="shared" si="41"/>
        <v>35.366666666666667</v>
      </c>
      <c r="G340" s="175">
        <f t="shared" si="42"/>
        <v>36.43333333333333</v>
      </c>
      <c r="H340" s="175">
        <v>37.5</v>
      </c>
      <c r="K340" s="330" t="s">
        <v>292</v>
      </c>
      <c r="L340" s="176">
        <v>20</v>
      </c>
      <c r="M340" s="177">
        <f>0.86*3.6</f>
        <v>3.0960000000000001</v>
      </c>
      <c r="N340" s="175">
        <v>34.299999999999997</v>
      </c>
      <c r="O340" s="175">
        <f t="shared" si="43"/>
        <v>35.366666666666667</v>
      </c>
      <c r="P340" s="175">
        <f t="shared" si="44"/>
        <v>36.43333333333333</v>
      </c>
      <c r="Q340" s="175">
        <v>37.5</v>
      </c>
    </row>
    <row r="341" spans="1:17" x14ac:dyDescent="0.2">
      <c r="B341" s="331"/>
      <c r="C341" s="179">
        <v>25</v>
      </c>
      <c r="D341" s="165">
        <f>0.75*3.6</f>
        <v>2.7</v>
      </c>
      <c r="E341" s="166">
        <v>36.299999999999997</v>
      </c>
      <c r="F341" s="166">
        <f t="shared" si="41"/>
        <v>37.199999999999996</v>
      </c>
      <c r="G341" s="166">
        <f t="shared" si="42"/>
        <v>38.1</v>
      </c>
      <c r="H341" s="166">
        <v>39</v>
      </c>
      <c r="K341" s="331"/>
      <c r="L341" s="179">
        <v>25</v>
      </c>
      <c r="M341" s="165">
        <f>0.94*3.6</f>
        <v>3.3839999999999999</v>
      </c>
      <c r="N341" s="166">
        <v>36.299999999999997</v>
      </c>
      <c r="O341" s="166">
        <f t="shared" si="43"/>
        <v>37.199999999999996</v>
      </c>
      <c r="P341" s="166">
        <f t="shared" si="44"/>
        <v>38.1</v>
      </c>
      <c r="Q341" s="166">
        <v>39</v>
      </c>
    </row>
    <row r="342" spans="1:17" x14ac:dyDescent="0.2">
      <c r="B342" s="331"/>
      <c r="C342" s="106">
        <v>30</v>
      </c>
      <c r="D342" s="109">
        <f>0.81*3.6</f>
        <v>2.9160000000000004</v>
      </c>
      <c r="E342" s="81">
        <v>37.6</v>
      </c>
      <c r="F342" s="81">
        <f t="shared" si="41"/>
        <v>38.433333333333337</v>
      </c>
      <c r="G342" s="81">
        <f t="shared" si="42"/>
        <v>39.266666666666666</v>
      </c>
      <c r="H342" s="81">
        <v>40.1</v>
      </c>
      <c r="K342" s="331"/>
      <c r="L342" s="106">
        <v>30</v>
      </c>
      <c r="M342" s="109">
        <f>1.01*3.6</f>
        <v>3.6360000000000001</v>
      </c>
      <c r="N342" s="81">
        <v>37.6</v>
      </c>
      <c r="O342" s="81">
        <f t="shared" si="43"/>
        <v>38.433333333333337</v>
      </c>
      <c r="P342" s="81">
        <f t="shared" si="44"/>
        <v>39.266666666666666</v>
      </c>
      <c r="Q342" s="81">
        <v>40.1</v>
      </c>
    </row>
    <row r="343" spans="1:17" x14ac:dyDescent="0.2">
      <c r="B343" s="331"/>
      <c r="C343" s="179">
        <v>35</v>
      </c>
      <c r="D343" s="165">
        <f>0.87*3.6</f>
        <v>3.1320000000000001</v>
      </c>
      <c r="E343" s="166">
        <v>39</v>
      </c>
      <c r="F343" s="166">
        <f t="shared" si="41"/>
        <v>39.733333333333334</v>
      </c>
      <c r="G343" s="166">
        <f t="shared" si="42"/>
        <v>40.466666666666669</v>
      </c>
      <c r="H343" s="166">
        <v>41.2</v>
      </c>
      <c r="K343" s="331"/>
      <c r="L343" s="179">
        <v>35</v>
      </c>
      <c r="M343" s="165">
        <f>1.08*3.6</f>
        <v>3.8880000000000003</v>
      </c>
      <c r="N343" s="166">
        <v>39</v>
      </c>
      <c r="O343" s="166">
        <f t="shared" si="43"/>
        <v>39.733333333333334</v>
      </c>
      <c r="P343" s="166">
        <f t="shared" si="44"/>
        <v>40.466666666666669</v>
      </c>
      <c r="Q343" s="166">
        <v>41.2</v>
      </c>
    </row>
    <row r="344" spans="1:17" x14ac:dyDescent="0.2">
      <c r="B344" s="331"/>
      <c r="C344" s="106">
        <v>40</v>
      </c>
      <c r="D344" s="109">
        <f>0.92*3.6</f>
        <v>3.3120000000000003</v>
      </c>
      <c r="E344" s="81">
        <v>40</v>
      </c>
      <c r="F344" s="81">
        <f t="shared" si="41"/>
        <v>40.6</v>
      </c>
      <c r="G344" s="81">
        <f t="shared" si="42"/>
        <v>41.199999999999996</v>
      </c>
      <c r="H344" s="81">
        <v>41.8</v>
      </c>
      <c r="K344" s="331"/>
      <c r="L344" s="106">
        <v>40</v>
      </c>
      <c r="M344" s="109">
        <f>1.15*3.6</f>
        <v>4.1399999999999997</v>
      </c>
      <c r="N344" s="81">
        <v>40</v>
      </c>
      <c r="O344" s="81">
        <f t="shared" si="43"/>
        <v>40.6</v>
      </c>
      <c r="P344" s="81">
        <f t="shared" si="44"/>
        <v>41.199999999999996</v>
      </c>
      <c r="Q344" s="81">
        <v>41.8</v>
      </c>
    </row>
    <row r="345" spans="1:17" x14ac:dyDescent="0.2">
      <c r="B345" s="332"/>
      <c r="C345" s="178">
        <v>45</v>
      </c>
      <c r="D345" s="169">
        <f>0.97*3.6</f>
        <v>3.492</v>
      </c>
      <c r="E345" s="170">
        <v>41</v>
      </c>
      <c r="F345" s="170">
        <f t="shared" si="41"/>
        <v>41.4</v>
      </c>
      <c r="G345" s="170">
        <f t="shared" si="42"/>
        <v>41.800000000000004</v>
      </c>
      <c r="H345" s="170">
        <v>42.2</v>
      </c>
      <c r="K345" s="332"/>
      <c r="L345" s="178">
        <v>45</v>
      </c>
      <c r="M345" s="169">
        <f>1.21*3.6</f>
        <v>4.3559999999999999</v>
      </c>
      <c r="N345" s="170">
        <v>41</v>
      </c>
      <c r="O345" s="170">
        <f t="shared" si="43"/>
        <v>41.4</v>
      </c>
      <c r="P345" s="170">
        <f t="shared" si="44"/>
        <v>41.800000000000004</v>
      </c>
      <c r="Q345" s="170">
        <v>42.2</v>
      </c>
    </row>
    <row r="346" spans="1:17" x14ac:dyDescent="0.2">
      <c r="B346" s="330">
        <v>7.14</v>
      </c>
      <c r="C346" s="176">
        <v>20</v>
      </c>
      <c r="D346" s="177">
        <f>0.85*3.6</f>
        <v>3.06</v>
      </c>
      <c r="E346" s="175">
        <v>36.4</v>
      </c>
      <c r="F346" s="175">
        <f t="shared" si="41"/>
        <v>37.366666666666667</v>
      </c>
      <c r="G346" s="175">
        <f t="shared" si="42"/>
        <v>38.333333333333329</v>
      </c>
      <c r="H346" s="175">
        <v>39.299999999999997</v>
      </c>
      <c r="K346" s="330" t="s">
        <v>294</v>
      </c>
      <c r="L346" s="176">
        <v>20</v>
      </c>
      <c r="M346" s="177">
        <f>1.02*3.6</f>
        <v>3.6720000000000002</v>
      </c>
      <c r="N346" s="175">
        <v>36.4</v>
      </c>
      <c r="O346" s="175">
        <f t="shared" si="43"/>
        <v>37.366666666666667</v>
      </c>
      <c r="P346" s="175">
        <f t="shared" si="44"/>
        <v>38.333333333333329</v>
      </c>
      <c r="Q346" s="175">
        <v>39.299999999999997</v>
      </c>
    </row>
    <row r="347" spans="1:17" x14ac:dyDescent="0.2">
      <c r="A347" s="180"/>
      <c r="B347" s="331"/>
      <c r="C347" s="179">
        <v>25</v>
      </c>
      <c r="D347" s="165">
        <f>0.94*3.6</f>
        <v>3.3839999999999999</v>
      </c>
      <c r="E347" s="166">
        <v>38.4</v>
      </c>
      <c r="F347" s="166">
        <f t="shared" si="41"/>
        <v>39.233333333333334</v>
      </c>
      <c r="G347" s="166">
        <f t="shared" si="42"/>
        <v>40.066666666666663</v>
      </c>
      <c r="H347" s="166">
        <v>40.9</v>
      </c>
      <c r="K347" s="331"/>
      <c r="L347" s="179">
        <v>25</v>
      </c>
      <c r="M347" s="165">
        <f>1.12*3.6</f>
        <v>4.0320000000000009</v>
      </c>
      <c r="N347" s="166">
        <v>38.4</v>
      </c>
      <c r="O347" s="166">
        <f t="shared" si="43"/>
        <v>39.233333333333334</v>
      </c>
      <c r="P347" s="166">
        <f t="shared" si="44"/>
        <v>40.066666666666663</v>
      </c>
      <c r="Q347" s="166">
        <v>40.9</v>
      </c>
    </row>
    <row r="348" spans="1:17" x14ac:dyDescent="0.2">
      <c r="B348" s="331"/>
      <c r="C348" s="106">
        <v>30</v>
      </c>
      <c r="D348" s="109">
        <f>1.01*3.6</f>
        <v>3.6360000000000001</v>
      </c>
      <c r="E348" s="81">
        <v>39.6</v>
      </c>
      <c r="F348" s="81">
        <f t="shared" si="41"/>
        <v>40.366666666666667</v>
      </c>
      <c r="G348" s="81">
        <f t="shared" si="42"/>
        <v>41.133333333333333</v>
      </c>
      <c r="H348" s="81">
        <v>41.9</v>
      </c>
      <c r="K348" s="331"/>
      <c r="L348" s="106">
        <v>30</v>
      </c>
      <c r="M348" s="109">
        <f>1.2*3.6</f>
        <v>4.32</v>
      </c>
      <c r="N348" s="81">
        <v>39.6</v>
      </c>
      <c r="O348" s="81">
        <f t="shared" si="43"/>
        <v>40.366666666666667</v>
      </c>
      <c r="P348" s="81">
        <f t="shared" si="44"/>
        <v>41.133333333333333</v>
      </c>
      <c r="Q348" s="81">
        <v>41.9</v>
      </c>
    </row>
    <row r="349" spans="1:17" x14ac:dyDescent="0.2">
      <c r="B349" s="331"/>
      <c r="C349" s="179">
        <v>35</v>
      </c>
      <c r="D349" s="165">
        <f>1.08*3.6</f>
        <v>3.8880000000000003</v>
      </c>
      <c r="E349" s="166">
        <v>41.8</v>
      </c>
      <c r="F349" s="166">
        <f t="shared" si="41"/>
        <v>42.366666666666667</v>
      </c>
      <c r="G349" s="166">
        <f t="shared" si="42"/>
        <v>42.93333333333333</v>
      </c>
      <c r="H349" s="166">
        <v>43.5</v>
      </c>
      <c r="K349" s="331"/>
      <c r="L349" s="179">
        <v>35</v>
      </c>
      <c r="M349" s="165">
        <f>1.29*3.6</f>
        <v>4.6440000000000001</v>
      </c>
      <c r="N349" s="166">
        <v>41.8</v>
      </c>
      <c r="O349" s="166">
        <f t="shared" si="43"/>
        <v>42.366666666666667</v>
      </c>
      <c r="P349" s="166">
        <f t="shared" si="44"/>
        <v>42.93333333333333</v>
      </c>
      <c r="Q349" s="166">
        <v>43.5</v>
      </c>
    </row>
    <row r="350" spans="1:17" x14ac:dyDescent="0.2">
      <c r="B350" s="331"/>
      <c r="C350" s="106">
        <v>40</v>
      </c>
      <c r="D350" s="109">
        <f>1.15*3.6</f>
        <v>4.1399999999999997</v>
      </c>
      <c r="E350" s="81">
        <v>43.3</v>
      </c>
      <c r="F350" s="81">
        <f t="shared" si="41"/>
        <v>43.699999999999996</v>
      </c>
      <c r="G350" s="81">
        <f t="shared" si="42"/>
        <v>44.1</v>
      </c>
      <c r="H350" s="81">
        <v>44.5</v>
      </c>
      <c r="K350" s="331"/>
      <c r="L350" s="106">
        <v>40</v>
      </c>
      <c r="M350" s="109">
        <f>1.37*3.6</f>
        <v>4.9320000000000004</v>
      </c>
      <c r="N350" s="81">
        <v>43.3</v>
      </c>
      <c r="O350" s="81">
        <f t="shared" si="43"/>
        <v>43.699999999999996</v>
      </c>
      <c r="P350" s="81">
        <f t="shared" si="44"/>
        <v>44.1</v>
      </c>
      <c r="Q350" s="81">
        <v>44.5</v>
      </c>
    </row>
    <row r="351" spans="1:17" x14ac:dyDescent="0.2">
      <c r="B351" s="332"/>
      <c r="C351" s="178">
        <v>45</v>
      </c>
      <c r="D351" s="169">
        <f>1.21*3.6</f>
        <v>4.3559999999999999</v>
      </c>
      <c r="E351" s="170">
        <v>44.5</v>
      </c>
      <c r="F351" s="170">
        <f t="shared" si="41"/>
        <v>44.666666666666664</v>
      </c>
      <c r="G351" s="170">
        <f t="shared" si="42"/>
        <v>44.833333333333336</v>
      </c>
      <c r="H351" s="170">
        <v>45</v>
      </c>
      <c r="K351" s="332"/>
      <c r="L351" s="178">
        <v>45</v>
      </c>
      <c r="M351" s="169">
        <f>1.44*3.6</f>
        <v>5.1840000000000002</v>
      </c>
      <c r="N351" s="170">
        <v>44.5</v>
      </c>
      <c r="O351" s="170">
        <f t="shared" si="43"/>
        <v>44.666666666666664</v>
      </c>
      <c r="P351" s="170">
        <f t="shared" si="44"/>
        <v>44.833333333333336</v>
      </c>
      <c r="Q351" s="170">
        <v>45</v>
      </c>
    </row>
    <row r="352" spans="1:17" x14ac:dyDescent="0.2">
      <c r="B352" s="330">
        <v>7.93</v>
      </c>
      <c r="C352" s="176">
        <v>20</v>
      </c>
      <c r="D352" s="177">
        <f>1.02*3.6</f>
        <v>3.6720000000000002</v>
      </c>
      <c r="E352" s="175">
        <v>38.299999999999997</v>
      </c>
      <c r="F352" s="175">
        <f t="shared" si="41"/>
        <v>39.133333333333333</v>
      </c>
      <c r="G352" s="175">
        <f t="shared" si="42"/>
        <v>39.966666666666661</v>
      </c>
      <c r="H352" s="175">
        <v>40.799999999999997</v>
      </c>
      <c r="K352" s="330" t="s">
        <v>297</v>
      </c>
      <c r="L352" s="176">
        <v>20</v>
      </c>
      <c r="M352" s="177">
        <f>1.09*3.6</f>
        <v>3.9240000000000004</v>
      </c>
      <c r="N352" s="175">
        <v>36.4</v>
      </c>
      <c r="O352" s="175">
        <f t="shared" si="43"/>
        <v>37.366666666666667</v>
      </c>
      <c r="P352" s="175">
        <f t="shared" si="44"/>
        <v>38.333333333333329</v>
      </c>
      <c r="Q352" s="175">
        <v>39.299999999999997</v>
      </c>
    </row>
    <row r="353" spans="2:17" x14ac:dyDescent="0.2">
      <c r="B353" s="331"/>
      <c r="C353" s="179">
        <v>25</v>
      </c>
      <c r="D353" s="165">
        <f>1.12*3.6</f>
        <v>4.0320000000000009</v>
      </c>
      <c r="E353" s="166">
        <v>40.5</v>
      </c>
      <c r="F353" s="166">
        <f t="shared" si="41"/>
        <v>41.133333333333333</v>
      </c>
      <c r="G353" s="166">
        <f t="shared" si="42"/>
        <v>41.766666666666666</v>
      </c>
      <c r="H353" s="166">
        <v>42.4</v>
      </c>
      <c r="K353" s="331"/>
      <c r="L353" s="179">
        <v>25</v>
      </c>
      <c r="M353" s="165">
        <f>1.19*3.6</f>
        <v>4.2839999999999998</v>
      </c>
      <c r="N353" s="166">
        <v>38.4</v>
      </c>
      <c r="O353" s="166">
        <f t="shared" si="43"/>
        <v>39.233333333333334</v>
      </c>
      <c r="P353" s="166">
        <f t="shared" si="44"/>
        <v>40.066666666666663</v>
      </c>
      <c r="Q353" s="166">
        <v>40.9</v>
      </c>
    </row>
    <row r="354" spans="2:17" x14ac:dyDescent="0.2">
      <c r="B354" s="331"/>
      <c r="C354" s="106">
        <v>30</v>
      </c>
      <c r="D354" s="109">
        <f>1.21*3.6</f>
        <v>4.3559999999999999</v>
      </c>
      <c r="E354" s="81">
        <v>42</v>
      </c>
      <c r="F354" s="81">
        <f t="shared" si="41"/>
        <v>42.6</v>
      </c>
      <c r="G354" s="81">
        <f t="shared" si="42"/>
        <v>43.199999999999996</v>
      </c>
      <c r="H354" s="81">
        <v>43.8</v>
      </c>
      <c r="K354" s="331"/>
      <c r="L354" s="106">
        <v>30</v>
      </c>
      <c r="M354" s="109">
        <f>1.29*3.6</f>
        <v>4.6440000000000001</v>
      </c>
      <c r="N354" s="81">
        <v>39.5</v>
      </c>
      <c r="O354" s="81">
        <f t="shared" si="43"/>
        <v>40.299999999999997</v>
      </c>
      <c r="P354" s="81">
        <f t="shared" si="44"/>
        <v>41.1</v>
      </c>
      <c r="Q354" s="81">
        <v>41.9</v>
      </c>
    </row>
    <row r="355" spans="2:17" x14ac:dyDescent="0.2">
      <c r="B355" s="331"/>
      <c r="C355" s="179">
        <v>35</v>
      </c>
      <c r="D355" s="165">
        <f>1.29*3.6</f>
        <v>4.6440000000000001</v>
      </c>
      <c r="E355" s="166">
        <v>44</v>
      </c>
      <c r="F355" s="166">
        <f t="shared" si="41"/>
        <v>44.5</v>
      </c>
      <c r="G355" s="166">
        <f t="shared" si="42"/>
        <v>45</v>
      </c>
      <c r="H355" s="166">
        <v>45.5</v>
      </c>
      <c r="K355" s="331"/>
      <c r="L355" s="179">
        <v>35</v>
      </c>
      <c r="M355" s="165">
        <f>1.38*3.6</f>
        <v>4.968</v>
      </c>
      <c r="N355" s="166">
        <v>41.8</v>
      </c>
      <c r="O355" s="166">
        <f t="shared" si="43"/>
        <v>42.366666666666667</v>
      </c>
      <c r="P355" s="166">
        <f t="shared" si="44"/>
        <v>42.93333333333333</v>
      </c>
      <c r="Q355" s="166">
        <v>43.5</v>
      </c>
    </row>
    <row r="356" spans="2:17" x14ac:dyDescent="0.2">
      <c r="B356" s="331"/>
      <c r="C356" s="106">
        <v>40</v>
      </c>
      <c r="D356" s="109">
        <f>1.37*3.6</f>
        <v>4.9320000000000004</v>
      </c>
      <c r="E356" s="81">
        <v>45.8</v>
      </c>
      <c r="F356" s="81">
        <f t="shared" si="41"/>
        <v>46.199999999999996</v>
      </c>
      <c r="G356" s="81">
        <f t="shared" si="42"/>
        <v>46.6</v>
      </c>
      <c r="H356" s="81">
        <v>47</v>
      </c>
      <c r="K356" s="331"/>
      <c r="L356" s="106">
        <v>40</v>
      </c>
      <c r="M356" s="109">
        <f>1.46*3.6</f>
        <v>5.2560000000000002</v>
      </c>
      <c r="N356" s="81">
        <v>43.3</v>
      </c>
      <c r="O356" s="81">
        <f t="shared" si="43"/>
        <v>43.699999999999996</v>
      </c>
      <c r="P356" s="81">
        <f t="shared" si="44"/>
        <v>44.1</v>
      </c>
      <c r="Q356" s="81">
        <v>44.5</v>
      </c>
    </row>
    <row r="357" spans="2:17" x14ac:dyDescent="0.2">
      <c r="B357" s="332"/>
      <c r="C357" s="178">
        <v>45</v>
      </c>
      <c r="D357" s="169">
        <f>1.45*3.6</f>
        <v>5.22</v>
      </c>
      <c r="E357" s="170">
        <v>47.1</v>
      </c>
      <c r="F357" s="170">
        <f t="shared" si="41"/>
        <v>47.2</v>
      </c>
      <c r="G357" s="170">
        <f t="shared" si="42"/>
        <v>47.3</v>
      </c>
      <c r="H357" s="170">
        <v>47.4</v>
      </c>
      <c r="K357" s="332"/>
      <c r="L357" s="178">
        <v>45</v>
      </c>
      <c r="M357" s="169">
        <f>1.54*3.6</f>
        <v>5.5440000000000005</v>
      </c>
      <c r="N357" s="170">
        <v>44.5</v>
      </c>
      <c r="O357" s="170">
        <f t="shared" si="43"/>
        <v>44.666666666666664</v>
      </c>
      <c r="P357" s="170">
        <f t="shared" si="44"/>
        <v>44.833333333333336</v>
      </c>
      <c r="Q357" s="170">
        <v>45</v>
      </c>
    </row>
    <row r="358" spans="2:17" x14ac:dyDescent="0.2">
      <c r="B358" s="330">
        <v>8.73</v>
      </c>
      <c r="C358" s="176">
        <v>20</v>
      </c>
      <c r="D358" s="177">
        <f>1.23*3.6</f>
        <v>4.4279999999999999</v>
      </c>
      <c r="E358" s="175">
        <v>38.9</v>
      </c>
      <c r="F358" s="175">
        <f t="shared" si="41"/>
        <v>39.866666666666667</v>
      </c>
      <c r="G358" s="175">
        <f t="shared" si="42"/>
        <v>40.833333333333329</v>
      </c>
      <c r="H358" s="175">
        <v>41.8</v>
      </c>
      <c r="K358" s="330" t="s">
        <v>298</v>
      </c>
      <c r="L358" s="176">
        <v>20</v>
      </c>
      <c r="M358" s="177">
        <f>1.26*3.6</f>
        <v>4.5360000000000005</v>
      </c>
      <c r="N358" s="175">
        <v>38.299999999999997</v>
      </c>
      <c r="O358" s="175">
        <f t="shared" si="43"/>
        <v>39.133333333333333</v>
      </c>
      <c r="P358" s="175">
        <f t="shared" si="44"/>
        <v>39.966666666666661</v>
      </c>
      <c r="Q358" s="175">
        <v>40.799999999999997</v>
      </c>
    </row>
    <row r="359" spans="2:17" x14ac:dyDescent="0.2">
      <c r="B359" s="331"/>
      <c r="C359" s="179">
        <v>25</v>
      </c>
      <c r="D359" s="165">
        <f>1.34*3.6</f>
        <v>4.8240000000000007</v>
      </c>
      <c r="E359" s="166">
        <v>42.2</v>
      </c>
      <c r="F359" s="166">
        <f t="shared" si="41"/>
        <v>42.800000000000004</v>
      </c>
      <c r="G359" s="166">
        <f t="shared" si="42"/>
        <v>43.4</v>
      </c>
      <c r="H359" s="166">
        <v>44</v>
      </c>
      <c r="K359" s="331"/>
      <c r="L359" s="179">
        <v>25</v>
      </c>
      <c r="M359" s="165">
        <f>1.38*3.6</f>
        <v>4.968</v>
      </c>
      <c r="N359" s="166">
        <v>40.5</v>
      </c>
      <c r="O359" s="166">
        <f t="shared" si="43"/>
        <v>41.133333333333333</v>
      </c>
      <c r="P359" s="166">
        <f t="shared" si="44"/>
        <v>41.766666666666666</v>
      </c>
      <c r="Q359" s="166">
        <v>42.4</v>
      </c>
    </row>
    <row r="360" spans="2:17" x14ac:dyDescent="0.2">
      <c r="B360" s="331"/>
      <c r="C360" s="106">
        <v>30</v>
      </c>
      <c r="D360" s="109">
        <f>1.45*3.6</f>
        <v>5.22</v>
      </c>
      <c r="E360" s="81">
        <v>45.3</v>
      </c>
      <c r="F360" s="81">
        <f t="shared" si="41"/>
        <v>45.533333333333331</v>
      </c>
      <c r="G360" s="81">
        <f t="shared" si="42"/>
        <v>45.766666666666666</v>
      </c>
      <c r="H360" s="81">
        <v>46</v>
      </c>
      <c r="K360" s="331"/>
      <c r="L360" s="106">
        <v>30</v>
      </c>
      <c r="M360" s="109">
        <f>1.49*3.6</f>
        <v>5.3639999999999999</v>
      </c>
      <c r="N360" s="81">
        <v>42</v>
      </c>
      <c r="O360" s="81">
        <f t="shared" si="43"/>
        <v>42.6</v>
      </c>
      <c r="P360" s="81">
        <f t="shared" si="44"/>
        <v>43.199999999999996</v>
      </c>
      <c r="Q360" s="81">
        <v>43.8</v>
      </c>
    </row>
    <row r="361" spans="2:17" x14ac:dyDescent="0.2">
      <c r="B361" s="331"/>
      <c r="C361" s="179">
        <v>35</v>
      </c>
      <c r="D361" s="165">
        <f>1.55*3.6</f>
        <v>5.58</v>
      </c>
      <c r="E361" s="166">
        <v>47.4</v>
      </c>
      <c r="F361" s="166">
        <f t="shared" si="41"/>
        <v>47.6</v>
      </c>
      <c r="G361" s="166">
        <f t="shared" si="42"/>
        <v>47.8</v>
      </c>
      <c r="H361" s="166">
        <v>48</v>
      </c>
      <c r="K361" s="331"/>
      <c r="L361" s="179">
        <v>35</v>
      </c>
      <c r="M361" s="165">
        <f>1.59*3.6</f>
        <v>5.7240000000000002</v>
      </c>
      <c r="N361" s="166">
        <v>44</v>
      </c>
      <c r="O361" s="166">
        <f t="shared" si="43"/>
        <v>44.5</v>
      </c>
      <c r="P361" s="166">
        <f t="shared" si="44"/>
        <v>45</v>
      </c>
      <c r="Q361" s="166">
        <v>45.5</v>
      </c>
    </row>
    <row r="362" spans="2:17" x14ac:dyDescent="0.2">
      <c r="B362" s="331"/>
      <c r="C362" s="106">
        <v>40</v>
      </c>
      <c r="D362" s="109">
        <f>1.65*3.6</f>
        <v>5.9399999999999995</v>
      </c>
      <c r="E362" s="81">
        <v>48.8</v>
      </c>
      <c r="F362" s="81">
        <f t="shared" si="41"/>
        <v>49</v>
      </c>
      <c r="G362" s="81">
        <f t="shared" si="42"/>
        <v>49.199999999999996</v>
      </c>
      <c r="H362" s="81">
        <v>49.4</v>
      </c>
      <c r="K362" s="331"/>
      <c r="L362" s="106">
        <v>40</v>
      </c>
      <c r="M362" s="109">
        <f>1.69*3.6</f>
        <v>6.0839999999999996</v>
      </c>
      <c r="N362" s="81">
        <v>45.8</v>
      </c>
      <c r="O362" s="81">
        <f t="shared" si="43"/>
        <v>46.199999999999996</v>
      </c>
      <c r="P362" s="81">
        <f t="shared" si="44"/>
        <v>46.6</v>
      </c>
      <c r="Q362" s="81">
        <v>47</v>
      </c>
    </row>
    <row r="363" spans="2:17" x14ac:dyDescent="0.2">
      <c r="B363" s="332"/>
      <c r="C363" s="178">
        <v>45</v>
      </c>
      <c r="D363" s="169">
        <f>1.73*3.6</f>
        <v>6.2279999999999998</v>
      </c>
      <c r="E363" s="170">
        <v>49.8</v>
      </c>
      <c r="F363" s="170">
        <f t="shared" si="41"/>
        <v>49.9</v>
      </c>
      <c r="G363" s="170">
        <f t="shared" si="42"/>
        <v>50</v>
      </c>
      <c r="H363" s="170">
        <v>50.1</v>
      </c>
      <c r="K363" s="332"/>
      <c r="L363" s="178">
        <v>45</v>
      </c>
      <c r="M363" s="169">
        <f>1.78*3.6</f>
        <v>6.4080000000000004</v>
      </c>
      <c r="N363" s="170">
        <v>47.1</v>
      </c>
      <c r="O363" s="170">
        <f t="shared" si="43"/>
        <v>47.2</v>
      </c>
      <c r="P363" s="170">
        <f t="shared" si="44"/>
        <v>47.3</v>
      </c>
      <c r="Q363" s="170">
        <v>47.4</v>
      </c>
    </row>
    <row r="364" spans="2:17" x14ac:dyDescent="0.2">
      <c r="B364" s="330">
        <v>9.5299999999999994</v>
      </c>
      <c r="C364" s="176">
        <v>20</v>
      </c>
      <c r="D364" s="177">
        <f>1.43*3.6</f>
        <v>5.1479999999999997</v>
      </c>
      <c r="E364" s="175">
        <v>40.200000000000003</v>
      </c>
      <c r="F364" s="175">
        <f t="shared" si="41"/>
        <v>41</v>
      </c>
      <c r="G364" s="175">
        <f t="shared" si="42"/>
        <v>41.800000000000004</v>
      </c>
      <c r="H364" s="175">
        <v>42.6</v>
      </c>
      <c r="K364" s="330" t="s">
        <v>299</v>
      </c>
      <c r="L364" s="176">
        <v>20</v>
      </c>
      <c r="M364" s="177">
        <f>1.37*3.6</f>
        <v>4.9320000000000004</v>
      </c>
      <c r="N364" s="175">
        <v>38.299999999999997</v>
      </c>
      <c r="O364" s="175">
        <f t="shared" si="43"/>
        <v>39.133333333333333</v>
      </c>
      <c r="P364" s="175">
        <f t="shared" si="44"/>
        <v>39.966666666666661</v>
      </c>
      <c r="Q364" s="175">
        <v>40.799999999999997</v>
      </c>
    </row>
    <row r="365" spans="2:17" x14ac:dyDescent="0.2">
      <c r="B365" s="331"/>
      <c r="C365" s="179">
        <v>25</v>
      </c>
      <c r="D365" s="165">
        <f>1.56*3.6</f>
        <v>5.6160000000000005</v>
      </c>
      <c r="E365" s="166">
        <v>43.6</v>
      </c>
      <c r="F365" s="166">
        <f t="shared" si="41"/>
        <v>44.166666666666664</v>
      </c>
      <c r="G365" s="166">
        <f t="shared" si="42"/>
        <v>44.733333333333334</v>
      </c>
      <c r="H365" s="166">
        <v>45.3</v>
      </c>
      <c r="K365" s="331"/>
      <c r="L365" s="179">
        <v>25</v>
      </c>
      <c r="M365" s="165">
        <f>1.5*3.6</f>
        <v>5.4</v>
      </c>
      <c r="N365" s="166">
        <v>40.5</v>
      </c>
      <c r="O365" s="166">
        <f t="shared" si="43"/>
        <v>41.133333333333333</v>
      </c>
      <c r="P365" s="166">
        <f t="shared" si="44"/>
        <v>41.766666666666666</v>
      </c>
      <c r="Q365" s="166">
        <v>42.4</v>
      </c>
    </row>
    <row r="366" spans="2:17" x14ac:dyDescent="0.2">
      <c r="B366" s="331"/>
      <c r="C366" s="106">
        <v>30</v>
      </c>
      <c r="D366" s="109">
        <f>1.69*3.6</f>
        <v>6.0839999999999996</v>
      </c>
      <c r="E366" s="81">
        <v>46.3</v>
      </c>
      <c r="F366" s="81">
        <f t="shared" si="41"/>
        <v>46.699999999999996</v>
      </c>
      <c r="G366" s="81">
        <f t="shared" si="42"/>
        <v>47.1</v>
      </c>
      <c r="H366" s="81">
        <v>47.5</v>
      </c>
      <c r="K366" s="331"/>
      <c r="L366" s="106">
        <v>30</v>
      </c>
      <c r="M366" s="109">
        <f>1.62*3.6</f>
        <v>5.8320000000000007</v>
      </c>
      <c r="N366" s="81">
        <v>42</v>
      </c>
      <c r="O366" s="81">
        <f t="shared" si="43"/>
        <v>42.6</v>
      </c>
      <c r="P366" s="81">
        <f t="shared" si="44"/>
        <v>43.199999999999996</v>
      </c>
      <c r="Q366" s="81">
        <v>43.8</v>
      </c>
    </row>
    <row r="367" spans="2:17" x14ac:dyDescent="0.2">
      <c r="B367" s="331"/>
      <c r="C367" s="179">
        <v>35</v>
      </c>
      <c r="D367" s="165">
        <f>1.8*3.6</f>
        <v>6.48</v>
      </c>
      <c r="E367" s="166">
        <v>48.3</v>
      </c>
      <c r="F367" s="166">
        <f t="shared" si="41"/>
        <v>48.699999999999996</v>
      </c>
      <c r="G367" s="166">
        <f t="shared" si="42"/>
        <v>49.1</v>
      </c>
      <c r="H367" s="166">
        <v>49.5</v>
      </c>
      <c r="K367" s="331"/>
      <c r="L367" s="179">
        <v>35</v>
      </c>
      <c r="M367" s="165">
        <f>1.73*3.6</f>
        <v>6.2279999999999998</v>
      </c>
      <c r="N367" s="166">
        <v>44</v>
      </c>
      <c r="O367" s="166">
        <f t="shared" si="43"/>
        <v>44.5</v>
      </c>
      <c r="P367" s="166">
        <f t="shared" si="44"/>
        <v>45</v>
      </c>
      <c r="Q367" s="166">
        <v>45.5</v>
      </c>
    </row>
    <row r="368" spans="2:17" x14ac:dyDescent="0.2">
      <c r="B368" s="331"/>
      <c r="C368" s="106">
        <v>40</v>
      </c>
      <c r="D368" s="109">
        <f>1.91*3.6</f>
        <v>6.8759999999999994</v>
      </c>
      <c r="E368" s="81">
        <v>50.7</v>
      </c>
      <c r="F368" s="81">
        <f t="shared" si="41"/>
        <v>50.766666666666666</v>
      </c>
      <c r="G368" s="81">
        <f t="shared" si="42"/>
        <v>50.833333333333336</v>
      </c>
      <c r="H368" s="81">
        <v>50.9</v>
      </c>
      <c r="K368" s="331"/>
      <c r="L368" s="106">
        <v>40</v>
      </c>
      <c r="M368" s="109">
        <f>1.83*3.6</f>
        <v>6.5880000000000001</v>
      </c>
      <c r="N368" s="81">
        <v>45.8</v>
      </c>
      <c r="O368" s="81">
        <f t="shared" si="43"/>
        <v>46.199999999999996</v>
      </c>
      <c r="P368" s="81">
        <f t="shared" si="44"/>
        <v>46.6</v>
      </c>
      <c r="Q368" s="81">
        <v>47</v>
      </c>
    </row>
    <row r="369" spans="2:17" x14ac:dyDescent="0.2">
      <c r="B369" s="332"/>
      <c r="C369" s="178">
        <v>45</v>
      </c>
      <c r="D369" s="169">
        <f>2.02*3.6</f>
        <v>7.2720000000000002</v>
      </c>
      <c r="E369" s="170">
        <v>52.4</v>
      </c>
      <c r="F369" s="170">
        <f t="shared" si="41"/>
        <v>52.4</v>
      </c>
      <c r="G369" s="170">
        <f t="shared" si="42"/>
        <v>52.4</v>
      </c>
      <c r="H369" s="170">
        <v>52.4</v>
      </c>
      <c r="K369" s="332"/>
      <c r="L369" s="178">
        <v>45</v>
      </c>
      <c r="M369" s="169">
        <f>1.93*3.6</f>
        <v>6.9479999999999995</v>
      </c>
      <c r="N369" s="170">
        <v>47.1</v>
      </c>
      <c r="O369" s="170">
        <f t="shared" si="43"/>
        <v>47.2</v>
      </c>
      <c r="P369" s="170">
        <f t="shared" si="44"/>
        <v>47.3</v>
      </c>
      <c r="Q369" s="170">
        <v>47.4</v>
      </c>
    </row>
    <row r="370" spans="2:17" x14ac:dyDescent="0.2">
      <c r="K370" s="330" t="s">
        <v>300</v>
      </c>
      <c r="L370" s="176">
        <v>20</v>
      </c>
      <c r="M370" s="177">
        <f>1.45*3.6</f>
        <v>5.22</v>
      </c>
      <c r="N370" s="175">
        <v>38.9</v>
      </c>
      <c r="O370" s="175">
        <f t="shared" si="43"/>
        <v>39.866666666666667</v>
      </c>
      <c r="P370" s="175">
        <f t="shared" si="44"/>
        <v>40.833333333333329</v>
      </c>
      <c r="Q370" s="175">
        <v>41.8</v>
      </c>
    </row>
    <row r="371" spans="2:17" x14ac:dyDescent="0.2">
      <c r="K371" s="331"/>
      <c r="L371" s="179">
        <v>25</v>
      </c>
      <c r="M371" s="165">
        <f>1.59*3.6</f>
        <v>5.7240000000000002</v>
      </c>
      <c r="N371" s="166">
        <v>42.2</v>
      </c>
      <c r="O371" s="166">
        <f t="shared" si="43"/>
        <v>42.800000000000004</v>
      </c>
      <c r="P371" s="166">
        <f t="shared" si="44"/>
        <v>43.4</v>
      </c>
      <c r="Q371" s="166">
        <v>44</v>
      </c>
    </row>
    <row r="372" spans="2:17" x14ac:dyDescent="0.2">
      <c r="K372" s="331"/>
      <c r="L372" s="106">
        <v>30</v>
      </c>
      <c r="M372" s="109">
        <f>1.72*3.6</f>
        <v>6.1920000000000002</v>
      </c>
      <c r="N372" s="81">
        <v>45.3</v>
      </c>
      <c r="O372" s="81">
        <f t="shared" si="43"/>
        <v>45.533333333333331</v>
      </c>
      <c r="P372" s="81">
        <f t="shared" si="44"/>
        <v>45.766666666666666</v>
      </c>
      <c r="Q372" s="81">
        <v>46</v>
      </c>
    </row>
    <row r="373" spans="2:17" x14ac:dyDescent="0.2">
      <c r="K373" s="331"/>
      <c r="L373" s="179">
        <v>35</v>
      </c>
      <c r="M373" s="165">
        <f>1.84*3.6</f>
        <v>6.6240000000000006</v>
      </c>
      <c r="N373" s="166">
        <v>47.4</v>
      </c>
      <c r="O373" s="166">
        <f t="shared" si="43"/>
        <v>47.6</v>
      </c>
      <c r="P373" s="166">
        <f t="shared" si="44"/>
        <v>47.8</v>
      </c>
      <c r="Q373" s="166">
        <v>48</v>
      </c>
    </row>
    <row r="374" spans="2:17" x14ac:dyDescent="0.2">
      <c r="K374" s="331"/>
      <c r="L374" s="106">
        <v>40</v>
      </c>
      <c r="M374" s="109">
        <f>1.95*3.6</f>
        <v>7.02</v>
      </c>
      <c r="N374" s="81">
        <v>48.8</v>
      </c>
      <c r="O374" s="81">
        <f t="shared" si="43"/>
        <v>49</v>
      </c>
      <c r="P374" s="81">
        <f t="shared" si="44"/>
        <v>49.199999999999996</v>
      </c>
      <c r="Q374" s="81">
        <v>49.4</v>
      </c>
    </row>
    <row r="375" spans="2:17" x14ac:dyDescent="0.2">
      <c r="K375" s="332"/>
      <c r="L375" s="178">
        <v>45</v>
      </c>
      <c r="M375" s="169">
        <f>2.05*3.6</f>
        <v>7.38</v>
      </c>
      <c r="N375" s="170">
        <v>49.8</v>
      </c>
      <c r="O375" s="170">
        <f t="shared" si="43"/>
        <v>49.9</v>
      </c>
      <c r="P375" s="170">
        <f t="shared" si="44"/>
        <v>50</v>
      </c>
      <c r="Q375" s="170">
        <v>50.1</v>
      </c>
    </row>
    <row r="376" spans="2:17" x14ac:dyDescent="0.2">
      <c r="K376" s="330" t="s">
        <v>301</v>
      </c>
      <c r="L376" s="176">
        <v>20</v>
      </c>
      <c r="M376" s="177">
        <f>1.58*3.6</f>
        <v>5.6880000000000006</v>
      </c>
      <c r="N376" s="175">
        <v>38.9</v>
      </c>
      <c r="O376" s="175">
        <f t="shared" si="43"/>
        <v>39.866666666666667</v>
      </c>
      <c r="P376" s="175">
        <f t="shared" si="44"/>
        <v>40.833333333333329</v>
      </c>
      <c r="Q376" s="175">
        <v>41.8</v>
      </c>
    </row>
    <row r="377" spans="2:17" x14ac:dyDescent="0.2">
      <c r="K377" s="331"/>
      <c r="L377" s="179">
        <v>25</v>
      </c>
      <c r="M377" s="165">
        <f>1.73*3.6</f>
        <v>6.2279999999999998</v>
      </c>
      <c r="N377" s="166">
        <v>42.2</v>
      </c>
      <c r="O377" s="166">
        <f t="shared" si="43"/>
        <v>42.800000000000004</v>
      </c>
      <c r="P377" s="166">
        <f t="shared" si="44"/>
        <v>43.4</v>
      </c>
      <c r="Q377" s="166">
        <v>44</v>
      </c>
    </row>
    <row r="378" spans="2:17" x14ac:dyDescent="0.2">
      <c r="K378" s="331"/>
      <c r="L378" s="106">
        <v>30</v>
      </c>
      <c r="M378" s="109">
        <f>1.87*3.6</f>
        <v>6.7320000000000002</v>
      </c>
      <c r="N378" s="81">
        <v>45.3</v>
      </c>
      <c r="O378" s="81">
        <f t="shared" si="43"/>
        <v>45.533333333333331</v>
      </c>
      <c r="P378" s="81">
        <f t="shared" si="44"/>
        <v>45.766666666666666</v>
      </c>
      <c r="Q378" s="81">
        <v>46</v>
      </c>
    </row>
    <row r="379" spans="2:17" x14ac:dyDescent="0.2">
      <c r="K379" s="331"/>
      <c r="L379" s="179">
        <v>35</v>
      </c>
      <c r="M379" s="165">
        <f>2*3.6</f>
        <v>7.2</v>
      </c>
      <c r="N379" s="166">
        <v>47.4</v>
      </c>
      <c r="O379" s="166">
        <f t="shared" si="43"/>
        <v>47.6</v>
      </c>
      <c r="P379" s="166">
        <f t="shared" si="44"/>
        <v>47.8</v>
      </c>
      <c r="Q379" s="166">
        <v>48</v>
      </c>
    </row>
    <row r="380" spans="2:17" x14ac:dyDescent="0.2">
      <c r="K380" s="331"/>
      <c r="L380" s="106">
        <v>40</v>
      </c>
      <c r="M380" s="109">
        <f>2.12*3.6</f>
        <v>7.6320000000000006</v>
      </c>
      <c r="N380" s="81">
        <v>48.8</v>
      </c>
      <c r="O380" s="81">
        <f t="shared" si="43"/>
        <v>49</v>
      </c>
      <c r="P380" s="81">
        <f t="shared" si="44"/>
        <v>49.199999999999996</v>
      </c>
      <c r="Q380" s="81">
        <v>49.4</v>
      </c>
    </row>
    <row r="381" spans="2:17" x14ac:dyDescent="0.2">
      <c r="K381" s="332"/>
      <c r="L381" s="178">
        <v>45</v>
      </c>
      <c r="M381" s="169">
        <f>2.23*3.6</f>
        <v>8.0280000000000005</v>
      </c>
      <c r="N381" s="170">
        <v>49.8</v>
      </c>
      <c r="O381" s="170">
        <f t="shared" si="43"/>
        <v>49.9</v>
      </c>
      <c r="P381" s="170">
        <f t="shared" si="44"/>
        <v>50</v>
      </c>
      <c r="Q381" s="170">
        <v>50.1</v>
      </c>
    </row>
    <row r="382" spans="2:17" x14ac:dyDescent="0.2">
      <c r="K382" s="330" t="s">
        <v>302</v>
      </c>
      <c r="L382" s="176">
        <v>20</v>
      </c>
      <c r="M382" s="177">
        <f>1.77*3.6</f>
        <v>6.3719999999999999</v>
      </c>
      <c r="N382" s="175">
        <v>40.200000000000003</v>
      </c>
      <c r="O382" s="175">
        <f t="shared" si="43"/>
        <v>41</v>
      </c>
      <c r="P382" s="175">
        <f t="shared" si="44"/>
        <v>41.800000000000004</v>
      </c>
      <c r="Q382" s="175">
        <v>42.6</v>
      </c>
    </row>
    <row r="383" spans="2:17" x14ac:dyDescent="0.2">
      <c r="K383" s="331"/>
      <c r="L383" s="179">
        <v>25</v>
      </c>
      <c r="M383" s="165">
        <f>1.94*3.6</f>
        <v>6.984</v>
      </c>
      <c r="N383" s="166">
        <v>43.6</v>
      </c>
      <c r="O383" s="166">
        <f t="shared" si="43"/>
        <v>44.166666666666664</v>
      </c>
      <c r="P383" s="166">
        <f t="shared" si="44"/>
        <v>44.733333333333334</v>
      </c>
      <c r="Q383" s="166">
        <v>45.3</v>
      </c>
    </row>
    <row r="384" spans="2:17" x14ac:dyDescent="0.2">
      <c r="K384" s="331"/>
      <c r="L384" s="106">
        <v>30</v>
      </c>
      <c r="M384" s="109">
        <f>2.09*3.6</f>
        <v>7.524</v>
      </c>
      <c r="N384" s="81">
        <v>46.3</v>
      </c>
      <c r="O384" s="81">
        <f t="shared" si="43"/>
        <v>46.699999999999996</v>
      </c>
      <c r="P384" s="81">
        <f t="shared" si="44"/>
        <v>47.1</v>
      </c>
      <c r="Q384" s="81">
        <v>47.5</v>
      </c>
    </row>
    <row r="385" spans="2:18" x14ac:dyDescent="0.2">
      <c r="K385" s="331"/>
      <c r="L385" s="179">
        <v>35</v>
      </c>
      <c r="M385" s="165">
        <f>2.24*3.6</f>
        <v>8.0640000000000018</v>
      </c>
      <c r="N385" s="166">
        <v>48.3</v>
      </c>
      <c r="O385" s="166">
        <f t="shared" si="43"/>
        <v>48.699999999999996</v>
      </c>
      <c r="P385" s="166">
        <f t="shared" si="44"/>
        <v>49.1</v>
      </c>
      <c r="Q385" s="166">
        <v>49.5</v>
      </c>
    </row>
    <row r="386" spans="2:18" x14ac:dyDescent="0.2">
      <c r="K386" s="331"/>
      <c r="L386" s="106">
        <v>40</v>
      </c>
      <c r="M386" s="109">
        <f>2.38*3.6</f>
        <v>8.5679999999999996</v>
      </c>
      <c r="N386" s="81">
        <v>50.7</v>
      </c>
      <c r="O386" s="81">
        <f t="shared" si="43"/>
        <v>50.766666666666666</v>
      </c>
      <c r="P386" s="81">
        <f t="shared" si="44"/>
        <v>50.833333333333336</v>
      </c>
      <c r="Q386" s="81">
        <v>50.9</v>
      </c>
    </row>
    <row r="387" spans="2:18" x14ac:dyDescent="0.2">
      <c r="K387" s="332"/>
      <c r="L387" s="178">
        <v>45</v>
      </c>
      <c r="M387" s="169">
        <f>2.5*3.6</f>
        <v>9</v>
      </c>
      <c r="N387" s="170">
        <v>52.4</v>
      </c>
      <c r="O387" s="170">
        <f t="shared" si="43"/>
        <v>52.4</v>
      </c>
      <c r="P387" s="170">
        <f t="shared" si="44"/>
        <v>52.4</v>
      </c>
      <c r="Q387" s="170">
        <v>52.4</v>
      </c>
    </row>
    <row r="388" spans="2:18" x14ac:dyDescent="0.2">
      <c r="L388" s="181"/>
      <c r="M388" s="91"/>
      <c r="N388" s="137"/>
      <c r="O388" s="138"/>
      <c r="P388" s="138"/>
      <c r="Q388" s="138"/>
      <c r="R388" s="138"/>
    </row>
    <row r="389" spans="2:18" x14ac:dyDescent="0.2">
      <c r="L389" s="181"/>
      <c r="M389" s="91"/>
      <c r="N389" s="137"/>
      <c r="O389" s="138"/>
      <c r="P389" s="138"/>
      <c r="Q389" s="138"/>
      <c r="R389" s="138"/>
    </row>
    <row r="390" spans="2:18" x14ac:dyDescent="0.2">
      <c r="L390" s="181"/>
      <c r="M390" s="91"/>
      <c r="N390" s="137"/>
      <c r="O390" s="138"/>
      <c r="P390" s="138"/>
      <c r="Q390" s="138"/>
      <c r="R390" s="138"/>
    </row>
    <row r="391" spans="2:18" x14ac:dyDescent="0.2">
      <c r="B391" s="92" t="s">
        <v>113</v>
      </c>
      <c r="C391" s="155"/>
      <c r="D391" s="155"/>
      <c r="E391" s="155"/>
      <c r="F391" s="155"/>
      <c r="G391" s="155"/>
      <c r="H391" s="155"/>
      <c r="L391" s="92" t="s">
        <v>113</v>
      </c>
      <c r="M391" s="155"/>
      <c r="N391" s="155"/>
      <c r="O391" s="155"/>
      <c r="P391" s="155"/>
      <c r="Q391" s="155"/>
    </row>
    <row r="392" spans="2:18" x14ac:dyDescent="0.2">
      <c r="B392" s="66" t="s">
        <v>303</v>
      </c>
      <c r="C392" s="155"/>
      <c r="D392" s="155"/>
      <c r="E392" s="155"/>
      <c r="F392" s="155"/>
      <c r="G392" s="155"/>
      <c r="H392" s="155"/>
      <c r="L392" s="66" t="s">
        <v>304</v>
      </c>
      <c r="M392" s="155"/>
      <c r="N392" s="155"/>
      <c r="O392" s="155"/>
      <c r="P392" s="155"/>
      <c r="Q392" s="155"/>
    </row>
    <row r="393" spans="2:18" ht="12.75" customHeight="1" x14ac:dyDescent="0.2">
      <c r="B393" s="336" t="s">
        <v>257</v>
      </c>
      <c r="C393" s="333" t="s">
        <v>264</v>
      </c>
      <c r="D393" s="334"/>
      <c r="E393" s="334"/>
      <c r="F393" s="334"/>
      <c r="G393" s="334"/>
      <c r="H393" s="335"/>
      <c r="K393" s="336" t="s">
        <v>257</v>
      </c>
      <c r="L393" s="333" t="s">
        <v>264</v>
      </c>
      <c r="M393" s="334"/>
      <c r="N393" s="334"/>
      <c r="O393" s="334"/>
      <c r="P393" s="334"/>
      <c r="Q393" s="335"/>
    </row>
    <row r="394" spans="2:18" ht="12.75" customHeight="1" x14ac:dyDescent="0.2">
      <c r="B394" s="337"/>
      <c r="C394" s="336" t="s">
        <v>124</v>
      </c>
      <c r="D394" s="338" t="s">
        <v>258</v>
      </c>
      <c r="E394" s="338" t="s">
        <v>265</v>
      </c>
      <c r="F394" s="340"/>
      <c r="G394" s="340"/>
      <c r="H394" s="341"/>
      <c r="K394" s="337"/>
      <c r="L394" s="336" t="s">
        <v>124</v>
      </c>
      <c r="M394" s="338" t="s">
        <v>258</v>
      </c>
      <c r="N394" s="338" t="s">
        <v>265</v>
      </c>
      <c r="O394" s="340"/>
      <c r="P394" s="340"/>
      <c r="Q394" s="341"/>
    </row>
    <row r="395" spans="2:18" x14ac:dyDescent="0.2">
      <c r="B395" s="337"/>
      <c r="C395" s="337"/>
      <c r="D395" s="339"/>
      <c r="E395" s="342"/>
      <c r="F395" s="343"/>
      <c r="G395" s="343"/>
      <c r="H395" s="344"/>
      <c r="K395" s="337"/>
      <c r="L395" s="337"/>
      <c r="M395" s="339"/>
      <c r="N395" s="342"/>
      <c r="O395" s="343"/>
      <c r="P395" s="343"/>
      <c r="Q395" s="344"/>
    </row>
    <row r="396" spans="2:18" ht="14.25" x14ac:dyDescent="0.2">
      <c r="B396" s="337"/>
      <c r="C396" s="160" t="s">
        <v>8</v>
      </c>
      <c r="D396" s="160" t="s">
        <v>132</v>
      </c>
      <c r="E396" s="160" t="s">
        <v>266</v>
      </c>
      <c r="F396" s="161" t="s">
        <v>270</v>
      </c>
      <c r="G396" s="161" t="s">
        <v>271</v>
      </c>
      <c r="H396" s="161" t="s">
        <v>267</v>
      </c>
      <c r="K396" s="337"/>
      <c r="L396" s="160" t="s">
        <v>8</v>
      </c>
      <c r="M396" s="160" t="s">
        <v>132</v>
      </c>
      <c r="N396" s="160" t="s">
        <v>266</v>
      </c>
      <c r="O396" s="161" t="s">
        <v>270</v>
      </c>
      <c r="P396" s="161" t="s">
        <v>271</v>
      </c>
      <c r="Q396" s="161" t="s">
        <v>267</v>
      </c>
    </row>
    <row r="397" spans="2:18" x14ac:dyDescent="0.2">
      <c r="B397" s="330">
        <v>9.5299999999999994</v>
      </c>
      <c r="C397" s="176">
        <v>25</v>
      </c>
      <c r="D397" s="177">
        <f>1.51*3.6</f>
        <v>5.4359999999999999</v>
      </c>
      <c r="E397" s="175">
        <v>39.5</v>
      </c>
      <c r="F397" s="175">
        <f t="shared" ref="F397:F444" si="45">E397+(H397-E397)/1.5*0.5</f>
        <v>41.4</v>
      </c>
      <c r="G397" s="175">
        <f t="shared" ref="G397:G444" si="46">E397+(H397-E397)/1.5</f>
        <v>43.300000000000004</v>
      </c>
      <c r="H397" s="175">
        <v>45.2</v>
      </c>
      <c r="K397" s="330" t="s">
        <v>302</v>
      </c>
      <c r="L397" s="176">
        <v>25</v>
      </c>
      <c r="M397" s="177">
        <f>1.85*3.6</f>
        <v>6.66</v>
      </c>
      <c r="N397" s="175">
        <v>39.5</v>
      </c>
      <c r="O397" s="175">
        <f>N397+(Q397-N397)/1.5*0.5</f>
        <v>41.4</v>
      </c>
      <c r="P397" s="175">
        <f>N397+(Q397-N397)/1.5</f>
        <v>43.300000000000004</v>
      </c>
      <c r="Q397" s="175">
        <v>45.2</v>
      </c>
    </row>
    <row r="398" spans="2:18" x14ac:dyDescent="0.2">
      <c r="B398" s="331"/>
      <c r="C398" s="179">
        <v>30</v>
      </c>
      <c r="D398" s="165">
        <f>1.66*3.6</f>
        <v>5.976</v>
      </c>
      <c r="E398" s="166">
        <v>41.9</v>
      </c>
      <c r="F398" s="166">
        <f t="shared" si="45"/>
        <v>43.666666666666664</v>
      </c>
      <c r="G398" s="166">
        <f t="shared" si="46"/>
        <v>45.433333333333337</v>
      </c>
      <c r="H398" s="166">
        <v>47.2</v>
      </c>
      <c r="K398" s="331"/>
      <c r="L398" s="179">
        <v>30</v>
      </c>
      <c r="M398" s="165">
        <f>2.03*3.6</f>
        <v>7.3079999999999998</v>
      </c>
      <c r="N398" s="166">
        <v>41.9</v>
      </c>
      <c r="O398" s="166">
        <f t="shared" ref="O398:O450" si="47">N398+(Q398-N398)/1.5*0.5</f>
        <v>43.666666666666664</v>
      </c>
      <c r="P398" s="166">
        <f t="shared" ref="P398:P450" si="48">N398+(Q398-N398)/1.5</f>
        <v>45.433333333333337</v>
      </c>
      <c r="Q398" s="166">
        <v>47.2</v>
      </c>
    </row>
    <row r="399" spans="2:18" x14ac:dyDescent="0.2">
      <c r="B399" s="331"/>
      <c r="C399" s="106">
        <v>35</v>
      </c>
      <c r="D399" s="109">
        <f>1.79*3.6</f>
        <v>6.444</v>
      </c>
      <c r="E399" s="81">
        <v>44.1</v>
      </c>
      <c r="F399" s="81">
        <f t="shared" si="45"/>
        <v>45.6</v>
      </c>
      <c r="G399" s="81">
        <f t="shared" si="46"/>
        <v>47.1</v>
      </c>
      <c r="H399" s="81">
        <v>48.6</v>
      </c>
      <c r="K399" s="331"/>
      <c r="L399" s="106">
        <v>35</v>
      </c>
      <c r="M399" s="109">
        <f>2.19*3.6</f>
        <v>7.8840000000000003</v>
      </c>
      <c r="N399" s="81">
        <v>44.1</v>
      </c>
      <c r="O399" s="81">
        <f t="shared" si="47"/>
        <v>45.6</v>
      </c>
      <c r="P399" s="81">
        <f t="shared" si="48"/>
        <v>47.1</v>
      </c>
      <c r="Q399" s="81">
        <v>48.6</v>
      </c>
    </row>
    <row r="400" spans="2:18" x14ac:dyDescent="0.2">
      <c r="B400" s="331"/>
      <c r="C400" s="179">
        <v>40</v>
      </c>
      <c r="D400" s="165">
        <f>1.91*3.6</f>
        <v>6.8759999999999994</v>
      </c>
      <c r="E400" s="166">
        <v>46.3</v>
      </c>
      <c r="F400" s="166">
        <f t="shared" si="45"/>
        <v>47.43333333333333</v>
      </c>
      <c r="G400" s="166">
        <f t="shared" si="46"/>
        <v>48.56666666666667</v>
      </c>
      <c r="H400" s="166">
        <v>49.7</v>
      </c>
      <c r="K400" s="331"/>
      <c r="L400" s="179">
        <v>40</v>
      </c>
      <c r="M400" s="165">
        <f>2.34*3.6</f>
        <v>8.4239999999999995</v>
      </c>
      <c r="N400" s="166">
        <v>46.3</v>
      </c>
      <c r="O400" s="166">
        <f t="shared" si="47"/>
        <v>47.43333333333333</v>
      </c>
      <c r="P400" s="166">
        <f t="shared" si="48"/>
        <v>48.56666666666667</v>
      </c>
      <c r="Q400" s="166">
        <v>49.7</v>
      </c>
    </row>
    <row r="401" spans="2:17" x14ac:dyDescent="0.2">
      <c r="B401" s="331"/>
      <c r="C401" s="106">
        <v>45</v>
      </c>
      <c r="D401" s="109">
        <f>2.03*3.6</f>
        <v>7.3079999999999998</v>
      </c>
      <c r="E401" s="81">
        <v>47.9</v>
      </c>
      <c r="F401" s="81">
        <f t="shared" si="45"/>
        <v>48.8</v>
      </c>
      <c r="G401" s="81">
        <f t="shared" si="46"/>
        <v>49.7</v>
      </c>
      <c r="H401" s="81">
        <v>50.6</v>
      </c>
      <c r="K401" s="331"/>
      <c r="L401" s="106">
        <v>45</v>
      </c>
      <c r="M401" s="109">
        <f>2.48*3.6</f>
        <v>8.9280000000000008</v>
      </c>
      <c r="N401" s="81">
        <v>47.9</v>
      </c>
      <c r="O401" s="81">
        <f t="shared" si="47"/>
        <v>48.8</v>
      </c>
      <c r="P401" s="81">
        <f t="shared" si="48"/>
        <v>49.7</v>
      </c>
      <c r="Q401" s="81">
        <v>50.6</v>
      </c>
    </row>
    <row r="402" spans="2:17" x14ac:dyDescent="0.2">
      <c r="B402" s="332"/>
      <c r="C402" s="178">
        <v>50</v>
      </c>
      <c r="D402" s="169">
        <f>2.14*3.6</f>
        <v>7.7040000000000006</v>
      </c>
      <c r="E402" s="170">
        <v>48.6</v>
      </c>
      <c r="F402" s="170">
        <f t="shared" si="45"/>
        <v>49.56666666666667</v>
      </c>
      <c r="G402" s="170">
        <f t="shared" si="46"/>
        <v>50.533333333333331</v>
      </c>
      <c r="H402" s="170">
        <v>51.5</v>
      </c>
      <c r="K402" s="332"/>
      <c r="L402" s="178">
        <v>50</v>
      </c>
      <c r="M402" s="169">
        <f>2.62*3.6</f>
        <v>9.4320000000000004</v>
      </c>
      <c r="N402" s="170">
        <v>48.6</v>
      </c>
      <c r="O402" s="170">
        <f t="shared" si="47"/>
        <v>49.56666666666667</v>
      </c>
      <c r="P402" s="170">
        <f t="shared" si="48"/>
        <v>50.533333333333331</v>
      </c>
      <c r="Q402" s="170">
        <v>51.5</v>
      </c>
    </row>
    <row r="403" spans="2:17" x14ac:dyDescent="0.2">
      <c r="B403" s="330">
        <v>10.32</v>
      </c>
      <c r="C403" s="176">
        <v>25</v>
      </c>
      <c r="D403" s="177">
        <f>1.76*3.6</f>
        <v>6.3360000000000003</v>
      </c>
      <c r="E403" s="175">
        <v>41.9</v>
      </c>
      <c r="F403" s="175">
        <f t="shared" si="45"/>
        <v>43.5</v>
      </c>
      <c r="G403" s="175">
        <f t="shared" si="46"/>
        <v>45.1</v>
      </c>
      <c r="H403" s="175">
        <v>46.7</v>
      </c>
      <c r="K403" s="330" t="s">
        <v>305</v>
      </c>
      <c r="L403" s="176">
        <v>25</v>
      </c>
      <c r="M403" s="177">
        <f>2.36*3.6</f>
        <v>8.4960000000000004</v>
      </c>
      <c r="N403" s="175">
        <v>41.9</v>
      </c>
      <c r="O403" s="175">
        <f t="shared" si="47"/>
        <v>43.5</v>
      </c>
      <c r="P403" s="175">
        <f t="shared" si="48"/>
        <v>45.1</v>
      </c>
      <c r="Q403" s="175">
        <v>46.7</v>
      </c>
    </row>
    <row r="404" spans="2:17" x14ac:dyDescent="0.2">
      <c r="B404" s="331"/>
      <c r="C404" s="179">
        <v>30</v>
      </c>
      <c r="D404" s="165">
        <f>1.92*3.6</f>
        <v>6.9119999999999999</v>
      </c>
      <c r="E404" s="166">
        <v>44.4</v>
      </c>
      <c r="F404" s="166">
        <f t="shared" si="45"/>
        <v>45.833333333333336</v>
      </c>
      <c r="G404" s="166">
        <f t="shared" si="46"/>
        <v>47.266666666666666</v>
      </c>
      <c r="H404" s="166">
        <v>48.7</v>
      </c>
      <c r="K404" s="331"/>
      <c r="L404" s="179">
        <v>30</v>
      </c>
      <c r="M404" s="165">
        <f>2.59*3.6</f>
        <v>9.3239999999999998</v>
      </c>
      <c r="N404" s="166">
        <v>44.4</v>
      </c>
      <c r="O404" s="166">
        <f t="shared" si="47"/>
        <v>45.833333333333336</v>
      </c>
      <c r="P404" s="166">
        <f t="shared" si="48"/>
        <v>47.266666666666666</v>
      </c>
      <c r="Q404" s="166">
        <v>48.7</v>
      </c>
    </row>
    <row r="405" spans="2:17" x14ac:dyDescent="0.2">
      <c r="B405" s="331"/>
      <c r="C405" s="106">
        <v>35</v>
      </c>
      <c r="D405" s="109">
        <f>2.08*3.6</f>
        <v>7.4880000000000004</v>
      </c>
      <c r="E405" s="81">
        <v>46.6</v>
      </c>
      <c r="F405" s="81">
        <f t="shared" si="45"/>
        <v>47.766666666666666</v>
      </c>
      <c r="G405" s="81">
        <f t="shared" si="46"/>
        <v>48.933333333333337</v>
      </c>
      <c r="H405" s="81">
        <v>50.1</v>
      </c>
      <c r="K405" s="331"/>
      <c r="L405" s="106">
        <v>35</v>
      </c>
      <c r="M405" s="109">
        <f>2.79*3.6</f>
        <v>10.044</v>
      </c>
      <c r="N405" s="81">
        <v>46.6</v>
      </c>
      <c r="O405" s="81">
        <f t="shared" si="47"/>
        <v>47.766666666666666</v>
      </c>
      <c r="P405" s="81">
        <f t="shared" si="48"/>
        <v>48.933333333333337</v>
      </c>
      <c r="Q405" s="81">
        <v>50.1</v>
      </c>
    </row>
    <row r="406" spans="2:17" x14ac:dyDescent="0.2">
      <c r="B406" s="331"/>
      <c r="C406" s="179">
        <v>40</v>
      </c>
      <c r="D406" s="165">
        <f>2.22*3.6</f>
        <v>7.9920000000000009</v>
      </c>
      <c r="E406" s="166">
        <v>48.6</v>
      </c>
      <c r="F406" s="166">
        <f t="shared" si="45"/>
        <v>49.5</v>
      </c>
      <c r="G406" s="166">
        <f t="shared" si="46"/>
        <v>50.4</v>
      </c>
      <c r="H406" s="166">
        <v>51.3</v>
      </c>
      <c r="K406" s="331"/>
      <c r="L406" s="179">
        <v>40</v>
      </c>
      <c r="M406" s="165">
        <f>2.99*3.6</f>
        <v>10.764000000000001</v>
      </c>
      <c r="N406" s="166">
        <v>48.6</v>
      </c>
      <c r="O406" s="166">
        <f t="shared" si="47"/>
        <v>49.5</v>
      </c>
      <c r="P406" s="166">
        <f t="shared" si="48"/>
        <v>50.4</v>
      </c>
      <c r="Q406" s="166">
        <v>51.3</v>
      </c>
    </row>
    <row r="407" spans="2:17" x14ac:dyDescent="0.2">
      <c r="B407" s="331"/>
      <c r="C407" s="106">
        <v>45</v>
      </c>
      <c r="D407" s="109">
        <f>2.36*3.6</f>
        <v>8.4960000000000004</v>
      </c>
      <c r="E407" s="81">
        <v>50</v>
      </c>
      <c r="F407" s="81">
        <f t="shared" si="45"/>
        <v>50.733333333333334</v>
      </c>
      <c r="G407" s="81">
        <f t="shared" si="46"/>
        <v>51.466666666666669</v>
      </c>
      <c r="H407" s="81">
        <v>52.2</v>
      </c>
      <c r="K407" s="331"/>
      <c r="L407" s="106">
        <v>45</v>
      </c>
      <c r="M407" s="109">
        <f>3.17*3.6</f>
        <v>11.412000000000001</v>
      </c>
      <c r="N407" s="81">
        <v>50</v>
      </c>
      <c r="O407" s="81">
        <f t="shared" si="47"/>
        <v>50.733333333333334</v>
      </c>
      <c r="P407" s="81">
        <f t="shared" si="48"/>
        <v>51.466666666666669</v>
      </c>
      <c r="Q407" s="81">
        <v>52.2</v>
      </c>
    </row>
    <row r="408" spans="2:17" x14ac:dyDescent="0.2">
      <c r="B408" s="332"/>
      <c r="C408" s="178">
        <v>50</v>
      </c>
      <c r="D408" s="169">
        <f>2.48*3.6</f>
        <v>8.9280000000000008</v>
      </c>
      <c r="E408" s="170">
        <v>50.9</v>
      </c>
      <c r="F408" s="170">
        <f t="shared" si="45"/>
        <v>51.6</v>
      </c>
      <c r="G408" s="170">
        <f t="shared" si="46"/>
        <v>52.3</v>
      </c>
      <c r="H408" s="170">
        <v>53</v>
      </c>
      <c r="K408" s="332"/>
      <c r="L408" s="178">
        <v>50</v>
      </c>
      <c r="M408" s="169">
        <f>3.34*3.6</f>
        <v>12.023999999999999</v>
      </c>
      <c r="N408" s="170">
        <v>50.9</v>
      </c>
      <c r="O408" s="170">
        <f t="shared" si="47"/>
        <v>51.6</v>
      </c>
      <c r="P408" s="170">
        <f t="shared" si="48"/>
        <v>52.3</v>
      </c>
      <c r="Q408" s="170">
        <v>53</v>
      </c>
    </row>
    <row r="409" spans="2:17" x14ac:dyDescent="0.2">
      <c r="B409" s="330">
        <v>11.11</v>
      </c>
      <c r="C409" s="176">
        <v>25</v>
      </c>
      <c r="D409" s="177">
        <f>2.04*3.6</f>
        <v>7.3440000000000003</v>
      </c>
      <c r="E409" s="175">
        <v>43.7</v>
      </c>
      <c r="F409" s="175">
        <f t="shared" si="45"/>
        <v>45.1</v>
      </c>
      <c r="G409" s="175">
        <f t="shared" si="46"/>
        <v>46.5</v>
      </c>
      <c r="H409" s="175">
        <v>47.9</v>
      </c>
      <c r="K409" s="330" t="s">
        <v>306</v>
      </c>
      <c r="L409" s="176">
        <v>25</v>
      </c>
      <c r="M409" s="177">
        <f>2.52*3.6</f>
        <v>9.072000000000001</v>
      </c>
      <c r="N409" s="175">
        <v>43.7</v>
      </c>
      <c r="O409" s="175">
        <f t="shared" si="47"/>
        <v>45.1</v>
      </c>
      <c r="P409" s="175">
        <f t="shared" si="48"/>
        <v>46.5</v>
      </c>
      <c r="Q409" s="175">
        <v>47.9</v>
      </c>
    </row>
    <row r="410" spans="2:17" x14ac:dyDescent="0.2">
      <c r="B410" s="331"/>
      <c r="C410" s="179">
        <v>30</v>
      </c>
      <c r="D410" s="165">
        <f>2.23*3.6</f>
        <v>8.0280000000000005</v>
      </c>
      <c r="E410" s="166">
        <v>46.2</v>
      </c>
      <c r="F410" s="166">
        <f t="shared" si="45"/>
        <v>47.433333333333337</v>
      </c>
      <c r="G410" s="166">
        <f t="shared" si="46"/>
        <v>48.666666666666664</v>
      </c>
      <c r="H410" s="166">
        <v>49.9</v>
      </c>
      <c r="K410" s="331"/>
      <c r="L410" s="179">
        <v>30</v>
      </c>
      <c r="M410" s="165">
        <f>2.76*3.6</f>
        <v>9.9359999999999999</v>
      </c>
      <c r="N410" s="166">
        <v>46.2</v>
      </c>
      <c r="O410" s="166">
        <f t="shared" si="47"/>
        <v>47.433333333333337</v>
      </c>
      <c r="P410" s="166">
        <f t="shared" si="48"/>
        <v>48.666666666666664</v>
      </c>
      <c r="Q410" s="166">
        <v>49.9</v>
      </c>
    </row>
    <row r="411" spans="2:17" x14ac:dyDescent="0.2">
      <c r="B411" s="331"/>
      <c r="C411" s="106">
        <v>35</v>
      </c>
      <c r="D411" s="109">
        <f>2.41*3.6</f>
        <v>8.6760000000000002</v>
      </c>
      <c r="E411" s="81">
        <v>48</v>
      </c>
      <c r="F411" s="81">
        <f t="shared" si="45"/>
        <v>49.1</v>
      </c>
      <c r="G411" s="81">
        <f t="shared" si="46"/>
        <v>50.199999999999996</v>
      </c>
      <c r="H411" s="81">
        <v>51.3</v>
      </c>
      <c r="K411" s="331"/>
      <c r="L411" s="106">
        <v>35</v>
      </c>
      <c r="M411" s="109">
        <f>2.98*3.6</f>
        <v>10.728</v>
      </c>
      <c r="N411" s="81">
        <v>48</v>
      </c>
      <c r="O411" s="81">
        <f t="shared" si="47"/>
        <v>49.1</v>
      </c>
      <c r="P411" s="81">
        <f t="shared" si="48"/>
        <v>50.199999999999996</v>
      </c>
      <c r="Q411" s="81">
        <v>51.3</v>
      </c>
    </row>
    <row r="412" spans="2:17" x14ac:dyDescent="0.2">
      <c r="B412" s="331"/>
      <c r="C412" s="179">
        <v>40</v>
      </c>
      <c r="D412" s="165">
        <f>2.58*3.6</f>
        <v>9.2880000000000003</v>
      </c>
      <c r="E412" s="166">
        <v>50</v>
      </c>
      <c r="F412" s="166">
        <f t="shared" si="45"/>
        <v>50.833333333333336</v>
      </c>
      <c r="G412" s="166">
        <f t="shared" si="46"/>
        <v>51.666666666666664</v>
      </c>
      <c r="H412" s="166">
        <v>52.5</v>
      </c>
      <c r="K412" s="331"/>
      <c r="L412" s="179">
        <v>40</v>
      </c>
      <c r="M412" s="165">
        <f>3.19*3.6</f>
        <v>11.484</v>
      </c>
      <c r="N412" s="166">
        <v>50</v>
      </c>
      <c r="O412" s="166">
        <f t="shared" si="47"/>
        <v>50.833333333333336</v>
      </c>
      <c r="P412" s="166">
        <f t="shared" si="48"/>
        <v>51.666666666666664</v>
      </c>
      <c r="Q412" s="166">
        <v>52.5</v>
      </c>
    </row>
    <row r="413" spans="2:17" x14ac:dyDescent="0.2">
      <c r="B413" s="331"/>
      <c r="C413" s="106">
        <v>45</v>
      </c>
      <c r="D413" s="109">
        <f>2.73*3.6</f>
        <v>9.8279999999999994</v>
      </c>
      <c r="E413" s="81">
        <v>51.5</v>
      </c>
      <c r="F413" s="81">
        <f t="shared" si="45"/>
        <v>52.133333333333333</v>
      </c>
      <c r="G413" s="81">
        <f t="shared" si="46"/>
        <v>52.766666666666666</v>
      </c>
      <c r="H413" s="81">
        <v>53.4</v>
      </c>
      <c r="K413" s="331"/>
      <c r="L413" s="106">
        <v>45</v>
      </c>
      <c r="M413" s="109">
        <f>3.38*3.6</f>
        <v>12.167999999999999</v>
      </c>
      <c r="N413" s="81">
        <v>51.5</v>
      </c>
      <c r="O413" s="81">
        <f t="shared" si="47"/>
        <v>52.133333333333333</v>
      </c>
      <c r="P413" s="81">
        <f t="shared" si="48"/>
        <v>52.766666666666666</v>
      </c>
      <c r="Q413" s="81">
        <v>53.4</v>
      </c>
    </row>
    <row r="414" spans="2:17" x14ac:dyDescent="0.2">
      <c r="B414" s="332"/>
      <c r="C414" s="178">
        <v>50</v>
      </c>
      <c r="D414" s="169">
        <f>2.88*3.6</f>
        <v>10.368</v>
      </c>
      <c r="E414" s="170">
        <v>52.4</v>
      </c>
      <c r="F414" s="170">
        <f t="shared" si="45"/>
        <v>53.033333333333331</v>
      </c>
      <c r="G414" s="170">
        <f t="shared" si="46"/>
        <v>53.666666666666664</v>
      </c>
      <c r="H414" s="170">
        <v>54.3</v>
      </c>
      <c r="K414" s="332"/>
      <c r="L414" s="178">
        <v>50</v>
      </c>
      <c r="M414" s="169">
        <f>3.56*3.6</f>
        <v>12.816000000000001</v>
      </c>
      <c r="N414" s="170">
        <v>52.4</v>
      </c>
      <c r="O414" s="170">
        <f t="shared" si="47"/>
        <v>53.033333333333331</v>
      </c>
      <c r="P414" s="170">
        <f t="shared" si="48"/>
        <v>53.666666666666664</v>
      </c>
      <c r="Q414" s="170">
        <v>54.3</v>
      </c>
    </row>
    <row r="415" spans="2:17" x14ac:dyDescent="0.2">
      <c r="B415" s="330">
        <v>11.91</v>
      </c>
      <c r="C415" s="176">
        <v>25</v>
      </c>
      <c r="D415" s="177">
        <f>2.31*3.6</f>
        <v>8.3160000000000007</v>
      </c>
      <c r="E415" s="175">
        <v>45.3</v>
      </c>
      <c r="F415" s="175">
        <f t="shared" si="45"/>
        <v>46.6</v>
      </c>
      <c r="G415" s="175">
        <f t="shared" si="46"/>
        <v>47.9</v>
      </c>
      <c r="H415" s="175">
        <v>49.2</v>
      </c>
      <c r="K415" s="330" t="s">
        <v>307</v>
      </c>
      <c r="L415" s="176">
        <v>25</v>
      </c>
      <c r="M415" s="177">
        <f>2.76*3.6</f>
        <v>9.9359999999999999</v>
      </c>
      <c r="N415" s="175">
        <v>45.3</v>
      </c>
      <c r="O415" s="175">
        <f t="shared" si="47"/>
        <v>46.6</v>
      </c>
      <c r="P415" s="175">
        <f t="shared" si="48"/>
        <v>47.9</v>
      </c>
      <c r="Q415" s="175">
        <v>49.2</v>
      </c>
    </row>
    <row r="416" spans="2:17" x14ac:dyDescent="0.2">
      <c r="B416" s="331"/>
      <c r="C416" s="179">
        <v>30</v>
      </c>
      <c r="D416" s="165">
        <f>2.53*3.6</f>
        <v>9.1079999999999988</v>
      </c>
      <c r="E416" s="166">
        <v>47.7</v>
      </c>
      <c r="F416" s="166">
        <f t="shared" si="45"/>
        <v>48.833333333333336</v>
      </c>
      <c r="G416" s="166">
        <f t="shared" si="46"/>
        <v>49.966666666666669</v>
      </c>
      <c r="H416" s="166">
        <v>51.1</v>
      </c>
      <c r="K416" s="331"/>
      <c r="L416" s="179">
        <v>30</v>
      </c>
      <c r="M416" s="165">
        <f>3.02*3.6</f>
        <v>10.872</v>
      </c>
      <c r="N416" s="166">
        <v>47.7</v>
      </c>
      <c r="O416" s="166">
        <f t="shared" si="47"/>
        <v>48.833333333333336</v>
      </c>
      <c r="P416" s="166">
        <f t="shared" si="48"/>
        <v>49.966666666666669</v>
      </c>
      <c r="Q416" s="166">
        <v>51.1</v>
      </c>
    </row>
    <row r="417" spans="2:17" x14ac:dyDescent="0.2">
      <c r="B417" s="331"/>
      <c r="C417" s="106">
        <v>35</v>
      </c>
      <c r="D417" s="109">
        <f>2.74*3.6</f>
        <v>9.8640000000000008</v>
      </c>
      <c r="E417" s="81">
        <v>49.6</v>
      </c>
      <c r="F417" s="81">
        <f t="shared" si="45"/>
        <v>50.6</v>
      </c>
      <c r="G417" s="81">
        <f t="shared" si="46"/>
        <v>51.6</v>
      </c>
      <c r="H417" s="81">
        <v>52.6</v>
      </c>
      <c r="K417" s="331"/>
      <c r="L417" s="106">
        <v>35</v>
      </c>
      <c r="M417" s="109">
        <f>3.26*3.6</f>
        <v>11.735999999999999</v>
      </c>
      <c r="N417" s="81">
        <v>49.6</v>
      </c>
      <c r="O417" s="81">
        <f t="shared" si="47"/>
        <v>50.6</v>
      </c>
      <c r="P417" s="81">
        <f t="shared" si="48"/>
        <v>51.6</v>
      </c>
      <c r="Q417" s="81">
        <v>52.6</v>
      </c>
    </row>
    <row r="418" spans="2:17" x14ac:dyDescent="0.2">
      <c r="B418" s="331"/>
      <c r="C418" s="179">
        <v>40</v>
      </c>
      <c r="D418" s="165">
        <f>2.93*3.6</f>
        <v>10.548</v>
      </c>
      <c r="E418" s="166">
        <v>51.3</v>
      </c>
      <c r="F418" s="166">
        <f t="shared" si="45"/>
        <v>52.1</v>
      </c>
      <c r="G418" s="166">
        <f t="shared" si="46"/>
        <v>52.9</v>
      </c>
      <c r="H418" s="166">
        <v>53.7</v>
      </c>
      <c r="K418" s="331"/>
      <c r="L418" s="179">
        <v>40</v>
      </c>
      <c r="M418" s="165">
        <f>3.49*3.6</f>
        <v>12.564000000000002</v>
      </c>
      <c r="N418" s="166">
        <v>51.3</v>
      </c>
      <c r="O418" s="166">
        <f t="shared" si="47"/>
        <v>52.1</v>
      </c>
      <c r="P418" s="166">
        <f t="shared" si="48"/>
        <v>52.9</v>
      </c>
      <c r="Q418" s="166">
        <v>53.7</v>
      </c>
    </row>
    <row r="419" spans="2:17" x14ac:dyDescent="0.2">
      <c r="B419" s="331"/>
      <c r="C419" s="106">
        <v>45</v>
      </c>
      <c r="D419" s="109">
        <f>3.1*3.6</f>
        <v>11.16</v>
      </c>
      <c r="E419" s="81">
        <v>52.8</v>
      </c>
      <c r="F419" s="81">
        <f t="shared" si="45"/>
        <v>53.4</v>
      </c>
      <c r="G419" s="81">
        <f t="shared" si="46"/>
        <v>54</v>
      </c>
      <c r="H419" s="81">
        <v>54.6</v>
      </c>
      <c r="K419" s="331"/>
      <c r="L419" s="106">
        <v>45</v>
      </c>
      <c r="M419" s="109">
        <f>3.7*3.6</f>
        <v>13.32</v>
      </c>
      <c r="N419" s="81">
        <v>52.8</v>
      </c>
      <c r="O419" s="81">
        <f t="shared" si="47"/>
        <v>53.4</v>
      </c>
      <c r="P419" s="81">
        <f t="shared" si="48"/>
        <v>54</v>
      </c>
      <c r="Q419" s="81">
        <v>54.6</v>
      </c>
    </row>
    <row r="420" spans="2:17" x14ac:dyDescent="0.2">
      <c r="B420" s="332"/>
      <c r="C420" s="178">
        <v>50</v>
      </c>
      <c r="D420" s="169">
        <f>3.27*3.6</f>
        <v>11.772</v>
      </c>
      <c r="E420" s="170">
        <v>53.8</v>
      </c>
      <c r="F420" s="170">
        <f t="shared" si="45"/>
        <v>54.366666666666667</v>
      </c>
      <c r="G420" s="170">
        <f t="shared" si="46"/>
        <v>54.93333333333333</v>
      </c>
      <c r="H420" s="170">
        <v>55.5</v>
      </c>
      <c r="K420" s="332"/>
      <c r="L420" s="178">
        <v>50</v>
      </c>
      <c r="M420" s="169">
        <f>3.9*3.6</f>
        <v>14.04</v>
      </c>
      <c r="N420" s="170">
        <v>53.8</v>
      </c>
      <c r="O420" s="170">
        <f t="shared" si="47"/>
        <v>54.366666666666667</v>
      </c>
      <c r="P420" s="170">
        <f t="shared" si="48"/>
        <v>54.93333333333333</v>
      </c>
      <c r="Q420" s="170">
        <v>55.5</v>
      </c>
    </row>
    <row r="421" spans="2:17" x14ac:dyDescent="0.2">
      <c r="B421" s="330">
        <v>12.7</v>
      </c>
      <c r="C421" s="176">
        <v>25</v>
      </c>
      <c r="D421" s="177">
        <f>2.63*3.6</f>
        <v>9.468</v>
      </c>
      <c r="E421" s="175">
        <v>46.2</v>
      </c>
      <c r="F421" s="175">
        <f t="shared" si="45"/>
        <v>47.6</v>
      </c>
      <c r="G421" s="175">
        <f t="shared" si="46"/>
        <v>49</v>
      </c>
      <c r="H421" s="175">
        <v>50.4</v>
      </c>
      <c r="K421" s="330" t="s">
        <v>308</v>
      </c>
      <c r="L421" s="176">
        <v>25</v>
      </c>
      <c r="M421" s="177">
        <f>3.22*3.6</f>
        <v>11.592000000000001</v>
      </c>
      <c r="N421" s="175">
        <v>46.2</v>
      </c>
      <c r="O421" s="175">
        <f t="shared" si="47"/>
        <v>47.6</v>
      </c>
      <c r="P421" s="175">
        <f t="shared" si="48"/>
        <v>49</v>
      </c>
      <c r="Q421" s="175">
        <v>50.4</v>
      </c>
    </row>
    <row r="422" spans="2:17" x14ac:dyDescent="0.2">
      <c r="B422" s="331"/>
      <c r="C422" s="179">
        <v>30</v>
      </c>
      <c r="D422" s="165">
        <f>2.88*3.6</f>
        <v>10.368</v>
      </c>
      <c r="E422" s="166">
        <v>48.6</v>
      </c>
      <c r="F422" s="166">
        <f t="shared" si="45"/>
        <v>49.866666666666667</v>
      </c>
      <c r="G422" s="166">
        <f t="shared" si="46"/>
        <v>51.133333333333333</v>
      </c>
      <c r="H422" s="166">
        <v>52.4</v>
      </c>
      <c r="K422" s="331"/>
      <c r="L422" s="179">
        <v>30</v>
      </c>
      <c r="M422" s="165">
        <f>3.53*3.6</f>
        <v>12.708</v>
      </c>
      <c r="N422" s="166">
        <v>48.6</v>
      </c>
      <c r="O422" s="166">
        <f t="shared" si="47"/>
        <v>49.866666666666667</v>
      </c>
      <c r="P422" s="166">
        <f t="shared" si="48"/>
        <v>51.133333333333333</v>
      </c>
      <c r="Q422" s="166">
        <v>52.4</v>
      </c>
    </row>
    <row r="423" spans="2:17" x14ac:dyDescent="0.2">
      <c r="B423" s="331"/>
      <c r="C423" s="106">
        <v>35</v>
      </c>
      <c r="D423" s="109">
        <f>3.11*3.6</f>
        <v>11.196</v>
      </c>
      <c r="E423" s="81">
        <v>50.5</v>
      </c>
      <c r="F423" s="81">
        <f t="shared" si="45"/>
        <v>51.6</v>
      </c>
      <c r="G423" s="81">
        <f t="shared" si="46"/>
        <v>52.699999999999996</v>
      </c>
      <c r="H423" s="81">
        <v>53.8</v>
      </c>
      <c r="K423" s="331"/>
      <c r="L423" s="106">
        <v>35</v>
      </c>
      <c r="M423" s="109">
        <f>3.81*3.6</f>
        <v>13.716000000000001</v>
      </c>
      <c r="N423" s="81">
        <v>50.5</v>
      </c>
      <c r="O423" s="81">
        <f t="shared" si="47"/>
        <v>51.6</v>
      </c>
      <c r="P423" s="81">
        <f t="shared" si="48"/>
        <v>52.699999999999996</v>
      </c>
      <c r="Q423" s="81">
        <v>53.8</v>
      </c>
    </row>
    <row r="424" spans="2:17" x14ac:dyDescent="0.2">
      <c r="B424" s="331"/>
      <c r="C424" s="179">
        <v>40</v>
      </c>
      <c r="D424" s="165">
        <f>3.33*3.6</f>
        <v>11.988000000000001</v>
      </c>
      <c r="E424" s="166">
        <v>52.2</v>
      </c>
      <c r="F424" s="166">
        <f t="shared" si="45"/>
        <v>53.1</v>
      </c>
      <c r="G424" s="166">
        <f t="shared" si="46"/>
        <v>54</v>
      </c>
      <c r="H424" s="166">
        <v>54.9</v>
      </c>
      <c r="K424" s="331"/>
      <c r="L424" s="179">
        <v>40</v>
      </c>
      <c r="M424" s="165">
        <f>4.07*3.6</f>
        <v>14.652000000000001</v>
      </c>
      <c r="N424" s="166">
        <v>52.2</v>
      </c>
      <c r="O424" s="166">
        <f t="shared" si="47"/>
        <v>53.1</v>
      </c>
      <c r="P424" s="166">
        <f t="shared" si="48"/>
        <v>54</v>
      </c>
      <c r="Q424" s="166">
        <v>54.9</v>
      </c>
    </row>
    <row r="425" spans="2:17" x14ac:dyDescent="0.2">
      <c r="B425" s="331"/>
      <c r="C425" s="106">
        <v>45</v>
      </c>
      <c r="D425" s="109">
        <f>3.53*3.6</f>
        <v>12.708</v>
      </c>
      <c r="E425" s="81">
        <v>53.7</v>
      </c>
      <c r="F425" s="81">
        <f t="shared" si="45"/>
        <v>54.4</v>
      </c>
      <c r="G425" s="81">
        <f t="shared" si="46"/>
        <v>55.1</v>
      </c>
      <c r="H425" s="81">
        <v>55.8</v>
      </c>
      <c r="K425" s="331"/>
      <c r="L425" s="106">
        <v>45</v>
      </c>
      <c r="M425" s="109">
        <f>4.32*3.6</f>
        <v>15.552000000000001</v>
      </c>
      <c r="N425" s="81">
        <v>53.7</v>
      </c>
      <c r="O425" s="81">
        <f t="shared" si="47"/>
        <v>54.4</v>
      </c>
      <c r="P425" s="81">
        <f t="shared" si="48"/>
        <v>55.1</v>
      </c>
      <c r="Q425" s="81">
        <v>55.8</v>
      </c>
    </row>
    <row r="426" spans="2:17" x14ac:dyDescent="0.2">
      <c r="B426" s="332"/>
      <c r="C426" s="178">
        <v>50</v>
      </c>
      <c r="D426" s="169">
        <f>3.72*3.6</f>
        <v>13.392000000000001</v>
      </c>
      <c r="E426" s="170">
        <v>55.2</v>
      </c>
      <c r="F426" s="170">
        <f t="shared" si="45"/>
        <v>55.7</v>
      </c>
      <c r="G426" s="170">
        <f t="shared" si="46"/>
        <v>56.2</v>
      </c>
      <c r="H426" s="170">
        <v>56.7</v>
      </c>
      <c r="K426" s="332"/>
      <c r="L426" s="178">
        <v>50</v>
      </c>
      <c r="M426" s="169">
        <f>4.55*3.6</f>
        <v>16.38</v>
      </c>
      <c r="N426" s="170">
        <v>55.2</v>
      </c>
      <c r="O426" s="170">
        <f t="shared" si="47"/>
        <v>55.7</v>
      </c>
      <c r="P426" s="170">
        <f t="shared" si="48"/>
        <v>56.2</v>
      </c>
      <c r="Q426" s="170">
        <v>56.7</v>
      </c>
    </row>
    <row r="427" spans="2:17" x14ac:dyDescent="0.2">
      <c r="B427" s="330">
        <v>13.49</v>
      </c>
      <c r="C427" s="176">
        <v>25</v>
      </c>
      <c r="D427" s="177">
        <f>2.97*3.6</f>
        <v>10.692</v>
      </c>
      <c r="E427" s="175">
        <v>47.1</v>
      </c>
      <c r="F427" s="175">
        <f t="shared" si="45"/>
        <v>48.5</v>
      </c>
      <c r="G427" s="175">
        <f t="shared" si="46"/>
        <v>49.9</v>
      </c>
      <c r="H427" s="175">
        <v>51.3</v>
      </c>
      <c r="K427" s="330" t="s">
        <v>309</v>
      </c>
      <c r="L427" s="176">
        <v>25</v>
      </c>
      <c r="M427" s="177">
        <f>3.55*3.6</f>
        <v>12.78</v>
      </c>
      <c r="N427" s="175">
        <v>47.1</v>
      </c>
      <c r="O427" s="175">
        <f t="shared" si="47"/>
        <v>48.5</v>
      </c>
      <c r="P427" s="175">
        <f t="shared" si="48"/>
        <v>49.9</v>
      </c>
      <c r="Q427" s="175">
        <v>51.3</v>
      </c>
    </row>
    <row r="428" spans="2:17" x14ac:dyDescent="0.2">
      <c r="B428" s="331"/>
      <c r="C428" s="179">
        <v>30</v>
      </c>
      <c r="D428" s="165">
        <f>3.25*3.6</f>
        <v>11.700000000000001</v>
      </c>
      <c r="E428" s="166">
        <v>49.5</v>
      </c>
      <c r="F428" s="166">
        <f t="shared" si="45"/>
        <v>50.766666666666666</v>
      </c>
      <c r="G428" s="166">
        <f t="shared" si="46"/>
        <v>52.033333333333331</v>
      </c>
      <c r="H428" s="166">
        <v>53.3</v>
      </c>
      <c r="K428" s="331"/>
      <c r="L428" s="179">
        <v>30</v>
      </c>
      <c r="M428" s="165">
        <f>3.89*3.6</f>
        <v>14.004000000000001</v>
      </c>
      <c r="N428" s="166">
        <v>49.5</v>
      </c>
      <c r="O428" s="166">
        <f t="shared" si="47"/>
        <v>50.766666666666666</v>
      </c>
      <c r="P428" s="166">
        <f t="shared" si="48"/>
        <v>52.033333333333331</v>
      </c>
      <c r="Q428" s="166">
        <v>53.3</v>
      </c>
    </row>
    <row r="429" spans="2:17" x14ac:dyDescent="0.2">
      <c r="B429" s="331"/>
      <c r="C429" s="106">
        <v>35</v>
      </c>
      <c r="D429" s="109">
        <f>3.51*3.6</f>
        <v>12.635999999999999</v>
      </c>
      <c r="E429" s="81">
        <v>51.4</v>
      </c>
      <c r="F429" s="81">
        <f t="shared" si="45"/>
        <v>52.5</v>
      </c>
      <c r="G429" s="81">
        <f t="shared" si="46"/>
        <v>53.6</v>
      </c>
      <c r="H429" s="81">
        <v>54.7</v>
      </c>
      <c r="K429" s="331"/>
      <c r="L429" s="106">
        <v>35</v>
      </c>
      <c r="M429" s="109">
        <f>4.2*3.6</f>
        <v>15.120000000000001</v>
      </c>
      <c r="N429" s="81">
        <v>51.4</v>
      </c>
      <c r="O429" s="81">
        <f t="shared" si="47"/>
        <v>52.5</v>
      </c>
      <c r="P429" s="81">
        <f t="shared" si="48"/>
        <v>53.6</v>
      </c>
      <c r="Q429" s="81">
        <v>54.7</v>
      </c>
    </row>
    <row r="430" spans="2:17" x14ac:dyDescent="0.2">
      <c r="B430" s="331"/>
      <c r="C430" s="179">
        <v>40</v>
      </c>
      <c r="D430" s="165">
        <f>3.76*3.6</f>
        <v>13.536</v>
      </c>
      <c r="E430" s="166">
        <v>53.2</v>
      </c>
      <c r="F430" s="166">
        <f t="shared" si="45"/>
        <v>54.06666666666667</v>
      </c>
      <c r="G430" s="166">
        <f t="shared" si="46"/>
        <v>54.93333333333333</v>
      </c>
      <c r="H430" s="166">
        <v>55.8</v>
      </c>
      <c r="K430" s="331"/>
      <c r="L430" s="179">
        <v>40</v>
      </c>
      <c r="M430" s="165">
        <f>4.49*3.6</f>
        <v>16.164000000000001</v>
      </c>
      <c r="N430" s="166">
        <v>53.2</v>
      </c>
      <c r="O430" s="166">
        <f t="shared" si="47"/>
        <v>54.06666666666667</v>
      </c>
      <c r="P430" s="166">
        <f t="shared" si="48"/>
        <v>54.93333333333333</v>
      </c>
      <c r="Q430" s="166">
        <v>55.8</v>
      </c>
    </row>
    <row r="431" spans="2:17" x14ac:dyDescent="0.2">
      <c r="B431" s="331"/>
      <c r="C431" s="106">
        <v>45</v>
      </c>
      <c r="D431" s="109">
        <f>3.99*3.6</f>
        <v>14.364000000000001</v>
      </c>
      <c r="E431" s="81">
        <v>54.9</v>
      </c>
      <c r="F431" s="81">
        <f t="shared" si="45"/>
        <v>55.5</v>
      </c>
      <c r="G431" s="81">
        <f t="shared" si="46"/>
        <v>56.1</v>
      </c>
      <c r="H431" s="81">
        <v>56.7</v>
      </c>
      <c r="K431" s="331"/>
      <c r="L431" s="106">
        <v>45</v>
      </c>
      <c r="M431" s="109">
        <f>4.76*3.6</f>
        <v>17.135999999999999</v>
      </c>
      <c r="N431" s="81">
        <v>54.9</v>
      </c>
      <c r="O431" s="81">
        <f t="shared" si="47"/>
        <v>55.5</v>
      </c>
      <c r="P431" s="81">
        <f t="shared" si="48"/>
        <v>56.1</v>
      </c>
      <c r="Q431" s="81">
        <v>56.7</v>
      </c>
    </row>
    <row r="432" spans="2:17" x14ac:dyDescent="0.2">
      <c r="B432" s="332"/>
      <c r="C432" s="178">
        <v>50</v>
      </c>
      <c r="D432" s="169">
        <f>4.2*3.6</f>
        <v>15.120000000000001</v>
      </c>
      <c r="E432" s="170">
        <v>56.2</v>
      </c>
      <c r="F432" s="170">
        <f t="shared" si="45"/>
        <v>56.666666666666671</v>
      </c>
      <c r="G432" s="170">
        <f t="shared" si="46"/>
        <v>57.133333333333333</v>
      </c>
      <c r="H432" s="170">
        <v>57.6</v>
      </c>
      <c r="K432" s="332"/>
      <c r="L432" s="178">
        <v>50</v>
      </c>
      <c r="M432" s="169">
        <f>5.02*3.6</f>
        <v>18.071999999999999</v>
      </c>
      <c r="N432" s="170">
        <v>56.2</v>
      </c>
      <c r="O432" s="170">
        <f t="shared" si="47"/>
        <v>56.666666666666671</v>
      </c>
      <c r="P432" s="170">
        <f t="shared" si="48"/>
        <v>57.133333333333333</v>
      </c>
      <c r="Q432" s="170">
        <v>57.6</v>
      </c>
    </row>
    <row r="433" spans="2:17" x14ac:dyDescent="0.2">
      <c r="B433" s="330">
        <v>14.29</v>
      </c>
      <c r="C433" s="176">
        <v>25</v>
      </c>
      <c r="D433" s="177">
        <f>3.33*3.6</f>
        <v>11.988000000000001</v>
      </c>
      <c r="E433" s="175">
        <v>47.7</v>
      </c>
      <c r="F433" s="175">
        <f t="shared" si="45"/>
        <v>49.2</v>
      </c>
      <c r="G433" s="175">
        <f t="shared" si="46"/>
        <v>50.7</v>
      </c>
      <c r="H433" s="175">
        <v>52.2</v>
      </c>
      <c r="K433" s="330" t="s">
        <v>310</v>
      </c>
      <c r="L433" s="176">
        <v>25</v>
      </c>
      <c r="M433" s="177">
        <f>3.9*3.6</f>
        <v>14.04</v>
      </c>
      <c r="N433" s="175">
        <v>47.7</v>
      </c>
      <c r="O433" s="175">
        <f t="shared" si="47"/>
        <v>49.2</v>
      </c>
      <c r="P433" s="175">
        <f t="shared" si="48"/>
        <v>50.7</v>
      </c>
      <c r="Q433" s="175">
        <v>52.2</v>
      </c>
    </row>
    <row r="434" spans="2:17" x14ac:dyDescent="0.2">
      <c r="B434" s="331"/>
      <c r="C434" s="179">
        <v>30</v>
      </c>
      <c r="D434" s="165">
        <f>3.65*3.6</f>
        <v>13.14</v>
      </c>
      <c r="E434" s="166">
        <v>50.1</v>
      </c>
      <c r="F434" s="166">
        <f t="shared" si="45"/>
        <v>51.466666666666669</v>
      </c>
      <c r="G434" s="166">
        <f t="shared" si="46"/>
        <v>52.833333333333336</v>
      </c>
      <c r="H434" s="166">
        <v>54.2</v>
      </c>
      <c r="K434" s="331"/>
      <c r="L434" s="179">
        <v>30</v>
      </c>
      <c r="M434" s="165">
        <f>4.27*3.6</f>
        <v>15.371999999999998</v>
      </c>
      <c r="N434" s="166">
        <v>50.1</v>
      </c>
      <c r="O434" s="166">
        <f t="shared" si="47"/>
        <v>51.466666666666669</v>
      </c>
      <c r="P434" s="166">
        <f t="shared" si="48"/>
        <v>52.833333333333336</v>
      </c>
      <c r="Q434" s="166">
        <v>54.2</v>
      </c>
    </row>
    <row r="435" spans="2:17" x14ac:dyDescent="0.2">
      <c r="B435" s="331"/>
      <c r="C435" s="106">
        <v>35</v>
      </c>
      <c r="D435" s="109">
        <f>3.94*3.6</f>
        <v>14.183999999999999</v>
      </c>
      <c r="E435" s="81">
        <v>52</v>
      </c>
      <c r="F435" s="81">
        <f t="shared" si="45"/>
        <v>53.2</v>
      </c>
      <c r="G435" s="81">
        <f t="shared" si="46"/>
        <v>54.4</v>
      </c>
      <c r="H435" s="81">
        <v>55.6</v>
      </c>
      <c r="K435" s="331"/>
      <c r="L435" s="106">
        <v>35</v>
      </c>
      <c r="M435" s="109">
        <f>4.62*3.6</f>
        <v>16.632000000000001</v>
      </c>
      <c r="N435" s="81">
        <v>52</v>
      </c>
      <c r="O435" s="81">
        <f t="shared" si="47"/>
        <v>53.2</v>
      </c>
      <c r="P435" s="81">
        <f t="shared" si="48"/>
        <v>54.4</v>
      </c>
      <c r="Q435" s="81">
        <v>55.6</v>
      </c>
    </row>
    <row r="436" spans="2:17" x14ac:dyDescent="0.2">
      <c r="B436" s="331"/>
      <c r="C436" s="179">
        <v>40</v>
      </c>
      <c r="D436" s="165">
        <f>4.21*3.6</f>
        <v>15.156000000000001</v>
      </c>
      <c r="E436" s="166">
        <v>53.8</v>
      </c>
      <c r="F436" s="166">
        <f t="shared" si="45"/>
        <v>54.8</v>
      </c>
      <c r="G436" s="166">
        <f t="shared" si="46"/>
        <v>55.8</v>
      </c>
      <c r="H436" s="166">
        <v>56.8</v>
      </c>
      <c r="K436" s="331"/>
      <c r="L436" s="179">
        <v>40</v>
      </c>
      <c r="M436" s="165">
        <f>4.94*3.6</f>
        <v>17.784000000000002</v>
      </c>
      <c r="N436" s="166">
        <v>53.8</v>
      </c>
      <c r="O436" s="166">
        <f t="shared" si="47"/>
        <v>54.8</v>
      </c>
      <c r="P436" s="166">
        <f t="shared" si="48"/>
        <v>55.8</v>
      </c>
      <c r="Q436" s="166">
        <v>56.8</v>
      </c>
    </row>
    <row r="437" spans="2:17" x14ac:dyDescent="0.2">
      <c r="B437" s="331"/>
      <c r="C437" s="106">
        <v>45</v>
      </c>
      <c r="D437" s="109">
        <f>4.47*3.6</f>
        <v>16.091999999999999</v>
      </c>
      <c r="E437" s="81">
        <v>55.8</v>
      </c>
      <c r="F437" s="81">
        <f t="shared" si="45"/>
        <v>56.4</v>
      </c>
      <c r="G437" s="81">
        <f t="shared" si="46"/>
        <v>57</v>
      </c>
      <c r="H437" s="81">
        <v>57.6</v>
      </c>
      <c r="K437" s="331"/>
      <c r="L437" s="106">
        <v>45</v>
      </c>
      <c r="M437" s="109">
        <f>5.24*3.6</f>
        <v>18.864000000000001</v>
      </c>
      <c r="N437" s="81">
        <v>55.8</v>
      </c>
      <c r="O437" s="81">
        <f t="shared" si="47"/>
        <v>56.4</v>
      </c>
      <c r="P437" s="81">
        <f t="shared" si="48"/>
        <v>57</v>
      </c>
      <c r="Q437" s="81">
        <v>57.6</v>
      </c>
    </row>
    <row r="438" spans="2:17" x14ac:dyDescent="0.2">
      <c r="B438" s="332"/>
      <c r="C438" s="178">
        <v>50</v>
      </c>
      <c r="D438" s="169">
        <f>4.71*3.6</f>
        <v>16.956</v>
      </c>
      <c r="E438" s="170">
        <v>57.5</v>
      </c>
      <c r="F438" s="170">
        <f t="shared" si="45"/>
        <v>57.833333333333336</v>
      </c>
      <c r="G438" s="170">
        <f t="shared" si="46"/>
        <v>58.166666666666664</v>
      </c>
      <c r="H438" s="170">
        <v>58.5</v>
      </c>
      <c r="K438" s="332"/>
      <c r="L438" s="178">
        <v>50</v>
      </c>
      <c r="M438" s="169">
        <f>5.52*3.6</f>
        <v>19.872</v>
      </c>
      <c r="N438" s="170">
        <v>57.5</v>
      </c>
      <c r="O438" s="170">
        <f t="shared" si="47"/>
        <v>57.833333333333336</v>
      </c>
      <c r="P438" s="170">
        <f t="shared" si="48"/>
        <v>58.166666666666664</v>
      </c>
      <c r="Q438" s="170">
        <v>58.5</v>
      </c>
    </row>
    <row r="439" spans="2:17" x14ac:dyDescent="0.2">
      <c r="B439" s="330">
        <v>15.08</v>
      </c>
      <c r="C439" s="176">
        <v>25</v>
      </c>
      <c r="D439" s="177">
        <f>3.59*3.6</f>
        <v>12.923999999999999</v>
      </c>
      <c r="E439" s="175">
        <v>48.3</v>
      </c>
      <c r="F439" s="175">
        <f t="shared" si="45"/>
        <v>49.9</v>
      </c>
      <c r="G439" s="175">
        <f t="shared" si="46"/>
        <v>51.5</v>
      </c>
      <c r="H439" s="175">
        <v>53.1</v>
      </c>
      <c r="K439" s="330" t="s">
        <v>311</v>
      </c>
      <c r="L439" s="176">
        <v>25</v>
      </c>
      <c r="M439" s="177">
        <f>4.3*3.6</f>
        <v>15.48</v>
      </c>
      <c r="N439" s="175">
        <v>48.3</v>
      </c>
      <c r="O439" s="175">
        <f t="shared" si="47"/>
        <v>49.9</v>
      </c>
      <c r="P439" s="175">
        <f t="shared" si="48"/>
        <v>51.5</v>
      </c>
      <c r="Q439" s="175">
        <v>53.1</v>
      </c>
    </row>
    <row r="440" spans="2:17" x14ac:dyDescent="0.2">
      <c r="B440" s="331"/>
      <c r="C440" s="179">
        <v>30</v>
      </c>
      <c r="D440" s="165">
        <f>3.93*3.6</f>
        <v>14.148000000000001</v>
      </c>
      <c r="E440" s="166">
        <v>50.8</v>
      </c>
      <c r="F440" s="166">
        <f t="shared" si="45"/>
        <v>52.233333333333334</v>
      </c>
      <c r="G440" s="166">
        <f t="shared" si="46"/>
        <v>53.666666666666664</v>
      </c>
      <c r="H440" s="166">
        <v>55.1</v>
      </c>
      <c r="K440" s="331"/>
      <c r="L440" s="179">
        <v>30</v>
      </c>
      <c r="M440" s="165">
        <f>4.71*3.6</f>
        <v>16.956</v>
      </c>
      <c r="N440" s="166">
        <v>50.8</v>
      </c>
      <c r="O440" s="166">
        <f t="shared" si="47"/>
        <v>52.233333333333334</v>
      </c>
      <c r="P440" s="166">
        <f t="shared" si="48"/>
        <v>53.666666666666664</v>
      </c>
      <c r="Q440" s="166">
        <v>55.1</v>
      </c>
    </row>
    <row r="441" spans="2:17" x14ac:dyDescent="0.2">
      <c r="B441" s="331"/>
      <c r="C441" s="106">
        <v>35</v>
      </c>
      <c r="D441" s="109">
        <f>4.25*3.6</f>
        <v>15.3</v>
      </c>
      <c r="E441" s="81">
        <v>52.6</v>
      </c>
      <c r="F441" s="81">
        <f t="shared" si="45"/>
        <v>53.9</v>
      </c>
      <c r="G441" s="81">
        <f t="shared" si="46"/>
        <v>55.2</v>
      </c>
      <c r="H441" s="81">
        <v>56.5</v>
      </c>
      <c r="K441" s="331"/>
      <c r="L441" s="106">
        <v>35</v>
      </c>
      <c r="M441" s="109">
        <f>5.09*3.6</f>
        <v>18.324000000000002</v>
      </c>
      <c r="N441" s="81">
        <v>52.6</v>
      </c>
      <c r="O441" s="81">
        <f t="shared" si="47"/>
        <v>53.9</v>
      </c>
      <c r="P441" s="81">
        <f t="shared" si="48"/>
        <v>55.2</v>
      </c>
      <c r="Q441" s="81">
        <v>56.5</v>
      </c>
    </row>
    <row r="442" spans="2:17" x14ac:dyDescent="0.2">
      <c r="B442" s="331"/>
      <c r="C442" s="179">
        <v>40</v>
      </c>
      <c r="D442" s="165">
        <f>4.54*3.6</f>
        <v>16.344000000000001</v>
      </c>
      <c r="E442" s="166">
        <v>54.4</v>
      </c>
      <c r="F442" s="166">
        <f t="shared" si="45"/>
        <v>55.5</v>
      </c>
      <c r="G442" s="166">
        <f t="shared" si="46"/>
        <v>56.6</v>
      </c>
      <c r="H442" s="166">
        <v>57.7</v>
      </c>
      <c r="K442" s="331"/>
      <c r="L442" s="179">
        <v>40</v>
      </c>
      <c r="M442" s="165">
        <f>5.44*3.6</f>
        <v>19.584000000000003</v>
      </c>
      <c r="N442" s="166">
        <v>54.4</v>
      </c>
      <c r="O442" s="166">
        <f t="shared" si="47"/>
        <v>55.5</v>
      </c>
      <c r="P442" s="166">
        <f t="shared" si="48"/>
        <v>56.6</v>
      </c>
      <c r="Q442" s="166">
        <v>57.7</v>
      </c>
    </row>
    <row r="443" spans="2:17" x14ac:dyDescent="0.2">
      <c r="B443" s="331"/>
      <c r="C443" s="106">
        <v>45</v>
      </c>
      <c r="D443" s="109">
        <f>4.82*3.6</f>
        <v>17.352</v>
      </c>
      <c r="E443" s="81">
        <v>56.5</v>
      </c>
      <c r="F443" s="81">
        <f t="shared" si="45"/>
        <v>57.2</v>
      </c>
      <c r="G443" s="81">
        <f t="shared" si="46"/>
        <v>57.9</v>
      </c>
      <c r="H443" s="81">
        <v>58.6</v>
      </c>
      <c r="K443" s="331"/>
      <c r="L443" s="106">
        <v>45</v>
      </c>
      <c r="M443" s="109">
        <f>5.77*3.6</f>
        <v>20.771999999999998</v>
      </c>
      <c r="N443" s="81">
        <v>56.5</v>
      </c>
      <c r="O443" s="81">
        <f t="shared" si="47"/>
        <v>57.2</v>
      </c>
      <c r="P443" s="81">
        <f t="shared" si="48"/>
        <v>57.9</v>
      </c>
      <c r="Q443" s="81">
        <v>58.6</v>
      </c>
    </row>
    <row r="444" spans="2:17" x14ac:dyDescent="0.2">
      <c r="B444" s="332"/>
      <c r="C444" s="178">
        <v>50</v>
      </c>
      <c r="D444" s="169">
        <f>5.08*3.6</f>
        <v>18.288</v>
      </c>
      <c r="E444" s="170">
        <v>58.2</v>
      </c>
      <c r="F444" s="170">
        <f t="shared" si="45"/>
        <v>58.6</v>
      </c>
      <c r="G444" s="170">
        <f t="shared" si="46"/>
        <v>59</v>
      </c>
      <c r="H444" s="170">
        <v>59.4</v>
      </c>
      <c r="K444" s="332"/>
      <c r="L444" s="178">
        <v>50</v>
      </c>
      <c r="M444" s="169">
        <f>6.08*3.6</f>
        <v>21.888000000000002</v>
      </c>
      <c r="N444" s="170">
        <v>58.2</v>
      </c>
      <c r="O444" s="170">
        <f t="shared" si="47"/>
        <v>58.6</v>
      </c>
      <c r="P444" s="170">
        <f t="shared" si="48"/>
        <v>59</v>
      </c>
      <c r="Q444" s="170">
        <v>59.4</v>
      </c>
    </row>
    <row r="445" spans="2:17" x14ac:dyDescent="0.2">
      <c r="B445" s="330">
        <v>15.88</v>
      </c>
      <c r="C445" s="176">
        <v>25</v>
      </c>
      <c r="D445" s="182" t="s">
        <v>14</v>
      </c>
      <c r="E445" s="182" t="s">
        <v>14</v>
      </c>
      <c r="F445" s="182" t="s">
        <v>14</v>
      </c>
      <c r="G445" s="182" t="s">
        <v>14</v>
      </c>
      <c r="H445" s="182" t="s">
        <v>14</v>
      </c>
      <c r="K445" s="330" t="s">
        <v>312</v>
      </c>
      <c r="L445" s="176">
        <v>25</v>
      </c>
      <c r="M445" s="182">
        <f>4.68*3.6</f>
        <v>16.847999999999999</v>
      </c>
      <c r="N445" s="183">
        <v>48.9</v>
      </c>
      <c r="O445" s="183">
        <f t="shared" si="47"/>
        <v>50.5</v>
      </c>
      <c r="P445" s="183">
        <f t="shared" si="48"/>
        <v>52.1</v>
      </c>
      <c r="Q445" s="183">
        <v>53.7</v>
      </c>
    </row>
    <row r="446" spans="2:17" x14ac:dyDescent="0.2">
      <c r="B446" s="331"/>
      <c r="C446" s="179">
        <v>30</v>
      </c>
      <c r="D446" s="165">
        <f>4.41*3.6</f>
        <v>15.876000000000001</v>
      </c>
      <c r="E446" s="166">
        <v>51.4</v>
      </c>
      <c r="F446" s="166">
        <f>E446+(H446-E446)/1.5*0.5</f>
        <v>52.833333333333336</v>
      </c>
      <c r="G446" s="166">
        <f>E446+(H446-E446)/1.5</f>
        <v>54.266666666666666</v>
      </c>
      <c r="H446" s="166">
        <v>55.7</v>
      </c>
      <c r="K446" s="331"/>
      <c r="L446" s="179">
        <v>30</v>
      </c>
      <c r="M446" s="165">
        <f>5.12*3.6</f>
        <v>18.432000000000002</v>
      </c>
      <c r="N446" s="166">
        <v>51.4</v>
      </c>
      <c r="O446" s="166">
        <f t="shared" si="47"/>
        <v>52.833333333333336</v>
      </c>
      <c r="P446" s="166">
        <f t="shared" si="48"/>
        <v>54.266666666666666</v>
      </c>
      <c r="Q446" s="166">
        <v>55.7</v>
      </c>
    </row>
    <row r="447" spans="2:17" x14ac:dyDescent="0.2">
      <c r="B447" s="331"/>
      <c r="C447" s="106">
        <v>35</v>
      </c>
      <c r="D447" s="109">
        <f>4.76*3.6</f>
        <v>17.135999999999999</v>
      </c>
      <c r="E447" s="81">
        <v>53.2</v>
      </c>
      <c r="F447" s="81">
        <f>E447+(H447-E447)/1.5*0.5</f>
        <v>54.5</v>
      </c>
      <c r="G447" s="81">
        <f>E447+(H447-E447)/1.5</f>
        <v>55.800000000000004</v>
      </c>
      <c r="H447" s="81">
        <v>57.1</v>
      </c>
      <c r="K447" s="331"/>
      <c r="L447" s="106">
        <v>35</v>
      </c>
      <c r="M447" s="109">
        <f>5.53*3.6</f>
        <v>19.908000000000001</v>
      </c>
      <c r="N447" s="81">
        <v>53.2</v>
      </c>
      <c r="O447" s="81">
        <f t="shared" si="47"/>
        <v>54.5</v>
      </c>
      <c r="P447" s="81">
        <f t="shared" si="48"/>
        <v>55.800000000000004</v>
      </c>
      <c r="Q447" s="81">
        <v>57.1</v>
      </c>
    </row>
    <row r="448" spans="2:17" x14ac:dyDescent="0.2">
      <c r="B448" s="331"/>
      <c r="C448" s="179">
        <v>40</v>
      </c>
      <c r="D448" s="165">
        <f>5.09*3.6</f>
        <v>18.324000000000002</v>
      </c>
      <c r="E448" s="166">
        <v>55</v>
      </c>
      <c r="F448" s="166">
        <f>E448+(H448-E448)/1.5*0.5</f>
        <v>56.1</v>
      </c>
      <c r="G448" s="166">
        <f>E448+(H448-E448)/1.5</f>
        <v>57.199999999999996</v>
      </c>
      <c r="H448" s="166">
        <v>58.3</v>
      </c>
      <c r="K448" s="331"/>
      <c r="L448" s="179">
        <v>40</v>
      </c>
      <c r="M448" s="165">
        <f>5.92*3.6</f>
        <v>21.312000000000001</v>
      </c>
      <c r="N448" s="166">
        <v>55</v>
      </c>
      <c r="O448" s="166">
        <f t="shared" si="47"/>
        <v>56.1</v>
      </c>
      <c r="P448" s="166">
        <f t="shared" si="48"/>
        <v>57.199999999999996</v>
      </c>
      <c r="Q448" s="166">
        <v>58.3</v>
      </c>
    </row>
    <row r="449" spans="2:25" x14ac:dyDescent="0.2">
      <c r="B449" s="331"/>
      <c r="C449" s="106">
        <v>45</v>
      </c>
      <c r="D449" s="109">
        <f>5.4*3.6</f>
        <v>19.440000000000001</v>
      </c>
      <c r="E449" s="81">
        <v>57.1</v>
      </c>
      <c r="F449" s="81">
        <f>E449+(H449-E449)/1.5*0.5</f>
        <v>57.800000000000004</v>
      </c>
      <c r="G449" s="81">
        <f>E449+(H449-E449)/1.5</f>
        <v>58.5</v>
      </c>
      <c r="H449" s="81">
        <v>59.2</v>
      </c>
      <c r="K449" s="331"/>
      <c r="L449" s="106">
        <v>45</v>
      </c>
      <c r="M449" s="109">
        <f>6.28*3.6</f>
        <v>22.608000000000001</v>
      </c>
      <c r="N449" s="81">
        <v>57.1</v>
      </c>
      <c r="O449" s="81">
        <f t="shared" si="47"/>
        <v>57.800000000000004</v>
      </c>
      <c r="P449" s="81">
        <f t="shared" si="48"/>
        <v>58.5</v>
      </c>
      <c r="Q449" s="81">
        <v>59.2</v>
      </c>
    </row>
    <row r="450" spans="2:25" x14ac:dyDescent="0.2">
      <c r="B450" s="332"/>
      <c r="C450" s="178">
        <v>50</v>
      </c>
      <c r="D450" s="169">
        <f>5.69*3.6</f>
        <v>20.484000000000002</v>
      </c>
      <c r="E450" s="170">
        <v>58.8</v>
      </c>
      <c r="F450" s="170">
        <f>E450+(H450-E450)/1.5*0.5</f>
        <v>59.199999999999996</v>
      </c>
      <c r="G450" s="170">
        <f>E450+(H450-E450)/1.5</f>
        <v>59.6</v>
      </c>
      <c r="H450" s="170">
        <v>60</v>
      </c>
      <c r="K450" s="332"/>
      <c r="L450" s="178">
        <v>50</v>
      </c>
      <c r="M450" s="169">
        <f>6.62*3.6</f>
        <v>23.832000000000001</v>
      </c>
      <c r="N450" s="170">
        <v>58.8</v>
      </c>
      <c r="O450" s="170">
        <f t="shared" si="47"/>
        <v>59.199999999999996</v>
      </c>
      <c r="P450" s="170">
        <f t="shared" si="48"/>
        <v>59.6</v>
      </c>
      <c r="Q450" s="170">
        <v>60</v>
      </c>
    </row>
    <row r="454" spans="2:25" x14ac:dyDescent="0.2">
      <c r="B454" s="184" t="s">
        <v>313</v>
      </c>
      <c r="L454" s="184" t="s">
        <v>313</v>
      </c>
      <c r="V454" s="184" t="s">
        <v>313</v>
      </c>
    </row>
    <row r="455" spans="2:25" x14ac:dyDescent="0.2">
      <c r="B455" s="66" t="s">
        <v>314</v>
      </c>
      <c r="L455" s="66" t="s">
        <v>315</v>
      </c>
      <c r="V455" s="66" t="s">
        <v>316</v>
      </c>
    </row>
    <row r="456" spans="2:25" ht="25.5" customHeight="1" x14ac:dyDescent="0.2">
      <c r="B456" s="317" t="s">
        <v>317</v>
      </c>
      <c r="C456" s="319" t="s">
        <v>318</v>
      </c>
      <c r="D456" s="319" t="s">
        <v>319</v>
      </c>
      <c r="E456" s="319" t="s">
        <v>320</v>
      </c>
      <c r="F456" s="308" t="s">
        <v>321</v>
      </c>
      <c r="G456" s="309"/>
      <c r="H456" s="309"/>
      <c r="I456" s="309"/>
      <c r="J456" s="310"/>
      <c r="L456" s="317" t="s">
        <v>322</v>
      </c>
      <c r="M456" s="319" t="s">
        <v>318</v>
      </c>
      <c r="N456" s="319" t="s">
        <v>319</v>
      </c>
      <c r="O456" s="319" t="s">
        <v>320</v>
      </c>
      <c r="P456" s="308" t="s">
        <v>321</v>
      </c>
      <c r="Q456" s="309"/>
      <c r="R456" s="309"/>
      <c r="S456" s="309"/>
      <c r="T456" s="310"/>
      <c r="V456" s="317" t="s">
        <v>323</v>
      </c>
      <c r="W456" s="319" t="s">
        <v>318</v>
      </c>
      <c r="X456" s="319" t="s">
        <v>319</v>
      </c>
      <c r="Y456" s="306" t="s">
        <v>320</v>
      </c>
    </row>
    <row r="457" spans="2:25" ht="13.5" thickBot="1" x14ac:dyDescent="0.25">
      <c r="B457" s="318"/>
      <c r="C457" s="320"/>
      <c r="D457" s="320"/>
      <c r="E457" s="320"/>
      <c r="F457" s="185" t="s">
        <v>324</v>
      </c>
      <c r="G457" s="186" t="s">
        <v>325</v>
      </c>
      <c r="H457" s="186" t="s">
        <v>326</v>
      </c>
      <c r="I457" s="186" t="s">
        <v>327</v>
      </c>
      <c r="J457" s="187" t="s">
        <v>328</v>
      </c>
      <c r="L457" s="318"/>
      <c r="M457" s="320"/>
      <c r="N457" s="320"/>
      <c r="O457" s="320"/>
      <c r="P457" s="185" t="s">
        <v>324</v>
      </c>
      <c r="Q457" s="186" t="s">
        <v>325</v>
      </c>
      <c r="R457" s="186" t="s">
        <v>326</v>
      </c>
      <c r="S457" s="186" t="s">
        <v>327</v>
      </c>
      <c r="T457" s="187" t="s">
        <v>328</v>
      </c>
      <c r="V457" s="329"/>
      <c r="W457" s="327"/>
      <c r="X457" s="327"/>
      <c r="Y457" s="328"/>
    </row>
    <row r="458" spans="2:25" x14ac:dyDescent="0.2">
      <c r="B458" s="324" t="s">
        <v>329</v>
      </c>
      <c r="C458" s="188">
        <v>25</v>
      </c>
      <c r="D458" s="188" t="s">
        <v>330</v>
      </c>
      <c r="E458" s="188" t="s">
        <v>331</v>
      </c>
      <c r="F458" s="189" t="s">
        <v>332</v>
      </c>
      <c r="G458" s="189" t="s">
        <v>333</v>
      </c>
      <c r="H458" s="189" t="s">
        <v>334</v>
      </c>
      <c r="I458" s="189" t="s">
        <v>335</v>
      </c>
      <c r="J458" s="190" t="s">
        <v>336</v>
      </c>
      <c r="L458" s="324" t="s">
        <v>337</v>
      </c>
      <c r="M458" s="188">
        <v>25</v>
      </c>
      <c r="N458" s="188" t="s">
        <v>338</v>
      </c>
      <c r="O458" s="188">
        <v>21</v>
      </c>
      <c r="P458" s="189" t="s">
        <v>339</v>
      </c>
      <c r="Q458" s="189" t="s">
        <v>340</v>
      </c>
      <c r="R458" s="189">
        <v>4</v>
      </c>
      <c r="S458" s="189" t="s">
        <v>341</v>
      </c>
      <c r="T458" s="190" t="s">
        <v>342</v>
      </c>
      <c r="V458" s="304" t="s">
        <v>343</v>
      </c>
      <c r="W458" s="191">
        <v>20</v>
      </c>
      <c r="X458" s="192" t="s">
        <v>344</v>
      </c>
      <c r="Y458" s="191" t="s">
        <v>345</v>
      </c>
    </row>
    <row r="459" spans="2:25" x14ac:dyDescent="0.2">
      <c r="B459" s="322"/>
      <c r="C459" s="193">
        <v>30</v>
      </c>
      <c r="D459" s="193" t="s">
        <v>346</v>
      </c>
      <c r="E459" s="193">
        <v>23</v>
      </c>
      <c r="F459" s="194" t="s">
        <v>347</v>
      </c>
      <c r="G459" s="194">
        <v>7</v>
      </c>
      <c r="H459" s="194" t="s">
        <v>348</v>
      </c>
      <c r="I459" s="194">
        <v>5</v>
      </c>
      <c r="J459" s="195" t="s">
        <v>349</v>
      </c>
      <c r="L459" s="322"/>
      <c r="M459" s="193">
        <v>30</v>
      </c>
      <c r="N459" s="193" t="s">
        <v>350</v>
      </c>
      <c r="O459" s="193">
        <v>22</v>
      </c>
      <c r="P459" s="194" t="s">
        <v>333</v>
      </c>
      <c r="Q459" s="194" t="s">
        <v>334</v>
      </c>
      <c r="R459" s="194" t="s">
        <v>351</v>
      </c>
      <c r="S459" s="194" t="s">
        <v>352</v>
      </c>
      <c r="T459" s="195" t="s">
        <v>353</v>
      </c>
      <c r="V459" s="302"/>
      <c r="W459" s="194">
        <v>30</v>
      </c>
      <c r="X459" s="196" t="s">
        <v>350</v>
      </c>
      <c r="Y459" s="194">
        <v>24</v>
      </c>
    </row>
    <row r="460" spans="2:25" x14ac:dyDescent="0.2">
      <c r="B460" s="322"/>
      <c r="C460" s="197">
        <v>35</v>
      </c>
      <c r="D460" s="197" t="s">
        <v>354</v>
      </c>
      <c r="E460" s="197">
        <v>23</v>
      </c>
      <c r="F460" s="198">
        <v>9</v>
      </c>
      <c r="G460" s="198" t="s">
        <v>355</v>
      </c>
      <c r="H460" s="198" t="s">
        <v>333</v>
      </c>
      <c r="I460" s="198" t="s">
        <v>356</v>
      </c>
      <c r="J460" s="199" t="s">
        <v>357</v>
      </c>
      <c r="L460" s="322"/>
      <c r="M460" s="197">
        <v>35</v>
      </c>
      <c r="N460" s="197" t="s">
        <v>358</v>
      </c>
      <c r="O460" s="197">
        <v>23</v>
      </c>
      <c r="P460" s="198" t="s">
        <v>359</v>
      </c>
      <c r="Q460" s="198" t="s">
        <v>339</v>
      </c>
      <c r="R460" s="198" t="s">
        <v>360</v>
      </c>
      <c r="S460" s="198" t="s">
        <v>361</v>
      </c>
      <c r="T460" s="199" t="s">
        <v>362</v>
      </c>
      <c r="V460" s="303"/>
      <c r="W460" s="200">
        <v>40</v>
      </c>
      <c r="X460" s="201" t="s">
        <v>363</v>
      </c>
      <c r="Y460" s="200">
        <v>24</v>
      </c>
    </row>
    <row r="461" spans="2:25" x14ac:dyDescent="0.2">
      <c r="B461" s="323"/>
      <c r="C461" s="202">
        <v>40</v>
      </c>
      <c r="D461" s="202" t="s">
        <v>364</v>
      </c>
      <c r="E461" s="202">
        <v>23</v>
      </c>
      <c r="F461" s="203" t="s">
        <v>365</v>
      </c>
      <c r="G461" s="203" t="s">
        <v>366</v>
      </c>
      <c r="H461" s="203" t="s">
        <v>367</v>
      </c>
      <c r="I461" s="203" t="s">
        <v>348</v>
      </c>
      <c r="J461" s="204" t="s">
        <v>368</v>
      </c>
      <c r="L461" s="323"/>
      <c r="M461" s="202">
        <v>40</v>
      </c>
      <c r="N461" s="202" t="s">
        <v>363</v>
      </c>
      <c r="O461" s="202">
        <v>23</v>
      </c>
      <c r="P461" s="203" t="s">
        <v>369</v>
      </c>
      <c r="Q461" s="203">
        <v>6</v>
      </c>
      <c r="R461" s="203">
        <v>5</v>
      </c>
      <c r="S461" s="203" t="s">
        <v>349</v>
      </c>
      <c r="T461" s="204" t="s">
        <v>370</v>
      </c>
      <c r="V461" s="304" t="s">
        <v>371</v>
      </c>
      <c r="W461" s="205">
        <v>20</v>
      </c>
      <c r="X461" s="206" t="s">
        <v>338</v>
      </c>
      <c r="Y461" s="205">
        <v>23</v>
      </c>
    </row>
    <row r="462" spans="2:25" x14ac:dyDescent="0.2">
      <c r="B462" s="321" t="s">
        <v>372</v>
      </c>
      <c r="C462" s="207">
        <v>25</v>
      </c>
      <c r="D462" s="207" t="s">
        <v>373</v>
      </c>
      <c r="E462" s="207" t="s">
        <v>374</v>
      </c>
      <c r="F462" s="191" t="s">
        <v>375</v>
      </c>
      <c r="G462" s="191" t="s">
        <v>359</v>
      </c>
      <c r="H462" s="191" t="s">
        <v>339</v>
      </c>
      <c r="I462" s="191" t="s">
        <v>368</v>
      </c>
      <c r="J462" s="208" t="s">
        <v>376</v>
      </c>
      <c r="L462" s="321" t="s">
        <v>377</v>
      </c>
      <c r="M462" s="207">
        <v>25</v>
      </c>
      <c r="N462" s="207" t="s">
        <v>378</v>
      </c>
      <c r="O462" s="207" t="s">
        <v>379</v>
      </c>
      <c r="P462" s="191" t="s">
        <v>380</v>
      </c>
      <c r="Q462" s="191" t="s">
        <v>334</v>
      </c>
      <c r="R462" s="191" t="s">
        <v>351</v>
      </c>
      <c r="S462" s="191" t="s">
        <v>352</v>
      </c>
      <c r="T462" s="208" t="s">
        <v>381</v>
      </c>
      <c r="V462" s="302"/>
      <c r="W462" s="198">
        <v>30</v>
      </c>
      <c r="X462" s="209" t="s">
        <v>382</v>
      </c>
      <c r="Y462" s="198">
        <v>23</v>
      </c>
    </row>
    <row r="463" spans="2:25" x14ac:dyDescent="0.2">
      <c r="B463" s="322"/>
      <c r="C463" s="193">
        <v>30</v>
      </c>
      <c r="D463" s="193" t="s">
        <v>354</v>
      </c>
      <c r="E463" s="193">
        <v>24</v>
      </c>
      <c r="F463" s="194">
        <v>9</v>
      </c>
      <c r="G463" s="194" t="s">
        <v>355</v>
      </c>
      <c r="H463" s="194" t="s">
        <v>333</v>
      </c>
      <c r="I463" s="194" t="s">
        <v>356</v>
      </c>
      <c r="J463" s="195" t="s">
        <v>357</v>
      </c>
      <c r="L463" s="322"/>
      <c r="M463" s="193">
        <v>30</v>
      </c>
      <c r="N463" s="193" t="s">
        <v>382</v>
      </c>
      <c r="O463" s="193" t="s">
        <v>383</v>
      </c>
      <c r="P463" s="194">
        <v>7</v>
      </c>
      <c r="Q463" s="194" t="s">
        <v>348</v>
      </c>
      <c r="R463" s="194" t="s">
        <v>368</v>
      </c>
      <c r="S463" s="194" t="s">
        <v>376</v>
      </c>
      <c r="T463" s="195" t="s">
        <v>384</v>
      </c>
      <c r="V463" s="303"/>
      <c r="W463" s="203">
        <v>40</v>
      </c>
      <c r="X463" s="210" t="s">
        <v>385</v>
      </c>
      <c r="Y463" s="203" t="s">
        <v>386</v>
      </c>
    </row>
    <row r="464" spans="2:25" x14ac:dyDescent="0.2">
      <c r="B464" s="322"/>
      <c r="C464" s="197">
        <v>35</v>
      </c>
      <c r="D464" s="197" t="s">
        <v>387</v>
      </c>
      <c r="E464" s="197">
        <v>24</v>
      </c>
      <c r="F464" s="198" t="s">
        <v>388</v>
      </c>
      <c r="G464" s="198" t="s">
        <v>375</v>
      </c>
      <c r="H464" s="198" t="s">
        <v>359</v>
      </c>
      <c r="I464" s="198" t="s">
        <v>348</v>
      </c>
      <c r="J464" s="199">
        <v>5</v>
      </c>
      <c r="L464" s="322"/>
      <c r="M464" s="197">
        <v>35</v>
      </c>
      <c r="N464" s="197" t="s">
        <v>330</v>
      </c>
      <c r="O464" s="197">
        <v>23</v>
      </c>
      <c r="P464" s="198" t="s">
        <v>332</v>
      </c>
      <c r="Q464" s="198" t="s">
        <v>333</v>
      </c>
      <c r="R464" s="198" t="s">
        <v>334</v>
      </c>
      <c r="S464" s="198" t="s">
        <v>335</v>
      </c>
      <c r="T464" s="199" t="s">
        <v>336</v>
      </c>
      <c r="V464" s="304" t="s">
        <v>389</v>
      </c>
      <c r="W464" s="191">
        <v>20</v>
      </c>
      <c r="X464" s="192" t="s">
        <v>390</v>
      </c>
      <c r="Y464" s="191">
        <v>22</v>
      </c>
    </row>
    <row r="465" spans="2:25" x14ac:dyDescent="0.2">
      <c r="B465" s="323"/>
      <c r="C465" s="202">
        <v>40</v>
      </c>
      <c r="D465" s="202" t="s">
        <v>391</v>
      </c>
      <c r="E465" s="202">
        <v>24</v>
      </c>
      <c r="F465" s="203" t="s">
        <v>392</v>
      </c>
      <c r="G465" s="203" t="s">
        <v>393</v>
      </c>
      <c r="H465" s="203" t="s">
        <v>369</v>
      </c>
      <c r="I465" s="203" t="s">
        <v>394</v>
      </c>
      <c r="J465" s="204" t="s">
        <v>334</v>
      </c>
      <c r="L465" s="323"/>
      <c r="M465" s="202">
        <v>40</v>
      </c>
      <c r="N465" s="202" t="s">
        <v>385</v>
      </c>
      <c r="O465" s="202">
        <v>23</v>
      </c>
      <c r="P465" s="203" t="s">
        <v>366</v>
      </c>
      <c r="Q465" s="203" t="s">
        <v>359</v>
      </c>
      <c r="R465" s="203" t="s">
        <v>395</v>
      </c>
      <c r="S465" s="203" t="s">
        <v>340</v>
      </c>
      <c r="T465" s="204" t="s">
        <v>361</v>
      </c>
      <c r="V465" s="302"/>
      <c r="W465" s="194">
        <v>30</v>
      </c>
      <c r="X465" s="196" t="s">
        <v>385</v>
      </c>
      <c r="Y465" s="194">
        <v>24</v>
      </c>
    </row>
    <row r="466" spans="2:25" x14ac:dyDescent="0.2">
      <c r="B466" s="321" t="s">
        <v>396</v>
      </c>
      <c r="C466" s="207">
        <v>25</v>
      </c>
      <c r="D466" s="211">
        <v>1115</v>
      </c>
      <c r="E466" s="207">
        <v>24</v>
      </c>
      <c r="F466" s="191" t="s">
        <v>397</v>
      </c>
      <c r="G466" s="191" t="s">
        <v>398</v>
      </c>
      <c r="H466" s="191" t="s">
        <v>399</v>
      </c>
      <c r="I466" s="191" t="s">
        <v>400</v>
      </c>
      <c r="J466" s="208" t="s">
        <v>339</v>
      </c>
      <c r="L466" s="321" t="s">
        <v>401</v>
      </c>
      <c r="M466" s="207">
        <v>25</v>
      </c>
      <c r="N466" s="211" t="s">
        <v>402</v>
      </c>
      <c r="O466" s="207">
        <v>23</v>
      </c>
      <c r="P466" s="191" t="s">
        <v>403</v>
      </c>
      <c r="Q466" s="191" t="s">
        <v>394</v>
      </c>
      <c r="R466" s="191" t="s">
        <v>404</v>
      </c>
      <c r="S466" s="191" t="s">
        <v>351</v>
      </c>
      <c r="T466" s="208" t="s">
        <v>352</v>
      </c>
      <c r="V466" s="303"/>
      <c r="W466" s="200">
        <v>40</v>
      </c>
      <c r="X466" s="201" t="s">
        <v>405</v>
      </c>
      <c r="Y466" s="200">
        <v>26</v>
      </c>
    </row>
    <row r="467" spans="2:25" x14ac:dyDescent="0.2">
      <c r="B467" s="322"/>
      <c r="C467" s="193">
        <v>30</v>
      </c>
      <c r="D467" s="193" t="s">
        <v>406</v>
      </c>
      <c r="E467" s="193" t="s">
        <v>407</v>
      </c>
      <c r="F467" s="194" t="s">
        <v>408</v>
      </c>
      <c r="G467" s="194" t="s">
        <v>409</v>
      </c>
      <c r="H467" s="194" t="s">
        <v>410</v>
      </c>
      <c r="I467" s="194" t="s">
        <v>411</v>
      </c>
      <c r="J467" s="195" t="s">
        <v>333</v>
      </c>
      <c r="L467" s="322"/>
      <c r="M467" s="193">
        <v>30</v>
      </c>
      <c r="N467" s="193" t="s">
        <v>385</v>
      </c>
      <c r="O467" s="193">
        <v>23</v>
      </c>
      <c r="P467" s="194" t="s">
        <v>366</v>
      </c>
      <c r="Q467" s="194" t="s">
        <v>359</v>
      </c>
      <c r="R467" s="194" t="s">
        <v>395</v>
      </c>
      <c r="S467" s="194" t="s">
        <v>340</v>
      </c>
      <c r="T467" s="195" t="s">
        <v>361</v>
      </c>
      <c r="V467" s="304" t="s">
        <v>412</v>
      </c>
      <c r="W467" s="205">
        <v>20</v>
      </c>
      <c r="X467" s="206" t="s">
        <v>413</v>
      </c>
      <c r="Y467" s="205">
        <v>23</v>
      </c>
    </row>
    <row r="468" spans="2:25" x14ac:dyDescent="0.2">
      <c r="B468" s="322"/>
      <c r="C468" s="197">
        <v>35</v>
      </c>
      <c r="D468" s="197" t="s">
        <v>414</v>
      </c>
      <c r="E468" s="197" t="s">
        <v>415</v>
      </c>
      <c r="F468" s="198" t="s">
        <v>416</v>
      </c>
      <c r="G468" s="198">
        <v>11</v>
      </c>
      <c r="H468" s="198" t="s">
        <v>417</v>
      </c>
      <c r="I468" s="198" t="s">
        <v>418</v>
      </c>
      <c r="J468" s="199" t="s">
        <v>367</v>
      </c>
      <c r="L468" s="322"/>
      <c r="M468" s="197">
        <v>35</v>
      </c>
      <c r="N468" s="197" t="s">
        <v>419</v>
      </c>
      <c r="O468" s="197">
        <v>24</v>
      </c>
      <c r="P468" s="198" t="s">
        <v>393</v>
      </c>
      <c r="Q468" s="198" t="s">
        <v>411</v>
      </c>
      <c r="R468" s="198">
        <v>6</v>
      </c>
      <c r="S468" s="198" t="s">
        <v>420</v>
      </c>
      <c r="T468" s="199" t="s">
        <v>351</v>
      </c>
      <c r="V468" s="302"/>
      <c r="W468" s="198">
        <v>30</v>
      </c>
      <c r="X468" s="209" t="s">
        <v>421</v>
      </c>
      <c r="Y468" s="198">
        <v>26</v>
      </c>
    </row>
    <row r="469" spans="2:25" x14ac:dyDescent="0.2">
      <c r="B469" s="323"/>
      <c r="C469" s="202">
        <v>40</v>
      </c>
      <c r="D469" s="202" t="s">
        <v>422</v>
      </c>
      <c r="E469" s="202" t="s">
        <v>415</v>
      </c>
      <c r="F469" s="203" t="s">
        <v>423</v>
      </c>
      <c r="G469" s="203" t="s">
        <v>424</v>
      </c>
      <c r="H469" s="203" t="s">
        <v>425</v>
      </c>
      <c r="I469" s="203" t="s">
        <v>410</v>
      </c>
      <c r="J469" s="204" t="s">
        <v>411</v>
      </c>
      <c r="L469" s="323"/>
      <c r="M469" s="202">
        <v>40</v>
      </c>
      <c r="N469" s="202" t="s">
        <v>405</v>
      </c>
      <c r="O469" s="202">
        <v>25</v>
      </c>
      <c r="P469" s="203" t="s">
        <v>398</v>
      </c>
      <c r="Q469" s="203" t="s">
        <v>426</v>
      </c>
      <c r="R469" s="203" t="s">
        <v>427</v>
      </c>
      <c r="S469" s="203" t="s">
        <v>428</v>
      </c>
      <c r="T469" s="204" t="s">
        <v>360</v>
      </c>
      <c r="V469" s="303"/>
      <c r="W469" s="203">
        <v>40</v>
      </c>
      <c r="X469" s="210" t="s">
        <v>429</v>
      </c>
      <c r="Y469" s="203">
        <v>25</v>
      </c>
    </row>
    <row r="470" spans="2:25" x14ac:dyDescent="0.2">
      <c r="B470" s="322" t="s">
        <v>430</v>
      </c>
      <c r="C470" s="197">
        <v>25</v>
      </c>
      <c r="D470" s="197" t="s">
        <v>431</v>
      </c>
      <c r="E470" s="197" t="s">
        <v>415</v>
      </c>
      <c r="F470" s="198">
        <v>13</v>
      </c>
      <c r="G470" s="198" t="s">
        <v>432</v>
      </c>
      <c r="H470" s="198">
        <v>9</v>
      </c>
      <c r="I470" s="198" t="s">
        <v>399</v>
      </c>
      <c r="J470" s="199" t="s">
        <v>400</v>
      </c>
      <c r="L470" s="322" t="s">
        <v>433</v>
      </c>
      <c r="M470" s="197">
        <v>25</v>
      </c>
      <c r="N470" s="197" t="s">
        <v>434</v>
      </c>
      <c r="O470" s="197" t="s">
        <v>435</v>
      </c>
      <c r="P470" s="198" t="s">
        <v>436</v>
      </c>
      <c r="Q470" s="198" t="s">
        <v>418</v>
      </c>
      <c r="R470" s="198" t="s">
        <v>400</v>
      </c>
      <c r="S470" s="198" t="s">
        <v>339</v>
      </c>
      <c r="T470" s="199" t="s">
        <v>340</v>
      </c>
    </row>
    <row r="471" spans="2:25" x14ac:dyDescent="0.2">
      <c r="B471" s="322"/>
      <c r="C471" s="193">
        <v>30</v>
      </c>
      <c r="D471" s="212">
        <v>1455</v>
      </c>
      <c r="E471" s="193">
        <v>25</v>
      </c>
      <c r="F471" s="194" t="s">
        <v>437</v>
      </c>
      <c r="G471" s="194" t="s">
        <v>438</v>
      </c>
      <c r="H471" s="194" t="s">
        <v>439</v>
      </c>
      <c r="I471" s="194" t="s">
        <v>393</v>
      </c>
      <c r="J471" s="195" t="s">
        <v>403</v>
      </c>
      <c r="L471" s="322"/>
      <c r="M471" s="193">
        <v>30</v>
      </c>
      <c r="N471" s="212" t="s">
        <v>421</v>
      </c>
      <c r="O471" s="193" t="s">
        <v>407</v>
      </c>
      <c r="P471" s="194" t="s">
        <v>409</v>
      </c>
      <c r="Q471" s="194" t="s">
        <v>440</v>
      </c>
      <c r="R471" s="194" t="s">
        <v>369</v>
      </c>
      <c r="S471" s="194" t="s">
        <v>441</v>
      </c>
      <c r="T471" s="195" t="s">
        <v>334</v>
      </c>
    </row>
    <row r="472" spans="2:25" x14ac:dyDescent="0.2">
      <c r="B472" s="322"/>
      <c r="C472" s="197">
        <v>35</v>
      </c>
      <c r="D472" s="213">
        <v>1575</v>
      </c>
      <c r="E472" s="197" t="s">
        <v>442</v>
      </c>
      <c r="F472" s="198" t="s">
        <v>443</v>
      </c>
      <c r="G472" s="198" t="s">
        <v>444</v>
      </c>
      <c r="H472" s="198" t="s">
        <v>445</v>
      </c>
      <c r="I472" s="198" t="s">
        <v>446</v>
      </c>
      <c r="J472" s="199">
        <v>8</v>
      </c>
      <c r="L472" s="322"/>
      <c r="M472" s="197">
        <v>35</v>
      </c>
      <c r="N472" s="213" t="s">
        <v>447</v>
      </c>
      <c r="O472" s="197">
        <v>25</v>
      </c>
      <c r="P472" s="198" t="s">
        <v>448</v>
      </c>
      <c r="Q472" s="198" t="s">
        <v>398</v>
      </c>
      <c r="R472" s="198" t="s">
        <v>399</v>
      </c>
      <c r="S472" s="198" t="s">
        <v>400</v>
      </c>
      <c r="T472" s="199" t="s">
        <v>339</v>
      </c>
    </row>
    <row r="473" spans="2:25" x14ac:dyDescent="0.2">
      <c r="B473" s="323"/>
      <c r="C473" s="202">
        <v>40</v>
      </c>
      <c r="D473" s="202">
        <v>1.68</v>
      </c>
      <c r="E473" s="202">
        <v>26</v>
      </c>
      <c r="F473" s="203" t="s">
        <v>449</v>
      </c>
      <c r="G473" s="203">
        <v>14</v>
      </c>
      <c r="H473" s="203" t="s">
        <v>450</v>
      </c>
      <c r="I473" s="203">
        <v>10</v>
      </c>
      <c r="J473" s="204" t="s">
        <v>440</v>
      </c>
      <c r="L473" s="323"/>
      <c r="M473" s="202">
        <v>40</v>
      </c>
      <c r="N473" s="202" t="s">
        <v>429</v>
      </c>
      <c r="O473" s="202">
        <v>26</v>
      </c>
      <c r="P473" s="203" t="s">
        <v>451</v>
      </c>
      <c r="Q473" s="203" t="s">
        <v>388</v>
      </c>
      <c r="R473" s="203" t="s">
        <v>375</v>
      </c>
      <c r="S473" s="203">
        <v>7</v>
      </c>
      <c r="T473" s="204">
        <v>6</v>
      </c>
    </row>
    <row r="478" spans="2:25" x14ac:dyDescent="0.2">
      <c r="B478" s="184" t="s">
        <v>313</v>
      </c>
      <c r="L478" s="184" t="s">
        <v>313</v>
      </c>
    </row>
    <row r="479" spans="2:25" x14ac:dyDescent="0.2">
      <c r="B479" s="66" t="s">
        <v>452</v>
      </c>
      <c r="L479" s="66" t="s">
        <v>453</v>
      </c>
    </row>
    <row r="480" spans="2:25" ht="13.15" customHeight="1" x14ac:dyDescent="0.2">
      <c r="B480" s="317" t="s">
        <v>317</v>
      </c>
      <c r="C480" s="319" t="s">
        <v>318</v>
      </c>
      <c r="D480" s="319" t="s">
        <v>319</v>
      </c>
      <c r="E480" s="319" t="s">
        <v>320</v>
      </c>
      <c r="F480" s="308" t="s">
        <v>321</v>
      </c>
      <c r="G480" s="309"/>
      <c r="H480" s="309"/>
      <c r="I480" s="309"/>
      <c r="J480" s="310"/>
      <c r="L480" s="325" t="s">
        <v>454</v>
      </c>
      <c r="M480" s="319" t="s">
        <v>318</v>
      </c>
      <c r="N480" s="319" t="s">
        <v>455</v>
      </c>
      <c r="O480" s="319" t="s">
        <v>320</v>
      </c>
      <c r="P480" s="308" t="s">
        <v>321</v>
      </c>
      <c r="Q480" s="309"/>
      <c r="R480" s="309"/>
      <c r="S480" s="309"/>
      <c r="T480" s="309"/>
      <c r="U480" s="310"/>
    </row>
    <row r="481" spans="2:21" ht="13.5" thickBot="1" x14ac:dyDescent="0.25">
      <c r="B481" s="318"/>
      <c r="C481" s="320"/>
      <c r="D481" s="320"/>
      <c r="E481" s="320"/>
      <c r="F481" s="185" t="s">
        <v>324</v>
      </c>
      <c r="G481" s="186" t="s">
        <v>325</v>
      </c>
      <c r="H481" s="186" t="s">
        <v>326</v>
      </c>
      <c r="I481" s="214" t="s">
        <v>327</v>
      </c>
      <c r="J481" s="215" t="s">
        <v>328</v>
      </c>
      <c r="L481" s="326"/>
      <c r="M481" s="320"/>
      <c r="N481" s="320"/>
      <c r="O481" s="320"/>
      <c r="P481" s="185" t="s">
        <v>456</v>
      </c>
      <c r="Q481" s="186" t="s">
        <v>457</v>
      </c>
      <c r="R481" s="186" t="s">
        <v>324</v>
      </c>
      <c r="S481" s="186" t="s">
        <v>458</v>
      </c>
      <c r="T481" s="187" t="s">
        <v>325</v>
      </c>
      <c r="U481" s="187" t="s">
        <v>326</v>
      </c>
    </row>
    <row r="482" spans="2:21" x14ac:dyDescent="0.2">
      <c r="B482" s="324" t="s">
        <v>459</v>
      </c>
      <c r="C482" s="188">
        <v>25</v>
      </c>
      <c r="D482" s="188" t="s">
        <v>330</v>
      </c>
      <c r="E482" s="188">
        <v>21</v>
      </c>
      <c r="F482" s="189" t="s">
        <v>332</v>
      </c>
      <c r="G482" s="189" t="s">
        <v>333</v>
      </c>
      <c r="H482" s="189" t="s">
        <v>334</v>
      </c>
      <c r="I482" s="189" t="s">
        <v>14</v>
      </c>
      <c r="J482" s="189" t="s">
        <v>14</v>
      </c>
      <c r="L482" s="324" t="s">
        <v>221</v>
      </c>
      <c r="M482" s="188">
        <v>25</v>
      </c>
      <c r="N482" s="188">
        <v>360</v>
      </c>
      <c r="O482" s="188">
        <v>18</v>
      </c>
      <c r="P482" s="189" t="s">
        <v>335</v>
      </c>
      <c r="Q482" s="189">
        <v>4</v>
      </c>
      <c r="R482" s="189" t="s">
        <v>384</v>
      </c>
      <c r="S482" s="189"/>
      <c r="T482" s="190"/>
      <c r="U482" s="216"/>
    </row>
    <row r="483" spans="2:21" x14ac:dyDescent="0.2">
      <c r="B483" s="322"/>
      <c r="C483" s="193">
        <v>30</v>
      </c>
      <c r="D483" s="193" t="s">
        <v>346</v>
      </c>
      <c r="E483" s="193">
        <v>22</v>
      </c>
      <c r="F483" s="194" t="s">
        <v>347</v>
      </c>
      <c r="G483" s="194">
        <v>7</v>
      </c>
      <c r="H483" s="194" t="s">
        <v>348</v>
      </c>
      <c r="I483" s="217" t="s">
        <v>14</v>
      </c>
      <c r="J483" s="217" t="s">
        <v>14</v>
      </c>
      <c r="L483" s="322"/>
      <c r="M483" s="193">
        <v>30</v>
      </c>
      <c r="N483" s="193">
        <v>395</v>
      </c>
      <c r="O483" s="193" t="s">
        <v>460</v>
      </c>
      <c r="P483" s="194" t="s">
        <v>368</v>
      </c>
      <c r="Q483" s="194" t="s">
        <v>351</v>
      </c>
      <c r="R483" s="194" t="s">
        <v>336</v>
      </c>
      <c r="S483" s="194"/>
      <c r="T483" s="195"/>
      <c r="U483" s="195"/>
    </row>
    <row r="484" spans="2:21" x14ac:dyDescent="0.2">
      <c r="B484" s="322"/>
      <c r="C484" s="197">
        <v>35</v>
      </c>
      <c r="D484" s="197" t="s">
        <v>354</v>
      </c>
      <c r="E484" s="197">
        <v>23</v>
      </c>
      <c r="F484" s="198">
        <v>9</v>
      </c>
      <c r="G484" s="198" t="s">
        <v>355</v>
      </c>
      <c r="H484" s="198" t="s">
        <v>333</v>
      </c>
      <c r="I484" s="218" t="s">
        <v>14</v>
      </c>
      <c r="J484" s="218" t="s">
        <v>14</v>
      </c>
      <c r="L484" s="322"/>
      <c r="M484" s="197">
        <v>35</v>
      </c>
      <c r="N484" s="197">
        <v>425</v>
      </c>
      <c r="O484" s="197">
        <v>17</v>
      </c>
      <c r="P484" s="198" t="s">
        <v>334</v>
      </c>
      <c r="Q484" s="198" t="s">
        <v>340</v>
      </c>
      <c r="R484" s="198" t="s">
        <v>349</v>
      </c>
      <c r="S484" s="198"/>
      <c r="T484" s="199"/>
      <c r="U484" s="216"/>
    </row>
    <row r="485" spans="2:21" x14ac:dyDescent="0.2">
      <c r="B485" s="323"/>
      <c r="C485" s="202">
        <v>40</v>
      </c>
      <c r="D485" s="202" t="s">
        <v>364</v>
      </c>
      <c r="E485" s="202">
        <v>22</v>
      </c>
      <c r="F485" s="203" t="s">
        <v>365</v>
      </c>
      <c r="G485" s="203" t="s">
        <v>366</v>
      </c>
      <c r="H485" s="203" t="s">
        <v>367</v>
      </c>
      <c r="I485" s="219" t="s">
        <v>14</v>
      </c>
      <c r="J485" s="219" t="s">
        <v>14</v>
      </c>
      <c r="L485" s="323"/>
      <c r="M485" s="202">
        <v>40</v>
      </c>
      <c r="N485" s="202">
        <v>455</v>
      </c>
      <c r="O485" s="202">
        <v>17</v>
      </c>
      <c r="P485" s="203" t="s">
        <v>395</v>
      </c>
      <c r="Q485" s="203" t="s">
        <v>404</v>
      </c>
      <c r="R485" s="203" t="s">
        <v>357</v>
      </c>
      <c r="S485" s="203"/>
      <c r="T485" s="204"/>
      <c r="U485" s="204"/>
    </row>
    <row r="486" spans="2:21" ht="13.5" thickBot="1" x14ac:dyDescent="0.25">
      <c r="B486" s="321" t="s">
        <v>461</v>
      </c>
      <c r="C486" s="207">
        <v>25</v>
      </c>
      <c r="D486" s="207" t="s">
        <v>373</v>
      </c>
      <c r="E486" s="207">
        <v>21</v>
      </c>
      <c r="F486" s="191" t="s">
        <v>375</v>
      </c>
      <c r="G486" s="191" t="s">
        <v>359</v>
      </c>
      <c r="H486" s="191" t="s">
        <v>339</v>
      </c>
      <c r="I486" s="218" t="s">
        <v>14</v>
      </c>
      <c r="J486" s="220" t="s">
        <v>14</v>
      </c>
      <c r="L486" s="221" t="s">
        <v>462</v>
      </c>
      <c r="M486" s="222" t="s">
        <v>463</v>
      </c>
      <c r="N486" s="222">
        <v>360</v>
      </c>
      <c r="O486" s="222">
        <v>18</v>
      </c>
      <c r="P486" s="223" t="s">
        <v>335</v>
      </c>
      <c r="Q486" s="223" t="s">
        <v>361</v>
      </c>
      <c r="R486" s="223" t="s">
        <v>370</v>
      </c>
      <c r="S486" s="223"/>
      <c r="T486" s="224"/>
      <c r="U486" s="225"/>
    </row>
    <row r="487" spans="2:21" x14ac:dyDescent="0.2">
      <c r="B487" s="322"/>
      <c r="C487" s="193">
        <v>30</v>
      </c>
      <c r="D487" s="193" t="s">
        <v>354</v>
      </c>
      <c r="E487" s="193">
        <v>22</v>
      </c>
      <c r="F487" s="194">
        <v>9</v>
      </c>
      <c r="G487" s="194" t="s">
        <v>355</v>
      </c>
      <c r="H487" s="194" t="s">
        <v>333</v>
      </c>
      <c r="I487" s="217" t="s">
        <v>14</v>
      </c>
      <c r="J487" s="226" t="s">
        <v>14</v>
      </c>
      <c r="L487" s="313" t="s">
        <v>194</v>
      </c>
      <c r="M487" s="193">
        <v>25</v>
      </c>
      <c r="N487" s="193">
        <v>450</v>
      </c>
      <c r="O487" s="193">
        <v>20</v>
      </c>
      <c r="P487" s="194" t="s">
        <v>339</v>
      </c>
      <c r="Q487" s="194" t="s">
        <v>404</v>
      </c>
      <c r="R487" s="194" t="s">
        <v>357</v>
      </c>
      <c r="S487" s="194" t="s">
        <v>349</v>
      </c>
      <c r="T487" s="195" t="s">
        <v>352</v>
      </c>
      <c r="U487" s="195" t="s">
        <v>353</v>
      </c>
    </row>
    <row r="488" spans="2:21" x14ac:dyDescent="0.2">
      <c r="B488" s="322"/>
      <c r="C488" s="197">
        <v>35</v>
      </c>
      <c r="D488" s="197" t="s">
        <v>387</v>
      </c>
      <c r="E488" s="197">
        <v>23</v>
      </c>
      <c r="F488" s="198" t="s">
        <v>388</v>
      </c>
      <c r="G488" s="198" t="s">
        <v>375</v>
      </c>
      <c r="H488" s="198" t="s">
        <v>359</v>
      </c>
      <c r="I488" s="218" t="s">
        <v>14</v>
      </c>
      <c r="J488" s="220" t="s">
        <v>14</v>
      </c>
      <c r="L488" s="302"/>
      <c r="M488" s="227">
        <v>30</v>
      </c>
      <c r="N488" s="227">
        <v>495</v>
      </c>
      <c r="O488" s="227">
        <v>20</v>
      </c>
      <c r="P488" s="228" t="s">
        <v>441</v>
      </c>
      <c r="Q488" s="228" t="s">
        <v>428</v>
      </c>
      <c r="R488" s="228" t="s">
        <v>368</v>
      </c>
      <c r="S488" s="228" t="s">
        <v>357</v>
      </c>
      <c r="T488" s="229" t="s">
        <v>361</v>
      </c>
      <c r="U488" s="199" t="s">
        <v>341</v>
      </c>
    </row>
    <row r="489" spans="2:21" x14ac:dyDescent="0.2">
      <c r="B489" s="323"/>
      <c r="C489" s="202">
        <v>40</v>
      </c>
      <c r="D489" s="202" t="s">
        <v>391</v>
      </c>
      <c r="E489" s="202">
        <v>23</v>
      </c>
      <c r="F489" s="203" t="s">
        <v>392</v>
      </c>
      <c r="G489" s="203" t="s">
        <v>393</v>
      </c>
      <c r="H489" s="203" t="s">
        <v>369</v>
      </c>
      <c r="I489" s="219" t="s">
        <v>14</v>
      </c>
      <c r="J489" s="219" t="s">
        <v>14</v>
      </c>
      <c r="L489" s="302"/>
      <c r="M489" s="193">
        <v>35</v>
      </c>
      <c r="N489" s="193">
        <v>530</v>
      </c>
      <c r="O489" s="193">
        <v>20</v>
      </c>
      <c r="P489" s="194" t="s">
        <v>400</v>
      </c>
      <c r="Q489" s="194" t="s">
        <v>464</v>
      </c>
      <c r="R489" s="194" t="s">
        <v>334</v>
      </c>
      <c r="S489" s="194" t="s">
        <v>368</v>
      </c>
      <c r="T489" s="195" t="s">
        <v>351</v>
      </c>
      <c r="U489" s="195" t="s">
        <v>370</v>
      </c>
    </row>
    <row r="490" spans="2:21" x14ac:dyDescent="0.2">
      <c r="B490" s="321" t="s">
        <v>465</v>
      </c>
      <c r="C490" s="207">
        <v>25</v>
      </c>
      <c r="D490" s="211" t="s">
        <v>466</v>
      </c>
      <c r="E490" s="207">
        <v>23</v>
      </c>
      <c r="F490" s="191" t="s">
        <v>467</v>
      </c>
      <c r="G490" s="191" t="s">
        <v>403</v>
      </c>
      <c r="H490" s="191" t="s">
        <v>394</v>
      </c>
      <c r="I490" s="191" t="s">
        <v>334</v>
      </c>
      <c r="J490" s="191" t="s">
        <v>14</v>
      </c>
      <c r="L490" s="303"/>
      <c r="M490" s="230">
        <v>40</v>
      </c>
      <c r="N490" s="230">
        <v>570</v>
      </c>
      <c r="O490" s="230">
        <v>20</v>
      </c>
      <c r="P490" s="231" t="s">
        <v>468</v>
      </c>
      <c r="Q490" s="231" t="s">
        <v>380</v>
      </c>
      <c r="R490" s="231" t="s">
        <v>339</v>
      </c>
      <c r="S490" s="231" t="s">
        <v>334</v>
      </c>
      <c r="T490" s="232" t="s">
        <v>340</v>
      </c>
      <c r="U490" s="199">
        <v>4</v>
      </c>
    </row>
    <row r="491" spans="2:21" ht="13.5" thickBot="1" x14ac:dyDescent="0.25">
      <c r="B491" s="322"/>
      <c r="C491" s="193">
        <v>30</v>
      </c>
      <c r="D491" s="193" t="s">
        <v>469</v>
      </c>
      <c r="E491" s="193">
        <v>23</v>
      </c>
      <c r="F491" s="194" t="s">
        <v>425</v>
      </c>
      <c r="G491" s="194" t="s">
        <v>470</v>
      </c>
      <c r="H491" s="194" t="s">
        <v>471</v>
      </c>
      <c r="I491" s="194" t="s">
        <v>464</v>
      </c>
      <c r="J491" s="226" t="s">
        <v>14</v>
      </c>
      <c r="L491" s="233" t="s">
        <v>462</v>
      </c>
      <c r="M491" s="234" t="s">
        <v>463</v>
      </c>
      <c r="N491" s="234">
        <v>450</v>
      </c>
      <c r="O491" s="234">
        <v>20</v>
      </c>
      <c r="P491" s="235" t="s">
        <v>428</v>
      </c>
      <c r="Q491" s="235">
        <v>5</v>
      </c>
      <c r="R491" s="235" t="s">
        <v>335</v>
      </c>
      <c r="S491" s="235" t="s">
        <v>376</v>
      </c>
      <c r="T491" s="236" t="s">
        <v>370</v>
      </c>
      <c r="U491" s="235" t="s">
        <v>472</v>
      </c>
    </row>
    <row r="492" spans="2:21" x14ac:dyDescent="0.2">
      <c r="B492" s="322"/>
      <c r="C492" s="197">
        <v>35</v>
      </c>
      <c r="D492" s="197" t="s">
        <v>473</v>
      </c>
      <c r="E492" s="197">
        <v>24</v>
      </c>
      <c r="F492" s="198" t="s">
        <v>474</v>
      </c>
      <c r="G492" s="198" t="s">
        <v>475</v>
      </c>
      <c r="H492" s="198" t="s">
        <v>403</v>
      </c>
      <c r="I492" s="198" t="s">
        <v>333</v>
      </c>
      <c r="J492" s="220" t="s">
        <v>14</v>
      </c>
      <c r="L492" s="313" t="s">
        <v>196</v>
      </c>
      <c r="M492" s="227">
        <v>25</v>
      </c>
      <c r="N492" s="237">
        <v>550</v>
      </c>
      <c r="O492" s="227">
        <v>20</v>
      </c>
      <c r="P492" s="228" t="s">
        <v>367</v>
      </c>
      <c r="Q492" s="228">
        <v>6</v>
      </c>
      <c r="R492" s="228" t="s">
        <v>356</v>
      </c>
      <c r="S492" s="228">
        <v>5</v>
      </c>
      <c r="T492" s="229" t="s">
        <v>335</v>
      </c>
      <c r="U492" s="199" t="s">
        <v>352</v>
      </c>
    </row>
    <row r="493" spans="2:21" x14ac:dyDescent="0.2">
      <c r="B493" s="323"/>
      <c r="C493" s="202">
        <v>40</v>
      </c>
      <c r="D493" s="202" t="s">
        <v>476</v>
      </c>
      <c r="E493" s="202">
        <v>24</v>
      </c>
      <c r="F493" s="203" t="s">
        <v>477</v>
      </c>
      <c r="G493" s="203" t="s">
        <v>478</v>
      </c>
      <c r="H493" s="203">
        <v>8</v>
      </c>
      <c r="I493" s="203" t="s">
        <v>359</v>
      </c>
      <c r="J493" s="238" t="s">
        <v>14</v>
      </c>
      <c r="L493" s="302"/>
      <c r="M493" s="239">
        <v>30</v>
      </c>
      <c r="N493" s="239">
        <v>600</v>
      </c>
      <c r="O493" s="239">
        <v>20</v>
      </c>
      <c r="P493" s="240" t="s">
        <v>403</v>
      </c>
      <c r="Q493" s="240" t="s">
        <v>367</v>
      </c>
      <c r="R493" s="240">
        <v>6</v>
      </c>
      <c r="S493" s="240" t="s">
        <v>428</v>
      </c>
      <c r="T493" s="241">
        <v>5</v>
      </c>
      <c r="U493" s="195" t="s">
        <v>376</v>
      </c>
    </row>
    <row r="494" spans="2:21" x14ac:dyDescent="0.2">
      <c r="B494" s="322" t="s">
        <v>479</v>
      </c>
      <c r="C494" s="197">
        <v>25</v>
      </c>
      <c r="D494" s="197" t="s">
        <v>480</v>
      </c>
      <c r="E494" s="197">
        <v>24</v>
      </c>
      <c r="F494" s="198">
        <v>11</v>
      </c>
      <c r="G494" s="198" t="s">
        <v>417</v>
      </c>
      <c r="H494" s="198" t="s">
        <v>332</v>
      </c>
      <c r="I494" s="198" t="s">
        <v>427</v>
      </c>
      <c r="J494" s="199" t="s">
        <v>395</v>
      </c>
      <c r="L494" s="302"/>
      <c r="M494" s="227">
        <v>35</v>
      </c>
      <c r="N494" s="227">
        <v>650</v>
      </c>
      <c r="O494" s="227">
        <v>20</v>
      </c>
      <c r="P494" s="228">
        <v>8</v>
      </c>
      <c r="Q494" s="228" t="s">
        <v>369</v>
      </c>
      <c r="R494" s="228" t="s">
        <v>427</v>
      </c>
      <c r="S494" s="228">
        <v>6</v>
      </c>
      <c r="T494" s="229" t="s">
        <v>356</v>
      </c>
      <c r="U494" s="199" t="s">
        <v>335</v>
      </c>
    </row>
    <row r="495" spans="2:21" x14ac:dyDescent="0.2">
      <c r="B495" s="322"/>
      <c r="C495" s="193">
        <v>30</v>
      </c>
      <c r="D495" s="212" t="s">
        <v>481</v>
      </c>
      <c r="E495" s="193">
        <v>25</v>
      </c>
      <c r="F495" s="194" t="s">
        <v>482</v>
      </c>
      <c r="G495" s="194" t="s">
        <v>483</v>
      </c>
      <c r="H495" s="194" t="s">
        <v>410</v>
      </c>
      <c r="I495" s="194" t="s">
        <v>411</v>
      </c>
      <c r="J495" s="195" t="s">
        <v>394</v>
      </c>
      <c r="L495" s="303"/>
      <c r="M495" s="202">
        <v>40</v>
      </c>
      <c r="N495" s="202">
        <v>695</v>
      </c>
      <c r="O495" s="202">
        <v>20</v>
      </c>
      <c r="P495" s="203" t="s">
        <v>440</v>
      </c>
      <c r="Q495" s="203" t="s">
        <v>426</v>
      </c>
      <c r="R495" s="203">
        <v>7</v>
      </c>
      <c r="S495" s="203" t="s">
        <v>427</v>
      </c>
      <c r="T495" s="204" t="s">
        <v>348</v>
      </c>
      <c r="U495" s="195" t="s">
        <v>340</v>
      </c>
    </row>
    <row r="496" spans="2:21" ht="13.5" thickBot="1" x14ac:dyDescent="0.25">
      <c r="B496" s="322"/>
      <c r="C496" s="197">
        <v>35</v>
      </c>
      <c r="D496" s="213" t="s">
        <v>484</v>
      </c>
      <c r="E496" s="197">
        <v>25</v>
      </c>
      <c r="F496" s="198" t="s">
        <v>485</v>
      </c>
      <c r="G496" s="198" t="s">
        <v>448</v>
      </c>
      <c r="H496" s="198" t="s">
        <v>417</v>
      </c>
      <c r="I496" s="198" t="s">
        <v>418</v>
      </c>
      <c r="J496" s="199" t="s">
        <v>359</v>
      </c>
      <c r="L496" s="233" t="s">
        <v>462</v>
      </c>
      <c r="M496" s="222" t="s">
        <v>463</v>
      </c>
      <c r="N496" s="222">
        <v>550</v>
      </c>
      <c r="O496" s="222">
        <v>20</v>
      </c>
      <c r="P496" s="223" t="s">
        <v>471</v>
      </c>
      <c r="Q496" s="223" t="s">
        <v>394</v>
      </c>
      <c r="R496" s="223" t="s">
        <v>395</v>
      </c>
      <c r="S496" s="223" t="s">
        <v>420</v>
      </c>
      <c r="T496" s="224" t="s">
        <v>349</v>
      </c>
      <c r="U496" s="242" t="s">
        <v>336</v>
      </c>
    </row>
    <row r="497" spans="2:23" x14ac:dyDescent="0.2">
      <c r="B497" s="323"/>
      <c r="C497" s="202">
        <v>40</v>
      </c>
      <c r="D497" s="202" t="s">
        <v>422</v>
      </c>
      <c r="E497" s="202">
        <v>26</v>
      </c>
      <c r="F497" s="203" t="s">
        <v>423</v>
      </c>
      <c r="G497" s="203" t="s">
        <v>424</v>
      </c>
      <c r="H497" s="203" t="s">
        <v>425</v>
      </c>
      <c r="I497" s="203" t="s">
        <v>410</v>
      </c>
      <c r="J497" s="204" t="s">
        <v>411</v>
      </c>
      <c r="L497" s="313" t="s">
        <v>213</v>
      </c>
      <c r="M497" s="193">
        <v>25</v>
      </c>
      <c r="N497" s="193">
        <v>670</v>
      </c>
      <c r="O497" s="193">
        <v>21</v>
      </c>
      <c r="P497" s="194" t="s">
        <v>470</v>
      </c>
      <c r="Q497" s="194" t="s">
        <v>403</v>
      </c>
      <c r="R497" s="194" t="s">
        <v>367</v>
      </c>
      <c r="S497" s="194" t="s">
        <v>394</v>
      </c>
      <c r="T497" s="195" t="s">
        <v>395</v>
      </c>
      <c r="U497" s="195" t="s">
        <v>357</v>
      </c>
    </row>
    <row r="498" spans="2:23" x14ac:dyDescent="0.2">
      <c r="L498" s="302"/>
      <c r="M498" s="227">
        <v>30</v>
      </c>
      <c r="N498" s="237">
        <v>735</v>
      </c>
      <c r="O498" s="227">
        <v>21</v>
      </c>
      <c r="P498" s="228">
        <v>9</v>
      </c>
      <c r="Q498" s="228" t="s">
        <v>366</v>
      </c>
      <c r="R498" s="228" t="s">
        <v>411</v>
      </c>
      <c r="S498" s="228" t="s">
        <v>359</v>
      </c>
      <c r="T498" s="229" t="s">
        <v>441</v>
      </c>
      <c r="U498" s="199" t="s">
        <v>404</v>
      </c>
    </row>
    <row r="499" spans="2:23" x14ac:dyDescent="0.2">
      <c r="L499" s="302"/>
      <c r="M499" s="193">
        <v>35</v>
      </c>
      <c r="N499" s="212">
        <v>790</v>
      </c>
      <c r="O499" s="193">
        <v>21</v>
      </c>
      <c r="P499" s="194" t="s">
        <v>478</v>
      </c>
      <c r="Q499" s="194" t="s">
        <v>393</v>
      </c>
      <c r="R499" s="194" t="s">
        <v>426</v>
      </c>
      <c r="S499" s="194" t="s">
        <v>369</v>
      </c>
      <c r="T499" s="195" t="s">
        <v>427</v>
      </c>
      <c r="U499" s="195" t="s">
        <v>356</v>
      </c>
    </row>
    <row r="500" spans="2:23" x14ac:dyDescent="0.2">
      <c r="L500" s="303"/>
      <c r="M500" s="230">
        <v>40</v>
      </c>
      <c r="N500" s="230">
        <v>850</v>
      </c>
      <c r="O500" s="230">
        <v>21</v>
      </c>
      <c r="P500" s="231" t="s">
        <v>486</v>
      </c>
      <c r="Q500" s="231" t="s">
        <v>446</v>
      </c>
      <c r="R500" s="231" t="s">
        <v>410</v>
      </c>
      <c r="S500" s="231" t="s">
        <v>418</v>
      </c>
      <c r="T500" s="232" t="s">
        <v>468</v>
      </c>
      <c r="U500" s="199" t="s">
        <v>464</v>
      </c>
    </row>
    <row r="501" spans="2:23" x14ac:dyDescent="0.2">
      <c r="L501" s="243" t="s">
        <v>462</v>
      </c>
      <c r="M501" s="244" t="s">
        <v>463</v>
      </c>
      <c r="N501" s="244">
        <v>670</v>
      </c>
      <c r="O501" s="244">
        <v>21</v>
      </c>
      <c r="P501" s="244" t="s">
        <v>470</v>
      </c>
      <c r="Q501" s="244" t="s">
        <v>355</v>
      </c>
      <c r="R501" s="244" t="s">
        <v>367</v>
      </c>
      <c r="S501" s="244" t="s">
        <v>394</v>
      </c>
      <c r="T501" s="245" t="s">
        <v>395</v>
      </c>
      <c r="U501" s="244" t="s">
        <v>360</v>
      </c>
    </row>
    <row r="503" spans="2:23" x14ac:dyDescent="0.2">
      <c r="L503" s="23" t="s">
        <v>487</v>
      </c>
    </row>
    <row r="508" spans="2:23" x14ac:dyDescent="0.2">
      <c r="B508" s="184" t="s">
        <v>313</v>
      </c>
      <c r="K508" s="184" t="s">
        <v>313</v>
      </c>
      <c r="T508" s="184" t="s">
        <v>313</v>
      </c>
    </row>
    <row r="509" spans="2:23" x14ac:dyDescent="0.2">
      <c r="B509" s="66" t="s">
        <v>488</v>
      </c>
      <c r="K509" s="66" t="s">
        <v>489</v>
      </c>
      <c r="T509" s="66" t="s">
        <v>490</v>
      </c>
    </row>
    <row r="510" spans="2:23" ht="12.75" customHeight="1" x14ac:dyDescent="0.2">
      <c r="B510" s="317" t="s">
        <v>317</v>
      </c>
      <c r="C510" s="319" t="s">
        <v>318</v>
      </c>
      <c r="D510" s="319" t="s">
        <v>319</v>
      </c>
      <c r="E510" s="319" t="s">
        <v>320</v>
      </c>
      <c r="F510" s="308" t="s">
        <v>321</v>
      </c>
      <c r="G510" s="309"/>
      <c r="H510" s="309"/>
      <c r="I510" s="310"/>
      <c r="J510" s="246"/>
      <c r="K510" s="317" t="s">
        <v>317</v>
      </c>
      <c r="L510" s="319" t="s">
        <v>318</v>
      </c>
      <c r="M510" s="319" t="s">
        <v>319</v>
      </c>
      <c r="N510" s="319" t="s">
        <v>320</v>
      </c>
      <c r="O510" s="308" t="s">
        <v>321</v>
      </c>
      <c r="P510" s="309"/>
      <c r="Q510" s="309"/>
      <c r="R510" s="310"/>
      <c r="T510" s="317" t="s">
        <v>317</v>
      </c>
      <c r="U510" s="319" t="s">
        <v>318</v>
      </c>
      <c r="V510" s="319" t="s">
        <v>319</v>
      </c>
      <c r="W510" s="319" t="s">
        <v>320</v>
      </c>
    </row>
    <row r="511" spans="2:23" ht="13.5" thickBot="1" x14ac:dyDescent="0.25">
      <c r="B511" s="318"/>
      <c r="C511" s="320"/>
      <c r="D511" s="320"/>
      <c r="E511" s="320"/>
      <c r="F511" s="185" t="s">
        <v>491</v>
      </c>
      <c r="G511" s="186" t="s">
        <v>492</v>
      </c>
      <c r="H511" s="186" t="s">
        <v>493</v>
      </c>
      <c r="I511" s="187" t="s">
        <v>494</v>
      </c>
      <c r="J511" s="247"/>
      <c r="K511" s="318"/>
      <c r="L511" s="320"/>
      <c r="M511" s="320"/>
      <c r="N511" s="320"/>
      <c r="O511" s="185" t="s">
        <v>492</v>
      </c>
      <c r="P511" s="186" t="s">
        <v>493</v>
      </c>
      <c r="Q511" s="186" t="s">
        <v>494</v>
      </c>
      <c r="R511" s="187" t="s">
        <v>495</v>
      </c>
      <c r="T511" s="318"/>
      <c r="U511" s="320"/>
      <c r="V511" s="320"/>
      <c r="W511" s="320"/>
    </row>
    <row r="512" spans="2:23" ht="12.75" customHeight="1" x14ac:dyDescent="0.2">
      <c r="B512" s="302" t="s">
        <v>496</v>
      </c>
      <c r="C512" s="198">
        <v>30</v>
      </c>
      <c r="D512" s="198" t="s">
        <v>497</v>
      </c>
      <c r="E512" s="198">
        <v>27</v>
      </c>
      <c r="F512" s="198" t="s">
        <v>471</v>
      </c>
      <c r="G512" s="198" t="s">
        <v>339</v>
      </c>
      <c r="H512" s="198" t="s">
        <v>352</v>
      </c>
      <c r="I512" s="199" t="s">
        <v>472</v>
      </c>
      <c r="J512" s="247"/>
      <c r="K512" s="302" t="s">
        <v>498</v>
      </c>
      <c r="L512" s="198">
        <v>30</v>
      </c>
      <c r="M512" s="209" t="s">
        <v>499</v>
      </c>
      <c r="N512" s="198">
        <v>34</v>
      </c>
      <c r="O512" s="198" t="s">
        <v>500</v>
      </c>
      <c r="P512" s="198" t="s">
        <v>436</v>
      </c>
      <c r="Q512" s="198" t="s">
        <v>399</v>
      </c>
      <c r="R512" s="199" t="s">
        <v>394</v>
      </c>
      <c r="T512" s="302" t="s">
        <v>501</v>
      </c>
      <c r="U512" s="198">
        <v>30</v>
      </c>
      <c r="V512" s="198" t="s">
        <v>502</v>
      </c>
      <c r="W512" s="198">
        <v>27</v>
      </c>
    </row>
    <row r="513" spans="2:23" x14ac:dyDescent="0.2">
      <c r="B513" s="302"/>
      <c r="C513" s="194" t="s">
        <v>503</v>
      </c>
      <c r="D513" s="194" t="s">
        <v>422</v>
      </c>
      <c r="E513" s="194">
        <v>27</v>
      </c>
      <c r="F513" s="194" t="s">
        <v>418</v>
      </c>
      <c r="G513" s="194" t="s">
        <v>400</v>
      </c>
      <c r="H513" s="194" t="s">
        <v>351</v>
      </c>
      <c r="I513" s="195" t="s">
        <v>384</v>
      </c>
      <c r="J513" s="247"/>
      <c r="K513" s="302"/>
      <c r="L513" s="194">
        <v>40</v>
      </c>
      <c r="M513" s="196" t="s">
        <v>504</v>
      </c>
      <c r="N513" s="194" t="s">
        <v>505</v>
      </c>
      <c r="O513" s="194" t="s">
        <v>506</v>
      </c>
      <c r="P513" s="194">
        <v>11</v>
      </c>
      <c r="Q513" s="194" t="s">
        <v>467</v>
      </c>
      <c r="R513" s="195" t="s">
        <v>468</v>
      </c>
      <c r="T513" s="302"/>
      <c r="U513" s="194">
        <v>40</v>
      </c>
      <c r="V513" s="194" t="s">
        <v>507</v>
      </c>
      <c r="W513" s="194">
        <v>27</v>
      </c>
    </row>
    <row r="514" spans="2:23" x14ac:dyDescent="0.2">
      <c r="B514" s="303"/>
      <c r="C514" s="200">
        <v>50</v>
      </c>
      <c r="D514" s="200" t="s">
        <v>508</v>
      </c>
      <c r="E514" s="200">
        <v>27</v>
      </c>
      <c r="F514" s="200">
        <v>9</v>
      </c>
      <c r="G514" s="200" t="s">
        <v>355</v>
      </c>
      <c r="H514" s="200">
        <v>5</v>
      </c>
      <c r="I514" s="248" t="s">
        <v>361</v>
      </c>
      <c r="J514" s="247"/>
      <c r="K514" s="303"/>
      <c r="L514" s="200">
        <v>50</v>
      </c>
      <c r="M514" s="201" t="s">
        <v>509</v>
      </c>
      <c r="N514" s="200">
        <v>37</v>
      </c>
      <c r="O514" s="200" t="s">
        <v>510</v>
      </c>
      <c r="P514" s="200" t="s">
        <v>408</v>
      </c>
      <c r="Q514" s="200" t="s">
        <v>425</v>
      </c>
      <c r="R514" s="248">
        <v>8</v>
      </c>
      <c r="T514" s="303"/>
      <c r="U514" s="200">
        <v>50</v>
      </c>
      <c r="V514" s="200" t="s">
        <v>511</v>
      </c>
      <c r="W514" s="200">
        <v>28</v>
      </c>
    </row>
    <row r="515" spans="2:23" ht="12.75" customHeight="1" x14ac:dyDescent="0.2">
      <c r="B515" s="304" t="s">
        <v>512</v>
      </c>
      <c r="C515" s="205">
        <v>30</v>
      </c>
      <c r="D515" s="205" t="s">
        <v>513</v>
      </c>
      <c r="E515" s="205">
        <v>28</v>
      </c>
      <c r="F515" s="205" t="s">
        <v>470</v>
      </c>
      <c r="G515" s="205" t="s">
        <v>471</v>
      </c>
      <c r="H515" s="205" t="s">
        <v>357</v>
      </c>
      <c r="I515" s="249" t="s">
        <v>370</v>
      </c>
      <c r="J515" s="247"/>
      <c r="K515" s="304" t="s">
        <v>514</v>
      </c>
      <c r="L515" s="205">
        <v>30</v>
      </c>
      <c r="M515" s="206" t="s">
        <v>353</v>
      </c>
      <c r="N515" s="205">
        <v>35</v>
      </c>
      <c r="O515" s="205" t="s">
        <v>515</v>
      </c>
      <c r="P515" s="205">
        <v>99</v>
      </c>
      <c r="Q515" s="205">
        <v>8</v>
      </c>
      <c r="R515" s="249" t="s">
        <v>400</v>
      </c>
      <c r="T515" s="304" t="s">
        <v>516</v>
      </c>
      <c r="U515" s="205">
        <v>30</v>
      </c>
      <c r="V515" s="205" t="s">
        <v>391</v>
      </c>
      <c r="W515" s="205">
        <v>28</v>
      </c>
    </row>
    <row r="516" spans="2:23" ht="12.75" customHeight="1" x14ac:dyDescent="0.2">
      <c r="B516" s="302"/>
      <c r="C516" s="198">
        <v>40</v>
      </c>
      <c r="D516" s="198" t="s">
        <v>517</v>
      </c>
      <c r="E516" s="198">
        <v>29</v>
      </c>
      <c r="F516" s="198" t="s">
        <v>365</v>
      </c>
      <c r="G516" s="198" t="s">
        <v>366</v>
      </c>
      <c r="H516" s="198" t="s">
        <v>356</v>
      </c>
      <c r="I516" s="199" t="s">
        <v>351</v>
      </c>
      <c r="J516" s="247"/>
      <c r="K516" s="302"/>
      <c r="L516" s="198">
        <v>40</v>
      </c>
      <c r="M516" s="209" t="s">
        <v>370</v>
      </c>
      <c r="N516" s="198">
        <v>37</v>
      </c>
      <c r="O516" s="198" t="s">
        <v>518</v>
      </c>
      <c r="P516" s="198" t="s">
        <v>519</v>
      </c>
      <c r="Q516" s="198" t="s">
        <v>398</v>
      </c>
      <c r="R516" s="199" t="s">
        <v>332</v>
      </c>
      <c r="T516" s="302"/>
      <c r="U516" s="198">
        <v>40</v>
      </c>
      <c r="V516" s="198" t="s">
        <v>520</v>
      </c>
      <c r="W516" s="198">
        <v>29</v>
      </c>
    </row>
    <row r="517" spans="2:23" x14ac:dyDescent="0.2">
      <c r="B517" s="303"/>
      <c r="C517" s="203">
        <v>50</v>
      </c>
      <c r="D517" s="203" t="s">
        <v>521</v>
      </c>
      <c r="E517" s="203">
        <v>29</v>
      </c>
      <c r="F517" s="203" t="s">
        <v>432</v>
      </c>
      <c r="G517" s="203">
        <v>9</v>
      </c>
      <c r="H517" s="203">
        <v>6</v>
      </c>
      <c r="I517" s="204" t="s">
        <v>368</v>
      </c>
      <c r="J517" s="247"/>
      <c r="K517" s="303"/>
      <c r="L517" s="203">
        <v>50</v>
      </c>
      <c r="M517" s="210" t="s">
        <v>522</v>
      </c>
      <c r="N517" s="203">
        <v>36</v>
      </c>
      <c r="O517" s="203" t="s">
        <v>523</v>
      </c>
      <c r="P517" s="203" t="s">
        <v>524</v>
      </c>
      <c r="Q517" s="203" t="s">
        <v>392</v>
      </c>
      <c r="R517" s="204" t="s">
        <v>440</v>
      </c>
      <c r="T517" s="303"/>
      <c r="U517" s="203">
        <v>50</v>
      </c>
      <c r="V517" s="203" t="s">
        <v>525</v>
      </c>
      <c r="W517" s="203">
        <v>30</v>
      </c>
    </row>
    <row r="518" spans="2:23" ht="12.75" customHeight="1" x14ac:dyDescent="0.2">
      <c r="B518" s="304" t="s">
        <v>526</v>
      </c>
      <c r="C518" s="191">
        <v>30</v>
      </c>
      <c r="D518" s="191" t="s">
        <v>527</v>
      </c>
      <c r="E518" s="191" t="s">
        <v>528</v>
      </c>
      <c r="F518" s="191" t="s">
        <v>425</v>
      </c>
      <c r="G518" s="191" t="s">
        <v>470</v>
      </c>
      <c r="H518" s="191" t="s">
        <v>428</v>
      </c>
      <c r="I518" s="208" t="s">
        <v>335</v>
      </c>
      <c r="J518" s="247"/>
      <c r="K518" s="304" t="s">
        <v>529</v>
      </c>
      <c r="L518" s="191">
        <v>30</v>
      </c>
      <c r="M518" s="192" t="s">
        <v>530</v>
      </c>
      <c r="N518" s="191">
        <v>35</v>
      </c>
      <c r="O518" s="191">
        <v>16</v>
      </c>
      <c r="P518" s="191" t="s">
        <v>474</v>
      </c>
      <c r="Q518" s="191" t="s">
        <v>440</v>
      </c>
      <c r="R518" s="208">
        <v>7</v>
      </c>
      <c r="T518" s="304" t="s">
        <v>531</v>
      </c>
      <c r="U518" s="191">
        <v>30</v>
      </c>
      <c r="V518" s="191" t="s">
        <v>414</v>
      </c>
      <c r="W518" s="191">
        <v>30</v>
      </c>
    </row>
    <row r="519" spans="2:23" x14ac:dyDescent="0.2">
      <c r="B519" s="302"/>
      <c r="C519" s="194">
        <v>40</v>
      </c>
      <c r="D519" s="194" t="s">
        <v>532</v>
      </c>
      <c r="E519" s="194">
        <v>30</v>
      </c>
      <c r="F519" s="194" t="s">
        <v>477</v>
      </c>
      <c r="G519" s="194" t="s">
        <v>478</v>
      </c>
      <c r="H519" s="194" t="s">
        <v>380</v>
      </c>
      <c r="I519" s="195" t="s">
        <v>420</v>
      </c>
      <c r="J519" s="247"/>
      <c r="K519" s="302"/>
      <c r="L519" s="194">
        <v>40</v>
      </c>
      <c r="M519" s="196" t="s">
        <v>509</v>
      </c>
      <c r="N519" s="194" t="s">
        <v>533</v>
      </c>
      <c r="O519" s="194" t="s">
        <v>510</v>
      </c>
      <c r="P519" s="194" t="s">
        <v>408</v>
      </c>
      <c r="Q519" s="194" t="s">
        <v>425</v>
      </c>
      <c r="R519" s="195" t="s">
        <v>366</v>
      </c>
      <c r="T519" s="302"/>
      <c r="U519" s="194">
        <v>40</v>
      </c>
      <c r="V519" s="194" t="s">
        <v>534</v>
      </c>
      <c r="W519" s="194">
        <v>31</v>
      </c>
    </row>
    <row r="520" spans="2:23" ht="12.75" customHeight="1" x14ac:dyDescent="0.2">
      <c r="B520" s="303"/>
      <c r="C520" s="200">
        <v>50</v>
      </c>
      <c r="D520" s="250" t="s">
        <v>535</v>
      </c>
      <c r="E520" s="200">
        <v>32</v>
      </c>
      <c r="F520" s="200" t="s">
        <v>536</v>
      </c>
      <c r="G520" s="200" t="s">
        <v>537</v>
      </c>
      <c r="H520" s="200" t="s">
        <v>369</v>
      </c>
      <c r="I520" s="248" t="s">
        <v>348</v>
      </c>
      <c r="J520" s="247"/>
      <c r="K520" s="303"/>
      <c r="L520" s="200">
        <v>50</v>
      </c>
      <c r="M520" s="201" t="s">
        <v>538</v>
      </c>
      <c r="N520" s="200">
        <v>37</v>
      </c>
      <c r="O520" s="200" t="s">
        <v>539</v>
      </c>
      <c r="P520" s="200" t="s">
        <v>540</v>
      </c>
      <c r="Q520" s="200">
        <v>11</v>
      </c>
      <c r="R520" s="248">
        <v>9</v>
      </c>
      <c r="T520" s="303"/>
      <c r="U520" s="200">
        <v>50</v>
      </c>
      <c r="V520" s="250" t="s">
        <v>541</v>
      </c>
      <c r="W520" s="200">
        <v>33</v>
      </c>
    </row>
    <row r="521" spans="2:23" x14ac:dyDescent="0.2">
      <c r="B521" s="304" t="s">
        <v>542</v>
      </c>
      <c r="C521" s="205">
        <v>30</v>
      </c>
      <c r="D521" s="205" t="s">
        <v>543</v>
      </c>
      <c r="E521" s="205" t="s">
        <v>544</v>
      </c>
      <c r="F521" s="205" t="s">
        <v>450</v>
      </c>
      <c r="G521" s="205" t="s">
        <v>388</v>
      </c>
      <c r="H521" s="205" t="s">
        <v>427</v>
      </c>
      <c r="I521" s="249" t="s">
        <v>334</v>
      </c>
      <c r="J521" s="247"/>
      <c r="K521" s="304" t="s">
        <v>545</v>
      </c>
      <c r="L521" s="205">
        <v>30</v>
      </c>
      <c r="M521" s="206" t="s">
        <v>504</v>
      </c>
      <c r="N521" s="205">
        <v>35</v>
      </c>
      <c r="O521" s="205" t="s">
        <v>506</v>
      </c>
      <c r="P521" s="205">
        <v>11</v>
      </c>
      <c r="Q521" s="205" t="s">
        <v>467</v>
      </c>
      <c r="R521" s="249" t="s">
        <v>411</v>
      </c>
      <c r="T521" s="304" t="s">
        <v>546</v>
      </c>
      <c r="U521" s="205">
        <v>30</v>
      </c>
      <c r="V521" s="205" t="s">
        <v>547</v>
      </c>
      <c r="W521" s="205">
        <v>32</v>
      </c>
    </row>
    <row r="522" spans="2:23" x14ac:dyDescent="0.2">
      <c r="B522" s="302"/>
      <c r="C522" s="198">
        <v>40</v>
      </c>
      <c r="D522" s="198" t="s">
        <v>548</v>
      </c>
      <c r="E522" s="198">
        <v>33</v>
      </c>
      <c r="F522" s="198" t="s">
        <v>485</v>
      </c>
      <c r="G522" s="198" t="s">
        <v>448</v>
      </c>
      <c r="H522" s="198" t="s">
        <v>403</v>
      </c>
      <c r="I522" s="199">
        <v>6</v>
      </c>
      <c r="J522" s="247"/>
      <c r="K522" s="302"/>
      <c r="L522" s="198">
        <v>40</v>
      </c>
      <c r="M522" s="209" t="s">
        <v>361</v>
      </c>
      <c r="N522" s="198">
        <v>37</v>
      </c>
      <c r="O522" s="198">
        <v>19</v>
      </c>
      <c r="P522" s="198" t="s">
        <v>549</v>
      </c>
      <c r="Q522" s="198" t="s">
        <v>409</v>
      </c>
      <c r="R522" s="199" t="s">
        <v>410</v>
      </c>
      <c r="T522" s="302"/>
      <c r="U522" s="198">
        <v>40</v>
      </c>
      <c r="V522" s="198" t="s">
        <v>550</v>
      </c>
      <c r="W522" s="198">
        <v>35</v>
      </c>
    </row>
    <row r="523" spans="2:23" x14ac:dyDescent="0.2">
      <c r="B523" s="303"/>
      <c r="C523" s="203">
        <v>50</v>
      </c>
      <c r="D523" s="203" t="s">
        <v>551</v>
      </c>
      <c r="E523" s="203">
        <v>35</v>
      </c>
      <c r="F523" s="203" t="s">
        <v>552</v>
      </c>
      <c r="G523" s="203" t="s">
        <v>553</v>
      </c>
      <c r="H523" s="203" t="s">
        <v>470</v>
      </c>
      <c r="I523" s="204" t="s">
        <v>367</v>
      </c>
      <c r="J523" s="247"/>
      <c r="K523" s="303"/>
      <c r="L523" s="203">
        <v>50</v>
      </c>
      <c r="M523" s="210" t="s">
        <v>357</v>
      </c>
      <c r="N523" s="203">
        <v>35</v>
      </c>
      <c r="O523" s="203" t="s">
        <v>554</v>
      </c>
      <c r="P523" s="203" t="s">
        <v>500</v>
      </c>
      <c r="Q523" s="203" t="s">
        <v>477</v>
      </c>
      <c r="R523" s="204" t="s">
        <v>436</v>
      </c>
      <c r="T523" s="303"/>
      <c r="U523" s="203">
        <v>50</v>
      </c>
      <c r="V523" s="203" t="s">
        <v>555</v>
      </c>
      <c r="W523" s="203">
        <v>36</v>
      </c>
    </row>
    <row r="524" spans="2:23" ht="12.75" customHeight="1" x14ac:dyDescent="0.2">
      <c r="B524" s="304" t="s">
        <v>556</v>
      </c>
      <c r="C524" s="191">
        <v>30</v>
      </c>
      <c r="D524" s="191" t="s">
        <v>557</v>
      </c>
      <c r="E524" s="191">
        <v>32</v>
      </c>
      <c r="F524" s="191" t="s">
        <v>485</v>
      </c>
      <c r="G524" s="191" t="s">
        <v>448</v>
      </c>
      <c r="H524" s="191" t="s">
        <v>403</v>
      </c>
      <c r="I524" s="208">
        <v>6</v>
      </c>
      <c r="J524" s="247"/>
      <c r="K524" s="316"/>
      <c r="L524" s="247"/>
      <c r="M524" s="247"/>
      <c r="N524" s="247"/>
      <c r="O524" s="247"/>
      <c r="P524" s="247"/>
      <c r="Q524" s="247"/>
      <c r="R524" s="247"/>
    </row>
    <row r="525" spans="2:23" x14ac:dyDescent="0.2">
      <c r="B525" s="302"/>
      <c r="C525" s="194">
        <v>40</v>
      </c>
      <c r="D525" s="251" t="s">
        <v>558</v>
      </c>
      <c r="E525" s="194">
        <v>34</v>
      </c>
      <c r="F525" s="194" t="s">
        <v>559</v>
      </c>
      <c r="G525" s="194" t="s">
        <v>524</v>
      </c>
      <c r="H525" s="194" t="s">
        <v>410</v>
      </c>
      <c r="I525" s="195" t="s">
        <v>471</v>
      </c>
      <c r="J525" s="247"/>
      <c r="K525" s="316"/>
      <c r="L525" s="247"/>
      <c r="M525" s="252"/>
      <c r="N525" s="247"/>
      <c r="O525" s="247"/>
      <c r="P525" s="247"/>
      <c r="Q525" s="247"/>
      <c r="R525" s="247"/>
    </row>
    <row r="526" spans="2:23" x14ac:dyDescent="0.2">
      <c r="B526" s="303"/>
      <c r="C526" s="200">
        <v>50</v>
      </c>
      <c r="D526" s="250" t="s">
        <v>560</v>
      </c>
      <c r="E526" s="200">
        <v>35</v>
      </c>
      <c r="F526" s="200" t="s">
        <v>561</v>
      </c>
      <c r="G526" s="200" t="s">
        <v>423</v>
      </c>
      <c r="H526" s="200" t="s">
        <v>436</v>
      </c>
      <c r="I526" s="248" t="s">
        <v>399</v>
      </c>
      <c r="J526" s="247"/>
      <c r="K526" s="316"/>
      <c r="L526" s="247"/>
      <c r="M526" s="252"/>
      <c r="N526" s="247"/>
      <c r="O526" s="247"/>
      <c r="P526" s="247"/>
      <c r="Q526" s="247"/>
      <c r="R526" s="247"/>
    </row>
    <row r="527" spans="2:23" x14ac:dyDescent="0.2">
      <c r="B527" s="302" t="s">
        <v>562</v>
      </c>
      <c r="C527" s="194">
        <v>30</v>
      </c>
      <c r="D527" s="194" t="s">
        <v>563</v>
      </c>
      <c r="E527" s="194">
        <v>34</v>
      </c>
      <c r="F527" s="194">
        <v>15</v>
      </c>
      <c r="G527" s="194" t="s">
        <v>553</v>
      </c>
      <c r="H527" s="194" t="s">
        <v>470</v>
      </c>
      <c r="I527" s="195" t="s">
        <v>359</v>
      </c>
      <c r="J527" s="247"/>
      <c r="K527" s="316"/>
      <c r="L527" s="247"/>
      <c r="M527" s="247"/>
      <c r="N527" s="247"/>
      <c r="O527" s="247"/>
      <c r="P527" s="247"/>
      <c r="Q527" s="247"/>
      <c r="R527" s="247"/>
    </row>
    <row r="528" spans="2:23" ht="12.75" customHeight="1" x14ac:dyDescent="0.2">
      <c r="B528" s="302"/>
      <c r="C528" s="198">
        <v>40</v>
      </c>
      <c r="D528" s="198" t="s">
        <v>564</v>
      </c>
      <c r="E528" s="198">
        <v>36</v>
      </c>
      <c r="F528" s="198" t="s">
        <v>565</v>
      </c>
      <c r="G528" s="198" t="s">
        <v>437</v>
      </c>
      <c r="H528" s="198" t="s">
        <v>388</v>
      </c>
      <c r="I528" s="199" t="s">
        <v>418</v>
      </c>
      <c r="K528" s="316"/>
      <c r="L528" s="247"/>
      <c r="M528" s="247"/>
      <c r="N528" s="247"/>
      <c r="O528" s="247"/>
      <c r="P528" s="247"/>
      <c r="Q528" s="247"/>
      <c r="R528" s="247"/>
    </row>
    <row r="529" spans="2:19" x14ac:dyDescent="0.2">
      <c r="B529" s="303"/>
      <c r="C529" s="203">
        <v>50</v>
      </c>
      <c r="D529" s="253" t="s">
        <v>566</v>
      </c>
      <c r="E529" s="203">
        <v>34</v>
      </c>
      <c r="F529" s="203" t="s">
        <v>567</v>
      </c>
      <c r="G529" s="203" t="s">
        <v>506</v>
      </c>
      <c r="H529" s="203" t="s">
        <v>445</v>
      </c>
      <c r="I529" s="204" t="s">
        <v>467</v>
      </c>
      <c r="K529" s="316"/>
      <c r="L529" s="247"/>
      <c r="M529" s="252"/>
      <c r="N529" s="247"/>
      <c r="O529" s="247"/>
      <c r="P529" s="247"/>
      <c r="Q529" s="247"/>
      <c r="R529" s="247"/>
    </row>
    <row r="530" spans="2:19" x14ac:dyDescent="0.2">
      <c r="B530" s="254"/>
      <c r="C530" s="247"/>
      <c r="D530" s="252"/>
      <c r="E530" s="247"/>
      <c r="F530" s="247"/>
      <c r="G530" s="247"/>
      <c r="H530" s="247"/>
      <c r="I530" s="247"/>
    </row>
    <row r="531" spans="2:19" x14ac:dyDescent="0.2">
      <c r="B531" s="254"/>
      <c r="C531" s="247"/>
      <c r="D531" s="247"/>
      <c r="E531" s="247"/>
      <c r="F531" s="247"/>
      <c r="G531" s="247"/>
      <c r="H531" s="247"/>
      <c r="I531" s="247"/>
    </row>
    <row r="532" spans="2:19" ht="12.75" customHeight="1" x14ac:dyDescent="0.2">
      <c r="B532" s="94"/>
      <c r="C532" s="247"/>
      <c r="D532" s="247"/>
      <c r="E532" s="247"/>
      <c r="F532" s="247"/>
      <c r="G532" s="247"/>
      <c r="H532" s="247"/>
      <c r="I532" s="247"/>
    </row>
    <row r="533" spans="2:19" x14ac:dyDescent="0.2">
      <c r="B533" s="184" t="s">
        <v>313</v>
      </c>
      <c r="K533" s="184" t="s">
        <v>313</v>
      </c>
      <c r="P533" s="184" t="s">
        <v>313</v>
      </c>
    </row>
    <row r="534" spans="2:19" x14ac:dyDescent="0.2">
      <c r="B534" s="66" t="s">
        <v>568</v>
      </c>
      <c r="K534" s="66" t="s">
        <v>569</v>
      </c>
      <c r="P534" s="66" t="s">
        <v>570</v>
      </c>
    </row>
    <row r="535" spans="2:19" x14ac:dyDescent="0.2">
      <c r="B535" s="317" t="s">
        <v>317</v>
      </c>
      <c r="C535" s="319" t="s">
        <v>318</v>
      </c>
      <c r="D535" s="319" t="s">
        <v>319</v>
      </c>
      <c r="E535" s="319" t="s">
        <v>320</v>
      </c>
      <c r="F535" s="308" t="s">
        <v>321</v>
      </c>
      <c r="G535" s="309"/>
      <c r="H535" s="309"/>
      <c r="I535" s="310"/>
      <c r="K535" s="317" t="s">
        <v>317</v>
      </c>
      <c r="L535" s="319" t="s">
        <v>318</v>
      </c>
      <c r="M535" s="319" t="s">
        <v>319</v>
      </c>
      <c r="N535" s="306" t="s">
        <v>320</v>
      </c>
      <c r="P535" s="317" t="s">
        <v>317</v>
      </c>
      <c r="Q535" s="319" t="s">
        <v>318</v>
      </c>
      <c r="R535" s="319" t="s">
        <v>319</v>
      </c>
      <c r="S535" s="306" t="s">
        <v>320</v>
      </c>
    </row>
    <row r="536" spans="2:19" ht="13.5" thickBot="1" x14ac:dyDescent="0.25">
      <c r="B536" s="318"/>
      <c r="C536" s="320"/>
      <c r="D536" s="320"/>
      <c r="E536" s="320"/>
      <c r="F536" s="185" t="s">
        <v>493</v>
      </c>
      <c r="G536" s="186" t="s">
        <v>494</v>
      </c>
      <c r="H536" s="186" t="s">
        <v>571</v>
      </c>
      <c r="I536" s="187" t="s">
        <v>572</v>
      </c>
      <c r="K536" s="318"/>
      <c r="L536" s="320"/>
      <c r="M536" s="320"/>
      <c r="N536" s="307"/>
      <c r="P536" s="318"/>
      <c r="Q536" s="320"/>
      <c r="R536" s="320"/>
      <c r="S536" s="307"/>
    </row>
    <row r="537" spans="2:19" x14ac:dyDescent="0.2">
      <c r="B537" s="302" t="s">
        <v>573</v>
      </c>
      <c r="C537" s="198">
        <v>30</v>
      </c>
      <c r="D537" s="198" t="s">
        <v>574</v>
      </c>
      <c r="E537" s="198">
        <v>32</v>
      </c>
      <c r="F537" s="198" t="s">
        <v>359</v>
      </c>
      <c r="G537" s="198" t="s">
        <v>428</v>
      </c>
      <c r="H537" s="218" t="s">
        <v>14</v>
      </c>
      <c r="I537" s="220" t="s">
        <v>14</v>
      </c>
      <c r="K537" s="302" t="s">
        <v>337</v>
      </c>
      <c r="L537" s="198">
        <v>20</v>
      </c>
      <c r="M537" s="198" t="s">
        <v>344</v>
      </c>
      <c r="N537" s="198">
        <v>23</v>
      </c>
      <c r="P537" s="302" t="s">
        <v>575</v>
      </c>
      <c r="Q537" s="198">
        <v>20</v>
      </c>
      <c r="R537" s="198" t="s">
        <v>338</v>
      </c>
      <c r="S537" s="198">
        <v>23</v>
      </c>
    </row>
    <row r="538" spans="2:19" x14ac:dyDescent="0.2">
      <c r="B538" s="302"/>
      <c r="C538" s="194">
        <v>40</v>
      </c>
      <c r="D538" s="194" t="s">
        <v>576</v>
      </c>
      <c r="E538" s="194">
        <v>34</v>
      </c>
      <c r="F538" s="194" t="s">
        <v>418</v>
      </c>
      <c r="G538" s="194" t="s">
        <v>380</v>
      </c>
      <c r="H538" s="217" t="s">
        <v>14</v>
      </c>
      <c r="I538" s="226" t="s">
        <v>14</v>
      </c>
      <c r="K538" s="302"/>
      <c r="L538" s="194">
        <v>30</v>
      </c>
      <c r="M538" s="194" t="s">
        <v>350</v>
      </c>
      <c r="N538" s="194">
        <v>24</v>
      </c>
      <c r="P538" s="302"/>
      <c r="Q538" s="194">
        <v>30</v>
      </c>
      <c r="R538" s="194" t="s">
        <v>382</v>
      </c>
      <c r="S538" s="194">
        <v>25</v>
      </c>
    </row>
    <row r="539" spans="2:19" x14ac:dyDescent="0.2">
      <c r="B539" s="303"/>
      <c r="C539" s="200">
        <v>50</v>
      </c>
      <c r="D539" s="200" t="s">
        <v>577</v>
      </c>
      <c r="E539" s="200">
        <v>35</v>
      </c>
      <c r="F539" s="200" t="s">
        <v>475</v>
      </c>
      <c r="G539" s="200" t="s">
        <v>369</v>
      </c>
      <c r="H539" s="255" t="s">
        <v>14</v>
      </c>
      <c r="I539" s="256" t="s">
        <v>14</v>
      </c>
      <c r="K539" s="303"/>
      <c r="L539" s="200">
        <v>40</v>
      </c>
      <c r="M539" s="200" t="s">
        <v>363</v>
      </c>
      <c r="N539" s="200">
        <v>25</v>
      </c>
      <c r="P539" s="303"/>
      <c r="Q539" s="200">
        <v>40</v>
      </c>
      <c r="R539" s="200" t="s">
        <v>385</v>
      </c>
      <c r="S539" s="200">
        <v>26</v>
      </c>
    </row>
    <row r="540" spans="2:19" x14ac:dyDescent="0.2">
      <c r="B540" s="304" t="s">
        <v>578</v>
      </c>
      <c r="C540" s="205">
        <v>30</v>
      </c>
      <c r="D540" s="205" t="s">
        <v>579</v>
      </c>
      <c r="E540" s="205">
        <v>34</v>
      </c>
      <c r="F540" s="205" t="s">
        <v>399</v>
      </c>
      <c r="G540" s="205" t="s">
        <v>394</v>
      </c>
      <c r="H540" s="205" t="s">
        <v>420</v>
      </c>
      <c r="I540" s="249" t="s">
        <v>349</v>
      </c>
      <c r="K540" s="304" t="s">
        <v>371</v>
      </c>
      <c r="L540" s="205">
        <v>20</v>
      </c>
      <c r="M540" s="205" t="s">
        <v>338</v>
      </c>
      <c r="N540" s="205">
        <v>23</v>
      </c>
      <c r="P540" s="304" t="s">
        <v>580</v>
      </c>
      <c r="Q540" s="205">
        <v>20</v>
      </c>
      <c r="R540" s="205" t="s">
        <v>390</v>
      </c>
      <c r="S540" s="205">
        <v>24</v>
      </c>
    </row>
    <row r="541" spans="2:19" x14ac:dyDescent="0.2">
      <c r="B541" s="302"/>
      <c r="C541" s="198">
        <v>40</v>
      </c>
      <c r="D541" s="198" t="s">
        <v>342</v>
      </c>
      <c r="E541" s="198">
        <v>37</v>
      </c>
      <c r="F541" s="198" t="s">
        <v>467</v>
      </c>
      <c r="G541" s="198" t="s">
        <v>369</v>
      </c>
      <c r="H541" s="198">
        <v>6</v>
      </c>
      <c r="I541" s="199">
        <v>5</v>
      </c>
      <c r="K541" s="302"/>
      <c r="L541" s="198">
        <v>30</v>
      </c>
      <c r="M541" s="198" t="s">
        <v>382</v>
      </c>
      <c r="N541" s="198">
        <v>24</v>
      </c>
      <c r="P541" s="302"/>
      <c r="Q541" s="198">
        <v>30</v>
      </c>
      <c r="R541" s="198" t="s">
        <v>385</v>
      </c>
      <c r="S541" s="198">
        <v>26</v>
      </c>
    </row>
    <row r="542" spans="2:19" x14ac:dyDescent="0.2">
      <c r="B542" s="303"/>
      <c r="C542" s="203">
        <v>50</v>
      </c>
      <c r="D542" s="203" t="s">
        <v>581</v>
      </c>
      <c r="E542" s="203">
        <v>39</v>
      </c>
      <c r="F542" s="203">
        <v>10</v>
      </c>
      <c r="G542" s="203" t="s">
        <v>366</v>
      </c>
      <c r="H542" s="203" t="s">
        <v>359</v>
      </c>
      <c r="I542" s="204" t="s">
        <v>395</v>
      </c>
      <c r="K542" s="303"/>
      <c r="L542" s="203">
        <v>40</v>
      </c>
      <c r="M542" s="203" t="s">
        <v>385</v>
      </c>
      <c r="N542" s="203">
        <v>26</v>
      </c>
      <c r="P542" s="303"/>
      <c r="Q542" s="203">
        <v>40</v>
      </c>
      <c r="R542" s="203" t="s">
        <v>405</v>
      </c>
      <c r="S542" s="203">
        <v>27</v>
      </c>
    </row>
    <row r="543" spans="2:19" x14ac:dyDescent="0.2">
      <c r="B543" s="304" t="s">
        <v>582</v>
      </c>
      <c r="C543" s="191">
        <v>30</v>
      </c>
      <c r="D543" s="191" t="s">
        <v>583</v>
      </c>
      <c r="E543" s="191">
        <v>37</v>
      </c>
      <c r="F543" s="191" t="s">
        <v>475</v>
      </c>
      <c r="G543" s="191" t="s">
        <v>468</v>
      </c>
      <c r="H543" s="191" t="s">
        <v>464</v>
      </c>
      <c r="I543" s="208" t="s">
        <v>368</v>
      </c>
      <c r="K543" s="304" t="s">
        <v>501</v>
      </c>
      <c r="L543" s="191">
        <v>20</v>
      </c>
      <c r="M543" s="191" t="s">
        <v>390</v>
      </c>
      <c r="N543" s="191">
        <v>23</v>
      </c>
      <c r="P543" s="304" t="s">
        <v>584</v>
      </c>
      <c r="Q543" s="191">
        <v>20</v>
      </c>
      <c r="R543" s="191" t="s">
        <v>413</v>
      </c>
      <c r="S543" s="191">
        <v>25</v>
      </c>
    </row>
    <row r="544" spans="2:19" x14ac:dyDescent="0.2">
      <c r="B544" s="302"/>
      <c r="C544" s="194">
        <v>40</v>
      </c>
      <c r="D544" s="194" t="s">
        <v>381</v>
      </c>
      <c r="E544" s="194">
        <v>37</v>
      </c>
      <c r="F544" s="194" t="s">
        <v>439</v>
      </c>
      <c r="G544" s="194" t="s">
        <v>375</v>
      </c>
      <c r="H544" s="194" t="s">
        <v>359</v>
      </c>
      <c r="I544" s="195" t="s">
        <v>339</v>
      </c>
      <c r="K544" s="302"/>
      <c r="L544" s="194">
        <v>30</v>
      </c>
      <c r="M544" s="194" t="s">
        <v>385</v>
      </c>
      <c r="N544" s="194">
        <v>24</v>
      </c>
      <c r="P544" s="302"/>
      <c r="Q544" s="194">
        <v>30</v>
      </c>
      <c r="R544" s="194" t="s">
        <v>421</v>
      </c>
      <c r="S544" s="194">
        <v>27</v>
      </c>
    </row>
    <row r="545" spans="2:19" x14ac:dyDescent="0.2">
      <c r="B545" s="303"/>
      <c r="C545" s="200">
        <v>50</v>
      </c>
      <c r="D545" s="250" t="s">
        <v>370</v>
      </c>
      <c r="E545" s="200">
        <v>40</v>
      </c>
      <c r="F545" s="200" t="s">
        <v>519</v>
      </c>
      <c r="G545" s="200" t="s">
        <v>585</v>
      </c>
      <c r="H545" s="200" t="s">
        <v>332</v>
      </c>
      <c r="I545" s="248" t="s">
        <v>333</v>
      </c>
      <c r="K545" s="303"/>
      <c r="L545" s="200">
        <v>40</v>
      </c>
      <c r="M545" s="250" t="s">
        <v>405</v>
      </c>
      <c r="N545" s="200">
        <v>26</v>
      </c>
      <c r="P545" s="303"/>
      <c r="Q545" s="200">
        <v>40</v>
      </c>
      <c r="R545" s="250" t="s">
        <v>429</v>
      </c>
      <c r="S545" s="200">
        <v>28</v>
      </c>
    </row>
    <row r="546" spans="2:19" x14ac:dyDescent="0.2">
      <c r="B546" s="304" t="s">
        <v>586</v>
      </c>
      <c r="C546" s="205">
        <v>30</v>
      </c>
      <c r="D546" s="205" t="s">
        <v>587</v>
      </c>
      <c r="E546" s="205">
        <v>38</v>
      </c>
      <c r="F546" s="205" t="s">
        <v>475</v>
      </c>
      <c r="G546" s="205" t="s">
        <v>468</v>
      </c>
      <c r="H546" s="205" t="s">
        <v>464</v>
      </c>
      <c r="I546" s="249" t="s">
        <v>368</v>
      </c>
      <c r="K546" s="304" t="s">
        <v>588</v>
      </c>
      <c r="L546" s="205">
        <v>20</v>
      </c>
      <c r="M546" s="205" t="s">
        <v>413</v>
      </c>
      <c r="N546" s="205">
        <v>24</v>
      </c>
      <c r="P546" s="316"/>
      <c r="Q546" s="247"/>
      <c r="R546" s="247"/>
      <c r="S546" s="247"/>
    </row>
    <row r="547" spans="2:19" x14ac:dyDescent="0.2">
      <c r="B547" s="302"/>
      <c r="C547" s="198">
        <v>40</v>
      </c>
      <c r="D547" s="198" t="s">
        <v>370</v>
      </c>
      <c r="E547" s="198">
        <v>40</v>
      </c>
      <c r="F547" s="198" t="s">
        <v>439</v>
      </c>
      <c r="G547" s="198" t="s">
        <v>375</v>
      </c>
      <c r="H547" s="198" t="s">
        <v>359</v>
      </c>
      <c r="I547" s="199" t="s">
        <v>339</v>
      </c>
      <c r="K547" s="302"/>
      <c r="L547" s="198">
        <v>30</v>
      </c>
      <c r="M547" s="198" t="s">
        <v>421</v>
      </c>
      <c r="N547" s="198">
        <v>26</v>
      </c>
      <c r="P547" s="316"/>
      <c r="Q547" s="247"/>
      <c r="R547" s="247"/>
      <c r="S547" s="247"/>
    </row>
    <row r="548" spans="2:19" x14ac:dyDescent="0.2">
      <c r="B548" s="303"/>
      <c r="C548" s="203">
        <v>50</v>
      </c>
      <c r="D548" s="203" t="s">
        <v>522</v>
      </c>
      <c r="E548" s="203">
        <v>41</v>
      </c>
      <c r="F548" s="203" t="s">
        <v>589</v>
      </c>
      <c r="G548" s="203" t="s">
        <v>585</v>
      </c>
      <c r="H548" s="203" t="s">
        <v>332</v>
      </c>
      <c r="I548" s="204" t="s">
        <v>333</v>
      </c>
      <c r="K548" s="303"/>
      <c r="L548" s="203">
        <v>40</v>
      </c>
      <c r="M548" s="203" t="s">
        <v>429</v>
      </c>
      <c r="N548" s="203">
        <v>26</v>
      </c>
      <c r="P548" s="316"/>
      <c r="Q548" s="247"/>
      <c r="R548" s="247"/>
      <c r="S548" s="247"/>
    </row>
    <row r="549" spans="2:19" x14ac:dyDescent="0.2">
      <c r="B549" s="304" t="s">
        <v>590</v>
      </c>
      <c r="C549" s="191">
        <v>30</v>
      </c>
      <c r="D549" s="191" t="s">
        <v>504</v>
      </c>
      <c r="E549" s="191">
        <v>38</v>
      </c>
      <c r="F549" s="191">
        <v>11</v>
      </c>
      <c r="G549" s="191" t="s">
        <v>467</v>
      </c>
      <c r="H549" s="191" t="s">
        <v>403</v>
      </c>
      <c r="I549" s="208" t="s">
        <v>394</v>
      </c>
    </row>
    <row r="550" spans="2:19" x14ac:dyDescent="0.2">
      <c r="B550" s="302"/>
      <c r="C550" s="194">
        <v>40</v>
      </c>
      <c r="D550" s="251" t="s">
        <v>361</v>
      </c>
      <c r="E550" s="194">
        <v>41</v>
      </c>
      <c r="F550" s="194" t="s">
        <v>549</v>
      </c>
      <c r="G550" s="194" t="s">
        <v>409</v>
      </c>
      <c r="H550" s="194" t="s">
        <v>410</v>
      </c>
      <c r="I550" s="195" t="s">
        <v>468</v>
      </c>
    </row>
    <row r="551" spans="2:19" x14ac:dyDescent="0.2">
      <c r="B551" s="302"/>
      <c r="C551" s="198">
        <v>50</v>
      </c>
      <c r="D551" s="257" t="s">
        <v>357</v>
      </c>
      <c r="E551" s="198">
        <v>43</v>
      </c>
      <c r="F551" s="198" t="s">
        <v>500</v>
      </c>
      <c r="G551" s="198" t="s">
        <v>477</v>
      </c>
      <c r="H551" s="198" t="s">
        <v>478</v>
      </c>
      <c r="I551" s="199">
        <v>8</v>
      </c>
    </row>
    <row r="552" spans="2:19" x14ac:dyDescent="0.2">
      <c r="B552" s="315"/>
      <c r="C552" s="49"/>
      <c r="D552" s="49"/>
      <c r="E552" s="49"/>
      <c r="F552" s="49"/>
      <c r="G552" s="49"/>
      <c r="H552" s="49"/>
      <c r="I552" s="49"/>
    </row>
    <row r="553" spans="2:19" x14ac:dyDescent="0.2">
      <c r="B553" s="316"/>
      <c r="C553" s="247"/>
      <c r="D553" s="247"/>
      <c r="E553" s="247"/>
      <c r="F553" s="247"/>
      <c r="G553" s="247"/>
      <c r="H553" s="247"/>
      <c r="I553" s="247"/>
    </row>
    <row r="554" spans="2:19" x14ac:dyDescent="0.2">
      <c r="B554" s="316"/>
      <c r="C554" s="247"/>
      <c r="D554" s="252"/>
      <c r="E554" s="247"/>
      <c r="F554" s="247"/>
      <c r="G554" s="247"/>
      <c r="H554" s="247"/>
      <c r="I554" s="247"/>
    </row>
    <row r="555" spans="2:19" x14ac:dyDescent="0.2">
      <c r="B555" s="184" t="s">
        <v>313</v>
      </c>
    </row>
    <row r="556" spans="2:19" x14ac:dyDescent="0.2">
      <c r="B556" s="66" t="s">
        <v>591</v>
      </c>
    </row>
    <row r="557" spans="2:19" x14ac:dyDescent="0.2">
      <c r="B557" s="306" t="s">
        <v>592</v>
      </c>
      <c r="C557" s="317" t="s">
        <v>317</v>
      </c>
      <c r="D557" s="306" t="s">
        <v>318</v>
      </c>
      <c r="E557" s="306" t="s">
        <v>319</v>
      </c>
      <c r="F557" s="306" t="s">
        <v>320</v>
      </c>
      <c r="G557" s="308" t="s">
        <v>321</v>
      </c>
      <c r="H557" s="309"/>
      <c r="I557" s="309"/>
      <c r="J557" s="309"/>
      <c r="K557" s="309"/>
      <c r="L557" s="309"/>
      <c r="M557" s="309"/>
      <c r="N557" s="310"/>
    </row>
    <row r="558" spans="2:19" ht="13.5" thickBot="1" x14ac:dyDescent="0.25">
      <c r="B558" s="307"/>
      <c r="C558" s="318"/>
      <c r="D558" s="307"/>
      <c r="E558" s="307"/>
      <c r="F558" s="307"/>
      <c r="G558" s="185" t="s">
        <v>326</v>
      </c>
      <c r="H558" s="186" t="s">
        <v>491</v>
      </c>
      <c r="I558" s="186" t="s">
        <v>492</v>
      </c>
      <c r="J558" s="187" t="s">
        <v>593</v>
      </c>
      <c r="K558" s="185" t="s">
        <v>594</v>
      </c>
      <c r="L558" s="186" t="s">
        <v>493</v>
      </c>
      <c r="M558" s="186" t="s">
        <v>595</v>
      </c>
      <c r="N558" s="187" t="s">
        <v>494</v>
      </c>
    </row>
    <row r="559" spans="2:19" x14ac:dyDescent="0.2">
      <c r="B559" s="311" t="s">
        <v>213</v>
      </c>
      <c r="C559" s="313" t="s">
        <v>596</v>
      </c>
      <c r="D559" s="189">
        <v>30</v>
      </c>
      <c r="E559" s="189" t="s">
        <v>497</v>
      </c>
      <c r="F559" s="189">
        <v>27</v>
      </c>
      <c r="G559" s="189" t="s">
        <v>440</v>
      </c>
      <c r="H559" s="189" t="s">
        <v>471</v>
      </c>
      <c r="I559" s="189" t="s">
        <v>339</v>
      </c>
      <c r="J559" s="190" t="s">
        <v>428</v>
      </c>
      <c r="K559" s="189" t="s">
        <v>357</v>
      </c>
      <c r="L559" s="189" t="s">
        <v>352</v>
      </c>
      <c r="M559" s="218" t="s">
        <v>14</v>
      </c>
      <c r="N559" s="220" t="s">
        <v>14</v>
      </c>
    </row>
    <row r="560" spans="2:19" x14ac:dyDescent="0.2">
      <c r="B560" s="300"/>
      <c r="C560" s="302"/>
      <c r="D560" s="194">
        <v>40</v>
      </c>
      <c r="E560" s="194" t="s">
        <v>422</v>
      </c>
      <c r="F560" s="194">
        <v>29</v>
      </c>
      <c r="G560" s="194" t="s">
        <v>425</v>
      </c>
      <c r="H560" s="194" t="s">
        <v>418</v>
      </c>
      <c r="I560" s="194" t="s">
        <v>400</v>
      </c>
      <c r="J560" s="195" t="s">
        <v>380</v>
      </c>
      <c r="K560" s="194" t="s">
        <v>334</v>
      </c>
      <c r="L560" s="194" t="s">
        <v>351</v>
      </c>
      <c r="M560" s="217" t="s">
        <v>14</v>
      </c>
      <c r="N560" s="226" t="s">
        <v>14</v>
      </c>
    </row>
    <row r="561" spans="2:14" x14ac:dyDescent="0.2">
      <c r="B561" s="300"/>
      <c r="C561" s="303"/>
      <c r="D561" s="200">
        <v>50</v>
      </c>
      <c r="E561" s="200" t="s">
        <v>508</v>
      </c>
      <c r="F561" s="200">
        <v>29</v>
      </c>
      <c r="G561" s="200" t="s">
        <v>589</v>
      </c>
      <c r="H561" s="200">
        <v>9</v>
      </c>
      <c r="I561" s="200" t="s">
        <v>355</v>
      </c>
      <c r="J561" s="248" t="s">
        <v>369</v>
      </c>
      <c r="K561" s="200">
        <v>6</v>
      </c>
      <c r="L561" s="200" t="s">
        <v>597</v>
      </c>
      <c r="M561" s="218" t="s">
        <v>14</v>
      </c>
      <c r="N561" s="220" t="s">
        <v>14</v>
      </c>
    </row>
    <row r="562" spans="2:14" x14ac:dyDescent="0.2">
      <c r="B562" s="300"/>
      <c r="C562" s="304" t="s">
        <v>598</v>
      </c>
      <c r="D562" s="205">
        <v>30</v>
      </c>
      <c r="E562" s="205" t="s">
        <v>513</v>
      </c>
      <c r="F562" s="205">
        <v>29</v>
      </c>
      <c r="G562" s="205" t="s">
        <v>409</v>
      </c>
      <c r="H562" s="205" t="s">
        <v>470</v>
      </c>
      <c r="I562" s="205" t="s">
        <v>471</v>
      </c>
      <c r="J562" s="249" t="s">
        <v>400</v>
      </c>
      <c r="K562" s="205" t="s">
        <v>428</v>
      </c>
      <c r="L562" s="205" t="s">
        <v>357</v>
      </c>
      <c r="M562" s="217" t="s">
        <v>14</v>
      </c>
      <c r="N562" s="226" t="s">
        <v>14</v>
      </c>
    </row>
    <row r="563" spans="2:14" x14ac:dyDescent="0.2">
      <c r="B563" s="300"/>
      <c r="C563" s="302"/>
      <c r="D563" s="198">
        <v>40</v>
      </c>
      <c r="E563" s="198" t="s">
        <v>517</v>
      </c>
      <c r="F563" s="198">
        <v>29</v>
      </c>
      <c r="G563" s="198" t="s">
        <v>438</v>
      </c>
      <c r="H563" s="198" t="s">
        <v>365</v>
      </c>
      <c r="I563" s="198" t="s">
        <v>366</v>
      </c>
      <c r="J563" s="199" t="s">
        <v>399</v>
      </c>
      <c r="K563" s="198" t="s">
        <v>380</v>
      </c>
      <c r="L563" s="198" t="s">
        <v>356</v>
      </c>
      <c r="M563" s="255" t="s">
        <v>14</v>
      </c>
      <c r="N563" s="256" t="s">
        <v>14</v>
      </c>
    </row>
    <row r="564" spans="2:14" x14ac:dyDescent="0.2">
      <c r="B564" s="300"/>
      <c r="C564" s="303"/>
      <c r="D564" s="203">
        <v>50</v>
      </c>
      <c r="E564" s="203" t="s">
        <v>521</v>
      </c>
      <c r="F564" s="203">
        <v>29</v>
      </c>
      <c r="G564" s="203" t="s">
        <v>540</v>
      </c>
      <c r="H564" s="203" t="s">
        <v>432</v>
      </c>
      <c r="I564" s="203">
        <v>9</v>
      </c>
      <c r="J564" s="204" t="s">
        <v>393</v>
      </c>
      <c r="K564" s="203" t="s">
        <v>369</v>
      </c>
      <c r="L564" s="203">
        <v>6</v>
      </c>
      <c r="M564" s="217" t="s">
        <v>14</v>
      </c>
      <c r="N564" s="226" t="s">
        <v>14</v>
      </c>
    </row>
    <row r="565" spans="2:14" x14ac:dyDescent="0.2">
      <c r="B565" s="300"/>
      <c r="C565" s="304" t="s">
        <v>599</v>
      </c>
      <c r="D565" s="191">
        <v>30</v>
      </c>
      <c r="E565" s="191" t="s">
        <v>527</v>
      </c>
      <c r="F565" s="191">
        <v>30</v>
      </c>
      <c r="G565" s="191" t="s">
        <v>600</v>
      </c>
      <c r="H565" s="191" t="s">
        <v>425</v>
      </c>
      <c r="I565" s="191" t="s">
        <v>470</v>
      </c>
      <c r="J565" s="208">
        <v>8</v>
      </c>
      <c r="K565" s="191" t="s">
        <v>400</v>
      </c>
      <c r="L565" s="191" t="s">
        <v>428</v>
      </c>
      <c r="M565" s="191">
        <v>5</v>
      </c>
      <c r="N565" s="256" t="s">
        <v>14</v>
      </c>
    </row>
    <row r="566" spans="2:14" x14ac:dyDescent="0.2">
      <c r="B566" s="300"/>
      <c r="C566" s="302"/>
      <c r="D566" s="194">
        <v>40</v>
      </c>
      <c r="E566" s="194" t="s">
        <v>532</v>
      </c>
      <c r="F566" s="194">
        <v>31</v>
      </c>
      <c r="G566" s="194" t="s">
        <v>601</v>
      </c>
      <c r="H566" s="194" t="s">
        <v>477</v>
      </c>
      <c r="I566" s="194" t="s">
        <v>478</v>
      </c>
      <c r="J566" s="195" t="s">
        <v>417</v>
      </c>
      <c r="K566" s="194" t="s">
        <v>399</v>
      </c>
      <c r="L566" s="194" t="s">
        <v>380</v>
      </c>
      <c r="M566" s="194" t="s">
        <v>348</v>
      </c>
      <c r="N566" s="226" t="s">
        <v>14</v>
      </c>
    </row>
    <row r="567" spans="2:14" ht="13.5" thickBot="1" x14ac:dyDescent="0.25">
      <c r="B567" s="312"/>
      <c r="C567" s="314"/>
      <c r="D567" s="258">
        <v>50</v>
      </c>
      <c r="E567" s="259" t="s">
        <v>535</v>
      </c>
      <c r="F567" s="258">
        <v>32</v>
      </c>
      <c r="G567" s="258" t="s">
        <v>602</v>
      </c>
      <c r="H567" s="258" t="s">
        <v>536</v>
      </c>
      <c r="I567" s="258" t="s">
        <v>537</v>
      </c>
      <c r="J567" s="260" t="s">
        <v>409</v>
      </c>
      <c r="K567" s="258" t="s">
        <v>440</v>
      </c>
      <c r="L567" s="258" t="s">
        <v>369</v>
      </c>
      <c r="M567" s="258" t="s">
        <v>380</v>
      </c>
      <c r="N567" s="256" t="s">
        <v>14</v>
      </c>
    </row>
    <row r="568" spans="2:14" x14ac:dyDescent="0.2">
      <c r="B568" s="300" t="s">
        <v>199</v>
      </c>
      <c r="C568" s="302" t="s">
        <v>603</v>
      </c>
      <c r="D568" s="194">
        <v>30</v>
      </c>
      <c r="E568" s="194" t="s">
        <v>543</v>
      </c>
      <c r="F568" s="194">
        <v>32</v>
      </c>
      <c r="G568" s="194" t="s">
        <v>604</v>
      </c>
      <c r="H568" s="194" t="s">
        <v>450</v>
      </c>
      <c r="I568" s="194" t="s">
        <v>388</v>
      </c>
      <c r="J568" s="195" t="s">
        <v>446</v>
      </c>
      <c r="K568" s="194" t="s">
        <v>426</v>
      </c>
      <c r="L568" s="194" t="s">
        <v>427</v>
      </c>
      <c r="M568" s="194" t="s">
        <v>464</v>
      </c>
      <c r="N568" s="195" t="s">
        <v>334</v>
      </c>
    </row>
    <row r="569" spans="2:14" x14ac:dyDescent="0.2">
      <c r="B569" s="300"/>
      <c r="C569" s="302"/>
      <c r="D569" s="198">
        <v>40</v>
      </c>
      <c r="E569" s="198" t="s">
        <v>548</v>
      </c>
      <c r="F569" s="198">
        <v>34</v>
      </c>
      <c r="G569" s="198" t="s">
        <v>605</v>
      </c>
      <c r="H569" s="198" t="s">
        <v>485</v>
      </c>
      <c r="I569" s="198" t="s">
        <v>448</v>
      </c>
      <c r="J569" s="199" t="s">
        <v>537</v>
      </c>
      <c r="K569" s="198" t="s">
        <v>467</v>
      </c>
      <c r="L569" s="198" t="s">
        <v>403</v>
      </c>
      <c r="M569" s="198" t="s">
        <v>367</v>
      </c>
      <c r="N569" s="199">
        <v>6</v>
      </c>
    </row>
    <row r="570" spans="2:14" x14ac:dyDescent="0.2">
      <c r="B570" s="300"/>
      <c r="C570" s="303"/>
      <c r="D570" s="203">
        <v>50</v>
      </c>
      <c r="E570" s="203" t="s">
        <v>551</v>
      </c>
      <c r="F570" s="203">
        <v>35</v>
      </c>
      <c r="G570" s="203" t="s">
        <v>606</v>
      </c>
      <c r="H570" s="203" t="s">
        <v>552</v>
      </c>
      <c r="I570" s="203" t="s">
        <v>553</v>
      </c>
      <c r="J570" s="204">
        <v>12</v>
      </c>
      <c r="K570" s="203">
        <v>10</v>
      </c>
      <c r="L570" s="203" t="s">
        <v>470</v>
      </c>
      <c r="M570" s="203" t="s">
        <v>355</v>
      </c>
      <c r="N570" s="204" t="s">
        <v>367</v>
      </c>
    </row>
    <row r="571" spans="2:14" x14ac:dyDescent="0.2">
      <c r="B571" s="300"/>
      <c r="C571" s="304" t="s">
        <v>607</v>
      </c>
      <c r="D571" s="191">
        <v>30</v>
      </c>
      <c r="E571" s="191" t="s">
        <v>557</v>
      </c>
      <c r="F571" s="191">
        <v>34</v>
      </c>
      <c r="G571" s="191" t="s">
        <v>608</v>
      </c>
      <c r="H571" s="191" t="s">
        <v>485</v>
      </c>
      <c r="I571" s="191" t="s">
        <v>448</v>
      </c>
      <c r="J571" s="208" t="s">
        <v>474</v>
      </c>
      <c r="K571" s="191" t="s">
        <v>467</v>
      </c>
      <c r="L571" s="191" t="s">
        <v>403</v>
      </c>
      <c r="M571" s="191" t="s">
        <v>400</v>
      </c>
      <c r="N571" s="208">
        <v>6</v>
      </c>
    </row>
    <row r="572" spans="2:14" x14ac:dyDescent="0.2">
      <c r="B572" s="300"/>
      <c r="C572" s="302"/>
      <c r="D572" s="194">
        <v>40</v>
      </c>
      <c r="E572" s="251" t="s">
        <v>558</v>
      </c>
      <c r="F572" s="194">
        <v>37</v>
      </c>
      <c r="G572" s="194" t="s">
        <v>523</v>
      </c>
      <c r="H572" s="194" t="s">
        <v>559</v>
      </c>
      <c r="I572" s="194" t="s">
        <v>524</v>
      </c>
      <c r="J572" s="195" t="s">
        <v>408</v>
      </c>
      <c r="K572" s="194" t="s">
        <v>483</v>
      </c>
      <c r="L572" s="194" t="s">
        <v>410</v>
      </c>
      <c r="M572" s="194" t="s">
        <v>399</v>
      </c>
      <c r="N572" s="195" t="s">
        <v>471</v>
      </c>
    </row>
    <row r="573" spans="2:14" x14ac:dyDescent="0.2">
      <c r="B573" s="300"/>
      <c r="C573" s="305"/>
      <c r="D573" s="198">
        <v>50</v>
      </c>
      <c r="E573" s="257" t="s">
        <v>560</v>
      </c>
      <c r="F573" s="198">
        <v>39</v>
      </c>
      <c r="G573" s="198" t="s">
        <v>331</v>
      </c>
      <c r="H573" s="198" t="s">
        <v>561</v>
      </c>
      <c r="I573" s="198" t="s">
        <v>423</v>
      </c>
      <c r="J573" s="199" t="s">
        <v>609</v>
      </c>
      <c r="K573" s="198" t="s">
        <v>519</v>
      </c>
      <c r="L573" s="198" t="s">
        <v>436</v>
      </c>
      <c r="M573" s="198" t="s">
        <v>440</v>
      </c>
      <c r="N573" s="199" t="s">
        <v>399</v>
      </c>
    </row>
    <row r="574" spans="2:14" x14ac:dyDescent="0.2">
      <c r="B574" s="300"/>
      <c r="C574" s="304" t="s">
        <v>610</v>
      </c>
      <c r="D574" s="205">
        <v>30</v>
      </c>
      <c r="E574" s="205" t="s">
        <v>563</v>
      </c>
      <c r="F574" s="205">
        <v>37</v>
      </c>
      <c r="G574" s="205" t="s">
        <v>611</v>
      </c>
      <c r="H574" s="205">
        <v>15</v>
      </c>
      <c r="I574" s="205" t="s">
        <v>553</v>
      </c>
      <c r="J574" s="249">
        <v>12</v>
      </c>
      <c r="K574" s="205">
        <v>10</v>
      </c>
      <c r="L574" s="205" t="s">
        <v>470</v>
      </c>
      <c r="M574" s="205" t="s">
        <v>355</v>
      </c>
      <c r="N574" s="249" t="s">
        <v>359</v>
      </c>
    </row>
    <row r="575" spans="2:14" x14ac:dyDescent="0.2">
      <c r="B575" s="300"/>
      <c r="C575" s="302"/>
      <c r="D575" s="261">
        <v>40</v>
      </c>
      <c r="E575" s="262" t="s">
        <v>564</v>
      </c>
      <c r="F575" s="261">
        <v>37</v>
      </c>
      <c r="G575" s="261" t="s">
        <v>612</v>
      </c>
      <c r="H575" s="261" t="s">
        <v>565</v>
      </c>
      <c r="I575" s="261" t="s">
        <v>437</v>
      </c>
      <c r="J575" s="263">
        <v>14</v>
      </c>
      <c r="K575" s="261" t="s">
        <v>450</v>
      </c>
      <c r="L575" s="261" t="s">
        <v>388</v>
      </c>
      <c r="M575" s="261" t="s">
        <v>475</v>
      </c>
      <c r="N575" s="263" t="s">
        <v>418</v>
      </c>
    </row>
    <row r="576" spans="2:14" x14ac:dyDescent="0.2">
      <c r="B576" s="301"/>
      <c r="C576" s="303"/>
      <c r="D576" s="203">
        <v>50</v>
      </c>
      <c r="E576" s="253" t="s">
        <v>566</v>
      </c>
      <c r="F576" s="203">
        <v>40</v>
      </c>
      <c r="G576" s="203" t="s">
        <v>613</v>
      </c>
      <c r="H576" s="203" t="s">
        <v>567</v>
      </c>
      <c r="I576" s="203" t="s">
        <v>506</v>
      </c>
      <c r="J576" s="204" t="s">
        <v>614</v>
      </c>
      <c r="K576" s="203" t="s">
        <v>444</v>
      </c>
      <c r="L576" s="203" t="s">
        <v>445</v>
      </c>
      <c r="M576" s="203" t="s">
        <v>388</v>
      </c>
      <c r="N576" s="204" t="s">
        <v>467</v>
      </c>
    </row>
  </sheetData>
  <mergeCells count="454">
    <mergeCell ref="A40:E40"/>
    <mergeCell ref="H40:M40"/>
    <mergeCell ref="P40:X40"/>
    <mergeCell ref="Z40:AH40"/>
    <mergeCell ref="J54:L54"/>
    <mergeCell ref="M54:N54"/>
    <mergeCell ref="A12:C12"/>
    <mergeCell ref="E12:I12"/>
    <mergeCell ref="R16:T16"/>
    <mergeCell ref="R23:T23"/>
    <mergeCell ref="A28:H28"/>
    <mergeCell ref="I28:Q28"/>
    <mergeCell ref="M60:N60"/>
    <mergeCell ref="J61:L61"/>
    <mergeCell ref="M61:N61"/>
    <mergeCell ref="I73:N73"/>
    <mergeCell ref="P73:U73"/>
    <mergeCell ref="W73:AB73"/>
    <mergeCell ref="J55:L55"/>
    <mergeCell ref="J56:L56"/>
    <mergeCell ref="J57:L57"/>
    <mergeCell ref="J58:L58"/>
    <mergeCell ref="J59:L59"/>
    <mergeCell ref="J60:L60"/>
    <mergeCell ref="AD73:AI73"/>
    <mergeCell ref="AK73:AP73"/>
    <mergeCell ref="B75:B78"/>
    <mergeCell ref="C75:G75"/>
    <mergeCell ref="I75:I78"/>
    <mergeCell ref="J75:N75"/>
    <mergeCell ref="P75:P78"/>
    <mergeCell ref="Q75:U75"/>
    <mergeCell ref="W75:W78"/>
    <mergeCell ref="X75:AB75"/>
    <mergeCell ref="AD75:AD78"/>
    <mergeCell ref="AE75:AI75"/>
    <mergeCell ref="AK75:AK78"/>
    <mergeCell ref="AL75:AP75"/>
    <mergeCell ref="C76:C78"/>
    <mergeCell ref="D76:D78"/>
    <mergeCell ref="E76:E78"/>
    <mergeCell ref="F76:G76"/>
    <mergeCell ref="J76:J78"/>
    <mergeCell ref="K76:K78"/>
    <mergeCell ref="F77:G77"/>
    <mergeCell ref="M77:N77"/>
    <mergeCell ref="T77:U77"/>
    <mergeCell ref="AA77:AB77"/>
    <mergeCell ref="AH77:AI77"/>
    <mergeCell ref="AO77:AP77"/>
    <mergeCell ref="AG76:AG78"/>
    <mergeCell ref="AH76:AI76"/>
    <mergeCell ref="AL76:AL78"/>
    <mergeCell ref="AM76:AM78"/>
    <mergeCell ref="AN76:AN78"/>
    <mergeCell ref="AO76:AP76"/>
    <mergeCell ref="X76:X78"/>
    <mergeCell ref="Y76:Y78"/>
    <mergeCell ref="Z76:Z78"/>
    <mergeCell ref="AA76:AB76"/>
    <mergeCell ref="AE76:AE78"/>
    <mergeCell ref="AF76:AF78"/>
    <mergeCell ref="L76:L78"/>
    <mergeCell ref="M76:N76"/>
    <mergeCell ref="Q76:Q78"/>
    <mergeCell ref="R76:R78"/>
    <mergeCell ref="S76:S78"/>
    <mergeCell ref="T76:U76"/>
    <mergeCell ref="P88:P91"/>
    <mergeCell ref="W88:W91"/>
    <mergeCell ref="AD88:AD91"/>
    <mergeCell ref="AK88:AK91"/>
    <mergeCell ref="P92:P95"/>
    <mergeCell ref="W92:W95"/>
    <mergeCell ref="AD92:AD95"/>
    <mergeCell ref="AK92:AK95"/>
    <mergeCell ref="P80:P83"/>
    <mergeCell ref="W80:W83"/>
    <mergeCell ref="AD80:AD83"/>
    <mergeCell ref="AK80:AK83"/>
    <mergeCell ref="P84:P87"/>
    <mergeCell ref="W84:W87"/>
    <mergeCell ref="AD84:AD87"/>
    <mergeCell ref="AK84:AK87"/>
    <mergeCell ref="P104:P107"/>
    <mergeCell ref="W104:W107"/>
    <mergeCell ref="AD104:AD107"/>
    <mergeCell ref="AK104:AK107"/>
    <mergeCell ref="P108:P111"/>
    <mergeCell ref="W108:W111"/>
    <mergeCell ref="AD108:AD111"/>
    <mergeCell ref="AK108:AK111"/>
    <mergeCell ref="P96:P99"/>
    <mergeCell ref="W96:W99"/>
    <mergeCell ref="AD96:AD99"/>
    <mergeCell ref="AK96:AK99"/>
    <mergeCell ref="P100:P103"/>
    <mergeCell ref="W100:W103"/>
    <mergeCell ref="AD100:AD103"/>
    <mergeCell ref="AK100:AK103"/>
    <mergeCell ref="P112:P115"/>
    <mergeCell ref="W112:W115"/>
    <mergeCell ref="AK112:AK115"/>
    <mergeCell ref="B121:B124"/>
    <mergeCell ref="C121:C125"/>
    <mergeCell ref="D121:D125"/>
    <mergeCell ref="M121:M123"/>
    <mergeCell ref="N121:N124"/>
    <mergeCell ref="P121:W121"/>
    <mergeCell ref="Y121:Y125"/>
    <mergeCell ref="AL121:AQ121"/>
    <mergeCell ref="AS121:AS124"/>
    <mergeCell ref="AT121:AT125"/>
    <mergeCell ref="AU121:AU125"/>
    <mergeCell ref="AV121:BB121"/>
    <mergeCell ref="E122:E124"/>
    <mergeCell ref="F122:F124"/>
    <mergeCell ref="G122:G124"/>
    <mergeCell ref="H122:K123"/>
    <mergeCell ref="O122:O124"/>
    <mergeCell ref="Z121:Z125"/>
    <mergeCell ref="AA121:AA124"/>
    <mergeCell ref="AB121:AG121"/>
    <mergeCell ref="AI121:AI125"/>
    <mergeCell ref="AJ121:AJ125"/>
    <mergeCell ref="AK121:AK125"/>
    <mergeCell ref="AD122:AD124"/>
    <mergeCell ref="AE122:AG123"/>
    <mergeCell ref="AX122:AX124"/>
    <mergeCell ref="AY122:BB123"/>
    <mergeCell ref="S123:W123"/>
    <mergeCell ref="H124:K124"/>
    <mergeCell ref="AE124:AG124"/>
    <mergeCell ref="AO124:AQ124"/>
    <mergeCell ref="AY124:BB124"/>
    <mergeCell ref="AL122:AL124"/>
    <mergeCell ref="AM122:AM124"/>
    <mergeCell ref="AN122:AN124"/>
    <mergeCell ref="AO122:AQ123"/>
    <mergeCell ref="AV122:AV124"/>
    <mergeCell ref="AW122:AW124"/>
    <mergeCell ref="P122:P123"/>
    <mergeCell ref="Q122:Q123"/>
    <mergeCell ref="R122:R123"/>
    <mergeCell ref="S122:W122"/>
    <mergeCell ref="AB122:AB124"/>
    <mergeCell ref="AC122:AC124"/>
    <mergeCell ref="B173:B177"/>
    <mergeCell ref="C173:C177"/>
    <mergeCell ref="C178:C182"/>
    <mergeCell ref="B183:B187"/>
    <mergeCell ref="C183:C187"/>
    <mergeCell ref="B193:B196"/>
    <mergeCell ref="C193:F193"/>
    <mergeCell ref="AS134:AT134"/>
    <mergeCell ref="AI135:AJ135"/>
    <mergeCell ref="B168:B172"/>
    <mergeCell ref="C168:C172"/>
    <mergeCell ref="D168:K168"/>
    <mergeCell ref="D169:D171"/>
    <mergeCell ref="E169:E171"/>
    <mergeCell ref="F169:F171"/>
    <mergeCell ref="G169:K170"/>
    <mergeCell ref="G171:K171"/>
    <mergeCell ref="O194:O195"/>
    <mergeCell ref="P194:P195"/>
    <mergeCell ref="Q194:R195"/>
    <mergeCell ref="B197:B200"/>
    <mergeCell ref="H197:H200"/>
    <mergeCell ref="N197:N200"/>
    <mergeCell ref="H193:H196"/>
    <mergeCell ref="I193:L193"/>
    <mergeCell ref="N193:N196"/>
    <mergeCell ref="O193:R193"/>
    <mergeCell ref="C194:C195"/>
    <mergeCell ref="D194:D195"/>
    <mergeCell ref="E194:F195"/>
    <mergeCell ref="I194:I195"/>
    <mergeCell ref="J194:J195"/>
    <mergeCell ref="K194:L195"/>
    <mergeCell ref="B209:B212"/>
    <mergeCell ref="H209:H212"/>
    <mergeCell ref="N209:N212"/>
    <mergeCell ref="B218:B221"/>
    <mergeCell ref="C218:F218"/>
    <mergeCell ref="H218:H221"/>
    <mergeCell ref="I218:N218"/>
    <mergeCell ref="B201:B204"/>
    <mergeCell ref="H201:H204"/>
    <mergeCell ref="N201:N204"/>
    <mergeCell ref="B205:B208"/>
    <mergeCell ref="H205:H208"/>
    <mergeCell ref="N205:N208"/>
    <mergeCell ref="W219:W220"/>
    <mergeCell ref="X219:X220"/>
    <mergeCell ref="Y219:Z220"/>
    <mergeCell ref="B222:B225"/>
    <mergeCell ref="H222:H225"/>
    <mergeCell ref="P222:P225"/>
    <mergeCell ref="V222:V225"/>
    <mergeCell ref="V218:V221"/>
    <mergeCell ref="C219:C220"/>
    <mergeCell ref="D219:D220"/>
    <mergeCell ref="E219:F220"/>
    <mergeCell ref="I219:I220"/>
    <mergeCell ref="J219:J220"/>
    <mergeCell ref="K219:N220"/>
    <mergeCell ref="V234:V237"/>
    <mergeCell ref="H238:H241"/>
    <mergeCell ref="P238:P241"/>
    <mergeCell ref="B226:B229"/>
    <mergeCell ref="H226:H229"/>
    <mergeCell ref="P226:P229"/>
    <mergeCell ref="V226:V229"/>
    <mergeCell ref="B230:B233"/>
    <mergeCell ref="H230:H233"/>
    <mergeCell ref="P230:P233"/>
    <mergeCell ref="V230:V233"/>
    <mergeCell ref="H242:H245"/>
    <mergeCell ref="P242:P245"/>
    <mergeCell ref="B251:B254"/>
    <mergeCell ref="C251:F251"/>
    <mergeCell ref="H251:H254"/>
    <mergeCell ref="I251:N251"/>
    <mergeCell ref="P251:P254"/>
    <mergeCell ref="B234:B237"/>
    <mergeCell ref="H234:H237"/>
    <mergeCell ref="P234:P237"/>
    <mergeCell ref="B255:B259"/>
    <mergeCell ref="H255:H259"/>
    <mergeCell ref="P255:P259"/>
    <mergeCell ref="B260:B264"/>
    <mergeCell ref="H260:H264"/>
    <mergeCell ref="P260:P264"/>
    <mergeCell ref="Q251:V251"/>
    <mergeCell ref="C252:C253"/>
    <mergeCell ref="D252:D253"/>
    <mergeCell ref="E252:F253"/>
    <mergeCell ref="I252:I253"/>
    <mergeCell ref="J252:J253"/>
    <mergeCell ref="K252:N253"/>
    <mergeCell ref="Q252:Q253"/>
    <mergeCell ref="R252:R253"/>
    <mergeCell ref="S252:V253"/>
    <mergeCell ref="B275:B279"/>
    <mergeCell ref="H275:H279"/>
    <mergeCell ref="P275:P279"/>
    <mergeCell ref="B285:B288"/>
    <mergeCell ref="C285:F285"/>
    <mergeCell ref="H285:H288"/>
    <mergeCell ref="I285:N285"/>
    <mergeCell ref="P285:P288"/>
    <mergeCell ref="B265:B269"/>
    <mergeCell ref="H265:H269"/>
    <mergeCell ref="P265:P269"/>
    <mergeCell ref="B270:B274"/>
    <mergeCell ref="H270:H274"/>
    <mergeCell ref="P270:P274"/>
    <mergeCell ref="Q285:V285"/>
    <mergeCell ref="C286:C287"/>
    <mergeCell ref="D286:D287"/>
    <mergeCell ref="E286:F287"/>
    <mergeCell ref="I286:I287"/>
    <mergeCell ref="J286:J287"/>
    <mergeCell ref="K286:N287"/>
    <mergeCell ref="Q286:Q287"/>
    <mergeCell ref="R286:R287"/>
    <mergeCell ref="S286:V287"/>
    <mergeCell ref="B301:B306"/>
    <mergeCell ref="H301:H306"/>
    <mergeCell ref="P301:P306"/>
    <mergeCell ref="B307:B312"/>
    <mergeCell ref="H307:H312"/>
    <mergeCell ref="P307:P312"/>
    <mergeCell ref="B289:B294"/>
    <mergeCell ref="H289:H294"/>
    <mergeCell ref="P289:P294"/>
    <mergeCell ref="B295:B300"/>
    <mergeCell ref="H295:H300"/>
    <mergeCell ref="P295:P300"/>
    <mergeCell ref="L330:Q330"/>
    <mergeCell ref="C331:C332"/>
    <mergeCell ref="D331:D332"/>
    <mergeCell ref="E331:H332"/>
    <mergeCell ref="L331:L332"/>
    <mergeCell ref="M331:M332"/>
    <mergeCell ref="N331:Q332"/>
    <mergeCell ref="B313:B318"/>
    <mergeCell ref="H313:H318"/>
    <mergeCell ref="P313:P318"/>
    <mergeCell ref="B319:B324"/>
    <mergeCell ref="H319:H324"/>
    <mergeCell ref="P319:P324"/>
    <mergeCell ref="B334:B339"/>
    <mergeCell ref="K334:K339"/>
    <mergeCell ref="B340:B345"/>
    <mergeCell ref="K340:K345"/>
    <mergeCell ref="B346:B351"/>
    <mergeCell ref="K346:K351"/>
    <mergeCell ref="B330:B333"/>
    <mergeCell ref="C330:H330"/>
    <mergeCell ref="K330:K333"/>
    <mergeCell ref="K370:K375"/>
    <mergeCell ref="K376:K381"/>
    <mergeCell ref="K382:K387"/>
    <mergeCell ref="B393:B396"/>
    <mergeCell ref="C393:H393"/>
    <mergeCell ref="K393:K396"/>
    <mergeCell ref="B352:B357"/>
    <mergeCell ref="K352:K357"/>
    <mergeCell ref="B358:B363"/>
    <mergeCell ref="K358:K363"/>
    <mergeCell ref="B364:B369"/>
    <mergeCell ref="K364:K369"/>
    <mergeCell ref="B397:B402"/>
    <mergeCell ref="K397:K402"/>
    <mergeCell ref="B403:B408"/>
    <mergeCell ref="K403:K408"/>
    <mergeCell ref="B409:B414"/>
    <mergeCell ref="K409:K414"/>
    <mergeCell ref="L393:Q393"/>
    <mergeCell ref="C394:C395"/>
    <mergeCell ref="D394:D395"/>
    <mergeCell ref="E394:H395"/>
    <mergeCell ref="L394:L395"/>
    <mergeCell ref="M394:M395"/>
    <mergeCell ref="N394:Q395"/>
    <mergeCell ref="B433:B438"/>
    <mergeCell ref="K433:K438"/>
    <mergeCell ref="B439:B444"/>
    <mergeCell ref="K439:K444"/>
    <mergeCell ref="B445:B450"/>
    <mergeCell ref="K445:K450"/>
    <mergeCell ref="B415:B420"/>
    <mergeCell ref="K415:K420"/>
    <mergeCell ref="B421:B426"/>
    <mergeCell ref="K421:K426"/>
    <mergeCell ref="B427:B432"/>
    <mergeCell ref="K427:K432"/>
    <mergeCell ref="X456:X457"/>
    <mergeCell ref="Y456:Y457"/>
    <mergeCell ref="B458:B461"/>
    <mergeCell ref="L458:L461"/>
    <mergeCell ref="V458:V460"/>
    <mergeCell ref="V461:V463"/>
    <mergeCell ref="B462:B465"/>
    <mergeCell ref="L462:L465"/>
    <mergeCell ref="V464:V466"/>
    <mergeCell ref="B466:B469"/>
    <mergeCell ref="M456:M457"/>
    <mergeCell ref="N456:N457"/>
    <mergeCell ref="O456:O457"/>
    <mergeCell ref="P456:T456"/>
    <mergeCell ref="V456:V457"/>
    <mergeCell ref="W456:W457"/>
    <mergeCell ref="B456:B457"/>
    <mergeCell ref="C456:C457"/>
    <mergeCell ref="D456:D457"/>
    <mergeCell ref="E456:E457"/>
    <mergeCell ref="F456:J456"/>
    <mergeCell ref="L456:L457"/>
    <mergeCell ref="N480:N481"/>
    <mergeCell ref="O480:O481"/>
    <mergeCell ref="P480:U480"/>
    <mergeCell ref="B482:B485"/>
    <mergeCell ref="L482:L485"/>
    <mergeCell ref="L466:L469"/>
    <mergeCell ref="V467:V469"/>
    <mergeCell ref="B470:B473"/>
    <mergeCell ref="L470:L473"/>
    <mergeCell ref="B480:B481"/>
    <mergeCell ref="C480:C481"/>
    <mergeCell ref="D480:D481"/>
    <mergeCell ref="E480:E481"/>
    <mergeCell ref="F480:J480"/>
    <mergeCell ref="L480:L481"/>
    <mergeCell ref="F510:I510"/>
    <mergeCell ref="K510:K511"/>
    <mergeCell ref="B486:B489"/>
    <mergeCell ref="L487:L490"/>
    <mergeCell ref="B490:B493"/>
    <mergeCell ref="L492:L495"/>
    <mergeCell ref="B494:B497"/>
    <mergeCell ref="L497:L500"/>
    <mergeCell ref="M480:M481"/>
    <mergeCell ref="B518:B520"/>
    <mergeCell ref="K518:K520"/>
    <mergeCell ref="T518:T520"/>
    <mergeCell ref="B521:B523"/>
    <mergeCell ref="K521:K523"/>
    <mergeCell ref="T521:T523"/>
    <mergeCell ref="V510:V511"/>
    <mergeCell ref="W510:W511"/>
    <mergeCell ref="B512:B514"/>
    <mergeCell ref="K512:K514"/>
    <mergeCell ref="T512:T514"/>
    <mergeCell ref="B515:B517"/>
    <mergeCell ref="K515:K517"/>
    <mergeCell ref="T515:T517"/>
    <mergeCell ref="L510:L511"/>
    <mergeCell ref="M510:M511"/>
    <mergeCell ref="N510:N511"/>
    <mergeCell ref="O510:R510"/>
    <mergeCell ref="T510:T511"/>
    <mergeCell ref="U510:U511"/>
    <mergeCell ref="B510:B511"/>
    <mergeCell ref="C510:C511"/>
    <mergeCell ref="D510:D511"/>
    <mergeCell ref="E510:E511"/>
    <mergeCell ref="B524:B526"/>
    <mergeCell ref="K524:K526"/>
    <mergeCell ref="B527:B529"/>
    <mergeCell ref="K527:K529"/>
    <mergeCell ref="B535:B536"/>
    <mergeCell ref="C535:C536"/>
    <mergeCell ref="D535:D536"/>
    <mergeCell ref="E535:E536"/>
    <mergeCell ref="F535:I535"/>
    <mergeCell ref="K535:K536"/>
    <mergeCell ref="S535:S536"/>
    <mergeCell ref="B537:B539"/>
    <mergeCell ref="K537:K539"/>
    <mergeCell ref="P537:P539"/>
    <mergeCell ref="B540:B542"/>
    <mergeCell ref="K540:K542"/>
    <mergeCell ref="P540:P542"/>
    <mergeCell ref="L535:L536"/>
    <mergeCell ref="M535:M536"/>
    <mergeCell ref="N535:N536"/>
    <mergeCell ref="P535:P536"/>
    <mergeCell ref="Q535:Q536"/>
    <mergeCell ref="R535:R536"/>
    <mergeCell ref="B549:B551"/>
    <mergeCell ref="B552:B554"/>
    <mergeCell ref="B557:B558"/>
    <mergeCell ref="C557:C558"/>
    <mergeCell ref="D557:D558"/>
    <mergeCell ref="E557:E558"/>
    <mergeCell ref="B543:B545"/>
    <mergeCell ref="K543:K545"/>
    <mergeCell ref="P543:P545"/>
    <mergeCell ref="B546:B548"/>
    <mergeCell ref="K546:K548"/>
    <mergeCell ref="P546:P548"/>
    <mergeCell ref="B568:B576"/>
    <mergeCell ref="C568:C570"/>
    <mergeCell ref="C571:C573"/>
    <mergeCell ref="C574:C576"/>
    <mergeCell ref="F557:F558"/>
    <mergeCell ref="G557:N557"/>
    <mergeCell ref="B559:B567"/>
    <mergeCell ref="C559:C561"/>
    <mergeCell ref="C562:C564"/>
    <mergeCell ref="C565:C567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GridLines="0" topLeftCell="A7" zoomScale="145" zoomScaleNormal="145" workbookViewId="0">
      <selection activeCell="C10" sqref="C10"/>
    </sheetView>
  </sheetViews>
  <sheetFormatPr defaultRowHeight="15" x14ac:dyDescent="0.25"/>
  <cols>
    <col min="2" max="2" width="6" bestFit="1" customWidth="1"/>
    <col min="3" max="3" width="7.85546875" bestFit="1" customWidth="1"/>
    <col min="4" max="4" width="9.140625" customWidth="1"/>
    <col min="5" max="5" width="6.5703125" bestFit="1" customWidth="1"/>
    <col min="6" max="6" width="6" bestFit="1" customWidth="1"/>
    <col min="7" max="7" width="7.5703125" bestFit="1" customWidth="1"/>
    <col min="8" max="9" width="6.7109375" bestFit="1" customWidth="1"/>
    <col min="10" max="10" width="10" customWidth="1"/>
    <col min="11" max="11" width="9.85546875" customWidth="1"/>
    <col min="12" max="13" width="6.85546875" bestFit="1" customWidth="1"/>
  </cols>
  <sheetData>
    <row r="1" spans="1:7" x14ac:dyDescent="0.25">
      <c r="A1" s="1" t="s">
        <v>1</v>
      </c>
      <c r="B1" s="1"/>
    </row>
    <row r="2" spans="1:7" x14ac:dyDescent="0.25">
      <c r="A2" s="1" t="s">
        <v>0</v>
      </c>
      <c r="B2" s="1"/>
    </row>
    <row r="3" spans="1:7" x14ac:dyDescent="0.25">
      <c r="A3" s="1">
        <v>2018</v>
      </c>
      <c r="B3" s="1"/>
    </row>
    <row r="5" spans="1:7" x14ac:dyDescent="0.25">
      <c r="A5" s="1" t="s">
        <v>2</v>
      </c>
      <c r="B5" s="1"/>
    </row>
    <row r="6" spans="1:7" x14ac:dyDescent="0.25">
      <c r="A6" t="s">
        <v>4</v>
      </c>
    </row>
    <row r="7" spans="1:7" ht="18" x14ac:dyDescent="0.35">
      <c r="A7" s="17" t="s">
        <v>22</v>
      </c>
      <c r="D7" t="s">
        <v>23</v>
      </c>
    </row>
    <row r="8" spans="1:7" x14ac:dyDescent="0.25">
      <c r="A8" s="17"/>
    </row>
    <row r="9" spans="1:7" x14ac:dyDescent="0.25">
      <c r="A9" t="s">
        <v>3</v>
      </c>
    </row>
    <row r="10" spans="1:7" ht="18" x14ac:dyDescent="0.35">
      <c r="A10" s="410" t="s">
        <v>5</v>
      </c>
      <c r="B10" s="3" t="s">
        <v>16</v>
      </c>
      <c r="C10" s="3" t="s">
        <v>11</v>
      </c>
      <c r="D10" s="410" t="s">
        <v>9</v>
      </c>
      <c r="E10" s="3" t="s">
        <v>6</v>
      </c>
      <c r="F10" s="3" t="s">
        <v>21</v>
      </c>
    </row>
    <row r="11" spans="1:7" x14ac:dyDescent="0.25">
      <c r="A11" s="411"/>
      <c r="B11" s="4" t="s">
        <v>10</v>
      </c>
      <c r="C11" s="4" t="s">
        <v>10</v>
      </c>
      <c r="D11" s="411"/>
      <c r="E11" s="4" t="s">
        <v>7</v>
      </c>
      <c r="F11" s="4" t="s">
        <v>8</v>
      </c>
    </row>
    <row r="12" spans="1:7" x14ac:dyDescent="0.25">
      <c r="A12" s="10" t="s">
        <v>12</v>
      </c>
      <c r="B12" s="12" t="s">
        <v>14</v>
      </c>
      <c r="C12" s="18">
        <v>0</v>
      </c>
      <c r="D12" s="12" t="s">
        <v>14</v>
      </c>
      <c r="E12" s="12" t="s">
        <v>14</v>
      </c>
      <c r="F12" s="12" t="s">
        <v>14</v>
      </c>
    </row>
    <row r="13" spans="1:7" x14ac:dyDescent="0.25">
      <c r="A13" s="2" t="s">
        <v>615</v>
      </c>
      <c r="B13" s="13">
        <v>5000</v>
      </c>
      <c r="C13" s="6">
        <v>30</v>
      </c>
      <c r="D13" s="6">
        <v>140</v>
      </c>
      <c r="E13" s="8">
        <f>SUM(E14:E16)</f>
        <v>6.7</v>
      </c>
      <c r="F13" s="9">
        <v>0</v>
      </c>
      <c r="G13" s="20" t="s">
        <v>29</v>
      </c>
    </row>
    <row r="14" spans="1:7" x14ac:dyDescent="0.25">
      <c r="A14" s="2" t="s">
        <v>616</v>
      </c>
      <c r="B14" s="13">
        <v>3000</v>
      </c>
      <c r="C14" s="6">
        <v>8</v>
      </c>
      <c r="D14" s="6">
        <f>D13</f>
        <v>140</v>
      </c>
      <c r="E14" s="9">
        <v>1.2</v>
      </c>
      <c r="F14" s="9">
        <v>5</v>
      </c>
    </row>
    <row r="15" spans="1:7" x14ac:dyDescent="0.25">
      <c r="A15" s="2" t="s">
        <v>617</v>
      </c>
      <c r="B15" s="13">
        <v>2000</v>
      </c>
      <c r="C15" s="6">
        <v>15</v>
      </c>
      <c r="D15" s="6">
        <f>D13</f>
        <v>140</v>
      </c>
      <c r="E15" s="9">
        <v>4.5</v>
      </c>
      <c r="F15" s="9">
        <v>8</v>
      </c>
    </row>
    <row r="16" spans="1:7" x14ac:dyDescent="0.25">
      <c r="A16" s="2" t="s">
        <v>618</v>
      </c>
      <c r="B16" s="13">
        <v>1500</v>
      </c>
      <c r="C16" s="6">
        <v>20</v>
      </c>
      <c r="D16" s="6">
        <f>D13</f>
        <v>140</v>
      </c>
      <c r="E16" s="9">
        <v>1</v>
      </c>
      <c r="F16" s="9">
        <v>10</v>
      </c>
    </row>
    <row r="17" spans="1:13" x14ac:dyDescent="0.25">
      <c r="A17" s="3"/>
      <c r="B17" s="3"/>
      <c r="C17" s="5"/>
      <c r="D17" s="5"/>
      <c r="E17" s="5"/>
      <c r="F17" s="5"/>
    </row>
    <row r="19" spans="1:13" x14ac:dyDescent="0.25">
      <c r="A19" s="14" t="s">
        <v>17</v>
      </c>
    </row>
    <row r="20" spans="1:13" ht="18" x14ac:dyDescent="0.35">
      <c r="A20" s="410" t="s">
        <v>5</v>
      </c>
      <c r="B20" s="3" t="s">
        <v>13</v>
      </c>
      <c r="C20" s="3" t="s">
        <v>15</v>
      </c>
      <c r="D20" s="3" t="s">
        <v>19</v>
      </c>
      <c r="E20" s="3" t="s">
        <v>619</v>
      </c>
      <c r="F20" s="3" t="s">
        <v>20</v>
      </c>
      <c r="G20" s="3" t="s">
        <v>21</v>
      </c>
      <c r="H20" s="3" t="s">
        <v>620</v>
      </c>
      <c r="I20" s="3" t="s">
        <v>621</v>
      </c>
      <c r="J20" s="3" t="s">
        <v>703</v>
      </c>
      <c r="K20" s="3" t="s">
        <v>704</v>
      </c>
      <c r="L20" s="3" t="s">
        <v>622</v>
      </c>
      <c r="M20" s="3" t="s">
        <v>623</v>
      </c>
    </row>
    <row r="21" spans="1:13" x14ac:dyDescent="0.25">
      <c r="A21" s="411"/>
      <c r="B21" s="4" t="s">
        <v>8</v>
      </c>
      <c r="C21" s="4" t="s">
        <v>10</v>
      </c>
      <c r="D21" s="4" t="s">
        <v>18</v>
      </c>
      <c r="E21" s="4" t="s">
        <v>18</v>
      </c>
      <c r="F21" s="4" t="s">
        <v>18</v>
      </c>
      <c r="G21" s="4" t="s">
        <v>8</v>
      </c>
      <c r="H21" s="4" t="s">
        <v>18</v>
      </c>
      <c r="I21" s="4" t="s">
        <v>18</v>
      </c>
      <c r="J21" s="4" t="s">
        <v>705</v>
      </c>
      <c r="K21" s="4" t="s">
        <v>705</v>
      </c>
      <c r="L21" s="4" t="s">
        <v>10</v>
      </c>
      <c r="M21" s="4" t="s">
        <v>10</v>
      </c>
    </row>
    <row r="22" spans="1:13" x14ac:dyDescent="0.25">
      <c r="A22" s="10" t="s">
        <v>12</v>
      </c>
      <c r="B22" s="12" t="s">
        <v>14</v>
      </c>
      <c r="C22" s="12" t="s">
        <v>14</v>
      </c>
      <c r="D22" s="12" t="s">
        <v>14</v>
      </c>
      <c r="E22" s="12" t="s">
        <v>14</v>
      </c>
      <c r="F22" s="12" t="s">
        <v>14</v>
      </c>
      <c r="G22" s="15" t="s">
        <v>14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  <c r="M22" s="12" t="s">
        <v>14</v>
      </c>
    </row>
    <row r="23" spans="1:13" x14ac:dyDescent="0.25">
      <c r="A23" s="2" t="s">
        <v>615</v>
      </c>
      <c r="B23" s="8">
        <f>C13</f>
        <v>30</v>
      </c>
      <c r="C23" s="16">
        <f>B23/B13</f>
        <v>6.0000000000000001E-3</v>
      </c>
      <c r="D23" s="8">
        <f>1.625*((E13/1000)/D13)^0.38*(1/C23)^0.205*1000</f>
        <v>105.85518377170153</v>
      </c>
      <c r="E23" s="9">
        <f>D23</f>
        <v>105.85518377170153</v>
      </c>
      <c r="F23" s="8">
        <f>IF(E23="","",10.65*((E13/1000)/D13)^1.852*B13/(E23/1000)^4.87)</f>
        <v>29.869843648089951</v>
      </c>
      <c r="G23" s="8">
        <f>IF(F23="","",B23-F23)</f>
        <v>0.13015635191004904</v>
      </c>
      <c r="H23" s="9">
        <v>125</v>
      </c>
      <c r="I23" s="9">
        <v>100</v>
      </c>
      <c r="J23">
        <f>10.65*(($E13/1000)/$D13)^1.852*1/(H23/1000)^4.87</f>
        <v>2.658638300617164E-3</v>
      </c>
      <c r="K23">
        <f>10.65*(($E13/1000)/$D13)^1.852*1/(I23/1000)^4.87</f>
        <v>7.8815388438624474E-3</v>
      </c>
      <c r="L23" s="264">
        <f>B13-M23</f>
        <v>1801.2393958906791</v>
      </c>
      <c r="M23" s="264">
        <f>B13*(C23-J23)/(K23-J23)</f>
        <v>3198.7606041093209</v>
      </c>
    </row>
    <row r="24" spans="1:13" x14ac:dyDescent="0.25">
      <c r="A24" s="2" t="s">
        <v>616</v>
      </c>
      <c r="B24" s="8">
        <f>$G$23+C14-F14</f>
        <v>3.130156351910049</v>
      </c>
      <c r="C24" s="16">
        <f>B24/B14</f>
        <v>1.0433854506366831E-3</v>
      </c>
      <c r="D24" s="8">
        <f>1.625*((E14/1000)/D14)^0.38*(1/C24)^0.205*1000</f>
        <v>78.819269607134757</v>
      </c>
      <c r="E24" s="9">
        <f>D24</f>
        <v>78.819269607134757</v>
      </c>
      <c r="F24" s="8">
        <f>IF(E24="","",10.65*((E14/1000)/D14)^1.852*B14/(E24/1000)^4.87)</f>
        <v>3.118068059389385</v>
      </c>
      <c r="G24" s="8">
        <f>IF(E24="","",$G$23+C14-F24)</f>
        <v>5.012088292520664</v>
      </c>
      <c r="H24" s="9">
        <v>100</v>
      </c>
      <c r="I24" s="9">
        <v>75</v>
      </c>
      <c r="J24">
        <f>10.65*(($E14/1000)/$D14)^1.852*1/(H24/1000)^4.87</f>
        <v>3.2611002774238001E-4</v>
      </c>
      <c r="K24">
        <f>10.65*(($E14/1000)/$D14)^1.852*1/(I24/1000)^4.87</f>
        <v>1.323779955160398E-3</v>
      </c>
      <c r="L24" s="264">
        <f>B14-M24</f>
        <v>843.14810986448947</v>
      </c>
      <c r="M24" s="264">
        <f>B14*(C24-J24)/(K24-J24)</f>
        <v>2156.8518901355105</v>
      </c>
    </row>
    <row r="25" spans="1:13" x14ac:dyDescent="0.25">
      <c r="A25" s="2" t="s">
        <v>617</v>
      </c>
      <c r="B25" s="8">
        <f>$G$23+C15-F15</f>
        <v>7.130156351910049</v>
      </c>
      <c r="C25" s="16">
        <f>B25/B15</f>
        <v>3.5650781759550246E-3</v>
      </c>
      <c r="D25" s="8">
        <f>1.625*((E15/1000)/D15)^0.38*(1/C25)^0.205*1000</f>
        <v>101.24446974987295</v>
      </c>
      <c r="E25" s="9">
        <f>D25</f>
        <v>101.24446974987295</v>
      </c>
      <c r="F25" s="8">
        <f>IF(E25="","",10.65*((E15/1000)/D15)^1.852*B15/(E25/1000)^4.87)</f>
        <v>7.1013640345416649</v>
      </c>
      <c r="G25" s="8">
        <f>IF(E25="","",$G$23+C15-F25)</f>
        <v>8.0287923173683851</v>
      </c>
      <c r="H25" s="9">
        <v>125</v>
      </c>
      <c r="I25" s="9">
        <v>100</v>
      </c>
      <c r="J25">
        <f t="shared" ref="J25:K25" si="0">10.65*(($E15/1000)/$D15)^1.852*1/(H25/1000)^4.87</f>
        <v>1.2720913451961505E-3</v>
      </c>
      <c r="K25">
        <f t="shared" si="0"/>
        <v>3.7711174730978994E-3</v>
      </c>
      <c r="L25" s="264">
        <f t="shared" ref="L25:L26" si="1">B15-M25</f>
        <v>164.89567263217896</v>
      </c>
      <c r="M25" s="264">
        <f t="shared" ref="M25:M26" si="2">B15*(C25-J25)/(K25-J25)</f>
        <v>1835.104327367821</v>
      </c>
    </row>
    <row r="26" spans="1:13" x14ac:dyDescent="0.25">
      <c r="A26" s="2" t="s">
        <v>618</v>
      </c>
      <c r="B26" s="8">
        <f t="shared" ref="B25:B26" si="3">$G$23+C16-F16</f>
        <v>10.130156351910049</v>
      </c>
      <c r="C26" s="16">
        <f>B26/B16</f>
        <v>6.7534375679400328E-3</v>
      </c>
      <c r="D26" s="8">
        <f>1.625*((E16/1000)/D16)^0.38*(1/C26)^0.205*1000</f>
        <v>50.150135345230943</v>
      </c>
      <c r="E26" s="9">
        <f>D26</f>
        <v>50.150135345230943</v>
      </c>
      <c r="F26" s="8">
        <f>IF(E26="","",10.65*((E16/1000)/D16)^1.852*B16/(E26/1000)^4.87)</f>
        <v>10.057419654521102</v>
      </c>
      <c r="G26" s="8">
        <f>IF(E26="","",$G$23+C16-F26)</f>
        <v>10.072736697388947</v>
      </c>
      <c r="H26" s="9">
        <v>75</v>
      </c>
      <c r="I26" s="9">
        <v>50</v>
      </c>
      <c r="J26">
        <f t="shared" ref="J26:K26" si="4">10.65*(($E16/1000)/$D16)^1.852*1/(H26/1000)^4.87</f>
        <v>9.4443512976664955E-4</v>
      </c>
      <c r="K26">
        <f t="shared" si="4"/>
        <v>6.8035654115404607E-3</v>
      </c>
      <c r="L26" s="264">
        <f t="shared" si="1"/>
        <v>12.8332639461089</v>
      </c>
      <c r="M26" s="264">
        <f t="shared" si="2"/>
        <v>1487.1667360538911</v>
      </c>
    </row>
    <row r="27" spans="1:13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3">
    <mergeCell ref="A10:A11"/>
    <mergeCell ref="D10:D11"/>
    <mergeCell ref="A20:A21"/>
  </mergeCells>
  <conditionalFormatting sqref="F13:F16">
    <cfRule type="cellIs" dxfId="2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showGridLines="0" tabSelected="1" topLeftCell="A10" zoomScale="130" zoomScaleNormal="130" workbookViewId="0">
      <selection activeCell="C26" sqref="C26"/>
    </sheetView>
  </sheetViews>
  <sheetFormatPr defaultRowHeight="15" x14ac:dyDescent="0.25"/>
  <cols>
    <col min="7" max="7" width="11.28515625" customWidth="1"/>
  </cols>
  <sheetData>
    <row r="1" spans="1:7" x14ac:dyDescent="0.25">
      <c r="A1" s="1" t="s">
        <v>1</v>
      </c>
    </row>
    <row r="2" spans="1:7" x14ac:dyDescent="0.25">
      <c r="A2" s="1" t="s">
        <v>0</v>
      </c>
    </row>
    <row r="3" spans="1:7" x14ac:dyDescent="0.25">
      <c r="A3" s="1">
        <v>2017</v>
      </c>
    </row>
    <row r="5" spans="1:7" x14ac:dyDescent="0.25">
      <c r="A5" s="1" t="s">
        <v>2</v>
      </c>
    </row>
    <row r="6" spans="1:7" x14ac:dyDescent="0.25">
      <c r="A6" t="s">
        <v>4</v>
      </c>
    </row>
    <row r="7" spans="1:7" ht="18" x14ac:dyDescent="0.35">
      <c r="A7" s="17" t="s">
        <v>28</v>
      </c>
      <c r="D7" t="s">
        <v>24</v>
      </c>
    </row>
    <row r="9" spans="1:7" x14ac:dyDescent="0.25">
      <c r="A9" t="s">
        <v>3</v>
      </c>
    </row>
    <row r="10" spans="1:7" ht="18" x14ac:dyDescent="0.35">
      <c r="A10" s="410" t="s">
        <v>5</v>
      </c>
      <c r="B10" s="3" t="s">
        <v>16</v>
      </c>
      <c r="C10" s="3" t="s">
        <v>11</v>
      </c>
      <c r="D10" s="410" t="s">
        <v>9</v>
      </c>
      <c r="E10" s="3" t="s">
        <v>624</v>
      </c>
      <c r="F10" s="3" t="s">
        <v>21</v>
      </c>
    </row>
    <row r="11" spans="1:7" x14ac:dyDescent="0.25">
      <c r="A11" s="411"/>
      <c r="B11" s="4" t="s">
        <v>10</v>
      </c>
      <c r="C11" s="4" t="s">
        <v>10</v>
      </c>
      <c r="D11" s="411"/>
      <c r="E11" s="4" t="s">
        <v>18</v>
      </c>
      <c r="F11" s="4" t="s">
        <v>8</v>
      </c>
    </row>
    <row r="12" spans="1:7" x14ac:dyDescent="0.25">
      <c r="A12" s="10" t="s">
        <v>12</v>
      </c>
      <c r="B12" s="12" t="s">
        <v>14</v>
      </c>
      <c r="C12" s="18">
        <v>0</v>
      </c>
      <c r="D12" s="10"/>
      <c r="E12" s="11"/>
      <c r="F12" s="11"/>
    </row>
    <row r="13" spans="1:7" x14ac:dyDescent="0.25">
      <c r="A13" s="2" t="s">
        <v>615</v>
      </c>
      <c r="B13" s="13">
        <v>5000</v>
      </c>
      <c r="C13" s="6">
        <v>30</v>
      </c>
      <c r="D13" s="6">
        <v>140</v>
      </c>
      <c r="E13" s="9">
        <v>125</v>
      </c>
      <c r="F13" s="21">
        <v>2.7</v>
      </c>
      <c r="G13" s="20" t="s">
        <v>29</v>
      </c>
    </row>
    <row r="14" spans="1:7" x14ac:dyDescent="0.25">
      <c r="A14" s="2" t="s">
        <v>706</v>
      </c>
      <c r="B14" s="13">
        <v>3000</v>
      </c>
      <c r="C14" s="6">
        <v>8</v>
      </c>
      <c r="D14" s="6">
        <f>D13</f>
        <v>140</v>
      </c>
      <c r="E14" s="9">
        <v>75</v>
      </c>
      <c r="F14" s="9">
        <v>5</v>
      </c>
    </row>
    <row r="15" spans="1:7" x14ac:dyDescent="0.25">
      <c r="A15" s="2" t="s">
        <v>707</v>
      </c>
      <c r="B15" s="13">
        <v>2000</v>
      </c>
      <c r="C15" s="6">
        <v>15</v>
      </c>
      <c r="D15" s="6">
        <f>D13</f>
        <v>140</v>
      </c>
      <c r="E15" s="9">
        <v>100</v>
      </c>
      <c r="F15" s="9">
        <v>8</v>
      </c>
    </row>
    <row r="16" spans="1:7" x14ac:dyDescent="0.25">
      <c r="A16" s="2" t="s">
        <v>708</v>
      </c>
      <c r="B16" s="13">
        <v>1500</v>
      </c>
      <c r="C16" s="6">
        <v>20</v>
      </c>
      <c r="D16" s="6">
        <f>D13</f>
        <v>140</v>
      </c>
      <c r="E16" s="9">
        <v>75</v>
      </c>
      <c r="F16" s="9">
        <v>10</v>
      </c>
    </row>
    <row r="17" spans="1:9" x14ac:dyDescent="0.25">
      <c r="A17" s="5"/>
      <c r="B17" s="5"/>
      <c r="C17" s="5"/>
      <c r="D17" s="5"/>
      <c r="E17" s="5"/>
      <c r="F17" s="5"/>
    </row>
    <row r="19" spans="1:9" x14ac:dyDescent="0.25">
      <c r="A19" s="14" t="s">
        <v>17</v>
      </c>
    </row>
    <row r="20" spans="1:9" ht="18" x14ac:dyDescent="0.35">
      <c r="A20" s="410" t="s">
        <v>5</v>
      </c>
      <c r="B20" s="3" t="s">
        <v>13</v>
      </c>
      <c r="C20" s="3" t="s">
        <v>15</v>
      </c>
      <c r="D20" s="3" t="s">
        <v>6</v>
      </c>
      <c r="F20" s="14" t="s">
        <v>27</v>
      </c>
    </row>
    <row r="21" spans="1:9" ht="18" x14ac:dyDescent="0.35">
      <c r="A21" s="411"/>
      <c r="B21" s="4" t="s">
        <v>8</v>
      </c>
      <c r="C21" s="4" t="s">
        <v>10</v>
      </c>
      <c r="D21" s="4" t="s">
        <v>7</v>
      </c>
      <c r="F21" s="19" t="s">
        <v>25</v>
      </c>
      <c r="G21" s="7">
        <f>D23</f>
        <v>9.8713867263116057</v>
      </c>
    </row>
    <row r="22" spans="1:9" x14ac:dyDescent="0.25">
      <c r="A22" s="10" t="s">
        <v>12</v>
      </c>
      <c r="B22" s="12" t="s">
        <v>14</v>
      </c>
      <c r="C22" s="12" t="s">
        <v>14</v>
      </c>
      <c r="D22" s="12" t="s">
        <v>14</v>
      </c>
      <c r="F22" s="19" t="s">
        <v>26</v>
      </c>
      <c r="G22" s="7">
        <f>SUM(D24:D26)</f>
        <v>9.8699934712245376</v>
      </c>
    </row>
    <row r="23" spans="1:9" x14ac:dyDescent="0.25">
      <c r="A23" s="2" t="s">
        <v>615</v>
      </c>
      <c r="B23" s="8">
        <f>C13-F13</f>
        <v>27.3</v>
      </c>
      <c r="C23" s="16">
        <f>B23/B13</f>
        <v>5.4600000000000004E-3</v>
      </c>
      <c r="D23" s="7">
        <f>0.2788*D13*(E13/1000)^2.63*C23^0.54*1000</f>
        <v>9.8713867263116057</v>
      </c>
      <c r="F23" s="19" t="s">
        <v>626</v>
      </c>
      <c r="G23" s="7">
        <f>G21-G22</f>
        <v>1.3932550870681126E-3</v>
      </c>
      <c r="I23" s="20"/>
    </row>
    <row r="24" spans="1:9" x14ac:dyDescent="0.25">
      <c r="A24" s="2" t="s">
        <v>625</v>
      </c>
      <c r="B24" s="8">
        <f>$F$13+C14-F14</f>
        <v>5.6999999999999993</v>
      </c>
      <c r="C24" s="16">
        <f>B24/B14</f>
        <v>1.8999999999999998E-3</v>
      </c>
      <c r="D24" s="7">
        <f>0.2788*D14*(E14/1000)^2.63*C24^0.54*1000</f>
        <v>1.4566622730993257</v>
      </c>
      <c r="F24" s="265"/>
      <c r="G24" s="266" t="str">
        <f>IF(ABS(G21-G22)&lt;0.01,"OK","Estipular novo valor de Po/")</f>
        <v>OK</v>
      </c>
      <c r="H24" s="267" t="str">
        <f>IF(G24="OK","","g")</f>
        <v/>
      </c>
    </row>
    <row r="25" spans="1:9" x14ac:dyDescent="0.25">
      <c r="A25" s="2" t="s">
        <v>617</v>
      </c>
      <c r="B25" s="8">
        <f>$F$13+C15-F15</f>
        <v>9.6999999999999993</v>
      </c>
      <c r="C25" s="16">
        <f t="shared" ref="C25:C26" si="0">B25/B15</f>
        <v>4.8499999999999993E-3</v>
      </c>
      <c r="D25" s="7">
        <f t="shared" ref="D25:D26" si="1">0.2788*D15*(E15/1000)^2.63*C25^0.54*1000</f>
        <v>5.1489816483770072</v>
      </c>
    </row>
    <row r="26" spans="1:9" x14ac:dyDescent="0.25">
      <c r="A26" s="2" t="s">
        <v>618</v>
      </c>
      <c r="B26" s="8">
        <f t="shared" ref="B25:B26" si="2">$F$13+C16-F16</f>
        <v>12.7</v>
      </c>
      <c r="C26" s="16">
        <f t="shared" si="0"/>
        <v>8.4666666666666657E-3</v>
      </c>
      <c r="D26" s="7">
        <f t="shared" si="1"/>
        <v>3.264349549748204</v>
      </c>
    </row>
    <row r="27" spans="1:9" x14ac:dyDescent="0.25">
      <c r="A27" s="3"/>
      <c r="B27" s="5"/>
      <c r="C27" s="5"/>
      <c r="D27" s="5"/>
    </row>
  </sheetData>
  <mergeCells count="3">
    <mergeCell ref="A10:A11"/>
    <mergeCell ref="D10:D11"/>
    <mergeCell ref="A20:A21"/>
  </mergeCells>
  <conditionalFormatting sqref="F13:F16">
    <cfRule type="cellIs" dxfId="1" priority="3" operator="equal">
      <formula>0</formula>
    </cfRule>
  </conditionalFormatting>
  <conditionalFormatting sqref="H24">
    <cfRule type="cellIs" dxfId="0" priority="2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showGridLines="0" zoomScale="145" zoomScaleNormal="145" workbookViewId="0">
      <selection activeCell="B10" sqref="B10"/>
    </sheetView>
  </sheetViews>
  <sheetFormatPr defaultRowHeight="15" x14ac:dyDescent="0.25"/>
  <sheetData>
    <row r="2" spans="1:6" x14ac:dyDescent="0.25">
      <c r="A2" s="1" t="s">
        <v>647</v>
      </c>
    </row>
    <row r="3" spans="1:6" x14ac:dyDescent="0.25">
      <c r="A3" t="s">
        <v>648</v>
      </c>
    </row>
    <row r="5" spans="1:6" ht="17.25" x14ac:dyDescent="0.25">
      <c r="A5" s="285" t="s">
        <v>635</v>
      </c>
      <c r="B5" s="268">
        <f>6.7/1000*3600</f>
        <v>24.12</v>
      </c>
      <c r="C5" t="s">
        <v>652</v>
      </c>
      <c r="D5" s="285" t="s">
        <v>639</v>
      </c>
      <c r="E5" s="268">
        <v>140</v>
      </c>
    </row>
    <row r="6" spans="1:6" ht="17.25" x14ac:dyDescent="0.25">
      <c r="B6" s="2">
        <f>B5/3600</f>
        <v>6.7000000000000002E-3</v>
      </c>
      <c r="C6" t="s">
        <v>651</v>
      </c>
      <c r="D6" s="285" t="s">
        <v>641</v>
      </c>
      <c r="E6" s="268">
        <v>30</v>
      </c>
      <c r="F6" t="s">
        <v>640</v>
      </c>
    </row>
    <row r="7" spans="1:6" x14ac:dyDescent="0.25">
      <c r="B7" s="2"/>
    </row>
    <row r="8" spans="1:6" x14ac:dyDescent="0.25">
      <c r="A8" s="2" t="s">
        <v>628</v>
      </c>
      <c r="B8" s="2" t="s">
        <v>629</v>
      </c>
      <c r="C8" s="2" t="s">
        <v>650</v>
      </c>
      <c r="D8" s="2" t="s">
        <v>653</v>
      </c>
    </row>
    <row r="9" spans="1:6" x14ac:dyDescent="0.25">
      <c r="A9" s="2">
        <v>1</v>
      </c>
      <c r="B9" s="286">
        <f>B11-B10</f>
        <v>2550.9721280514063</v>
      </c>
      <c r="C9" s="2">
        <f>10.65*($B$6/$E$5)^1.852*1/(D9/1000)^4.87</f>
        <v>3.243383866293741E-3</v>
      </c>
      <c r="D9" s="268">
        <v>120</v>
      </c>
    </row>
    <row r="10" spans="1:6" x14ac:dyDescent="0.25">
      <c r="A10" s="2">
        <v>2</v>
      </c>
      <c r="B10" s="286">
        <f>B11*(C11-C9)/(C10-C9)</f>
        <v>2449.0278719485937</v>
      </c>
      <c r="C10" s="2">
        <f>10.65*($B$6/$E$5)^1.852*1/(D10/1000)^4.87</f>
        <v>8.8713641871402526E-3</v>
      </c>
      <c r="D10" s="268">
        <v>97.6</v>
      </c>
    </row>
    <row r="11" spans="1:6" x14ac:dyDescent="0.25">
      <c r="A11" s="2" t="s">
        <v>649</v>
      </c>
      <c r="B11" s="268">
        <v>5000</v>
      </c>
      <c r="C11" s="2">
        <f>E6/B11</f>
        <v>6.0000000000000001E-3</v>
      </c>
      <c r="D11" s="7">
        <f>1.625*(B6/E5)^0.38*(B11/E6)^0.205*1000</f>
        <v>105.85518377170153</v>
      </c>
    </row>
    <row r="12" spans="1:6" x14ac:dyDescent="0.25">
      <c r="A12" s="2"/>
      <c r="B12" s="2"/>
      <c r="C12" s="2"/>
      <c r="D12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/>
  </sheetViews>
  <sheetFormatPr defaultRowHeight="15" x14ac:dyDescent="0.2"/>
  <cols>
    <col min="1" max="1" width="9.140625" style="269"/>
    <col min="2" max="2" width="13.140625" style="269" customWidth="1"/>
    <col min="3" max="4" width="9.140625" style="269"/>
    <col min="5" max="6" width="15.7109375" style="269" bestFit="1" customWidth="1"/>
    <col min="7" max="16384" width="9.140625" style="269"/>
  </cols>
  <sheetData>
    <row r="1" spans="1:6" ht="15.75" x14ac:dyDescent="0.25">
      <c r="A1" s="281" t="s">
        <v>646</v>
      </c>
    </row>
    <row r="3" spans="1:6" x14ac:dyDescent="0.2">
      <c r="A3" s="272" t="s">
        <v>645</v>
      </c>
      <c r="B3" s="273">
        <v>1.8520000000000001</v>
      </c>
    </row>
    <row r="4" spans="1:6" x14ac:dyDescent="0.2">
      <c r="A4" s="272" t="s">
        <v>644</v>
      </c>
      <c r="B4" s="273">
        <v>1.167</v>
      </c>
    </row>
    <row r="5" spans="1:6" x14ac:dyDescent="0.2">
      <c r="A5" s="272" t="s">
        <v>643</v>
      </c>
      <c r="B5" s="273">
        <f>2*B3+B4</f>
        <v>4.8710000000000004</v>
      </c>
    </row>
    <row r="7" spans="1:6" ht="15.75" x14ac:dyDescent="0.25">
      <c r="A7" s="280" t="s">
        <v>628</v>
      </c>
      <c r="B7" s="280" t="s">
        <v>629</v>
      </c>
      <c r="C7" s="280" t="s">
        <v>630</v>
      </c>
      <c r="D7" s="284"/>
      <c r="E7" s="284"/>
      <c r="F7" s="284"/>
    </row>
    <row r="8" spans="1:6" x14ac:dyDescent="0.2">
      <c r="A8" s="279">
        <v>1</v>
      </c>
      <c r="B8" s="278">
        <v>200</v>
      </c>
      <c r="C8" s="278">
        <v>50</v>
      </c>
    </row>
    <row r="9" spans="1:6" x14ac:dyDescent="0.2">
      <c r="A9" s="283">
        <v>2</v>
      </c>
      <c r="B9" s="282">
        <v>200</v>
      </c>
      <c r="C9" s="282">
        <v>75</v>
      </c>
    </row>
    <row r="10" spans="1:6" x14ac:dyDescent="0.2">
      <c r="A10" s="276">
        <v>3</v>
      </c>
      <c r="B10" s="275">
        <v>350</v>
      </c>
      <c r="C10" s="275">
        <v>50</v>
      </c>
    </row>
    <row r="11" spans="1:6" x14ac:dyDescent="0.2">
      <c r="A11" s="273" t="s">
        <v>642</v>
      </c>
      <c r="B11" s="274">
        <v>200</v>
      </c>
      <c r="C11" s="270">
        <f>ROUND(((((C8^B$5/B8)^(1/B$3)+(C9^B$5/B9)^(1/B$3)+(C10^B$5/B10)^(1/B$3))*B11^(1/B$3))^(1/(B$5/B$3))),2)</f>
        <v>89.65</v>
      </c>
      <c r="E11" s="272"/>
    </row>
    <row r="15" spans="1:6" ht="15.75" x14ac:dyDescent="0.25">
      <c r="A15" s="281" t="s">
        <v>627</v>
      </c>
    </row>
    <row r="17" spans="1:3" ht="15.75" x14ac:dyDescent="0.25">
      <c r="A17" s="280" t="s">
        <v>628</v>
      </c>
      <c r="B17" s="280" t="s">
        <v>629</v>
      </c>
      <c r="C17" s="280" t="s">
        <v>630</v>
      </c>
    </row>
    <row r="18" spans="1:3" x14ac:dyDescent="0.2">
      <c r="A18" s="279" t="s">
        <v>631</v>
      </c>
      <c r="B18" s="278">
        <v>200</v>
      </c>
      <c r="C18" s="277">
        <f>C11</f>
        <v>89.65</v>
      </c>
    </row>
    <row r="19" spans="1:3" x14ac:dyDescent="0.2">
      <c r="A19" s="276">
        <v>4</v>
      </c>
      <c r="B19" s="275">
        <v>200</v>
      </c>
      <c r="C19" s="275">
        <v>100</v>
      </c>
    </row>
    <row r="20" spans="1:3" x14ac:dyDescent="0.2">
      <c r="A20" s="273" t="s">
        <v>632</v>
      </c>
      <c r="B20" s="273">
        <f>SUM(B18:B19)</f>
        <v>400</v>
      </c>
      <c r="C20" s="270">
        <f>ROUND((B20/(B18/C18^B5+B19/C19^B5))^(1/B5),2)</f>
        <v>94.01</v>
      </c>
    </row>
    <row r="23" spans="1:3" x14ac:dyDescent="0.2">
      <c r="A23" s="272" t="s">
        <v>641</v>
      </c>
      <c r="B23" s="274">
        <v>10</v>
      </c>
      <c r="C23" s="269" t="s">
        <v>640</v>
      </c>
    </row>
    <row r="24" spans="1:3" x14ac:dyDescent="0.2">
      <c r="A24" s="272" t="s">
        <v>639</v>
      </c>
      <c r="B24" s="274">
        <v>150</v>
      </c>
    </row>
    <row r="25" spans="1:3" x14ac:dyDescent="0.2">
      <c r="A25" s="272" t="s">
        <v>638</v>
      </c>
      <c r="B25" s="270">
        <f>C20</f>
        <v>94.01</v>
      </c>
      <c r="C25" s="269" t="s">
        <v>633</v>
      </c>
    </row>
    <row r="26" spans="1:3" x14ac:dyDescent="0.2">
      <c r="A26" s="272" t="s">
        <v>637</v>
      </c>
      <c r="B26" s="273">
        <f>B20</f>
        <v>400</v>
      </c>
      <c r="C26" s="269" t="s">
        <v>636</v>
      </c>
    </row>
    <row r="27" spans="1:3" ht="18.75" x14ac:dyDescent="0.25">
      <c r="A27" s="272" t="s">
        <v>635</v>
      </c>
      <c r="B27" s="271">
        <f>0.2788*B24*(B25/1000)^2.63*(B23/B26)^0.54</f>
        <v>1.1368924744449841E-2</v>
      </c>
      <c r="C27" s="269" t="s">
        <v>634</v>
      </c>
    </row>
    <row r="28" spans="1:3" ht="18.75" x14ac:dyDescent="0.25">
      <c r="B28" s="270">
        <f>B27*3600</f>
        <v>40.928129080019431</v>
      </c>
      <c r="C28" s="269" t="s">
        <v>634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T44"/>
  <sheetViews>
    <sheetView showGridLines="0" topLeftCell="A3" zoomScale="115" zoomScaleNormal="115" workbookViewId="0">
      <selection activeCell="M18" sqref="M18"/>
    </sheetView>
  </sheetViews>
  <sheetFormatPr defaultRowHeight="15" x14ac:dyDescent="0.25"/>
  <cols>
    <col min="4" max="4" width="15.5703125" customWidth="1"/>
    <col min="5" max="5" width="9.28515625" bestFit="1" customWidth="1"/>
    <col min="7" max="7" width="5.85546875" customWidth="1"/>
    <col min="8" max="8" width="15.5703125" customWidth="1"/>
    <col min="9" max="9" width="9.28515625" bestFit="1" customWidth="1"/>
    <col min="11" max="11" width="5.85546875" customWidth="1"/>
    <col min="12" max="12" width="15.5703125" customWidth="1"/>
    <col min="13" max="13" width="9.85546875" bestFit="1" customWidth="1"/>
  </cols>
  <sheetData>
    <row r="3" spans="3:14" ht="18.75" x14ac:dyDescent="0.3">
      <c r="D3" s="414" t="s">
        <v>669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3:14" x14ac:dyDescent="0.25">
      <c r="C4" s="1"/>
    </row>
    <row r="5" spans="3:14" ht="15.75" x14ac:dyDescent="0.25">
      <c r="D5" s="415" t="s">
        <v>702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3:14" ht="22.5" customHeight="1" x14ac:dyDescent="0.25">
      <c r="D6" s="416" t="s">
        <v>668</v>
      </c>
      <c r="E6" s="416"/>
      <c r="F6" s="416"/>
      <c r="G6" s="287"/>
      <c r="H6" s="416" t="s">
        <v>667</v>
      </c>
      <c r="I6" s="416"/>
      <c r="J6" s="416"/>
      <c r="K6" s="288"/>
      <c r="L6" s="416" t="s">
        <v>666</v>
      </c>
      <c r="M6" s="416"/>
      <c r="N6" s="416"/>
    </row>
    <row r="7" spans="3:14" ht="15.75" x14ac:dyDescent="0.25">
      <c r="D7" s="289" t="s">
        <v>665</v>
      </c>
      <c r="E7" s="290">
        <v>45</v>
      </c>
      <c r="F7" s="291" t="s">
        <v>636</v>
      </c>
      <c r="G7" s="291"/>
      <c r="H7" s="289" t="s">
        <v>665</v>
      </c>
      <c r="I7" s="290">
        <v>45</v>
      </c>
      <c r="J7" s="291" t="s">
        <v>636</v>
      </c>
      <c r="K7" s="291"/>
      <c r="L7" s="289" t="s">
        <v>665</v>
      </c>
      <c r="M7" s="290">
        <v>45</v>
      </c>
      <c r="N7" s="291" t="s">
        <v>636</v>
      </c>
    </row>
    <row r="8" spans="3:14" ht="15.75" x14ac:dyDescent="0.25">
      <c r="D8" s="289" t="s">
        <v>664</v>
      </c>
      <c r="E8" s="290">
        <v>63</v>
      </c>
      <c r="F8" s="291" t="s">
        <v>636</v>
      </c>
      <c r="G8" s="291"/>
      <c r="H8" s="289" t="s">
        <v>664</v>
      </c>
      <c r="I8" s="290">
        <v>63</v>
      </c>
      <c r="J8" s="291" t="s">
        <v>636</v>
      </c>
      <c r="K8" s="291"/>
      <c r="L8" s="289" t="s">
        <v>664</v>
      </c>
      <c r="M8" s="290">
        <v>63</v>
      </c>
      <c r="N8" s="291" t="s">
        <v>636</v>
      </c>
    </row>
    <row r="9" spans="3:14" ht="15.75" x14ac:dyDescent="0.25">
      <c r="D9" s="289" t="s">
        <v>663</v>
      </c>
      <c r="E9" s="290">
        <v>45</v>
      </c>
      <c r="F9" s="291" t="s">
        <v>636</v>
      </c>
      <c r="G9" s="291"/>
      <c r="H9" s="289" t="s">
        <v>663</v>
      </c>
      <c r="I9" s="290">
        <v>45</v>
      </c>
      <c r="J9" s="291" t="s">
        <v>636</v>
      </c>
      <c r="K9" s="291"/>
      <c r="L9" s="289" t="s">
        <v>663</v>
      </c>
      <c r="M9" s="290">
        <v>45</v>
      </c>
      <c r="N9" s="291" t="s">
        <v>636</v>
      </c>
    </row>
    <row r="10" spans="3:14" ht="15.75" x14ac:dyDescent="0.25">
      <c r="D10" s="289" t="s">
        <v>662</v>
      </c>
      <c r="E10" s="290">
        <v>22.6</v>
      </c>
      <c r="F10" s="291" t="s">
        <v>633</v>
      </c>
      <c r="G10" s="291"/>
      <c r="H10" s="289" t="s">
        <v>662</v>
      </c>
      <c r="I10" s="290">
        <v>22.6</v>
      </c>
      <c r="J10" s="291" t="s">
        <v>633</v>
      </c>
      <c r="K10" s="291"/>
      <c r="L10" s="289" t="s">
        <v>662</v>
      </c>
      <c r="M10" s="290">
        <v>22.6</v>
      </c>
      <c r="N10" s="291" t="s">
        <v>633</v>
      </c>
    </row>
    <row r="11" spans="3:14" ht="15.75" x14ac:dyDescent="0.25">
      <c r="D11" s="289" t="s">
        <v>661</v>
      </c>
      <c r="E11" s="290">
        <v>22.6</v>
      </c>
      <c r="F11" s="291" t="s">
        <v>633</v>
      </c>
      <c r="G11" s="291"/>
      <c r="H11" s="289" t="s">
        <v>661</v>
      </c>
      <c r="I11" s="290">
        <v>22.6</v>
      </c>
      <c r="J11" s="291" t="s">
        <v>633</v>
      </c>
      <c r="K11" s="291"/>
      <c r="L11" s="289" t="s">
        <v>661</v>
      </c>
      <c r="M11" s="290">
        <v>22.6</v>
      </c>
      <c r="N11" s="291" t="s">
        <v>633</v>
      </c>
    </row>
    <row r="12" spans="3:14" ht="15.75" x14ac:dyDescent="0.25">
      <c r="D12" s="289" t="s">
        <v>660</v>
      </c>
      <c r="E12" s="290">
        <v>1.75</v>
      </c>
      <c r="F12" s="291"/>
      <c r="G12" s="291"/>
      <c r="H12" s="289" t="s">
        <v>660</v>
      </c>
      <c r="I12" s="290">
        <v>1.8520000000000001</v>
      </c>
      <c r="J12" s="291"/>
      <c r="K12" s="291"/>
      <c r="L12" s="289" t="s">
        <v>660</v>
      </c>
      <c r="M12" s="290">
        <v>2</v>
      </c>
      <c r="N12" s="291"/>
    </row>
    <row r="13" spans="3:14" ht="15.75" x14ac:dyDescent="0.25">
      <c r="D13" s="289" t="s">
        <v>659</v>
      </c>
      <c r="E13" s="290">
        <v>1.25</v>
      </c>
      <c r="F13" s="291"/>
      <c r="G13" s="291"/>
      <c r="H13" s="289" t="s">
        <v>659</v>
      </c>
      <c r="I13" s="290">
        <v>1.1659999999999999</v>
      </c>
      <c r="J13" s="291"/>
      <c r="K13" s="291"/>
      <c r="L13" s="289" t="s">
        <v>659</v>
      </c>
      <c r="M13" s="290">
        <v>1</v>
      </c>
      <c r="N13" s="291"/>
    </row>
    <row r="14" spans="3:14" ht="15.75" x14ac:dyDescent="0.25">
      <c r="D14" s="289" t="s">
        <v>658</v>
      </c>
      <c r="E14" s="292">
        <f>2*E12+E13</f>
        <v>4.75</v>
      </c>
      <c r="F14" s="291"/>
      <c r="G14" s="291"/>
      <c r="H14" s="289" t="s">
        <v>658</v>
      </c>
      <c r="I14" s="292">
        <f>2*I12+I13</f>
        <v>4.87</v>
      </c>
      <c r="J14" s="291"/>
      <c r="K14" s="291"/>
      <c r="L14" s="289" t="s">
        <v>658</v>
      </c>
      <c r="M14" s="292">
        <f>2*M12+M13</f>
        <v>5</v>
      </c>
      <c r="N14" s="291"/>
    </row>
    <row r="15" spans="3:14" ht="15.75" x14ac:dyDescent="0.25">
      <c r="D15" s="289" t="s">
        <v>657</v>
      </c>
      <c r="E15" s="293">
        <f>E14/E12</f>
        <v>2.7142857142857144</v>
      </c>
      <c r="F15" s="291"/>
      <c r="G15" s="291"/>
      <c r="H15" s="289" t="s">
        <v>657</v>
      </c>
      <c r="I15" s="293">
        <f>I14/I12</f>
        <v>2.6295896328293735</v>
      </c>
      <c r="J15" s="291"/>
      <c r="K15" s="291"/>
      <c r="L15" s="289" t="s">
        <v>657</v>
      </c>
      <c r="M15" s="293">
        <f>M14/M12</f>
        <v>2.5</v>
      </c>
      <c r="N15" s="291"/>
    </row>
    <row r="16" spans="3:14" ht="15.75" x14ac:dyDescent="0.25">
      <c r="D16" s="289" t="s">
        <v>656</v>
      </c>
      <c r="E16" s="293">
        <f>1/E12</f>
        <v>0.5714285714285714</v>
      </c>
      <c r="F16" s="291" t="s">
        <v>636</v>
      </c>
      <c r="G16" s="291"/>
      <c r="H16" s="289" t="s">
        <v>656</v>
      </c>
      <c r="I16" s="293">
        <f>1/I12</f>
        <v>0.5399568034557235</v>
      </c>
      <c r="J16" s="291" t="s">
        <v>636</v>
      </c>
      <c r="K16" s="291"/>
      <c r="L16" s="289" t="s">
        <v>656</v>
      </c>
      <c r="M16" s="293">
        <f>1/M12</f>
        <v>0.5</v>
      </c>
      <c r="N16" s="291" t="s">
        <v>636</v>
      </c>
    </row>
    <row r="17" spans="4:20" ht="15.75" x14ac:dyDescent="0.25">
      <c r="D17" s="289" t="s">
        <v>655</v>
      </c>
      <c r="E17" s="293">
        <f>E12/(2*E12+E13)</f>
        <v>0.36842105263157893</v>
      </c>
      <c r="F17" s="291"/>
      <c r="G17" s="291"/>
      <c r="H17" s="289" t="s">
        <v>655</v>
      </c>
      <c r="I17" s="293">
        <f>I12/(2*I12+I13)</f>
        <v>0.38028747433264887</v>
      </c>
      <c r="J17" s="291"/>
      <c r="K17" s="291"/>
      <c r="L17" s="289" t="s">
        <v>655</v>
      </c>
      <c r="M17" s="293">
        <f>M12/(2*M12+M13)</f>
        <v>0.4</v>
      </c>
      <c r="N17" s="291"/>
    </row>
    <row r="18" spans="4:20" ht="15.75" x14ac:dyDescent="0.25">
      <c r="D18" s="289" t="s">
        <v>654</v>
      </c>
      <c r="E18" s="294">
        <f>((E10^E15/E7^E16+E11^E15/E8^E16)*E9^E16)^E17</f>
        <v>28.20788739651011</v>
      </c>
      <c r="F18" s="291" t="s">
        <v>636</v>
      </c>
      <c r="G18" s="291"/>
      <c r="H18" s="289" t="s">
        <v>654</v>
      </c>
      <c r="I18" s="294">
        <f>((I10^I15/I7^I16+I11^I15/I8^I16)*I9^I16)^I17</f>
        <v>28.461906975014202</v>
      </c>
      <c r="J18" s="291" t="s">
        <v>636</v>
      </c>
      <c r="K18" s="291"/>
      <c r="L18" s="289" t="s">
        <v>654</v>
      </c>
      <c r="M18" s="294">
        <f>((M10^M15/M7^M16+M11^M15/M8^M16)*M9^M16)^M17</f>
        <v>28.874967942845675</v>
      </c>
      <c r="N18" s="291" t="s">
        <v>636</v>
      </c>
    </row>
    <row r="19" spans="4:20" x14ac:dyDescent="0.25">
      <c r="D19" s="5"/>
      <c r="E19" s="5"/>
      <c r="F19" s="5"/>
      <c r="H19" s="5"/>
      <c r="I19" s="5"/>
      <c r="J19" s="5"/>
      <c r="L19" s="5"/>
      <c r="M19" s="5"/>
      <c r="N19" s="5"/>
    </row>
    <row r="21" spans="4:20" ht="15.75" x14ac:dyDescent="0.25">
      <c r="D21" s="415" t="s">
        <v>670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</row>
    <row r="22" spans="4:20" ht="21.75" customHeight="1" x14ac:dyDescent="0.25">
      <c r="D22" s="416" t="s">
        <v>668</v>
      </c>
      <c r="E22" s="416"/>
      <c r="F22" s="416"/>
      <c r="G22" s="287"/>
      <c r="H22" s="416" t="s">
        <v>667</v>
      </c>
      <c r="I22" s="416"/>
      <c r="J22" s="416"/>
      <c r="K22" s="288"/>
      <c r="L22" s="416" t="s">
        <v>666</v>
      </c>
      <c r="M22" s="416"/>
      <c r="N22" s="416"/>
      <c r="P22" s="413" t="s">
        <v>696</v>
      </c>
      <c r="Q22" s="413"/>
      <c r="R22" s="413"/>
      <c r="S22" s="413"/>
      <c r="T22" s="413"/>
    </row>
    <row r="23" spans="4:20" x14ac:dyDescent="0.25">
      <c r="D23" s="285" t="s">
        <v>671</v>
      </c>
      <c r="E23" s="268">
        <v>25</v>
      </c>
      <c r="F23" t="s">
        <v>640</v>
      </c>
      <c r="H23" s="285" t="s">
        <v>671</v>
      </c>
      <c r="I23" s="268">
        <v>25</v>
      </c>
      <c r="J23" t="s">
        <v>640</v>
      </c>
      <c r="L23" s="285" t="s">
        <v>671</v>
      </c>
      <c r="M23" s="268">
        <v>25</v>
      </c>
      <c r="N23" t="s">
        <v>640</v>
      </c>
    </row>
    <row r="24" spans="4:20" x14ac:dyDescent="0.25">
      <c r="D24" s="285" t="s">
        <v>673</v>
      </c>
      <c r="E24" s="268">
        <v>0</v>
      </c>
      <c r="F24" t="s">
        <v>636</v>
      </c>
      <c r="H24" s="285" t="s">
        <v>673</v>
      </c>
      <c r="I24" s="268">
        <v>0</v>
      </c>
      <c r="J24" t="s">
        <v>636</v>
      </c>
      <c r="L24" s="285" t="s">
        <v>673</v>
      </c>
      <c r="M24" s="268">
        <v>0</v>
      </c>
      <c r="N24" t="s">
        <v>636</v>
      </c>
    </row>
    <row r="25" spans="4:20" x14ac:dyDescent="0.25">
      <c r="D25" s="285" t="s">
        <v>672</v>
      </c>
      <c r="E25" s="2">
        <f>0.2*E23-E24</f>
        <v>5</v>
      </c>
      <c r="F25" t="s">
        <v>640</v>
      </c>
      <c r="H25" s="285" t="s">
        <v>672</v>
      </c>
      <c r="I25" s="2">
        <f>0.2*I23-I24</f>
        <v>5</v>
      </c>
      <c r="J25" t="s">
        <v>640</v>
      </c>
      <c r="L25" s="285" t="s">
        <v>672</v>
      </c>
      <c r="M25" s="2">
        <f>0.2*M23-M24</f>
        <v>5</v>
      </c>
      <c r="N25" t="s">
        <v>640</v>
      </c>
    </row>
    <row r="26" spans="4:20" x14ac:dyDescent="0.25">
      <c r="D26" s="285" t="s">
        <v>677</v>
      </c>
      <c r="E26" s="295">
        <f>E25/E7</f>
        <v>0.1111111111111111</v>
      </c>
      <c r="F26" t="s">
        <v>675</v>
      </c>
      <c r="H26" s="285" t="s">
        <v>677</v>
      </c>
      <c r="I26" s="295">
        <f>I25/I7</f>
        <v>0.1111111111111111</v>
      </c>
      <c r="J26" t="s">
        <v>675</v>
      </c>
      <c r="L26" s="285" t="s">
        <v>677</v>
      </c>
      <c r="M26" s="295">
        <f>M25/M7</f>
        <v>0.1111111111111111</v>
      </c>
      <c r="N26" t="s">
        <v>675</v>
      </c>
    </row>
    <row r="27" spans="4:20" x14ac:dyDescent="0.25">
      <c r="D27" s="285" t="s">
        <v>678</v>
      </c>
      <c r="E27" s="295">
        <f>E25/E8</f>
        <v>7.9365079365079361E-2</v>
      </c>
      <c r="F27" t="s">
        <v>675</v>
      </c>
      <c r="H27" s="285" t="s">
        <v>678</v>
      </c>
      <c r="I27" s="295">
        <f>I25/I8</f>
        <v>7.9365079365079361E-2</v>
      </c>
      <c r="J27" t="s">
        <v>675</v>
      </c>
      <c r="L27" s="285" t="s">
        <v>678</v>
      </c>
      <c r="M27" s="295">
        <f>M25/M8</f>
        <v>7.9365079365079361E-2</v>
      </c>
      <c r="N27" t="s">
        <v>675</v>
      </c>
      <c r="P27" s="412" t="s">
        <v>701</v>
      </c>
      <c r="Q27" s="412"/>
      <c r="R27" s="412"/>
      <c r="S27" s="412"/>
      <c r="T27" s="412"/>
    </row>
    <row r="28" spans="4:20" x14ac:dyDescent="0.25">
      <c r="D28" s="285" t="s">
        <v>676</v>
      </c>
      <c r="E28" s="295">
        <f>E25/E9</f>
        <v>0.1111111111111111</v>
      </c>
      <c r="F28" t="s">
        <v>675</v>
      </c>
      <c r="H28" s="285" t="s">
        <v>676</v>
      </c>
      <c r="I28" s="295">
        <f>I25/I9</f>
        <v>0.1111111111111111</v>
      </c>
      <c r="J28" t="s">
        <v>675</v>
      </c>
      <c r="L28" s="285" t="s">
        <v>676</v>
      </c>
      <c r="M28" s="295">
        <f>M25/M9</f>
        <v>0.1111111111111111</v>
      </c>
      <c r="N28" t="s">
        <v>675</v>
      </c>
    </row>
    <row r="29" spans="4:20" ht="18.75" x14ac:dyDescent="0.35">
      <c r="D29" s="285" t="s">
        <v>681</v>
      </c>
      <c r="E29" s="298">
        <v>1.35E-4</v>
      </c>
      <c r="H29" s="285" t="s">
        <v>682</v>
      </c>
      <c r="I29" s="299">
        <v>140</v>
      </c>
      <c r="L29" s="285" t="s">
        <v>690</v>
      </c>
      <c r="M29" s="268">
        <v>20</v>
      </c>
      <c r="N29" t="s">
        <v>691</v>
      </c>
    </row>
    <row r="30" spans="4:20" ht="17.25" x14ac:dyDescent="0.25">
      <c r="D30" s="285" t="s">
        <v>679</v>
      </c>
      <c r="E30" s="297">
        <f>0.356/$E$29^0.57*(E10/1000)^2.714*E26^0.57*3600</f>
        <v>2.0072169889599665</v>
      </c>
      <c r="F30" t="s">
        <v>652</v>
      </c>
      <c r="H30" s="285" t="s">
        <v>679</v>
      </c>
      <c r="I30" s="297">
        <f>0.2788*$I$29*(I10/1000)^2.63*I26^0.54*3600</f>
        <v>2.0125076770467705</v>
      </c>
      <c r="J30" t="s">
        <v>652</v>
      </c>
      <c r="L30" s="285" t="s">
        <v>692</v>
      </c>
      <c r="M30" s="296">
        <f>-0.0000000000000007*$M29^5 + 0.0000000000002*$M29^4 - 0.00000000002*$M29^3 + 0.000000001*$M29^2 - 0.00000006*$M29 + 0.000002</f>
        <v>1.0697600000000001E-6</v>
      </c>
      <c r="N30" t="s">
        <v>693</v>
      </c>
    </row>
    <row r="31" spans="4:20" ht="18" x14ac:dyDescent="0.25">
      <c r="D31" s="285" t="s">
        <v>680</v>
      </c>
      <c r="E31" s="297">
        <f>0.356/$E$29^0.57*(E11/1000)^2.714*E27^0.57*3600</f>
        <v>1.6569192509314008</v>
      </c>
      <c r="F31" t="s">
        <v>652</v>
      </c>
      <c r="H31" s="285" t="s">
        <v>680</v>
      </c>
      <c r="I31" s="297">
        <f>0.2788*$I$29*(I11/1000)^2.63*I27^0.54*3600</f>
        <v>1.6781408390481347</v>
      </c>
      <c r="J31" t="s">
        <v>652</v>
      </c>
      <c r="L31" s="285" t="s">
        <v>697</v>
      </c>
      <c r="M31" s="268">
        <f>0.005/1000</f>
        <v>5.0000000000000004E-6</v>
      </c>
      <c r="N31" t="s">
        <v>636</v>
      </c>
    </row>
    <row r="32" spans="4:20" ht="18" x14ac:dyDescent="0.25">
      <c r="D32" s="285" t="s">
        <v>694</v>
      </c>
      <c r="E32" s="297">
        <f>0.356/$E$29^0.57*(E18/1000)^2.714*E28^0.57*3600</f>
        <v>3.6631080036866339</v>
      </c>
      <c r="F32" t="s">
        <v>652</v>
      </c>
      <c r="H32" s="285" t="s">
        <v>694</v>
      </c>
      <c r="I32" s="297">
        <f>0.2788*$I$29*(I18/1000)^2.63*I28^0.54*3600</f>
        <v>3.6910221997589208</v>
      </c>
      <c r="J32" t="s">
        <v>652</v>
      </c>
      <c r="L32" s="285" t="s">
        <v>698</v>
      </c>
      <c r="M32" s="295">
        <f>$M$31/(M10/1000)</f>
        <v>2.2123893805309734E-4</v>
      </c>
      <c r="N32" t="s">
        <v>674</v>
      </c>
    </row>
    <row r="33" spans="4:14" ht="18" x14ac:dyDescent="0.25">
      <c r="D33" s="285" t="s">
        <v>695</v>
      </c>
      <c r="E33" s="297">
        <f>SUM(E30:E31)</f>
        <v>3.6641362398913673</v>
      </c>
      <c r="F33" t="s">
        <v>652</v>
      </c>
      <c r="H33" s="285" t="s">
        <v>695</v>
      </c>
      <c r="I33" s="297">
        <f>SUM(I30:I31)</f>
        <v>3.690648516094905</v>
      </c>
      <c r="J33" t="s">
        <v>652</v>
      </c>
      <c r="L33" s="285" t="s">
        <v>699</v>
      </c>
      <c r="M33" s="295">
        <f>$M$31/(M11/1000)</f>
        <v>2.2123893805309734E-4</v>
      </c>
      <c r="N33" t="s">
        <v>674</v>
      </c>
    </row>
    <row r="34" spans="4:14" ht="18" x14ac:dyDescent="0.25">
      <c r="D34" s="5"/>
      <c r="E34" s="5"/>
      <c r="F34" s="5"/>
      <c r="H34" s="5"/>
      <c r="I34" s="5"/>
      <c r="J34" s="5"/>
      <c r="L34" s="285" t="s">
        <v>700</v>
      </c>
      <c r="M34" s="295">
        <f>$M$31/(M18/1000)</f>
        <v>1.7316036540358641E-4</v>
      </c>
      <c r="N34" t="s">
        <v>674</v>
      </c>
    </row>
    <row r="35" spans="4:14" ht="17.25" x14ac:dyDescent="0.25">
      <c r="L35" s="285" t="s">
        <v>679</v>
      </c>
      <c r="M35" s="297">
        <f>(-PI()/2*LOG(0.27*M32+1.78*$M$30/((M10/1000)*SQRT(9.81*(M10/1000)*M26)))*(M10/1000)^2*SQRT(9.81*(M10/1000)*M26))*3600</f>
        <v>1.4616677697774874</v>
      </c>
      <c r="N35" t="s">
        <v>652</v>
      </c>
    </row>
    <row r="36" spans="4:14" ht="17.25" x14ac:dyDescent="0.25">
      <c r="L36" s="285" t="s">
        <v>680</v>
      </c>
      <c r="M36" s="297">
        <f>(-PI()/2*LOG(0.27*M33+1.78*$M$30/((M11/1000)*SQRT(9.81*(M11/1000)*M27)))*(M11/1000)^2*SQRT(9.81*(M11/1000)*M27))*3600</f>
        <v>1.2099420321506509</v>
      </c>
      <c r="N36" t="s">
        <v>652</v>
      </c>
    </row>
    <row r="37" spans="4:14" ht="17.25" x14ac:dyDescent="0.25">
      <c r="L37" s="285" t="s">
        <v>635</v>
      </c>
      <c r="M37" s="297">
        <f>(-PI()/2*LOG(0.27*M34+1.78*$M$30/((M18/1000)*SQRT(9.81*(M18/1000)*M28)))*(M18/1000)^2*SQRT(9.81*(M18/1000)*M28))*3600</f>
        <v>2.82580600163997</v>
      </c>
      <c r="N37" t="s">
        <v>652</v>
      </c>
    </row>
    <row r="38" spans="4:14" ht="17.25" x14ac:dyDescent="0.25">
      <c r="L38" s="285" t="s">
        <v>695</v>
      </c>
      <c r="M38" s="297">
        <f>SUM(M35:M36)</f>
        <v>2.6716098019281382</v>
      </c>
      <c r="N38" t="s">
        <v>652</v>
      </c>
    </row>
    <row r="39" spans="4:14" x14ac:dyDescent="0.25">
      <c r="L39" s="285" t="s">
        <v>683</v>
      </c>
      <c r="M39" s="7">
        <f>4*(M35/3600)/(PI()*(M10/1000)^2)</f>
        <v>1.0121372539318034</v>
      </c>
      <c r="N39" t="s">
        <v>686</v>
      </c>
    </row>
    <row r="40" spans="4:14" x14ac:dyDescent="0.25">
      <c r="L40" s="285" t="s">
        <v>684</v>
      </c>
      <c r="M40" s="7">
        <f>4*(M36/3600)/(PI()*(M11/1000)^2)</f>
        <v>0.83782883577165634</v>
      </c>
      <c r="N40" t="s">
        <v>686</v>
      </c>
    </row>
    <row r="41" spans="4:14" x14ac:dyDescent="0.25">
      <c r="L41" s="285" t="s">
        <v>685</v>
      </c>
      <c r="M41" s="7">
        <f>4*(M37/3600)/(PI()*(M18/1000)^2)</f>
        <v>1.1986901581213787</v>
      </c>
      <c r="N41" t="s">
        <v>686</v>
      </c>
    </row>
    <row r="42" spans="4:14" x14ac:dyDescent="0.25">
      <c r="L42" s="285" t="s">
        <v>687</v>
      </c>
      <c r="M42" s="286">
        <f>M39*(M10/1000)/$M$30</f>
        <v>21382.648387356752</v>
      </c>
    </row>
    <row r="43" spans="4:14" x14ac:dyDescent="0.25">
      <c r="L43" s="285" t="s">
        <v>688</v>
      </c>
      <c r="M43" s="286">
        <f t="shared" ref="M43" si="0">M40*(M11/1000)/$M$30</f>
        <v>17700.167970796661</v>
      </c>
    </row>
    <row r="44" spans="4:14" x14ac:dyDescent="0.25">
      <c r="L44" s="285" t="s">
        <v>689</v>
      </c>
      <c r="M44" s="286">
        <f>M41*(M18/1000)/$M$30</f>
        <v>32355.05149674639</v>
      </c>
    </row>
  </sheetData>
  <mergeCells count="11">
    <mergeCell ref="P27:T27"/>
    <mergeCell ref="P22:T22"/>
    <mergeCell ref="D3:N3"/>
    <mergeCell ref="D21:N21"/>
    <mergeCell ref="D6:F6"/>
    <mergeCell ref="H6:J6"/>
    <mergeCell ref="L6:N6"/>
    <mergeCell ref="D22:F22"/>
    <mergeCell ref="H22:J22"/>
    <mergeCell ref="L22:N22"/>
    <mergeCell ref="D5:N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70</vt:i4>
      </vt:variant>
    </vt:vector>
  </HeadingPairs>
  <TitlesOfParts>
    <vt:vector size="76" baseType="lpstr">
      <vt:lpstr>Catálogos</vt:lpstr>
      <vt:lpstr>1º Caso</vt:lpstr>
      <vt:lpstr>2º Caso</vt:lpstr>
      <vt:lpstr>Série</vt:lpstr>
      <vt:lpstr>Paralelo + Série</vt:lpstr>
      <vt:lpstr>Asp_Malha</vt:lpstr>
      <vt:lpstr>Catálogos!TABLE</vt:lpstr>
      <vt:lpstr>Catálogos!TABLE_10</vt:lpstr>
      <vt:lpstr>Catálogos!TABLE_11</vt:lpstr>
      <vt:lpstr>Catálogos!TABLE_12</vt:lpstr>
      <vt:lpstr>Catálogos!TABLE_13</vt:lpstr>
      <vt:lpstr>Catálogos!TABLE_14</vt:lpstr>
      <vt:lpstr>Catálogos!TABLE_15</vt:lpstr>
      <vt:lpstr>Catálogos!TABLE_16</vt:lpstr>
      <vt:lpstr>Catálogos!TABLE_17</vt:lpstr>
      <vt:lpstr>Catálogos!TABLE_18</vt:lpstr>
      <vt:lpstr>Catálogos!TABLE_19</vt:lpstr>
      <vt:lpstr>Catálogos!TABLE_2</vt:lpstr>
      <vt:lpstr>Catálogos!TABLE_20</vt:lpstr>
      <vt:lpstr>Catálogos!TABLE_21</vt:lpstr>
      <vt:lpstr>Catálogos!TABLE_22</vt:lpstr>
      <vt:lpstr>Catálogos!TABLE_23</vt:lpstr>
      <vt:lpstr>Catálogos!TABLE_24</vt:lpstr>
      <vt:lpstr>Catálogos!TABLE_25</vt:lpstr>
      <vt:lpstr>Catálogos!TABLE_26</vt:lpstr>
      <vt:lpstr>Catálogos!TABLE_27</vt:lpstr>
      <vt:lpstr>Catálogos!TABLE_28</vt:lpstr>
      <vt:lpstr>Catálogos!TABLE_29</vt:lpstr>
      <vt:lpstr>Catálogos!TABLE_3</vt:lpstr>
      <vt:lpstr>Catálogos!TABLE_30</vt:lpstr>
      <vt:lpstr>Catálogos!TABLE_31</vt:lpstr>
      <vt:lpstr>Catálogos!TABLE_32</vt:lpstr>
      <vt:lpstr>Catálogos!TABLE_33</vt:lpstr>
      <vt:lpstr>Catálogos!TABLE_34</vt:lpstr>
      <vt:lpstr>Catálogos!TABLE_35</vt:lpstr>
      <vt:lpstr>Catálogos!TABLE_36</vt:lpstr>
      <vt:lpstr>Catálogos!TABLE_37</vt:lpstr>
      <vt:lpstr>Catálogos!TABLE_38</vt:lpstr>
      <vt:lpstr>Catálogos!TABLE_39</vt:lpstr>
      <vt:lpstr>Catálogos!TABLE_4</vt:lpstr>
      <vt:lpstr>Catálogos!TABLE_40</vt:lpstr>
      <vt:lpstr>Catálogos!TABLE_41</vt:lpstr>
      <vt:lpstr>Catálogos!TABLE_42</vt:lpstr>
      <vt:lpstr>Catálogos!TABLE_43</vt:lpstr>
      <vt:lpstr>Catálogos!TABLE_44</vt:lpstr>
      <vt:lpstr>Catálogos!TABLE_45</vt:lpstr>
      <vt:lpstr>Catálogos!TABLE_5</vt:lpstr>
      <vt:lpstr>Catálogos!TABLE_6</vt:lpstr>
      <vt:lpstr>Catálogos!TABLE_61</vt:lpstr>
      <vt:lpstr>Catálogos!TABLE_62</vt:lpstr>
      <vt:lpstr>Catálogos!TABLE_63</vt:lpstr>
      <vt:lpstr>Catálogos!TABLE_64</vt:lpstr>
      <vt:lpstr>Catálogos!TABLE_65</vt:lpstr>
      <vt:lpstr>Catálogos!TABLE_66</vt:lpstr>
      <vt:lpstr>Catálogos!TABLE_67</vt:lpstr>
      <vt:lpstr>Catálogos!TABLE_68</vt:lpstr>
      <vt:lpstr>Catálogos!TABLE_69</vt:lpstr>
      <vt:lpstr>Catálogos!TABLE_7</vt:lpstr>
      <vt:lpstr>Catálogos!TABLE_70</vt:lpstr>
      <vt:lpstr>Catálogos!TABLE_71</vt:lpstr>
      <vt:lpstr>Catálogos!TABLE_72</vt:lpstr>
      <vt:lpstr>Catálogos!TABLE_73</vt:lpstr>
      <vt:lpstr>Catálogos!TABLE_74</vt:lpstr>
      <vt:lpstr>Catálogos!TABLE_75</vt:lpstr>
      <vt:lpstr>Catálogos!TABLE_76</vt:lpstr>
      <vt:lpstr>Catálogos!TABLE_77</vt:lpstr>
      <vt:lpstr>Catálogos!TABLE_78</vt:lpstr>
      <vt:lpstr>Catálogos!TABLE_79</vt:lpstr>
      <vt:lpstr>Catálogos!TABLE_8</vt:lpstr>
      <vt:lpstr>Catálogos!TABLE_80</vt:lpstr>
      <vt:lpstr>Catálogos!TABLE_81</vt:lpstr>
      <vt:lpstr>Catálogos!TABLE_82</vt:lpstr>
      <vt:lpstr>Catálogos!TABLE_83</vt:lpstr>
      <vt:lpstr>Catálogos!TABLE_84</vt:lpstr>
      <vt:lpstr>Catálogos!TABLE_85</vt:lpstr>
      <vt:lpstr>Catálogos!TABLE_9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Fernando</cp:lastModifiedBy>
  <dcterms:created xsi:type="dcterms:W3CDTF">2017-04-28T13:24:06Z</dcterms:created>
  <dcterms:modified xsi:type="dcterms:W3CDTF">2020-11-05T07:29:54Z</dcterms:modified>
</cp:coreProperties>
</file>