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ontabilidade Custos_Bruno\Aula 8\"/>
    </mc:Choice>
  </mc:AlternateContent>
  <xr:revisionPtr revIDLastSave="0" documentId="13_ncr:1_{A14C5B50-AFEE-4014-8E99-E652C7A5F4D6}" xr6:coauthVersionLast="45" xr6:coauthVersionMax="45" xr10:uidLastSave="{00000000-0000-0000-0000-000000000000}"/>
  <bookViews>
    <workbookView xWindow="-120" yWindow="-120" windowWidth="20730" windowHeight="11160" firstSheet="3" activeTab="4" xr2:uid="{C25DCACC-3ECF-4A52-928D-166EB52DAE1A}"/>
  </bookViews>
  <sheets>
    <sheet name="Dados iniciais" sheetId="1" r:id="rId1"/>
    <sheet name="Controle de Inventário" sheetId="2" r:id="rId2"/>
    <sheet name="Mão-de-obra Direta" sheetId="3" r:id="rId3"/>
    <sheet name="Custos Indiretos" sheetId="4" r:id="rId4"/>
    <sheet name="Custos Totais e Unitários_DRE" sheetId="5" r:id="rId5"/>
    <sheet name="Gráfico_Custos unitários" sheetId="6" r:id="rId6"/>
    <sheet name="Análise Vertical" sheetId="7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5" l="1"/>
  <c r="L30" i="5"/>
  <c r="K30" i="5"/>
  <c r="L29" i="5"/>
  <c r="K29" i="5"/>
  <c r="L27" i="5"/>
  <c r="K27" i="5"/>
  <c r="L26" i="5"/>
  <c r="K26" i="5"/>
  <c r="K21" i="5"/>
  <c r="K20" i="5"/>
  <c r="K19" i="5"/>
  <c r="K18" i="5"/>
  <c r="K16" i="5"/>
  <c r="K17" i="5"/>
  <c r="K15" i="5"/>
  <c r="O12" i="5"/>
  <c r="O11" i="5"/>
  <c r="O10" i="5"/>
  <c r="O9" i="5"/>
  <c r="O8" i="5"/>
  <c r="O7" i="5"/>
  <c r="O6" i="5"/>
  <c r="O5" i="5"/>
  <c r="O4" i="5"/>
  <c r="O3" i="5"/>
  <c r="L6" i="5"/>
  <c r="K6" i="5"/>
  <c r="K7" i="5" s="1"/>
  <c r="K9" i="5" s="1"/>
  <c r="K11" i="5" s="1"/>
  <c r="L3" i="5"/>
  <c r="K3" i="5"/>
  <c r="L8" i="5"/>
  <c r="K8" i="5"/>
  <c r="L4" i="5"/>
  <c r="K4" i="5"/>
  <c r="L7" i="5" l="1"/>
  <c r="L9" i="5" s="1"/>
  <c r="L11" i="5" s="1"/>
  <c r="F21" i="5"/>
  <c r="F20" i="5"/>
  <c r="F19" i="5"/>
  <c r="F18" i="5"/>
  <c r="F16" i="5"/>
  <c r="F17" i="5"/>
  <c r="F15" i="5"/>
  <c r="C30" i="5"/>
  <c r="C29" i="5"/>
  <c r="C28" i="5"/>
  <c r="C27" i="5"/>
  <c r="C26" i="5"/>
  <c r="C16" i="5"/>
  <c r="C17" i="5"/>
  <c r="B16" i="5"/>
  <c r="B17" i="5"/>
  <c r="G2" i="5" l="1"/>
  <c r="F2" i="5"/>
  <c r="H2" i="5" s="1"/>
  <c r="C7" i="5"/>
  <c r="C20" i="5" s="1"/>
  <c r="B7" i="5"/>
  <c r="B20" i="5" s="1"/>
  <c r="C5" i="5"/>
  <c r="C18" i="5" s="1"/>
  <c r="B5" i="5"/>
  <c r="B18" i="5" s="1"/>
  <c r="C2" i="5"/>
  <c r="B2" i="5"/>
  <c r="B15" i="5" s="1"/>
  <c r="C15" i="4"/>
  <c r="B15" i="4"/>
  <c r="C14" i="4"/>
  <c r="B14" i="4"/>
  <c r="B6" i="4"/>
  <c r="C13" i="4"/>
  <c r="B13" i="4"/>
  <c r="G23" i="4"/>
  <c r="F23" i="4"/>
  <c r="F12" i="4"/>
  <c r="G12" i="4"/>
  <c r="F13" i="4"/>
  <c r="G13" i="4"/>
  <c r="G11" i="4"/>
  <c r="F11" i="4"/>
  <c r="F14" i="4" s="1"/>
  <c r="F16" i="4" s="1"/>
  <c r="C11" i="4"/>
  <c r="B11" i="4"/>
  <c r="G7" i="4"/>
  <c r="F7" i="4"/>
  <c r="G6" i="4"/>
  <c r="F6" i="4"/>
  <c r="C10" i="4"/>
  <c r="B10" i="4"/>
  <c r="H7" i="3"/>
  <c r="H6" i="3"/>
  <c r="H3" i="3"/>
  <c r="H2" i="3"/>
  <c r="C21" i="3"/>
  <c r="B21" i="3"/>
  <c r="C19" i="3"/>
  <c r="B19" i="3"/>
  <c r="C18" i="3"/>
  <c r="C17" i="3"/>
  <c r="B17" i="3"/>
  <c r="C16" i="3"/>
  <c r="B16" i="3"/>
  <c r="C15" i="3"/>
  <c r="B15" i="3"/>
  <c r="C14" i="3"/>
  <c r="B14" i="3"/>
  <c r="C13" i="3"/>
  <c r="B13" i="3"/>
  <c r="C12" i="3"/>
  <c r="B12" i="3"/>
  <c r="B18" i="3" s="1"/>
  <c r="C33" i="2"/>
  <c r="B33" i="2"/>
  <c r="C32" i="2"/>
  <c r="B32" i="2"/>
  <c r="C31" i="2"/>
  <c r="B31" i="2"/>
  <c r="C30" i="2"/>
  <c r="B30" i="2"/>
  <c r="G26" i="2"/>
  <c r="F26" i="2"/>
  <c r="I25" i="2"/>
  <c r="J25" i="2"/>
  <c r="H25" i="2"/>
  <c r="G25" i="2"/>
  <c r="F25" i="2"/>
  <c r="I24" i="2"/>
  <c r="J24" i="2"/>
  <c r="H24" i="2"/>
  <c r="C24" i="2"/>
  <c r="D24" i="2"/>
  <c r="I23" i="2"/>
  <c r="G19" i="2"/>
  <c r="F19" i="2"/>
  <c r="J18" i="2"/>
  <c r="I18" i="2"/>
  <c r="H18" i="2"/>
  <c r="G18" i="2"/>
  <c r="F18" i="2"/>
  <c r="C6" i="5" l="1"/>
  <c r="C8" i="5" s="1"/>
  <c r="C15" i="5"/>
  <c r="G3" i="5"/>
  <c r="G4" i="5" s="1"/>
  <c r="G5" i="5" s="1"/>
  <c r="C10" i="5"/>
  <c r="B19" i="5"/>
  <c r="B21" i="5" s="1"/>
  <c r="B29" i="5" s="1"/>
  <c r="B6" i="5"/>
  <c r="B8" i="5" s="1"/>
  <c r="G14" i="4"/>
  <c r="G16" i="4" s="1"/>
  <c r="G17" i="4" s="1"/>
  <c r="C12" i="4" s="1"/>
  <c r="I17" i="2"/>
  <c r="J17" i="2"/>
  <c r="H17" i="2"/>
  <c r="C17" i="2"/>
  <c r="D17" i="2"/>
  <c r="I16" i="2"/>
  <c r="G12" i="2"/>
  <c r="F12" i="2"/>
  <c r="J11" i="2"/>
  <c r="I11" i="2"/>
  <c r="F11" i="2"/>
  <c r="G11" i="2" s="1"/>
  <c r="H11" i="2"/>
  <c r="I10" i="2"/>
  <c r="J10" i="2"/>
  <c r="C10" i="2"/>
  <c r="E4" i="2"/>
  <c r="D3" i="2"/>
  <c r="E3" i="2" s="1"/>
  <c r="D4" i="2"/>
  <c r="F4" i="2" s="1"/>
  <c r="D2" i="2"/>
  <c r="E2" i="2" s="1"/>
  <c r="I9" i="2"/>
  <c r="B30" i="5" l="1"/>
  <c r="B26" i="5"/>
  <c r="C19" i="5"/>
  <c r="C21" i="5" s="1"/>
  <c r="B28" i="5"/>
  <c r="B27" i="5"/>
  <c r="F3" i="5"/>
  <c r="B10" i="5"/>
  <c r="F17" i="4"/>
  <c r="B12" i="4" s="1"/>
  <c r="E5" i="2"/>
  <c r="F3" i="2"/>
  <c r="D5" i="2"/>
  <c r="F2" i="2"/>
  <c r="H3" i="5" l="1"/>
  <c r="H4" i="5" s="1"/>
  <c r="F4" i="5"/>
  <c r="F5" i="5" s="1"/>
  <c r="F5" i="2"/>
  <c r="G4" i="2" s="1"/>
  <c r="H4" i="2" s="1"/>
  <c r="I4" i="2" s="1"/>
  <c r="G2" i="2"/>
  <c r="I3" i="2"/>
  <c r="G3" i="2"/>
  <c r="H3" i="2" s="1"/>
  <c r="H7" i="5" l="1"/>
  <c r="H5" i="5"/>
  <c r="G5" i="2"/>
  <c r="H2" i="2"/>
  <c r="H8" i="5" l="1"/>
  <c r="H9" i="5"/>
  <c r="H10" i="5" s="1"/>
  <c r="H11" i="5" s="1"/>
  <c r="H5" i="2"/>
  <c r="I2" i="2"/>
  <c r="I5" i="2" s="1"/>
</calcChain>
</file>

<file path=xl/sharedStrings.xml><?xml version="1.0" encoding="utf-8"?>
<sst xmlns="http://schemas.openxmlformats.org/spreadsheetml/2006/main" count="290" uniqueCount="134">
  <si>
    <t>Produtos</t>
  </si>
  <si>
    <t>Quantidade</t>
  </si>
  <si>
    <t>Preço/unidade</t>
  </si>
  <si>
    <t>Seguro</t>
  </si>
  <si>
    <t>Transporte</t>
  </si>
  <si>
    <t>a ratear</t>
  </si>
  <si>
    <t>Quantidade Compradas</t>
  </si>
  <si>
    <t>Valor do estoque</t>
  </si>
  <si>
    <t>Componente A</t>
  </si>
  <si>
    <t>Componente B</t>
  </si>
  <si>
    <t>Componente C</t>
  </si>
  <si>
    <t>Estoque Inical Materiais Diretos</t>
  </si>
  <si>
    <t>Mão-de-obra direta</t>
  </si>
  <si>
    <t>Produto W</t>
  </si>
  <si>
    <t>Produto Z</t>
  </si>
  <si>
    <t>Materiais Diretos empregados (quantidades)</t>
  </si>
  <si>
    <t>Quantidade de funcionários</t>
  </si>
  <si>
    <t>Custo da hora do colaborador</t>
  </si>
  <si>
    <t>Horas de mão-de-obra direta (por colaborador)</t>
  </si>
  <si>
    <t>Horas de mão-de-obra direta consideradas ociosas</t>
  </si>
  <si>
    <t>Custos indiretos</t>
  </si>
  <si>
    <t>Supervisor</t>
  </si>
  <si>
    <t>Engenharia de produção</t>
  </si>
  <si>
    <t>Materiais indiretos</t>
  </si>
  <si>
    <t>Outros custos diretos</t>
  </si>
  <si>
    <t>Outros materiais diretos</t>
  </si>
  <si>
    <t>Energia elétrica direta</t>
  </si>
  <si>
    <t>Gastos</t>
  </si>
  <si>
    <t>Direcionador de custos</t>
  </si>
  <si>
    <t>No de lotes produzidos</t>
  </si>
  <si>
    <t>No total de componentes empregados em cada produto</t>
  </si>
  <si>
    <t>energia elétrica indireta</t>
  </si>
  <si>
    <t>Energia elétrica direta empregada na produção de cada produto</t>
  </si>
  <si>
    <t>Entradas</t>
  </si>
  <si>
    <t>Saídas</t>
  </si>
  <si>
    <t>Qtd</t>
  </si>
  <si>
    <t>Preço unit.</t>
  </si>
  <si>
    <t>Total</t>
  </si>
  <si>
    <t>Valor total</t>
  </si>
  <si>
    <t>Valor total c/Seguro</t>
  </si>
  <si>
    <t>Frete</t>
  </si>
  <si>
    <t>Total Geral</t>
  </si>
  <si>
    <t>80 (Produto W)</t>
  </si>
  <si>
    <t>50 (Produto Z)</t>
  </si>
  <si>
    <t>95 (Produto W)</t>
  </si>
  <si>
    <t>95 (Produto Z)</t>
  </si>
  <si>
    <t>40 (Produto W)</t>
  </si>
  <si>
    <t>280 (Produto Z)</t>
  </si>
  <si>
    <t>Materiais Diretos</t>
  </si>
  <si>
    <t>Total Materiais Diretos</t>
  </si>
  <si>
    <t>Número total de dias no ano</t>
  </si>
  <si>
    <t>(-) Repousos semanais remunerados</t>
  </si>
  <si>
    <t>(-) Férias</t>
  </si>
  <si>
    <t>(-) Feriados</t>
  </si>
  <si>
    <t>(=) Número de dias à disposição</t>
  </si>
  <si>
    <t>( x ) Jornada diária</t>
  </si>
  <si>
    <t>7,33</t>
  </si>
  <si>
    <t>(=) Horas à disposição no ano</t>
  </si>
  <si>
    <t>Salários</t>
  </si>
  <si>
    <t>Repousos semanais</t>
  </si>
  <si>
    <t>Férias</t>
  </si>
  <si>
    <t>13º Salário</t>
  </si>
  <si>
    <t>Adicionais Constitucional de Férias (1/3 de c)</t>
  </si>
  <si>
    <t>Feriados</t>
  </si>
  <si>
    <t>Remuneração Total</t>
  </si>
  <si>
    <t>Itens</t>
  </si>
  <si>
    <t>Colaboradores (Produto W)</t>
  </si>
  <si>
    <t>Colaboradores (Produto Z)</t>
  </si>
  <si>
    <t>(+) Fator de contribuição patronal (1,368)</t>
  </si>
  <si>
    <t>Horas à disposição no ano</t>
  </si>
  <si>
    <t>Custo total com hmod</t>
  </si>
  <si>
    <t>HMOD aplicadas por funcionário</t>
  </si>
  <si>
    <t>Número de funcionários</t>
  </si>
  <si>
    <t>$ MOD</t>
  </si>
  <si>
    <t>HMOD ociosas</t>
  </si>
  <si>
    <t>Horas ociosas por funcionário</t>
  </si>
  <si>
    <t>Número de funcionáios</t>
  </si>
  <si>
    <t>$ MOD ociosa</t>
  </si>
  <si>
    <t>Custos Indiretos</t>
  </si>
  <si>
    <t>Engenharia de Produção</t>
  </si>
  <si>
    <t>% de Aplicação</t>
  </si>
  <si>
    <t>(+) Ouros materiais diretos</t>
  </si>
  <si>
    <t xml:space="preserve">Total  </t>
  </si>
  <si>
    <t>Alocação de custos de Engenharia de Produção</t>
  </si>
  <si>
    <t>Energia elétrica indireta</t>
  </si>
  <si>
    <t>Alocação energia elétrica indireta</t>
  </si>
  <si>
    <t>Valor</t>
  </si>
  <si>
    <t>MOD ociosa</t>
  </si>
  <si>
    <t>No. Lotes produzidos</t>
  </si>
  <si>
    <t>Total dos custos indiretos</t>
  </si>
  <si>
    <t>(+) Outros materiais diretos</t>
  </si>
  <si>
    <t>(+) Energia elétrica direta</t>
  </si>
  <si>
    <t>(+) MOD</t>
  </si>
  <si>
    <t>(=) Total dos custos diretos</t>
  </si>
  <si>
    <t>(+) Custos indiretos de fabricação</t>
  </si>
  <si>
    <t>Quantidades fabricadas</t>
  </si>
  <si>
    <t>(=) Custo unitário</t>
  </si>
  <si>
    <t>DRE</t>
  </si>
  <si>
    <t>Receita de Vendas</t>
  </si>
  <si>
    <t>(-) CPV</t>
  </si>
  <si>
    <t>(=) Lucro Bruto</t>
  </si>
  <si>
    <t>Empresa</t>
  </si>
  <si>
    <t>margem bruta</t>
  </si>
  <si>
    <t>(-) depesas Operacionais</t>
  </si>
  <si>
    <t>(=) Resultado Operacional</t>
  </si>
  <si>
    <t>margem operacional</t>
  </si>
  <si>
    <t>(-) Provisão IR e CSLL</t>
  </si>
  <si>
    <t>(=) Lucro líquido</t>
  </si>
  <si>
    <t>margem líquida</t>
  </si>
  <si>
    <t>Lote-Produto W</t>
  </si>
  <si>
    <t>Lote-Produto Z</t>
  </si>
  <si>
    <t>Lote- Produto Z</t>
  </si>
  <si>
    <t>Lote- Produto W</t>
  </si>
  <si>
    <t>Soma dos gastos com materiais diretos e outros materiais diretos empregados na produção de cada produto</t>
  </si>
  <si>
    <t>% (Valor total com Seguro)</t>
  </si>
  <si>
    <t>Alocação de custos de Materiais Indiretos</t>
  </si>
  <si>
    <t>Energia Elétrica Direta</t>
  </si>
  <si>
    <t>Lote- Poduto W</t>
  </si>
  <si>
    <t>Contas</t>
  </si>
  <si>
    <t>(=) Custos Totais por Lote</t>
  </si>
  <si>
    <t>Soma de gastos com materiais diretos e outros materiais diretos empregados na produção de cada produto</t>
  </si>
  <si>
    <t>Análise Vertical</t>
  </si>
  <si>
    <t>3% de redução nos custos de materiais diretos e MOD</t>
  </si>
  <si>
    <t>Geração de Valor</t>
  </si>
  <si>
    <t>Situação atual</t>
  </si>
  <si>
    <t>c/redução de custos</t>
  </si>
  <si>
    <t>Lucro Líquido</t>
  </si>
  <si>
    <t>ROE</t>
  </si>
  <si>
    <t>Ke</t>
  </si>
  <si>
    <t>(ROE-KE)</t>
  </si>
  <si>
    <t>EVA= (ROE-KE)*PL</t>
  </si>
  <si>
    <t>-</t>
  </si>
  <si>
    <t>Variação EVA</t>
  </si>
  <si>
    <t>PL da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</si>
</sst>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#,##0.00;[Red]\-&quot;R$&quot;#,##0.00"/>
    <numFmt numFmtId="164" formatCode="dd/mm/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0" xfId="0" applyNumberFormat="1"/>
    <xf numFmtId="4" fontId="0" fillId="0" borderId="5" xfId="0" applyNumberFormat="1" applyBorder="1" applyAlignment="1">
      <alignment horizontal="center"/>
    </xf>
    <xf numFmtId="4" fontId="0" fillId="0" borderId="1" xfId="1" applyNumberFormat="1" applyFont="1" applyBorder="1" applyAlignment="1">
      <alignment horizontal="center"/>
    </xf>
    <xf numFmtId="4" fontId="0" fillId="0" borderId="7" xfId="0" applyNumberFormat="1" applyBorder="1"/>
    <xf numFmtId="4" fontId="0" fillId="0" borderId="0" xfId="0" applyNumberFormat="1" applyAlignment="1">
      <alignment horizontal="center"/>
    </xf>
    <xf numFmtId="4" fontId="0" fillId="0" borderId="1" xfId="0" applyNumberFormat="1" applyBorder="1"/>
    <xf numFmtId="4" fontId="0" fillId="0" borderId="8" xfId="0" applyNumberFormat="1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8" fontId="0" fillId="0" borderId="0" xfId="0" applyNumberFormat="1"/>
    <xf numFmtId="0" fontId="0" fillId="0" borderId="1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10" fontId="0" fillId="0" borderId="0" xfId="0" applyNumberFormat="1"/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3" xfId="0" applyBorder="1"/>
    <xf numFmtId="4" fontId="0" fillId="0" borderId="14" xfId="0" applyNumberFormat="1" applyBorder="1" applyAlignment="1">
      <alignment horizontal="center"/>
    </xf>
    <xf numFmtId="0" fontId="0" fillId="0" borderId="13" xfId="0" applyFill="1" applyBorder="1"/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Fill="1" applyBorder="1" applyAlignment="1">
      <alignment horizontal="center"/>
    </xf>
    <xf numFmtId="4" fontId="0" fillId="0" borderId="6" xfId="1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1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/>
    <xf numFmtId="4" fontId="3" fillId="0" borderId="2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7" xfId="0" applyFont="1" applyBorder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/>
    <xf numFmtId="0" fontId="4" fillId="0" borderId="9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4" fontId="3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3" fillId="0" borderId="2" xfId="0" applyFont="1" applyBorder="1"/>
    <xf numFmtId="8" fontId="3" fillId="0" borderId="3" xfId="0" applyNumberFormat="1" applyFont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0" fontId="3" fillId="0" borderId="8" xfId="1" applyNumberFormat="1" applyFont="1" applyBorder="1" applyAlignment="1">
      <alignment horizontal="center"/>
    </xf>
    <xf numFmtId="10" fontId="3" fillId="0" borderId="9" xfId="1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0" fontId="3" fillId="0" borderId="16" xfId="1" applyNumberFormat="1" applyFont="1" applyBorder="1" applyAlignment="1">
      <alignment horizontal="center"/>
    </xf>
    <xf numFmtId="10" fontId="3" fillId="0" borderId="17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10" fontId="3" fillId="0" borderId="1" xfId="1" applyNumberFormat="1" applyFont="1" applyBorder="1" applyAlignment="1">
      <alignment horizontal="center"/>
    </xf>
    <xf numFmtId="10" fontId="3" fillId="0" borderId="6" xfId="1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0" fontId="0" fillId="0" borderId="0" xfId="1" applyNumberFormat="1" applyFont="1" applyAlignment="1">
      <alignment horizontal="center"/>
    </xf>
    <xf numFmtId="10" fontId="0" fillId="0" borderId="1" xfId="1" applyNumberFormat="1" applyFont="1" applyBorder="1" applyAlignment="1">
      <alignment horizontal="center"/>
    </xf>
    <xf numFmtId="10" fontId="0" fillId="0" borderId="6" xfId="1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4" xfId="0" applyFont="1" applyFill="1" applyBorder="1" applyAlignment="1">
      <alignment horizontal="center"/>
    </xf>
    <xf numFmtId="10" fontId="0" fillId="0" borderId="9" xfId="1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3" fontId="0" fillId="0" borderId="6" xfId="1" applyNumberFormat="1" applyFont="1" applyBorder="1" applyAlignment="1">
      <alignment horizontal="center"/>
    </xf>
    <xf numFmtId="10" fontId="0" fillId="0" borderId="1" xfId="0" applyNumberFormat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Produto W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'Custos Totais e Unitários_DRE'!$A$15:$A$20</c:f>
              <c:strCache>
                <c:ptCount val="6"/>
                <c:pt idx="0">
                  <c:v>Materiais Diretos</c:v>
                </c:pt>
                <c:pt idx="1">
                  <c:v>(+) Outros materiais diretos</c:v>
                </c:pt>
                <c:pt idx="2">
                  <c:v>(+) Energia elétrica direta</c:v>
                </c:pt>
                <c:pt idx="3">
                  <c:v>(+) MOD</c:v>
                </c:pt>
                <c:pt idx="4">
                  <c:v>(=) Total dos custos diretos</c:v>
                </c:pt>
                <c:pt idx="5">
                  <c:v>(+) Custos indiretos de fabricação</c:v>
                </c:pt>
              </c:strCache>
            </c:strRef>
          </c:cat>
          <c:val>
            <c:numRef>
              <c:f>'Custos Totais e Unitários_DRE'!$B$15:$B$20</c:f>
              <c:numCache>
                <c:formatCode>#,##0.00</c:formatCode>
                <c:ptCount val="6"/>
                <c:pt idx="0">
                  <c:v>31.050870901320899</c:v>
                </c:pt>
                <c:pt idx="1">
                  <c:v>2</c:v>
                </c:pt>
                <c:pt idx="2">
                  <c:v>1.6666666666666667</c:v>
                </c:pt>
                <c:pt idx="3">
                  <c:v>29.144701666666666</c:v>
                </c:pt>
                <c:pt idx="4">
                  <c:v>63.862239234654226</c:v>
                </c:pt>
                <c:pt idx="5">
                  <c:v>18.750932024070977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A1-4D44-AC54-0867AAD090CF}"/>
            </c:ext>
          </c:extLst>
        </c:ser>
        <c:ser>
          <c:idx val="1"/>
          <c:order val="1"/>
          <c:tx>
            <c:v>Produto Z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'Custos Totais e Unitários_DRE'!$A$15:$A$20</c:f>
              <c:strCache>
                <c:ptCount val="6"/>
                <c:pt idx="0">
                  <c:v>Materiais Diretos</c:v>
                </c:pt>
                <c:pt idx="1">
                  <c:v>(+) Outros materiais diretos</c:v>
                </c:pt>
                <c:pt idx="2">
                  <c:v>(+) Energia elétrica direta</c:v>
                </c:pt>
                <c:pt idx="3">
                  <c:v>(+) MOD</c:v>
                </c:pt>
                <c:pt idx="4">
                  <c:v>(=) Total dos custos diretos</c:v>
                </c:pt>
                <c:pt idx="5">
                  <c:v>(+) Custos indiretos de fabricação</c:v>
                </c:pt>
              </c:strCache>
            </c:strRef>
          </c:cat>
          <c:val>
            <c:numRef>
              <c:f>'Custos Totais e Unitários_DRE'!$C$15:$C$20</c:f>
              <c:numCache>
                <c:formatCode>#,##0.00</c:formatCode>
                <c:ptCount val="6"/>
                <c:pt idx="0">
                  <c:v>52.913502536679005</c:v>
                </c:pt>
                <c:pt idx="1">
                  <c:v>1.6470588235294117</c:v>
                </c:pt>
                <c:pt idx="2">
                  <c:v>1.411764705882353</c:v>
                </c:pt>
                <c:pt idx="3">
                  <c:v>44.08442268907563</c:v>
                </c:pt>
                <c:pt idx="4">
                  <c:v>100.05674875516641</c:v>
                </c:pt>
                <c:pt idx="5">
                  <c:v>19.812451949395275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A1-4D44-AC54-0867AAD09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9525512"/>
        <c:axId val="789532400"/>
      </c:barChart>
      <c:catAx>
        <c:axId val="789525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89532400"/>
        <c:crosses val="autoZero"/>
        <c:auto val="1"/>
        <c:lblAlgn val="ctr"/>
        <c:lblOffset val="100"/>
        <c:noMultiLvlLbl val="0"/>
      </c:catAx>
      <c:valAx>
        <c:axId val="78953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89525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Produto W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'Custos Totais e Unitários_DRE'!$A$26:$A$30</c:f>
              <c:strCache>
                <c:ptCount val="5"/>
                <c:pt idx="0">
                  <c:v>Materiais Diretos</c:v>
                </c:pt>
                <c:pt idx="1">
                  <c:v>(+) Outros materiais diretos</c:v>
                </c:pt>
                <c:pt idx="2">
                  <c:v>(+) Energia elétrica direta</c:v>
                </c:pt>
                <c:pt idx="3">
                  <c:v>(+) MOD</c:v>
                </c:pt>
                <c:pt idx="4">
                  <c:v>(+) Custos indiretos de fabricação</c:v>
                </c:pt>
              </c:strCache>
            </c:strRef>
          </c:cat>
          <c:val>
            <c:numRef>
              <c:f>'Custos Totais e Unitários_DRE'!$B$26:$B$30</c:f>
              <c:numCache>
                <c:formatCode>0.00%</c:formatCode>
                <c:ptCount val="5"/>
                <c:pt idx="0">
                  <c:v>0.37585860012656824</c:v>
                </c:pt>
                <c:pt idx="1">
                  <c:v>2.4209214699390563E-2</c:v>
                </c:pt>
                <c:pt idx="2">
                  <c:v>2.0174345582825468E-2</c:v>
                </c:pt>
                <c:pt idx="3">
                  <c:v>0.35278516999900961</c:v>
                </c:pt>
                <c:pt idx="4">
                  <c:v>0.22697266959220616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ED-4E76-ADD2-A21832F35259}"/>
            </c:ext>
          </c:extLst>
        </c:ser>
        <c:ser>
          <c:idx val="1"/>
          <c:order val="1"/>
          <c:tx>
            <c:v>Produto Z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'Custos Totais e Unitários_DRE'!$A$26:$A$30</c:f>
              <c:strCache>
                <c:ptCount val="5"/>
                <c:pt idx="0">
                  <c:v>Materiais Diretos</c:v>
                </c:pt>
                <c:pt idx="1">
                  <c:v>(+) Outros materiais diretos</c:v>
                </c:pt>
                <c:pt idx="2">
                  <c:v>(+) Energia elétrica direta</c:v>
                </c:pt>
                <c:pt idx="3">
                  <c:v>(+) MOD</c:v>
                </c:pt>
                <c:pt idx="4">
                  <c:v>(+) Custos indiretos de fabricação</c:v>
                </c:pt>
              </c:strCache>
            </c:strRef>
          </c:cat>
          <c:val>
            <c:numRef>
              <c:f>'Custos Totais e Unitários_DRE'!$C$26:$C$30</c:f>
              <c:numCache>
                <c:formatCode>0.00%</c:formatCode>
                <c:ptCount val="5"/>
                <c:pt idx="0">
                  <c:v>0.44142700731853096</c:v>
                </c:pt>
                <c:pt idx="1">
                  <c:v>1.3740467224678275E-2</c:v>
                </c:pt>
                <c:pt idx="2">
                  <c:v>1.1777543335438522E-2</c:v>
                </c:pt>
                <c:pt idx="3">
                  <c:v>0.36777105736885068</c:v>
                </c:pt>
                <c:pt idx="4">
                  <c:v>0.16528392475250153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ED-4E76-ADD2-A21832F35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9528464"/>
        <c:axId val="789530760"/>
        <c:axId val="0"/>
      </c:bar3DChart>
      <c:catAx>
        <c:axId val="78952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89530760"/>
        <c:crosses val="autoZero"/>
        <c:auto val="1"/>
        <c:lblAlgn val="ctr"/>
        <c:lblOffset val="100"/>
        <c:noMultiLvlLbl val="0"/>
      </c:catAx>
      <c:valAx>
        <c:axId val="789530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89528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210024034352028E-2"/>
          <c:y val="3.3562174348408524E-2"/>
          <c:w val="0.95116715774512861"/>
          <c:h val="0.8956574342258261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'Custos Totais e Unitários_DRE'!$E$15:$E$21</c:f>
              <c:strCache>
                <c:ptCount val="7"/>
                <c:pt idx="0">
                  <c:v>Receita de Vendas</c:v>
                </c:pt>
                <c:pt idx="1">
                  <c:v>(-) CPV</c:v>
                </c:pt>
                <c:pt idx="2">
                  <c:v>(=) Lucro Bruto</c:v>
                </c:pt>
                <c:pt idx="3">
                  <c:v>(-) depesas Operacionais</c:v>
                </c:pt>
                <c:pt idx="4">
                  <c:v>(=) Resultado Operacional</c:v>
                </c:pt>
                <c:pt idx="5">
                  <c:v>(-) Provisão IR e CSLL</c:v>
                </c:pt>
                <c:pt idx="6">
                  <c:v>(=) Lucro líquido</c:v>
                </c:pt>
              </c:strCache>
            </c:strRef>
          </c:cat>
          <c:val>
            <c:numRef>
              <c:f>'Custos Totais e Unitários_DRE'!$F$15:$F$21</c:f>
              <c:numCache>
                <c:formatCode>0.00%</c:formatCode>
                <c:ptCount val="7"/>
                <c:pt idx="0">
                  <c:v>1</c:v>
                </c:pt>
                <c:pt idx="1">
                  <c:v>0.74499126096464596</c:v>
                </c:pt>
                <c:pt idx="2">
                  <c:v>0.25500873903535398</c:v>
                </c:pt>
                <c:pt idx="3">
                  <c:v>0.12985735366453516</c:v>
                </c:pt>
                <c:pt idx="4">
                  <c:v>0.12515138537081882</c:v>
                </c:pt>
                <c:pt idx="5">
                  <c:v>4.2551471026078404E-2</c:v>
                </c:pt>
                <c:pt idx="6">
                  <c:v>8.2599914344740413E-2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43-4744-8097-AAA5F00228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832819352"/>
        <c:axId val="832820664"/>
      </c:barChart>
      <c:catAx>
        <c:axId val="832819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2820664"/>
        <c:crosses val="autoZero"/>
        <c:auto val="1"/>
        <c:lblAlgn val="ctr"/>
        <c:lblOffset val="100"/>
        <c:noMultiLvlLbl val="0"/>
      </c:catAx>
      <c:valAx>
        <c:axId val="832820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2819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0</xdr:colOff>
      <xdr:row>21</xdr:row>
      <xdr:rowOff>85724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69C8212-CF91-410F-8DB6-1EBE18ECC5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190499</xdr:rowOff>
    </xdr:from>
    <xdr:to>
      <xdr:col>18</xdr:col>
      <xdr:colOff>561974</xdr:colOff>
      <xdr:row>44</xdr:row>
      <xdr:rowOff>28574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F350A69-812A-4844-A1E6-A369EA261B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47625</xdr:colOff>
      <xdr:row>21</xdr:row>
      <xdr:rowOff>161924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58D7D1D-2C62-4E90-A40F-9D7AAC2D55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FC0E9-378E-4C01-A841-6248AAFBE801}">
  <dimension ref="A1:G29"/>
  <sheetViews>
    <sheetView showGridLines="0" workbookViewId="0">
      <selection activeCell="E18" sqref="E18"/>
    </sheetView>
  </sheetViews>
  <sheetFormatPr defaultRowHeight="15" x14ac:dyDescent="0.25"/>
  <cols>
    <col min="1" max="1" width="48.85546875" customWidth="1"/>
    <col min="2" max="2" width="23.7109375" customWidth="1"/>
    <col min="3" max="3" width="21.140625" customWidth="1"/>
    <col min="4" max="4" width="17.7109375" customWidth="1"/>
    <col min="5" max="5" width="14.85546875" customWidth="1"/>
    <col min="6" max="6" width="10.42578125" customWidth="1"/>
    <col min="7" max="7" width="33.140625" customWidth="1"/>
  </cols>
  <sheetData>
    <row r="1" spans="1:7" x14ac:dyDescent="0.25">
      <c r="A1" s="48" t="s">
        <v>0</v>
      </c>
      <c r="B1" s="49" t="s">
        <v>6</v>
      </c>
      <c r="C1" s="49" t="s">
        <v>2</v>
      </c>
      <c r="D1" s="49" t="s">
        <v>3</v>
      </c>
      <c r="E1" s="50" t="s">
        <v>4</v>
      </c>
      <c r="F1" s="1"/>
      <c r="G1" s="1"/>
    </row>
    <row r="2" spans="1:7" x14ac:dyDescent="0.25">
      <c r="A2" s="5" t="s">
        <v>8</v>
      </c>
      <c r="B2" s="3">
        <v>100</v>
      </c>
      <c r="C2" s="42">
        <v>50</v>
      </c>
      <c r="D2" s="38">
        <v>0.04</v>
      </c>
      <c r="E2" s="10" t="s">
        <v>5</v>
      </c>
      <c r="F2" s="2"/>
      <c r="G2" s="1"/>
    </row>
    <row r="3" spans="1:7" x14ac:dyDescent="0.25">
      <c r="A3" s="5" t="s">
        <v>9</v>
      </c>
      <c r="B3" s="3">
        <v>150</v>
      </c>
      <c r="C3" s="42">
        <v>95</v>
      </c>
      <c r="D3" s="38">
        <v>0.04</v>
      </c>
      <c r="E3" s="10" t="s">
        <v>5</v>
      </c>
      <c r="F3" s="2"/>
      <c r="G3" s="1"/>
    </row>
    <row r="4" spans="1:7" ht="15.75" thickBot="1" x14ac:dyDescent="0.3">
      <c r="A4" s="34" t="s">
        <v>10</v>
      </c>
      <c r="B4" s="8">
        <v>200</v>
      </c>
      <c r="C4" s="9">
        <v>110</v>
      </c>
      <c r="D4" s="39">
        <v>0.04</v>
      </c>
      <c r="E4" s="40" t="s">
        <v>5</v>
      </c>
      <c r="F4" s="2"/>
      <c r="G4" s="1"/>
    </row>
    <row r="5" spans="1:7" ht="15.75" thickBot="1" x14ac:dyDescent="0.3"/>
    <row r="6" spans="1:7" x14ac:dyDescent="0.25">
      <c r="A6" s="48" t="s">
        <v>11</v>
      </c>
      <c r="B6" s="49" t="s">
        <v>8</v>
      </c>
      <c r="C6" s="49" t="s">
        <v>9</v>
      </c>
      <c r="D6" s="50" t="s">
        <v>10</v>
      </c>
    </row>
    <row r="7" spans="1:7" x14ac:dyDescent="0.25">
      <c r="A7" s="5" t="s">
        <v>1</v>
      </c>
      <c r="B7" s="3">
        <v>30</v>
      </c>
      <c r="C7" s="3">
        <v>40</v>
      </c>
      <c r="D7" s="41">
        <v>120</v>
      </c>
    </row>
    <row r="8" spans="1:7" ht="15.75" thickBot="1" x14ac:dyDescent="0.3">
      <c r="A8" s="34" t="s">
        <v>7</v>
      </c>
      <c r="B8" s="14">
        <v>1437</v>
      </c>
      <c r="C8" s="14">
        <v>3720</v>
      </c>
      <c r="D8" s="15">
        <v>13050</v>
      </c>
    </row>
    <row r="9" spans="1:7" ht="15.75" thickBot="1" x14ac:dyDescent="0.3"/>
    <row r="10" spans="1:7" x14ac:dyDescent="0.25">
      <c r="A10" s="48" t="s">
        <v>15</v>
      </c>
      <c r="B10" s="49" t="s">
        <v>109</v>
      </c>
      <c r="C10" s="50" t="s">
        <v>110</v>
      </c>
    </row>
    <row r="11" spans="1:7" x14ac:dyDescent="0.25">
      <c r="A11" s="5" t="s">
        <v>8</v>
      </c>
      <c r="B11" s="3">
        <v>80</v>
      </c>
      <c r="C11" s="10">
        <v>50</v>
      </c>
    </row>
    <row r="12" spans="1:7" x14ac:dyDescent="0.25">
      <c r="A12" s="5" t="s">
        <v>9</v>
      </c>
      <c r="B12" s="3">
        <v>95</v>
      </c>
      <c r="C12" s="10">
        <v>95</v>
      </c>
    </row>
    <row r="13" spans="1:7" ht="15.75" thickBot="1" x14ac:dyDescent="0.3">
      <c r="A13" s="34" t="s">
        <v>10</v>
      </c>
      <c r="B13" s="8">
        <v>40</v>
      </c>
      <c r="C13" s="40">
        <v>280</v>
      </c>
    </row>
    <row r="14" spans="1:7" ht="15.75" thickBot="1" x14ac:dyDescent="0.3">
      <c r="A14" s="1"/>
      <c r="B14" s="1"/>
      <c r="C14" s="1"/>
    </row>
    <row r="15" spans="1:7" x14ac:dyDescent="0.25">
      <c r="A15" s="48" t="s">
        <v>12</v>
      </c>
      <c r="B15" s="49" t="s">
        <v>109</v>
      </c>
      <c r="C15" s="50" t="s">
        <v>111</v>
      </c>
    </row>
    <row r="16" spans="1:7" x14ac:dyDescent="0.25">
      <c r="A16" s="5" t="s">
        <v>16</v>
      </c>
      <c r="B16" s="3">
        <v>4</v>
      </c>
      <c r="C16" s="10">
        <v>6</v>
      </c>
    </row>
    <row r="17" spans="1:7" x14ac:dyDescent="0.25">
      <c r="A17" s="5" t="s">
        <v>17</v>
      </c>
      <c r="B17" s="42">
        <v>14</v>
      </c>
      <c r="C17" s="43">
        <v>20</v>
      </c>
    </row>
    <row r="18" spans="1:7" x14ac:dyDescent="0.25">
      <c r="A18" s="5" t="s">
        <v>18</v>
      </c>
      <c r="B18" s="3">
        <v>155</v>
      </c>
      <c r="C18" s="10">
        <v>155</v>
      </c>
    </row>
    <row r="19" spans="1:7" ht="15.75" thickBot="1" x14ac:dyDescent="0.3">
      <c r="A19" s="34" t="s">
        <v>19</v>
      </c>
      <c r="B19" s="8">
        <v>9</v>
      </c>
      <c r="C19" s="40">
        <v>9</v>
      </c>
    </row>
    <row r="20" spans="1:7" ht="15.75" thickBot="1" x14ac:dyDescent="0.3"/>
    <row r="21" spans="1:7" x14ac:dyDescent="0.25">
      <c r="A21" s="48" t="s">
        <v>24</v>
      </c>
      <c r="B21" s="49" t="s">
        <v>112</v>
      </c>
      <c r="C21" s="50" t="s">
        <v>111</v>
      </c>
    </row>
    <row r="22" spans="1:7" x14ac:dyDescent="0.25">
      <c r="A22" s="5" t="s">
        <v>25</v>
      </c>
      <c r="B22" s="4">
        <v>1200</v>
      </c>
      <c r="C22" s="6">
        <v>1400</v>
      </c>
    </row>
    <row r="23" spans="1:7" ht="15.75" thickBot="1" x14ac:dyDescent="0.3">
      <c r="A23" s="34" t="s">
        <v>26</v>
      </c>
      <c r="B23" s="14">
        <v>1000</v>
      </c>
      <c r="C23" s="15">
        <v>1200</v>
      </c>
    </row>
    <row r="24" spans="1:7" ht="15.75" thickBot="1" x14ac:dyDescent="0.3"/>
    <row r="25" spans="1:7" x14ac:dyDescent="0.25">
      <c r="A25" s="48" t="s">
        <v>20</v>
      </c>
      <c r="B25" s="51" t="s">
        <v>27</v>
      </c>
      <c r="C25" s="52" t="s">
        <v>28</v>
      </c>
      <c r="D25" s="12"/>
      <c r="E25" s="12"/>
      <c r="F25" s="12"/>
      <c r="G25" s="13"/>
    </row>
    <row r="26" spans="1:7" x14ac:dyDescent="0.25">
      <c r="A26" s="5" t="s">
        <v>21</v>
      </c>
      <c r="B26" s="4">
        <v>7000</v>
      </c>
      <c r="C26" s="44" t="s">
        <v>29</v>
      </c>
      <c r="D26" s="44"/>
      <c r="E26" s="44"/>
      <c r="F26" s="44"/>
      <c r="G26" s="45"/>
    </row>
    <row r="27" spans="1:7" x14ac:dyDescent="0.25">
      <c r="A27" s="5" t="s">
        <v>22</v>
      </c>
      <c r="B27" s="4">
        <v>12000</v>
      </c>
      <c r="C27" s="44" t="s">
        <v>30</v>
      </c>
      <c r="D27" s="44"/>
      <c r="E27" s="44"/>
      <c r="F27" s="44"/>
      <c r="G27" s="45"/>
    </row>
    <row r="28" spans="1:7" x14ac:dyDescent="0.25">
      <c r="A28" s="5" t="s">
        <v>23</v>
      </c>
      <c r="B28" s="4">
        <v>3600</v>
      </c>
      <c r="C28" s="44" t="s">
        <v>113</v>
      </c>
      <c r="D28" s="44"/>
      <c r="E28" s="44"/>
      <c r="F28" s="44"/>
      <c r="G28" s="45"/>
    </row>
    <row r="29" spans="1:7" ht="15.75" thickBot="1" x14ac:dyDescent="0.3">
      <c r="A29" s="34" t="s">
        <v>84</v>
      </c>
      <c r="B29" s="14">
        <v>2300</v>
      </c>
      <c r="C29" s="46" t="s">
        <v>32</v>
      </c>
      <c r="D29" s="46"/>
      <c r="E29" s="46"/>
      <c r="F29" s="46"/>
      <c r="G29" s="47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9B566-99F9-48A9-9326-ED406BA2DE60}">
  <dimension ref="A1:J33"/>
  <sheetViews>
    <sheetView showGridLines="0" topLeftCell="A18" workbookViewId="0">
      <selection activeCell="C35" sqref="C35"/>
    </sheetView>
  </sheetViews>
  <sheetFormatPr defaultRowHeight="15" x14ac:dyDescent="0.25"/>
  <cols>
    <col min="1" max="1" width="21.42578125" bestFit="1" customWidth="1"/>
    <col min="2" max="2" width="22.5703125" customWidth="1"/>
    <col min="3" max="5" width="16.5703125" customWidth="1"/>
    <col min="6" max="6" width="21" style="1" customWidth="1"/>
    <col min="7" max="7" width="24.5703125" customWidth="1"/>
    <col min="8" max="8" width="16.5703125" customWidth="1"/>
    <col min="9" max="9" width="23.140625" customWidth="1"/>
    <col min="10" max="10" width="16.5703125" customWidth="1"/>
  </cols>
  <sheetData>
    <row r="1" spans="1:10" x14ac:dyDescent="0.25">
      <c r="A1" s="53" t="s">
        <v>0</v>
      </c>
      <c r="B1" s="51" t="s">
        <v>6</v>
      </c>
      <c r="C1" s="51" t="s">
        <v>2</v>
      </c>
      <c r="D1" s="51" t="s">
        <v>38</v>
      </c>
      <c r="E1" s="51" t="s">
        <v>3</v>
      </c>
      <c r="F1" s="51" t="s">
        <v>39</v>
      </c>
      <c r="G1" s="51" t="s">
        <v>114</v>
      </c>
      <c r="H1" s="51" t="s">
        <v>40</v>
      </c>
      <c r="I1" s="54" t="s">
        <v>41</v>
      </c>
      <c r="J1" s="16"/>
    </row>
    <row r="2" spans="1:10" x14ac:dyDescent="0.25">
      <c r="A2" s="17" t="s">
        <v>8</v>
      </c>
      <c r="B2" s="4">
        <v>100</v>
      </c>
      <c r="C2" s="4">
        <v>50</v>
      </c>
      <c r="D2" s="4">
        <f>B2*C2</f>
        <v>5000</v>
      </c>
      <c r="E2" s="4">
        <f>D2*0.04</f>
        <v>200</v>
      </c>
      <c r="F2" s="4">
        <f>D2+E2</f>
        <v>5200</v>
      </c>
      <c r="G2" s="18">
        <f>F2/$F$5</f>
        <v>0.12121212121212122</v>
      </c>
      <c r="H2" s="4">
        <f>2500*G2</f>
        <v>303.03030303030306</v>
      </c>
      <c r="I2" s="6">
        <f>F2+H2</f>
        <v>5503.030303030303</v>
      </c>
      <c r="J2" s="16"/>
    </row>
    <row r="3" spans="1:10" x14ac:dyDescent="0.25">
      <c r="A3" s="17" t="s">
        <v>9</v>
      </c>
      <c r="B3" s="4">
        <v>150</v>
      </c>
      <c r="C3" s="4">
        <v>95</v>
      </c>
      <c r="D3" s="4">
        <f>B3*C3</f>
        <v>14250</v>
      </c>
      <c r="E3" s="4">
        <f>D3*0.04</f>
        <v>570</v>
      </c>
      <c r="F3" s="4">
        <f>D3+E3</f>
        <v>14820</v>
      </c>
      <c r="G3" s="18">
        <f>F3/$F$5</f>
        <v>0.34545454545454546</v>
      </c>
      <c r="H3" s="4">
        <f>2500*G3</f>
        <v>863.63636363636363</v>
      </c>
      <c r="I3" s="6">
        <f>F3+H3</f>
        <v>15683.636363636364</v>
      </c>
      <c r="J3" s="16"/>
    </row>
    <row r="4" spans="1:10" x14ac:dyDescent="0.25">
      <c r="A4" s="17" t="s">
        <v>10</v>
      </c>
      <c r="B4" s="4">
        <v>200</v>
      </c>
      <c r="C4" s="4">
        <v>110</v>
      </c>
      <c r="D4" s="4">
        <f>B4*C4</f>
        <v>22000</v>
      </c>
      <c r="E4" s="4">
        <f>D4*0.04</f>
        <v>880</v>
      </c>
      <c r="F4" s="4">
        <f>D4+E4</f>
        <v>22880</v>
      </c>
      <c r="G4" s="18">
        <f>F4/$F$5</f>
        <v>0.53333333333333333</v>
      </c>
      <c r="H4" s="4">
        <f>2500*G4</f>
        <v>1333.3333333333333</v>
      </c>
      <c r="I4" s="6">
        <f>F4+H4</f>
        <v>24213.333333333332</v>
      </c>
      <c r="J4" s="16"/>
    </row>
    <row r="5" spans="1:10" ht="15.75" thickBot="1" x14ac:dyDescent="0.3">
      <c r="A5" s="19"/>
      <c r="B5" s="14"/>
      <c r="C5" s="55" t="s">
        <v>37</v>
      </c>
      <c r="D5" s="55">
        <f t="shared" ref="D5:I5" si="0">SUM(D2:D4)</f>
        <v>41250</v>
      </c>
      <c r="E5" s="55">
        <f t="shared" si="0"/>
        <v>1650</v>
      </c>
      <c r="F5" s="55">
        <f t="shared" si="0"/>
        <v>42900</v>
      </c>
      <c r="G5" s="55">
        <f t="shared" si="0"/>
        <v>1</v>
      </c>
      <c r="H5" s="55">
        <f t="shared" si="0"/>
        <v>2500</v>
      </c>
      <c r="I5" s="56">
        <f t="shared" si="0"/>
        <v>45400</v>
      </c>
      <c r="J5" s="16"/>
    </row>
    <row r="6" spans="1:10" ht="15.75" thickBot="1" x14ac:dyDescent="0.3">
      <c r="A6" s="16"/>
      <c r="B6" s="16"/>
      <c r="C6" s="16"/>
      <c r="D6" s="16"/>
      <c r="E6" s="16"/>
      <c r="F6" s="20"/>
      <c r="G6" s="16"/>
      <c r="H6" s="16"/>
      <c r="I6" s="16"/>
      <c r="J6" s="16"/>
    </row>
    <row r="7" spans="1:10" s="1" customFormat="1" x14ac:dyDescent="0.25">
      <c r="A7" s="53" t="s">
        <v>8</v>
      </c>
      <c r="B7" s="105" t="s">
        <v>33</v>
      </c>
      <c r="C7" s="105"/>
      <c r="D7" s="105"/>
      <c r="E7" s="105" t="s">
        <v>34</v>
      </c>
      <c r="F7" s="105"/>
      <c r="G7" s="105"/>
      <c r="H7" s="105" t="s">
        <v>37</v>
      </c>
      <c r="I7" s="105"/>
      <c r="J7" s="106"/>
    </row>
    <row r="8" spans="1:10" s="1" customFormat="1" x14ac:dyDescent="0.25">
      <c r="A8" s="57">
        <v>44075</v>
      </c>
      <c r="B8" s="4" t="s">
        <v>35</v>
      </c>
      <c r="C8" s="4" t="s">
        <v>36</v>
      </c>
      <c r="D8" s="4" t="s">
        <v>37</v>
      </c>
      <c r="E8" s="4" t="s">
        <v>35</v>
      </c>
      <c r="F8" s="4" t="s">
        <v>36</v>
      </c>
      <c r="G8" s="4" t="s">
        <v>37</v>
      </c>
      <c r="H8" s="4" t="s">
        <v>35</v>
      </c>
      <c r="I8" s="4" t="s">
        <v>36</v>
      </c>
      <c r="J8" s="6" t="s">
        <v>37</v>
      </c>
    </row>
    <row r="9" spans="1:10" x14ac:dyDescent="0.25">
      <c r="A9" s="57">
        <v>44075</v>
      </c>
      <c r="B9" s="21"/>
      <c r="C9" s="21"/>
      <c r="D9" s="21"/>
      <c r="E9" s="21"/>
      <c r="F9" s="4"/>
      <c r="G9" s="21"/>
      <c r="H9" s="4">
        <v>30</v>
      </c>
      <c r="I9" s="4">
        <f>J9/H9</f>
        <v>47.9</v>
      </c>
      <c r="J9" s="6">
        <v>1437</v>
      </c>
    </row>
    <row r="10" spans="1:10" x14ac:dyDescent="0.25">
      <c r="A10" s="57">
        <v>44079</v>
      </c>
      <c r="B10" s="4">
        <v>100</v>
      </c>
      <c r="C10" s="4">
        <f>D10/B10</f>
        <v>55.030299999999997</v>
      </c>
      <c r="D10" s="4">
        <v>5503.03</v>
      </c>
      <c r="E10" s="21"/>
      <c r="F10" s="4"/>
      <c r="G10" s="21"/>
      <c r="H10" s="4">
        <v>130</v>
      </c>
      <c r="I10" s="4">
        <f>J10/H10</f>
        <v>53.384846153846155</v>
      </c>
      <c r="J10" s="6">
        <f>D10+J9</f>
        <v>6940.03</v>
      </c>
    </row>
    <row r="11" spans="1:10" x14ac:dyDescent="0.25">
      <c r="A11" s="57">
        <v>44081</v>
      </c>
      <c r="B11" s="21"/>
      <c r="C11" s="21"/>
      <c r="D11" s="21"/>
      <c r="E11" s="59" t="s">
        <v>42</v>
      </c>
      <c r="F11" s="59">
        <f>I10</f>
        <v>53.384846153846155</v>
      </c>
      <c r="G11" s="59">
        <f>80*F11</f>
        <v>4270.7876923076929</v>
      </c>
      <c r="H11" s="4">
        <f>H10-80</f>
        <v>50</v>
      </c>
      <c r="I11" s="4">
        <f>I10</f>
        <v>53.384846153846155</v>
      </c>
      <c r="J11" s="6">
        <f>H11*I11</f>
        <v>2669.2423076923078</v>
      </c>
    </row>
    <row r="12" spans="1:10" ht="15.75" thickBot="1" x14ac:dyDescent="0.3">
      <c r="A12" s="58">
        <v>44083</v>
      </c>
      <c r="B12" s="22"/>
      <c r="C12" s="22"/>
      <c r="D12" s="22"/>
      <c r="E12" s="55" t="s">
        <v>43</v>
      </c>
      <c r="F12" s="55">
        <f>I11</f>
        <v>53.384846153846155</v>
      </c>
      <c r="G12" s="55">
        <f>50*F12</f>
        <v>2669.2423076923078</v>
      </c>
      <c r="H12" s="14">
        <v>0</v>
      </c>
      <c r="I12" s="14">
        <v>0</v>
      </c>
      <c r="J12" s="15">
        <v>0</v>
      </c>
    </row>
    <row r="13" spans="1:10" ht="15.75" thickBot="1" x14ac:dyDescent="0.3">
      <c r="A13" s="16"/>
      <c r="B13" s="16"/>
      <c r="C13" s="16"/>
      <c r="D13" s="16"/>
      <c r="E13" s="16"/>
      <c r="F13" s="20"/>
      <c r="G13" s="16"/>
      <c r="H13" s="16"/>
      <c r="I13" s="16"/>
      <c r="J13" s="16"/>
    </row>
    <row r="14" spans="1:10" x14ac:dyDescent="0.25">
      <c r="A14" s="53" t="s">
        <v>9</v>
      </c>
      <c r="B14" s="105" t="s">
        <v>33</v>
      </c>
      <c r="C14" s="105"/>
      <c r="D14" s="105"/>
      <c r="E14" s="105" t="s">
        <v>34</v>
      </c>
      <c r="F14" s="105"/>
      <c r="G14" s="105"/>
      <c r="H14" s="105" t="s">
        <v>37</v>
      </c>
      <c r="I14" s="105"/>
      <c r="J14" s="106"/>
    </row>
    <row r="15" spans="1:10" x14ac:dyDescent="0.25">
      <c r="A15" s="57">
        <v>44075</v>
      </c>
      <c r="B15" s="4" t="s">
        <v>35</v>
      </c>
      <c r="C15" s="4" t="s">
        <v>36</v>
      </c>
      <c r="D15" s="4" t="s">
        <v>37</v>
      </c>
      <c r="E15" s="4" t="s">
        <v>35</v>
      </c>
      <c r="F15" s="4" t="s">
        <v>36</v>
      </c>
      <c r="G15" s="4" t="s">
        <v>37</v>
      </c>
      <c r="H15" s="4" t="s">
        <v>35</v>
      </c>
      <c r="I15" s="4" t="s">
        <v>36</v>
      </c>
      <c r="J15" s="6" t="s">
        <v>37</v>
      </c>
    </row>
    <row r="16" spans="1:10" x14ac:dyDescent="0.25">
      <c r="A16" s="57">
        <v>44075</v>
      </c>
      <c r="B16" s="21"/>
      <c r="C16" s="21"/>
      <c r="D16" s="21"/>
      <c r="E16" s="21"/>
      <c r="F16" s="4"/>
      <c r="G16" s="21"/>
      <c r="H16" s="4">
        <v>40</v>
      </c>
      <c r="I16" s="4">
        <f>J16/H16</f>
        <v>93</v>
      </c>
      <c r="J16" s="6">
        <v>3720</v>
      </c>
    </row>
    <row r="17" spans="1:10" x14ac:dyDescent="0.25">
      <c r="A17" s="57">
        <v>44079</v>
      </c>
      <c r="B17" s="4">
        <v>150</v>
      </c>
      <c r="C17" s="4">
        <f>D17/B17</f>
        <v>104.55757575757576</v>
      </c>
      <c r="D17" s="4">
        <f>I3</f>
        <v>15683.636363636364</v>
      </c>
      <c r="E17" s="21"/>
      <c r="F17" s="4"/>
      <c r="G17" s="21"/>
      <c r="H17" s="4">
        <f>B17+H16</f>
        <v>190</v>
      </c>
      <c r="I17" s="4">
        <f>J17/H17</f>
        <v>102.1244019138756</v>
      </c>
      <c r="J17" s="6">
        <f>D17+J16</f>
        <v>19403.636363636364</v>
      </c>
    </row>
    <row r="18" spans="1:10" x14ac:dyDescent="0.25">
      <c r="A18" s="57">
        <v>44081</v>
      </c>
      <c r="B18" s="21"/>
      <c r="C18" s="21"/>
      <c r="D18" s="21"/>
      <c r="E18" s="59" t="s">
        <v>44</v>
      </c>
      <c r="F18" s="59">
        <f>I17</f>
        <v>102.1244019138756</v>
      </c>
      <c r="G18" s="59">
        <f>95*F18</f>
        <v>9701.818181818182</v>
      </c>
      <c r="H18" s="4">
        <f>H17-95</f>
        <v>95</v>
      </c>
      <c r="I18" s="4">
        <f>I17</f>
        <v>102.1244019138756</v>
      </c>
      <c r="J18" s="6">
        <f>H18*I18</f>
        <v>9701.818181818182</v>
      </c>
    </row>
    <row r="19" spans="1:10" ht="15.75" thickBot="1" x14ac:dyDescent="0.3">
      <c r="A19" s="58">
        <v>44083</v>
      </c>
      <c r="B19" s="22"/>
      <c r="C19" s="22"/>
      <c r="D19" s="22"/>
      <c r="E19" s="55" t="s">
        <v>45</v>
      </c>
      <c r="F19" s="55">
        <f>I18</f>
        <v>102.1244019138756</v>
      </c>
      <c r="G19" s="55">
        <f>95*F19</f>
        <v>9701.818181818182</v>
      </c>
      <c r="H19" s="14">
        <v>0</v>
      </c>
      <c r="I19" s="14">
        <v>0</v>
      </c>
      <c r="J19" s="15">
        <v>0</v>
      </c>
    </row>
    <row r="20" spans="1:10" ht="15.75" thickBot="1" x14ac:dyDescent="0.3">
      <c r="A20" s="16"/>
      <c r="B20" s="16"/>
      <c r="C20" s="16"/>
      <c r="D20" s="16"/>
      <c r="E20" s="16"/>
      <c r="F20" s="20"/>
      <c r="G20" s="16"/>
      <c r="H20" s="16"/>
      <c r="I20" s="16"/>
      <c r="J20" s="16"/>
    </row>
    <row r="21" spans="1:10" x14ac:dyDescent="0.25">
      <c r="A21" s="53" t="s">
        <v>10</v>
      </c>
      <c r="B21" s="105" t="s">
        <v>33</v>
      </c>
      <c r="C21" s="105"/>
      <c r="D21" s="105"/>
      <c r="E21" s="105" t="s">
        <v>34</v>
      </c>
      <c r="F21" s="105"/>
      <c r="G21" s="105"/>
      <c r="H21" s="105" t="s">
        <v>37</v>
      </c>
      <c r="I21" s="105"/>
      <c r="J21" s="106"/>
    </row>
    <row r="22" spans="1:10" x14ac:dyDescent="0.25">
      <c r="A22" s="57">
        <v>44075</v>
      </c>
      <c r="B22" s="4" t="s">
        <v>35</v>
      </c>
      <c r="C22" s="4" t="s">
        <v>36</v>
      </c>
      <c r="D22" s="4" t="s">
        <v>37</v>
      </c>
      <c r="E22" s="4" t="s">
        <v>35</v>
      </c>
      <c r="F22" s="4" t="s">
        <v>36</v>
      </c>
      <c r="G22" s="4" t="s">
        <v>37</v>
      </c>
      <c r="H22" s="4" t="s">
        <v>35</v>
      </c>
      <c r="I22" s="4" t="s">
        <v>36</v>
      </c>
      <c r="J22" s="6" t="s">
        <v>37</v>
      </c>
    </row>
    <row r="23" spans="1:10" x14ac:dyDescent="0.25">
      <c r="A23" s="57">
        <v>44075</v>
      </c>
      <c r="B23" s="21"/>
      <c r="C23" s="21"/>
      <c r="D23" s="21"/>
      <c r="E23" s="21"/>
      <c r="F23" s="4"/>
      <c r="G23" s="21"/>
      <c r="H23" s="4">
        <v>120</v>
      </c>
      <c r="I23" s="4">
        <f>J23/H23</f>
        <v>108.75</v>
      </c>
      <c r="J23" s="6">
        <v>13050</v>
      </c>
    </row>
    <row r="24" spans="1:10" x14ac:dyDescent="0.25">
      <c r="A24" s="57">
        <v>44079</v>
      </c>
      <c r="B24" s="4">
        <v>200</v>
      </c>
      <c r="C24" s="4">
        <f>D24/B24</f>
        <v>121.06666666666666</v>
      </c>
      <c r="D24" s="4">
        <f>I4</f>
        <v>24213.333333333332</v>
      </c>
      <c r="E24" s="21"/>
      <c r="F24" s="4"/>
      <c r="G24" s="21"/>
      <c r="H24" s="4">
        <f>B24+H23</f>
        <v>320</v>
      </c>
      <c r="I24" s="4">
        <f>J24/H24</f>
        <v>116.44791666666666</v>
      </c>
      <c r="J24" s="6">
        <f>J23+D24</f>
        <v>37263.333333333328</v>
      </c>
    </row>
    <row r="25" spans="1:10" x14ac:dyDescent="0.25">
      <c r="A25" s="57">
        <v>44081</v>
      </c>
      <c r="B25" s="21"/>
      <c r="C25" s="21"/>
      <c r="D25" s="21"/>
      <c r="E25" s="59" t="s">
        <v>46</v>
      </c>
      <c r="F25" s="59">
        <f>I24</f>
        <v>116.44791666666666</v>
      </c>
      <c r="G25" s="59">
        <f>40*F25</f>
        <v>4657.9166666666661</v>
      </c>
      <c r="H25" s="4">
        <f>H24-40</f>
        <v>280</v>
      </c>
      <c r="I25" s="4">
        <f>J25/H25</f>
        <v>116.44791666666666</v>
      </c>
      <c r="J25" s="6">
        <f>J24-G25</f>
        <v>32605.416666666664</v>
      </c>
    </row>
    <row r="26" spans="1:10" ht="15.75" thickBot="1" x14ac:dyDescent="0.3">
      <c r="A26" s="58">
        <v>44083</v>
      </c>
      <c r="B26" s="22"/>
      <c r="C26" s="22"/>
      <c r="D26" s="22"/>
      <c r="E26" s="55" t="s">
        <v>47</v>
      </c>
      <c r="F26" s="55">
        <f>I25</f>
        <v>116.44791666666666</v>
      </c>
      <c r="G26" s="55">
        <f>280*I25</f>
        <v>32605.416666666664</v>
      </c>
      <c r="H26" s="14">
        <v>0</v>
      </c>
      <c r="I26" s="14">
        <v>0</v>
      </c>
      <c r="J26" s="15">
        <v>0</v>
      </c>
    </row>
    <row r="28" spans="1:10" ht="15.75" thickBot="1" x14ac:dyDescent="0.3"/>
    <row r="29" spans="1:10" x14ac:dyDescent="0.25">
      <c r="A29" s="48" t="s">
        <v>48</v>
      </c>
      <c r="B29" s="49" t="s">
        <v>109</v>
      </c>
      <c r="C29" s="50" t="s">
        <v>110</v>
      </c>
    </row>
    <row r="30" spans="1:10" x14ac:dyDescent="0.25">
      <c r="A30" s="11" t="s">
        <v>8</v>
      </c>
      <c r="B30" s="4">
        <f>G11</f>
        <v>4270.7876923076929</v>
      </c>
      <c r="C30" s="6">
        <f>G12</f>
        <v>2669.2423076923078</v>
      </c>
    </row>
    <row r="31" spans="1:10" x14ac:dyDescent="0.25">
      <c r="A31" s="11" t="s">
        <v>9</v>
      </c>
      <c r="B31" s="4">
        <f>G18</f>
        <v>9701.818181818182</v>
      </c>
      <c r="C31" s="6">
        <f>G19</f>
        <v>9701.818181818182</v>
      </c>
    </row>
    <row r="32" spans="1:10" x14ac:dyDescent="0.25">
      <c r="A32" s="11" t="s">
        <v>10</v>
      </c>
      <c r="B32" s="4">
        <f>G25</f>
        <v>4657.9166666666661</v>
      </c>
      <c r="C32" s="6">
        <f>G26</f>
        <v>32605.416666666664</v>
      </c>
    </row>
    <row r="33" spans="1:3" ht="15.75" thickBot="1" x14ac:dyDescent="0.3">
      <c r="A33" s="60" t="s">
        <v>49</v>
      </c>
      <c r="B33" s="55">
        <f>SUM(B30:B32)</f>
        <v>18630.522540792539</v>
      </c>
      <c r="C33" s="56">
        <f>SUM(C30:C32)</f>
        <v>44976.477156177156</v>
      </c>
    </row>
  </sheetData>
  <mergeCells count="9">
    <mergeCell ref="B21:D21"/>
    <mergeCell ref="E21:G21"/>
    <mergeCell ref="H21:J21"/>
    <mergeCell ref="B7:D7"/>
    <mergeCell ref="E7:G7"/>
    <mergeCell ref="H7:J7"/>
    <mergeCell ref="B14:D14"/>
    <mergeCell ref="E14:G14"/>
    <mergeCell ref="H14:J1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37961-72CE-4ABD-8C4C-38AD5CBA48A9}">
  <dimension ref="A1:H23"/>
  <sheetViews>
    <sheetView showGridLines="0" topLeftCell="B1" workbookViewId="0">
      <selection activeCell="H3" sqref="H3"/>
    </sheetView>
  </sheetViews>
  <sheetFormatPr defaultRowHeight="15" x14ac:dyDescent="0.25"/>
  <cols>
    <col min="1" max="1" width="41.42578125" bestFit="1" customWidth="1"/>
    <col min="2" max="2" width="25.7109375" style="1" bestFit="1" customWidth="1"/>
    <col min="3" max="3" width="24.7109375" bestFit="1" customWidth="1"/>
    <col min="5" max="5" width="18" customWidth="1"/>
    <col min="6" max="6" width="30" bestFit="1" customWidth="1"/>
    <col min="7" max="7" width="22" customWidth="1"/>
    <col min="8" max="8" width="25" customWidth="1"/>
  </cols>
  <sheetData>
    <row r="1" spans="1:8" ht="15.75" x14ac:dyDescent="0.25">
      <c r="A1" s="61" t="s">
        <v>50</v>
      </c>
      <c r="B1" s="62">
        <v>365</v>
      </c>
      <c r="E1" s="72" t="s">
        <v>0</v>
      </c>
      <c r="F1" s="52" t="s">
        <v>71</v>
      </c>
      <c r="G1" s="52" t="s">
        <v>72</v>
      </c>
      <c r="H1" s="50" t="s">
        <v>73</v>
      </c>
    </row>
    <row r="2" spans="1:8" ht="15.75" x14ac:dyDescent="0.25">
      <c r="A2" s="23" t="s">
        <v>51</v>
      </c>
      <c r="B2" s="24">
        <v>-48</v>
      </c>
      <c r="E2" s="11" t="s">
        <v>13</v>
      </c>
      <c r="F2" s="3">
        <v>155</v>
      </c>
      <c r="G2" s="26">
        <v>4</v>
      </c>
      <c r="H2" s="6">
        <f>F2*G2*B21</f>
        <v>17486.821</v>
      </c>
    </row>
    <row r="3" spans="1:8" ht="16.5" thickBot="1" x14ac:dyDescent="0.3">
      <c r="A3" s="23" t="s">
        <v>52</v>
      </c>
      <c r="B3" s="24">
        <v>-30</v>
      </c>
      <c r="E3" s="7" t="s">
        <v>14</v>
      </c>
      <c r="F3" s="8">
        <v>155</v>
      </c>
      <c r="G3" s="27">
        <v>6</v>
      </c>
      <c r="H3" s="15">
        <f>F3*G3*C21</f>
        <v>37471.759285714288</v>
      </c>
    </row>
    <row r="4" spans="1:8" ht="16.5" thickBot="1" x14ac:dyDescent="0.3">
      <c r="A4" s="23" t="s">
        <v>53</v>
      </c>
      <c r="B4" s="24">
        <v>-12</v>
      </c>
      <c r="G4" s="25"/>
    </row>
    <row r="5" spans="1:8" ht="15.75" x14ac:dyDescent="0.25">
      <c r="A5" s="23" t="s">
        <v>54</v>
      </c>
      <c r="B5" s="24">
        <v>275</v>
      </c>
      <c r="E5" s="72" t="s">
        <v>74</v>
      </c>
      <c r="F5" s="52" t="s">
        <v>75</v>
      </c>
      <c r="G5" s="73" t="s">
        <v>76</v>
      </c>
      <c r="H5" s="50" t="s">
        <v>77</v>
      </c>
    </row>
    <row r="6" spans="1:8" ht="15.75" x14ac:dyDescent="0.25">
      <c r="A6" s="23" t="s">
        <v>55</v>
      </c>
      <c r="B6" s="24" t="s">
        <v>56</v>
      </c>
      <c r="E6" s="11" t="s">
        <v>13</v>
      </c>
      <c r="F6" s="3">
        <v>9</v>
      </c>
      <c r="G6" s="26">
        <v>4</v>
      </c>
      <c r="H6" s="6">
        <f>F6*G6*B21</f>
        <v>1015.3638000000001</v>
      </c>
    </row>
    <row r="7" spans="1:8" ht="16.5" thickBot="1" x14ac:dyDescent="0.3">
      <c r="A7" s="63" t="s">
        <v>57</v>
      </c>
      <c r="B7" s="64">
        <v>2016</v>
      </c>
      <c r="E7" s="7" t="s">
        <v>14</v>
      </c>
      <c r="F7" s="8">
        <v>9</v>
      </c>
      <c r="G7" s="27">
        <v>6</v>
      </c>
      <c r="H7" s="15">
        <f>F7*G7*C21</f>
        <v>2175.7795714285717</v>
      </c>
    </row>
    <row r="8" spans="1:8" x14ac:dyDescent="0.25">
      <c r="G8" s="25"/>
    </row>
    <row r="9" spans="1:8" x14ac:dyDescent="0.25">
      <c r="H9" s="16"/>
    </row>
    <row r="10" spans="1:8" ht="15.75" thickBot="1" x14ac:dyDescent="0.3"/>
    <row r="11" spans="1:8" x14ac:dyDescent="0.25">
      <c r="A11" s="48" t="s">
        <v>65</v>
      </c>
      <c r="B11" s="49" t="s">
        <v>66</v>
      </c>
      <c r="C11" s="65" t="s">
        <v>67</v>
      </c>
    </row>
    <row r="12" spans="1:8" x14ac:dyDescent="0.25">
      <c r="A12" s="11" t="s">
        <v>58</v>
      </c>
      <c r="B12" s="4">
        <f>B7*14</f>
        <v>28224</v>
      </c>
      <c r="C12" s="6">
        <f>2016*20</f>
        <v>40320</v>
      </c>
    </row>
    <row r="13" spans="1:8" x14ac:dyDescent="0.25">
      <c r="A13" s="11" t="s">
        <v>59</v>
      </c>
      <c r="B13" s="4">
        <f>48*7.33*14</f>
        <v>4925.76</v>
      </c>
      <c r="C13" s="6">
        <f>48*7.33*20</f>
        <v>7036.8000000000011</v>
      </c>
      <c r="G13" s="16"/>
    </row>
    <row r="14" spans="1:8" x14ac:dyDescent="0.25">
      <c r="A14" s="11" t="s">
        <v>60</v>
      </c>
      <c r="B14" s="4">
        <f>30*7.33*14</f>
        <v>3078.6</v>
      </c>
      <c r="C14" s="6">
        <f>30*7.33*20</f>
        <v>4398</v>
      </c>
    </row>
    <row r="15" spans="1:8" x14ac:dyDescent="0.25">
      <c r="A15" s="11" t="s">
        <v>61</v>
      </c>
      <c r="B15" s="4">
        <f>30*7.33*14</f>
        <v>3078.6</v>
      </c>
      <c r="C15" s="6">
        <f>30*7.33*20</f>
        <v>4398</v>
      </c>
    </row>
    <row r="16" spans="1:8" x14ac:dyDescent="0.25">
      <c r="A16" s="11" t="s">
        <v>62</v>
      </c>
      <c r="B16" s="4">
        <f>(1/3)*B14</f>
        <v>1026.1999999999998</v>
      </c>
      <c r="C16" s="6">
        <f>(1/3)*C14</f>
        <v>1466</v>
      </c>
    </row>
    <row r="17" spans="1:3" x14ac:dyDescent="0.25">
      <c r="A17" s="11" t="s">
        <v>63</v>
      </c>
      <c r="B17" s="4">
        <f>12*7.33*14</f>
        <v>1231.44</v>
      </c>
      <c r="C17" s="6">
        <f>12*7.33*20</f>
        <v>1759.2000000000003</v>
      </c>
    </row>
    <row r="18" spans="1:3" x14ac:dyDescent="0.25">
      <c r="A18" s="66" t="s">
        <v>64</v>
      </c>
      <c r="B18" s="59">
        <f>SUM(B12:B17)</f>
        <v>41564.6</v>
      </c>
      <c r="C18" s="67">
        <f>SUM(C12:C17)</f>
        <v>59378</v>
      </c>
    </row>
    <row r="19" spans="1:3" x14ac:dyDescent="0.25">
      <c r="A19" s="66" t="s">
        <v>68</v>
      </c>
      <c r="B19" s="59">
        <f>B18*1.368</f>
        <v>56860.372800000005</v>
      </c>
      <c r="C19" s="67">
        <f>C18*1.368</f>
        <v>81229.104000000007</v>
      </c>
    </row>
    <row r="20" spans="1:3" x14ac:dyDescent="0.25">
      <c r="A20" s="66" t="s">
        <v>69</v>
      </c>
      <c r="B20" s="68">
        <v>2016</v>
      </c>
      <c r="C20" s="69">
        <v>2016</v>
      </c>
    </row>
    <row r="21" spans="1:3" ht="15.75" thickBot="1" x14ac:dyDescent="0.3">
      <c r="A21" s="60" t="s">
        <v>70</v>
      </c>
      <c r="B21" s="70">
        <f>B19/B20</f>
        <v>28.204550000000001</v>
      </c>
      <c r="C21" s="71">
        <f>C19/C20</f>
        <v>40.292214285714287</v>
      </c>
    </row>
    <row r="23" spans="1:3" x14ac:dyDescent="0.25">
      <c r="B23" s="98"/>
      <c r="C23" s="98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55BCD-6655-4665-B1BF-AFF11C85A749}">
  <dimension ref="A1:G23"/>
  <sheetViews>
    <sheetView showGridLines="0" topLeftCell="A3" workbookViewId="0">
      <selection activeCell="C15" sqref="C15"/>
    </sheetView>
  </sheetViews>
  <sheetFormatPr defaultRowHeight="15" x14ac:dyDescent="0.25"/>
  <cols>
    <col min="1" max="1" width="24" customWidth="1"/>
    <col min="2" max="2" width="21.140625" customWidth="1"/>
    <col min="3" max="3" width="87.140625" bestFit="1" customWidth="1"/>
    <col min="4" max="4" width="14.7109375" customWidth="1"/>
    <col min="5" max="5" width="42.42578125" customWidth="1"/>
    <col min="6" max="6" width="17.85546875" customWidth="1"/>
    <col min="7" max="7" width="18.5703125" customWidth="1"/>
  </cols>
  <sheetData>
    <row r="1" spans="1:7" ht="15.75" thickBot="1" x14ac:dyDescent="0.3">
      <c r="A1" s="48" t="s">
        <v>20</v>
      </c>
      <c r="B1" s="49" t="s">
        <v>27</v>
      </c>
      <c r="C1" s="50" t="s">
        <v>28</v>
      </c>
      <c r="E1" s="76" t="s">
        <v>83</v>
      </c>
    </row>
    <row r="2" spans="1:7" x14ac:dyDescent="0.25">
      <c r="A2" s="5" t="s">
        <v>21</v>
      </c>
      <c r="B2" s="3">
        <v>7000</v>
      </c>
      <c r="C2" s="45" t="s">
        <v>29</v>
      </c>
      <c r="E2" s="48" t="s">
        <v>15</v>
      </c>
      <c r="F2" s="49" t="s">
        <v>109</v>
      </c>
      <c r="G2" s="50" t="s">
        <v>110</v>
      </c>
    </row>
    <row r="3" spans="1:7" x14ac:dyDescent="0.25">
      <c r="A3" s="5" t="s">
        <v>22</v>
      </c>
      <c r="B3" s="3">
        <v>12000</v>
      </c>
      <c r="C3" s="45" t="s">
        <v>30</v>
      </c>
      <c r="E3" s="5" t="s">
        <v>8</v>
      </c>
      <c r="F3" s="3">
        <v>80</v>
      </c>
      <c r="G3" s="10">
        <v>50</v>
      </c>
    </row>
    <row r="4" spans="1:7" x14ac:dyDescent="0.25">
      <c r="A4" s="5" t="s">
        <v>23</v>
      </c>
      <c r="B4" s="3">
        <v>3600</v>
      </c>
      <c r="C4" s="45" t="s">
        <v>120</v>
      </c>
      <c r="E4" s="5" t="s">
        <v>9</v>
      </c>
      <c r="F4" s="3">
        <v>95</v>
      </c>
      <c r="G4" s="10">
        <v>95</v>
      </c>
    </row>
    <row r="5" spans="1:7" x14ac:dyDescent="0.25">
      <c r="A5" s="5" t="s">
        <v>31</v>
      </c>
      <c r="B5" s="3">
        <v>2300</v>
      </c>
      <c r="C5" s="45" t="s">
        <v>32</v>
      </c>
      <c r="E5" s="5" t="s">
        <v>10</v>
      </c>
      <c r="F5" s="3">
        <v>40</v>
      </c>
      <c r="G5" s="10">
        <v>280</v>
      </c>
    </row>
    <row r="6" spans="1:7" ht="15.75" thickBot="1" x14ac:dyDescent="0.3">
      <c r="A6" s="34" t="s">
        <v>87</v>
      </c>
      <c r="B6" s="14">
        <f>'Mão-de-obra Direta'!H6+'Mão-de-obra Direta'!H7</f>
        <v>3191.1433714285718</v>
      </c>
      <c r="C6" s="47" t="s">
        <v>88</v>
      </c>
      <c r="E6" s="81" t="s">
        <v>37</v>
      </c>
      <c r="F6" s="68">
        <f>SUM(F3:F5)</f>
        <v>215</v>
      </c>
      <c r="G6" s="69">
        <f>SUM(G3:G5)</f>
        <v>425</v>
      </c>
    </row>
    <row r="7" spans="1:7" ht="15.75" thickBot="1" x14ac:dyDescent="0.3">
      <c r="E7" s="82" t="s">
        <v>80</v>
      </c>
      <c r="F7" s="83">
        <f>F6/(F6+G6)</f>
        <v>0.3359375</v>
      </c>
      <c r="G7" s="84">
        <f>G6/(F6+G6)</f>
        <v>0.6640625</v>
      </c>
    </row>
    <row r="9" spans="1:7" ht="15.75" thickBot="1" x14ac:dyDescent="0.3">
      <c r="A9" s="68" t="s">
        <v>78</v>
      </c>
      <c r="B9" s="68" t="s">
        <v>112</v>
      </c>
      <c r="C9" s="68" t="s">
        <v>111</v>
      </c>
      <c r="E9" s="77" t="s">
        <v>115</v>
      </c>
      <c r="F9" s="28"/>
    </row>
    <row r="10" spans="1:7" x14ac:dyDescent="0.25">
      <c r="A10" s="74" t="s">
        <v>21</v>
      </c>
      <c r="B10" s="4">
        <f>7000*0.5</f>
        <v>3500</v>
      </c>
      <c r="C10" s="4">
        <f>7000*0.5</f>
        <v>3500</v>
      </c>
      <c r="E10" s="78" t="s">
        <v>48</v>
      </c>
      <c r="F10" s="79" t="s">
        <v>112</v>
      </c>
      <c r="G10" s="80" t="s">
        <v>111</v>
      </c>
    </row>
    <row r="11" spans="1:7" x14ac:dyDescent="0.25">
      <c r="A11" s="74" t="s">
        <v>79</v>
      </c>
      <c r="B11" s="4">
        <f>12000*F7</f>
        <v>4031.25</v>
      </c>
      <c r="C11" s="4">
        <f>B3*G7</f>
        <v>7968.75</v>
      </c>
      <c r="E11" s="31" t="s">
        <v>8</v>
      </c>
      <c r="F11" s="30">
        <f>'Controle de Inventário'!B30</f>
        <v>4270.7876923076929</v>
      </c>
      <c r="G11" s="32">
        <f>'Controle de Inventário'!C30</f>
        <v>2669.2423076923078</v>
      </c>
    </row>
    <row r="12" spans="1:7" x14ac:dyDescent="0.25">
      <c r="A12" s="74" t="s">
        <v>23</v>
      </c>
      <c r="B12" s="4">
        <f>3600*F17</f>
        <v>1078.2829832737559</v>
      </c>
      <c r="C12" s="4">
        <f>3600*G17</f>
        <v>2521.7170167262439</v>
      </c>
      <c r="E12" s="31" t="s">
        <v>9</v>
      </c>
      <c r="F12" s="30">
        <f>'Controle de Inventário'!B31</f>
        <v>9701.818181818182</v>
      </c>
      <c r="G12" s="32">
        <f>'Controle de Inventário'!C31</f>
        <v>9701.818181818182</v>
      </c>
    </row>
    <row r="13" spans="1:7" x14ac:dyDescent="0.25">
      <c r="A13" s="74" t="s">
        <v>84</v>
      </c>
      <c r="B13" s="4">
        <f>2300*F23</f>
        <v>1045.4545454545455</v>
      </c>
      <c r="C13" s="4">
        <f>2300*G23</f>
        <v>1254.5454545454545</v>
      </c>
      <c r="E13" s="31" t="s">
        <v>10</v>
      </c>
      <c r="F13" s="30">
        <f>'Controle de Inventário'!B32</f>
        <v>4657.9166666666661</v>
      </c>
      <c r="G13" s="32">
        <f>'Controle de Inventário'!C32</f>
        <v>32605.416666666664</v>
      </c>
    </row>
    <row r="14" spans="1:7" x14ac:dyDescent="0.25">
      <c r="A14" s="74" t="s">
        <v>87</v>
      </c>
      <c r="B14" s="4">
        <f>B6/2</f>
        <v>1595.5716857142859</v>
      </c>
      <c r="C14" s="4">
        <f>B6/2</f>
        <v>1595.5716857142859</v>
      </c>
      <c r="E14" s="31" t="s">
        <v>49</v>
      </c>
      <c r="F14" s="30">
        <f>SUM(F11:F13)</f>
        <v>18630.522540792539</v>
      </c>
      <c r="G14" s="32">
        <f>SUM(G11:G13)</f>
        <v>44976.477156177156</v>
      </c>
    </row>
    <row r="15" spans="1:7" x14ac:dyDescent="0.25">
      <c r="A15" s="75" t="s">
        <v>89</v>
      </c>
      <c r="B15" s="59">
        <f>SUM(B10:B14)</f>
        <v>11250.559214442586</v>
      </c>
      <c r="C15" s="59">
        <f>SUM(C10:C14)</f>
        <v>16840.584156985984</v>
      </c>
      <c r="E15" s="33" t="s">
        <v>81</v>
      </c>
      <c r="F15" s="29">
        <v>1200</v>
      </c>
      <c r="G15" s="35">
        <v>1400</v>
      </c>
    </row>
    <row r="16" spans="1:7" x14ac:dyDescent="0.25">
      <c r="E16" s="85" t="s">
        <v>82</v>
      </c>
      <c r="F16" s="86">
        <f>F14+F15</f>
        <v>19830.522540792539</v>
      </c>
      <c r="G16" s="87">
        <f>G14+G15</f>
        <v>46376.477156177156</v>
      </c>
    </row>
    <row r="17" spans="5:7" ht="15.75" thickBot="1" x14ac:dyDescent="0.3">
      <c r="E17" s="88" t="s">
        <v>80</v>
      </c>
      <c r="F17" s="89">
        <f>F16/(F16+G16)</f>
        <v>0.29952305090937664</v>
      </c>
      <c r="G17" s="90">
        <f>G16/(G16+F16)</f>
        <v>0.7004769490906233</v>
      </c>
    </row>
    <row r="19" spans="5:7" x14ac:dyDescent="0.25">
      <c r="E19" s="1"/>
    </row>
    <row r="20" spans="5:7" ht="15.75" thickBot="1" x14ac:dyDescent="0.3">
      <c r="E20" s="91" t="s">
        <v>85</v>
      </c>
    </row>
    <row r="21" spans="5:7" x14ac:dyDescent="0.25">
      <c r="E21" s="48" t="s">
        <v>116</v>
      </c>
      <c r="F21" s="49" t="s">
        <v>117</v>
      </c>
      <c r="G21" s="50" t="s">
        <v>111</v>
      </c>
    </row>
    <row r="22" spans="5:7" x14ac:dyDescent="0.25">
      <c r="E22" s="36" t="s">
        <v>86</v>
      </c>
      <c r="F22" s="18">
        <v>1000</v>
      </c>
      <c r="G22" s="37">
        <v>1200</v>
      </c>
    </row>
    <row r="23" spans="5:7" ht="15.75" thickBot="1" x14ac:dyDescent="0.3">
      <c r="E23" s="92" t="s">
        <v>80</v>
      </c>
      <c r="F23" s="83">
        <f>F22/(F22+G22)</f>
        <v>0.45454545454545453</v>
      </c>
      <c r="G23" s="84">
        <f>G22/(G22+F22)</f>
        <v>0.54545454545454541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A7CF0-6DA8-44E0-8FA1-1ED0DA86518C}">
  <dimension ref="A1:O31"/>
  <sheetViews>
    <sheetView showGridLines="0" tabSelected="1" workbookViewId="0"/>
  </sheetViews>
  <sheetFormatPr defaultRowHeight="15" x14ac:dyDescent="0.25"/>
  <cols>
    <col min="1" max="1" width="34.140625" customWidth="1"/>
    <col min="2" max="2" width="18.7109375" customWidth="1"/>
    <col min="3" max="3" width="21.5703125" customWidth="1"/>
    <col min="5" max="5" width="23.28515625" bestFit="1" customWidth="1"/>
    <col min="6" max="6" width="15" customWidth="1"/>
    <col min="7" max="7" width="13.42578125" customWidth="1"/>
    <col min="8" max="8" width="15.140625" customWidth="1"/>
    <col min="9" max="9" width="17.28515625" customWidth="1"/>
    <col min="10" max="10" width="49.42578125" customWidth="1"/>
    <col min="11" max="11" width="17.28515625" customWidth="1"/>
    <col min="12" max="12" width="20.42578125" customWidth="1"/>
    <col min="14" max="14" width="24.28515625" bestFit="1" customWidth="1"/>
    <col min="15" max="15" width="15.85546875" customWidth="1"/>
  </cols>
  <sheetData>
    <row r="1" spans="1:15" ht="15.75" thickBot="1" x14ac:dyDescent="0.3">
      <c r="A1" s="48" t="s">
        <v>118</v>
      </c>
      <c r="B1" s="49" t="s">
        <v>112</v>
      </c>
      <c r="C1" s="50" t="s">
        <v>111</v>
      </c>
      <c r="E1" s="48" t="s">
        <v>97</v>
      </c>
      <c r="F1" s="49" t="s">
        <v>13</v>
      </c>
      <c r="G1" s="49" t="s">
        <v>14</v>
      </c>
      <c r="H1" s="50" t="s">
        <v>101</v>
      </c>
      <c r="J1" s="101" t="s">
        <v>122</v>
      </c>
      <c r="K1" s="101"/>
      <c r="L1" s="101"/>
    </row>
    <row r="2" spans="1:15" x14ac:dyDescent="0.25">
      <c r="A2" s="11" t="s">
        <v>48</v>
      </c>
      <c r="B2" s="4">
        <f>'Controle de Inventário'!B33</f>
        <v>18630.522540792539</v>
      </c>
      <c r="C2" s="6">
        <f>'Controle de Inventário'!C33</f>
        <v>44976.477156177156</v>
      </c>
      <c r="E2" s="11" t="s">
        <v>98</v>
      </c>
      <c r="F2" s="4">
        <f>B9*115</f>
        <v>69000</v>
      </c>
      <c r="G2" s="4">
        <f>C9*158</f>
        <v>134300</v>
      </c>
      <c r="H2" s="6">
        <f>F2+G2</f>
        <v>203300</v>
      </c>
      <c r="I2" s="98"/>
      <c r="J2" s="48" t="s">
        <v>118</v>
      </c>
      <c r="K2" s="49" t="s">
        <v>112</v>
      </c>
      <c r="L2" s="50" t="s">
        <v>111</v>
      </c>
      <c r="N2" s="48" t="s">
        <v>97</v>
      </c>
      <c r="O2" s="103" t="s">
        <v>101</v>
      </c>
    </row>
    <row r="3" spans="1:15" x14ac:dyDescent="0.25">
      <c r="A3" s="11" t="s">
        <v>90</v>
      </c>
      <c r="B3" s="4">
        <v>1200</v>
      </c>
      <c r="C3" s="6">
        <v>1400</v>
      </c>
      <c r="E3" s="11" t="s">
        <v>99</v>
      </c>
      <c r="F3" s="4">
        <f>B8</f>
        <v>49567.902755235133</v>
      </c>
      <c r="G3" s="4">
        <f>C8</f>
        <v>101888.82059887741</v>
      </c>
      <c r="H3" s="6">
        <f>F3+G3</f>
        <v>151456.72335411253</v>
      </c>
      <c r="I3" s="98"/>
      <c r="J3" s="11" t="s">
        <v>48</v>
      </c>
      <c r="K3" s="4">
        <f>B2*0.97</f>
        <v>18071.606864568763</v>
      </c>
      <c r="L3" s="4">
        <f>C2*0.97</f>
        <v>43627.182841491842</v>
      </c>
      <c r="N3" s="11" t="s">
        <v>98</v>
      </c>
      <c r="O3" s="107">
        <f>H2</f>
        <v>203300</v>
      </c>
    </row>
    <row r="4" spans="1:15" x14ac:dyDescent="0.25">
      <c r="A4" s="11" t="s">
        <v>91</v>
      </c>
      <c r="B4" s="4">
        <v>1000</v>
      </c>
      <c r="C4" s="6">
        <v>1200</v>
      </c>
      <c r="E4" s="11" t="s">
        <v>100</v>
      </c>
      <c r="F4" s="4">
        <f>F2-F3</f>
        <v>19432.097244764867</v>
      </c>
      <c r="G4" s="4">
        <f>G2-G3</f>
        <v>32411.179401122587</v>
      </c>
      <c r="H4" s="6">
        <f>H2-H3</f>
        <v>51843.276645887468</v>
      </c>
      <c r="I4" s="98"/>
      <c r="J4" s="11" t="s">
        <v>90</v>
      </c>
      <c r="K4" s="4">
        <f>B3</f>
        <v>1200</v>
      </c>
      <c r="L4" s="4">
        <f>C3</f>
        <v>1400</v>
      </c>
      <c r="N4" s="11" t="s">
        <v>99</v>
      </c>
      <c r="O4" s="107">
        <f>K9+L9</f>
        <v>147899.75595463204</v>
      </c>
    </row>
    <row r="5" spans="1:15" x14ac:dyDescent="0.25">
      <c r="A5" s="11" t="s">
        <v>92</v>
      </c>
      <c r="B5" s="4">
        <f>'Mão-de-obra Direta'!H2</f>
        <v>17486.821</v>
      </c>
      <c r="C5" s="6">
        <f>'Mão-de-obra Direta'!H3</f>
        <v>37471.759285714288</v>
      </c>
      <c r="E5" s="66" t="s">
        <v>102</v>
      </c>
      <c r="F5" s="95">
        <f>F4/F2</f>
        <v>0.28162459775021548</v>
      </c>
      <c r="G5" s="95">
        <f t="shared" ref="G5:H5" si="0">G4/G2</f>
        <v>0.24133417275593885</v>
      </c>
      <c r="H5" s="96">
        <f t="shared" si="0"/>
        <v>0.25500873903535398</v>
      </c>
      <c r="I5" s="98"/>
      <c r="J5" s="11" t="s">
        <v>91</v>
      </c>
      <c r="K5" s="4">
        <v>1000</v>
      </c>
      <c r="L5" s="6">
        <v>1200</v>
      </c>
      <c r="N5" s="11" t="s">
        <v>100</v>
      </c>
      <c r="O5" s="107">
        <f>O3-O4</f>
        <v>55400.244045367959</v>
      </c>
    </row>
    <row r="6" spans="1:15" x14ac:dyDescent="0.25">
      <c r="A6" s="11" t="s">
        <v>93</v>
      </c>
      <c r="B6" s="4">
        <f>SUM(B2:B5)</f>
        <v>38317.343540792543</v>
      </c>
      <c r="C6" s="6">
        <f>SUM(C2:C5)</f>
        <v>85048.236441891437</v>
      </c>
      <c r="E6" s="11" t="s">
        <v>103</v>
      </c>
      <c r="F6" s="3"/>
      <c r="G6" s="3"/>
      <c r="H6" s="6">
        <v>26400</v>
      </c>
      <c r="I6" s="98"/>
      <c r="J6" s="11" t="s">
        <v>92</v>
      </c>
      <c r="K6" s="4">
        <f>B5*0.97</f>
        <v>16962.216369999998</v>
      </c>
      <c r="L6" s="4">
        <f>C5*0.97</f>
        <v>36347.60650714286</v>
      </c>
      <c r="N6" s="66" t="s">
        <v>102</v>
      </c>
      <c r="O6" s="100">
        <f>O5/O3</f>
        <v>0.27250488954927671</v>
      </c>
    </row>
    <row r="7" spans="1:15" x14ac:dyDescent="0.25">
      <c r="A7" s="11" t="s">
        <v>94</v>
      </c>
      <c r="B7" s="4">
        <f>'Custos Indiretos'!B15</f>
        <v>11250.559214442586</v>
      </c>
      <c r="C7" s="6">
        <f>'Custos Indiretos'!C15</f>
        <v>16840.584156985984</v>
      </c>
      <c r="E7" s="11" t="s">
        <v>104</v>
      </c>
      <c r="F7" s="3"/>
      <c r="G7" s="4"/>
      <c r="H7" s="6">
        <f>H4-H6</f>
        <v>25443.276645887468</v>
      </c>
      <c r="I7" s="98"/>
      <c r="J7" s="11" t="s">
        <v>93</v>
      </c>
      <c r="K7" s="4">
        <f>SUM(K3:K6)</f>
        <v>37233.823234568757</v>
      </c>
      <c r="L7" s="6">
        <f>SUM(L3:L6)</f>
        <v>82574.789348634702</v>
      </c>
      <c r="N7" s="11" t="s">
        <v>103</v>
      </c>
      <c r="O7" s="107">
        <f>H6</f>
        <v>26400</v>
      </c>
    </row>
    <row r="8" spans="1:15" x14ac:dyDescent="0.25">
      <c r="A8" s="81" t="s">
        <v>119</v>
      </c>
      <c r="B8" s="59">
        <f>B6+B7</f>
        <v>49567.902755235133</v>
      </c>
      <c r="C8" s="67">
        <f>C6+C7</f>
        <v>101888.82059887741</v>
      </c>
      <c r="E8" s="66" t="s">
        <v>105</v>
      </c>
      <c r="F8" s="3"/>
      <c r="G8" s="3"/>
      <c r="H8" s="96">
        <f>H7/H2</f>
        <v>0.12515138537081882</v>
      </c>
      <c r="I8" s="98"/>
      <c r="J8" s="11" t="s">
        <v>94</v>
      </c>
      <c r="K8" s="4">
        <f>B7</f>
        <v>11250.559214442586</v>
      </c>
      <c r="L8" s="4">
        <f>C7</f>
        <v>16840.584156985984</v>
      </c>
      <c r="N8" s="11" t="s">
        <v>104</v>
      </c>
      <c r="O8" s="107">
        <f>O5-O7</f>
        <v>29000.244045367959</v>
      </c>
    </row>
    <row r="9" spans="1:15" x14ac:dyDescent="0.25">
      <c r="A9" s="5" t="s">
        <v>95</v>
      </c>
      <c r="B9" s="93">
        <v>600</v>
      </c>
      <c r="C9" s="94">
        <v>850</v>
      </c>
      <c r="E9" s="11" t="s">
        <v>106</v>
      </c>
      <c r="F9" s="3"/>
      <c r="G9" s="3"/>
      <c r="H9" s="6">
        <f>H7*0.34</f>
        <v>8650.7140596017398</v>
      </c>
      <c r="I9" s="98"/>
      <c r="J9" s="81" t="s">
        <v>119</v>
      </c>
      <c r="K9" s="59">
        <f>K7+K8</f>
        <v>48484.382449011347</v>
      </c>
      <c r="L9" s="67">
        <f>L7+L8</f>
        <v>99415.373505620693</v>
      </c>
      <c r="N9" s="66" t="s">
        <v>105</v>
      </c>
      <c r="O9" s="100">
        <f>O8/O3</f>
        <v>0.14264753588474155</v>
      </c>
    </row>
    <row r="10" spans="1:15" ht="15.75" thickBot="1" x14ac:dyDescent="0.3">
      <c r="A10" s="82" t="s">
        <v>96</v>
      </c>
      <c r="B10" s="55">
        <f>B8/B9</f>
        <v>82.613171258725217</v>
      </c>
      <c r="C10" s="56">
        <f>C8/C9</f>
        <v>119.86920070456166</v>
      </c>
      <c r="E10" s="11" t="s">
        <v>107</v>
      </c>
      <c r="F10" s="3"/>
      <c r="G10" s="3"/>
      <c r="H10" s="6">
        <f>H7-H9</f>
        <v>16792.562586285727</v>
      </c>
      <c r="I10" s="98"/>
      <c r="J10" s="5" t="s">
        <v>95</v>
      </c>
      <c r="K10" s="93">
        <v>600</v>
      </c>
      <c r="L10" s="94">
        <v>850</v>
      </c>
      <c r="N10" s="11" t="s">
        <v>106</v>
      </c>
      <c r="O10" s="107">
        <f>O8*0.34</f>
        <v>9860.0829754251063</v>
      </c>
    </row>
    <row r="11" spans="1:15" ht="15.75" thickBot="1" x14ac:dyDescent="0.3">
      <c r="E11" s="60" t="s">
        <v>108</v>
      </c>
      <c r="F11" s="97"/>
      <c r="G11" s="97"/>
      <c r="H11" s="84">
        <f>H10/H2</f>
        <v>8.2599914344740413E-2</v>
      </c>
      <c r="I11" s="98"/>
      <c r="J11" s="82" t="s">
        <v>96</v>
      </c>
      <c r="K11" s="55">
        <f>K9/K10</f>
        <v>80.807304081685572</v>
      </c>
      <c r="L11" s="56">
        <f>L9/L10</f>
        <v>116.95926294778906</v>
      </c>
      <c r="N11" s="11" t="s">
        <v>107</v>
      </c>
      <c r="O11" s="107">
        <f>O8-O10</f>
        <v>19140.161069942853</v>
      </c>
    </row>
    <row r="12" spans="1:15" ht="15.75" thickBot="1" x14ac:dyDescent="0.3">
      <c r="N12" s="60" t="s">
        <v>108</v>
      </c>
      <c r="O12" s="104">
        <f>O11/O3</f>
        <v>9.4147373683929433E-2</v>
      </c>
    </row>
    <row r="13" spans="1:15" ht="15.75" thickBot="1" x14ac:dyDescent="0.3"/>
    <row r="14" spans="1:15" x14ac:dyDescent="0.25">
      <c r="A14" s="48" t="s">
        <v>118</v>
      </c>
      <c r="B14" s="49" t="s">
        <v>13</v>
      </c>
      <c r="C14" s="50" t="s">
        <v>14</v>
      </c>
      <c r="E14" s="48" t="s">
        <v>97</v>
      </c>
      <c r="F14" s="103" t="s">
        <v>121</v>
      </c>
      <c r="J14" s="48" t="s">
        <v>97</v>
      </c>
      <c r="K14" s="103" t="s">
        <v>121</v>
      </c>
    </row>
    <row r="15" spans="1:15" x14ac:dyDescent="0.25">
      <c r="A15" s="11" t="s">
        <v>48</v>
      </c>
      <c r="B15" s="4">
        <f>B2/$B$9</f>
        <v>31.050870901320899</v>
      </c>
      <c r="C15" s="6">
        <f>C2/$C$9</f>
        <v>52.913502536679005</v>
      </c>
      <c r="E15" s="11" t="s">
        <v>98</v>
      </c>
      <c r="F15" s="100">
        <f>H2/$H$2</f>
        <v>1</v>
      </c>
      <c r="J15" s="11" t="s">
        <v>98</v>
      </c>
      <c r="K15" s="100">
        <f>O3/$O$3</f>
        <v>1</v>
      </c>
    </row>
    <row r="16" spans="1:15" x14ac:dyDescent="0.25">
      <c r="A16" s="11" t="s">
        <v>90</v>
      </c>
      <c r="B16" s="4">
        <f t="shared" ref="B16:B18" si="1">B3/$B$9</f>
        <v>2</v>
      </c>
      <c r="C16" s="6">
        <f t="shared" ref="C16:C18" si="2">C3/$C$9</f>
        <v>1.6470588235294117</v>
      </c>
      <c r="E16" s="11" t="s">
        <v>99</v>
      </c>
      <c r="F16" s="100">
        <f t="shared" ref="F16:F17" si="3">H3/$H$2</f>
        <v>0.74499126096464596</v>
      </c>
      <c r="J16" s="11" t="s">
        <v>99</v>
      </c>
      <c r="K16" s="100">
        <f t="shared" ref="K16:K21" si="4">O4/$O$3</f>
        <v>0.72749511045072324</v>
      </c>
      <c r="N16" s="28"/>
    </row>
    <row r="17" spans="1:12" x14ac:dyDescent="0.25">
      <c r="A17" s="11" t="s">
        <v>91</v>
      </c>
      <c r="B17" s="4">
        <f t="shared" si="1"/>
        <v>1.6666666666666667</v>
      </c>
      <c r="C17" s="6">
        <f t="shared" si="2"/>
        <v>1.411764705882353</v>
      </c>
      <c r="E17" s="11" t="s">
        <v>100</v>
      </c>
      <c r="F17" s="100">
        <f t="shared" si="3"/>
        <v>0.25500873903535398</v>
      </c>
      <c r="J17" s="11" t="s">
        <v>100</v>
      </c>
      <c r="K17" s="100">
        <f t="shared" si="4"/>
        <v>0.27250488954927671</v>
      </c>
    </row>
    <row r="18" spans="1:12" x14ac:dyDescent="0.25">
      <c r="A18" s="11" t="s">
        <v>92</v>
      </c>
      <c r="B18" s="4">
        <f t="shared" si="1"/>
        <v>29.144701666666666</v>
      </c>
      <c r="C18" s="6">
        <f t="shared" si="2"/>
        <v>44.08442268907563</v>
      </c>
      <c r="E18" s="11" t="s">
        <v>103</v>
      </c>
      <c r="F18" s="100">
        <f>H6/H2</f>
        <v>0.12985735366453516</v>
      </c>
      <c r="J18" s="11" t="s">
        <v>103</v>
      </c>
      <c r="K18" s="100">
        <f>O7/O3</f>
        <v>0.12985735366453516</v>
      </c>
    </row>
    <row r="19" spans="1:12" x14ac:dyDescent="0.25">
      <c r="A19" s="11" t="s">
        <v>93</v>
      </c>
      <c r="B19" s="4">
        <f>SUM(B15:B18)</f>
        <v>63.862239234654226</v>
      </c>
      <c r="C19" s="6">
        <f>SUM(C15:C18)</f>
        <v>100.05674875516641</v>
      </c>
      <c r="E19" s="11" t="s">
        <v>104</v>
      </c>
      <c r="F19" s="100">
        <f>H7/H2</f>
        <v>0.12515138537081882</v>
      </c>
      <c r="J19" s="11" t="s">
        <v>104</v>
      </c>
      <c r="K19" s="100">
        <f>O8/O3</f>
        <v>0.14264753588474155</v>
      </c>
    </row>
    <row r="20" spans="1:12" x14ac:dyDescent="0.25">
      <c r="A20" s="11" t="s">
        <v>94</v>
      </c>
      <c r="B20" s="4">
        <f>B7/B9</f>
        <v>18.750932024070977</v>
      </c>
      <c r="C20" s="6">
        <f>C7/C9</f>
        <v>19.812451949395275</v>
      </c>
      <c r="E20" s="11" t="s">
        <v>106</v>
      </c>
      <c r="F20" s="100">
        <f>H9/H2</f>
        <v>4.2551471026078404E-2</v>
      </c>
      <c r="J20" s="11" t="s">
        <v>106</v>
      </c>
      <c r="K20" s="100">
        <f>O10/O3</f>
        <v>4.850016220081213E-2</v>
      </c>
    </row>
    <row r="21" spans="1:12" ht="15.75" thickBot="1" x14ac:dyDescent="0.3">
      <c r="A21" s="81" t="s">
        <v>119</v>
      </c>
      <c r="B21" s="59">
        <f>B19+B20</f>
        <v>82.613171258725203</v>
      </c>
      <c r="C21" s="67">
        <f>C19+C20</f>
        <v>119.86920070456168</v>
      </c>
      <c r="E21" s="7" t="s">
        <v>107</v>
      </c>
      <c r="F21" s="104">
        <f>H10/H2</f>
        <v>8.2599914344740413E-2</v>
      </c>
      <c r="J21" s="7" t="s">
        <v>107</v>
      </c>
      <c r="K21" s="100">
        <f>O11/O3</f>
        <v>9.4147373683929433E-2</v>
      </c>
    </row>
    <row r="24" spans="1:12" ht="15.75" thickBot="1" x14ac:dyDescent="0.3">
      <c r="E24" s="102"/>
      <c r="J24" s="68" t="s">
        <v>123</v>
      </c>
      <c r="K24" s="68" t="s">
        <v>124</v>
      </c>
      <c r="L24" s="68" t="s">
        <v>125</v>
      </c>
    </row>
    <row r="25" spans="1:12" x14ac:dyDescent="0.25">
      <c r="A25" s="48" t="s">
        <v>118</v>
      </c>
      <c r="B25" s="49" t="s">
        <v>13</v>
      </c>
      <c r="C25" s="50" t="s">
        <v>14</v>
      </c>
      <c r="J25" s="44" t="s">
        <v>133</v>
      </c>
      <c r="K25" s="4">
        <v>140000</v>
      </c>
      <c r="L25" s="4">
        <v>140000</v>
      </c>
    </row>
    <row r="26" spans="1:12" x14ac:dyDescent="0.25">
      <c r="A26" s="11" t="s">
        <v>48</v>
      </c>
      <c r="B26" s="99">
        <f>B15/$B$21</f>
        <v>0.37585860012656824</v>
      </c>
      <c r="C26" s="100">
        <f>C15/C21</f>
        <v>0.44142700731853096</v>
      </c>
      <c r="J26" s="44" t="s">
        <v>126</v>
      </c>
      <c r="K26" s="4">
        <f>H10</f>
        <v>16792.562586285727</v>
      </c>
      <c r="L26" s="4">
        <f>O11</f>
        <v>19140.161069942853</v>
      </c>
    </row>
    <row r="27" spans="1:12" x14ac:dyDescent="0.25">
      <c r="A27" s="11" t="s">
        <v>90</v>
      </c>
      <c r="B27" s="99">
        <f t="shared" ref="B27:B29" si="5">B16/$B$21</f>
        <v>2.4209214699390563E-2</v>
      </c>
      <c r="C27" s="100">
        <f>C16/C21</f>
        <v>1.3740467224678275E-2</v>
      </c>
      <c r="J27" s="44" t="s">
        <v>127</v>
      </c>
      <c r="K27" s="99">
        <f>K26/K25</f>
        <v>0.11994687561632662</v>
      </c>
      <c r="L27" s="99">
        <f>L26/L25</f>
        <v>0.13671543621387752</v>
      </c>
    </row>
    <row r="28" spans="1:12" x14ac:dyDescent="0.25">
      <c r="A28" s="11" t="s">
        <v>91</v>
      </c>
      <c r="B28" s="99">
        <f t="shared" si="5"/>
        <v>2.0174345582825468E-2</v>
      </c>
      <c r="C28" s="100">
        <f>C17/C21</f>
        <v>1.1777543335438522E-2</v>
      </c>
      <c r="J28" s="44" t="s">
        <v>128</v>
      </c>
      <c r="K28" s="38">
        <v>0.1</v>
      </c>
      <c r="L28" s="38">
        <v>0.1</v>
      </c>
    </row>
    <row r="29" spans="1:12" x14ac:dyDescent="0.25">
      <c r="A29" s="11" t="s">
        <v>92</v>
      </c>
      <c r="B29" s="99">
        <f t="shared" si="5"/>
        <v>0.35278516999900961</v>
      </c>
      <c r="C29" s="100">
        <f>C18/C21</f>
        <v>0.36777105736885068</v>
      </c>
      <c r="J29" s="44" t="s">
        <v>129</v>
      </c>
      <c r="K29" s="108">
        <f>K27-K28</f>
        <v>1.9946875616326618E-2</v>
      </c>
      <c r="L29" s="108">
        <f>L27-L28</f>
        <v>3.6715436213877517E-2</v>
      </c>
    </row>
    <row r="30" spans="1:12" x14ac:dyDescent="0.25">
      <c r="A30" s="11" t="s">
        <v>94</v>
      </c>
      <c r="B30" s="99">
        <f>B20/B21</f>
        <v>0.22697266959220616</v>
      </c>
      <c r="C30" s="100">
        <f>C20/C21</f>
        <v>0.16528392475250153</v>
      </c>
      <c r="J30" s="44" t="s">
        <v>130</v>
      </c>
      <c r="K30" s="4">
        <f>K29*K25</f>
        <v>2792.5625862857264</v>
      </c>
      <c r="L30" s="4">
        <f>L29*L25</f>
        <v>5140.161069942852</v>
      </c>
    </row>
    <row r="31" spans="1:12" x14ac:dyDescent="0.25">
      <c r="B31" s="16"/>
      <c r="C31" s="16"/>
      <c r="J31" s="44" t="s">
        <v>132</v>
      </c>
      <c r="K31" s="3" t="s">
        <v>131</v>
      </c>
      <c r="L31" s="99">
        <f>(L30/K30)-1</f>
        <v>0.84066100977868174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4A49B-3AFD-4C20-AD37-95FD22EFBE8C}">
  <dimension ref="A1"/>
  <sheetViews>
    <sheetView showGridLines="0" workbookViewId="0">
      <selection activeCell="A19" sqref="A19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E0E33-E863-47A1-8475-271480DC1035}">
  <dimension ref="A1"/>
  <sheetViews>
    <sheetView showGridLines="0" workbookViewId="0">
      <selection activeCell="U7" sqref="U7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Dados iniciais</vt:lpstr>
      <vt:lpstr>Controle de Inventário</vt:lpstr>
      <vt:lpstr>Mão-de-obra Direta</vt:lpstr>
      <vt:lpstr>Custos Indiretos</vt:lpstr>
      <vt:lpstr>Custos Totais e Unitários_DRE</vt:lpstr>
      <vt:lpstr>Gráfico_Custos unitários</vt:lpstr>
      <vt:lpstr>Análise Vertical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2020-10-23T11:44:01Z</dcterms:created>
  <dcterms:modified xsi:type="dcterms:W3CDTF">2020-10-28T18:58:28Z</dcterms:modified>
</cp:coreProperties>
</file>