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Davi Nakano\Dropbox\Disciplinas\PRO3213\"/>
    </mc:Choice>
  </mc:AlternateContent>
  <bookViews>
    <workbookView xWindow="0" yWindow="0" windowWidth="16000" windowHeight="10900"/>
  </bookViews>
  <sheets>
    <sheet name="Ex16" sheetId="25" r:id="rId1"/>
    <sheet name="Ex17" sheetId="27" r:id="rId2"/>
    <sheet name="Ex18" sheetId="28" r:id="rId3"/>
    <sheet name="Ex19" sheetId="29" r:id="rId4"/>
    <sheet name="Ex20" sheetId="30" r:id="rId5"/>
    <sheet name="Ex21" sheetId="31" r:id="rId6"/>
    <sheet name="Ex22" sheetId="32" r:id="rId7"/>
    <sheet name="Ex23" sheetId="33" r:id="rId8"/>
    <sheet name="Ex24" sheetId="34" r:id="rId9"/>
    <sheet name="Ex25" sheetId="35" r:id="rId10"/>
    <sheet name="Ex26" sheetId="48" r:id="rId11"/>
    <sheet name="Ex27" sheetId="49" r:id="rId12"/>
    <sheet name="Ex28" sheetId="36" r:id="rId13"/>
    <sheet name="Ex29" sheetId="37" r:id="rId14"/>
    <sheet name="Ex30" sheetId="38" r:id="rId15"/>
    <sheet name="Ex31" sheetId="39" r:id="rId16"/>
    <sheet name="Ex32" sheetId="40" r:id="rId17"/>
    <sheet name="Ex33" sheetId="41" r:id="rId18"/>
    <sheet name="Ex34" sheetId="42" r:id="rId19"/>
    <sheet name="Ex35" sheetId="43" r:id="rId20"/>
    <sheet name="Ex36" sheetId="44" r:id="rId21"/>
    <sheet name="Ex37" sheetId="45" r:id="rId22"/>
    <sheet name="Ex38" sheetId="47" r:id="rId23"/>
    <sheet name="Ex39" sheetId="46" r:id="rId24"/>
    <sheet name="Plan11" sheetId="26" r:id="rId25"/>
  </sheets>
  <calcPr calcId="162913"/>
</workbook>
</file>

<file path=xl/calcChain.xml><?xml version="1.0" encoding="utf-8"?>
<calcChain xmlns="http://schemas.openxmlformats.org/spreadsheetml/2006/main">
  <c r="C35" i="27" l="1"/>
  <c r="C43" i="27"/>
  <c r="B41" i="27"/>
  <c r="C41" i="27" s="1"/>
  <c r="C40" i="27"/>
  <c r="J21" i="38" l="1"/>
  <c r="I21" i="38"/>
  <c r="C17" i="27"/>
  <c r="C30" i="36"/>
  <c r="E8" i="36"/>
  <c r="B30" i="36"/>
  <c r="C31" i="36"/>
  <c r="E9" i="36"/>
  <c r="B31" i="36"/>
  <c r="C32" i="36"/>
  <c r="E10" i="36"/>
  <c r="B32" i="36"/>
  <c r="E11" i="36"/>
  <c r="B33" i="36"/>
  <c r="C34" i="36"/>
  <c r="D31" i="36"/>
  <c r="D32" i="36"/>
  <c r="D33" i="36"/>
  <c r="D34" i="36"/>
  <c r="D35" i="36"/>
  <c r="D36" i="36"/>
  <c r="D37" i="36"/>
  <c r="D38" i="36"/>
  <c r="C35" i="36"/>
  <c r="C36" i="36"/>
  <c r="C37" i="36"/>
  <c r="C38" i="36"/>
  <c r="E30" i="36"/>
  <c r="E31" i="36"/>
  <c r="E32" i="36"/>
  <c r="E34" i="36"/>
  <c r="E35" i="36"/>
  <c r="E36" i="36"/>
  <c r="E37" i="36"/>
  <c r="E38" i="36"/>
  <c r="F38" i="36"/>
  <c r="D39" i="36"/>
  <c r="E39" i="36"/>
  <c r="C39" i="36"/>
  <c r="C9" i="49"/>
  <c r="C10" i="49"/>
  <c r="F9" i="49"/>
  <c r="F10" i="49"/>
  <c r="C11" i="49"/>
  <c r="E9" i="49"/>
  <c r="E10" i="49"/>
  <c r="C12" i="49"/>
  <c r="C13" i="49"/>
  <c r="D9" i="49"/>
  <c r="D10" i="49"/>
  <c r="D11" i="49"/>
  <c r="D12" i="49"/>
  <c r="D13" i="49"/>
  <c r="B12" i="49"/>
  <c r="B11" i="49"/>
  <c r="B9" i="49"/>
  <c r="D24" i="49"/>
  <c r="D28" i="49"/>
  <c r="D29" i="49"/>
  <c r="D30" i="49"/>
  <c r="D31" i="49"/>
  <c r="C24" i="49"/>
  <c r="C28" i="49"/>
  <c r="C29" i="49"/>
  <c r="C30" i="49"/>
  <c r="C31" i="49"/>
  <c r="B10" i="49"/>
  <c r="B13" i="49"/>
  <c r="B24" i="49"/>
  <c r="B28" i="49"/>
  <c r="B29" i="49"/>
  <c r="B30" i="49"/>
  <c r="B31" i="49"/>
  <c r="E30" i="49"/>
  <c r="E29" i="49"/>
  <c r="E28" i="49"/>
  <c r="G9" i="49"/>
  <c r="F4" i="48"/>
  <c r="E9" i="48"/>
  <c r="F6" i="48"/>
  <c r="E10" i="48"/>
  <c r="E11" i="48"/>
  <c r="F5" i="48"/>
  <c r="E12" i="48"/>
  <c r="E13" i="48"/>
  <c r="E14" i="48"/>
  <c r="B15" i="48"/>
  <c r="B9" i="48"/>
  <c r="B10" i="48"/>
  <c r="B11" i="48"/>
  <c r="B12" i="48"/>
  <c r="B13" i="48"/>
  <c r="B14" i="48"/>
  <c r="B16" i="48"/>
  <c r="D15" i="48"/>
  <c r="D9" i="48"/>
  <c r="D10" i="48"/>
  <c r="D11" i="48"/>
  <c r="D12" i="48"/>
  <c r="D13" i="48"/>
  <c r="D14" i="48"/>
  <c r="D16" i="48"/>
  <c r="B17" i="48"/>
  <c r="B18" i="48"/>
  <c r="B26" i="48"/>
  <c r="C15" i="48"/>
  <c r="C9" i="48"/>
  <c r="C10" i="48"/>
  <c r="C11" i="48"/>
  <c r="C12" i="48"/>
  <c r="C13" i="48"/>
  <c r="C14" i="48"/>
  <c r="C16" i="48"/>
  <c r="C17" i="48"/>
  <c r="C18" i="48"/>
  <c r="C26" i="48"/>
  <c r="D26" i="48"/>
  <c r="F26" i="48"/>
  <c r="B31" i="48"/>
  <c r="B25" i="48"/>
  <c r="C25" i="48"/>
  <c r="D25" i="48"/>
  <c r="F25" i="48"/>
  <c r="B30" i="48"/>
  <c r="F14" i="48"/>
  <c r="C7" i="47"/>
  <c r="C11" i="47"/>
  <c r="B7" i="47"/>
  <c r="B11" i="47"/>
  <c r="B8" i="47"/>
  <c r="C8" i="47"/>
  <c r="B19" i="46"/>
  <c r="B15" i="46"/>
  <c r="B8" i="46"/>
  <c r="B17" i="46"/>
  <c r="C12" i="45"/>
  <c r="B12" i="45"/>
  <c r="D12" i="45"/>
  <c r="C9" i="45"/>
  <c r="C4" i="45"/>
  <c r="C5" i="45"/>
  <c r="C6" i="45"/>
  <c r="C7" i="45"/>
  <c r="C10" i="45"/>
  <c r="B9" i="45"/>
  <c r="B6" i="45"/>
  <c r="B5" i="45"/>
  <c r="B4" i="45"/>
  <c r="B7" i="45"/>
  <c r="B32" i="44"/>
  <c r="B30" i="44"/>
  <c r="B8" i="44"/>
  <c r="B10" i="44"/>
  <c r="B23" i="44"/>
  <c r="B20" i="44"/>
  <c r="B21" i="44"/>
  <c r="B25" i="44"/>
  <c r="B15" i="44"/>
  <c r="B16" i="44"/>
  <c r="B11" i="44"/>
  <c r="B26" i="43"/>
  <c r="B21" i="43"/>
  <c r="B17" i="43"/>
  <c r="B13" i="43"/>
  <c r="B15" i="43"/>
  <c r="B19" i="43"/>
  <c r="B24" i="43"/>
  <c r="B42" i="42"/>
  <c r="B37" i="42"/>
  <c r="E37" i="42"/>
  <c r="E38" i="42"/>
  <c r="B38" i="42"/>
  <c r="B36" i="42"/>
  <c r="B32" i="42"/>
  <c r="B33" i="42"/>
  <c r="E33" i="42"/>
  <c r="E44" i="42"/>
  <c r="B44" i="42"/>
  <c r="B31" i="42"/>
  <c r="B43" i="42"/>
  <c r="B29" i="42"/>
  <c r="E29" i="42"/>
  <c r="B28" i="42"/>
  <c r="B30" i="42"/>
  <c r="B40" i="42"/>
  <c r="C24" i="42"/>
  <c r="B24" i="42"/>
  <c r="C23" i="42"/>
  <c r="C21" i="42"/>
  <c r="C25" i="42"/>
  <c r="B23" i="42"/>
  <c r="B21" i="42"/>
  <c r="B25" i="42"/>
  <c r="C15" i="42"/>
  <c r="E42" i="42"/>
  <c r="E26" i="41"/>
  <c r="E24" i="41"/>
  <c r="E19" i="41"/>
  <c r="B18" i="41"/>
  <c r="E18" i="41"/>
  <c r="B19" i="41"/>
  <c r="E20" i="41"/>
  <c r="E12" i="41"/>
  <c r="E13" i="41"/>
  <c r="B12" i="41"/>
  <c r="B9" i="41"/>
  <c r="B10" i="41"/>
  <c r="B21" i="41"/>
  <c r="E8" i="41"/>
  <c r="E9" i="41"/>
  <c r="E10" i="41"/>
  <c r="E22" i="41"/>
  <c r="C74" i="40"/>
  <c r="B74" i="40"/>
  <c r="C73" i="40"/>
  <c r="B73" i="40"/>
  <c r="C68" i="40"/>
  <c r="C69" i="40"/>
  <c r="C70" i="40"/>
  <c r="B68" i="40"/>
  <c r="B69" i="40"/>
  <c r="B65" i="40"/>
  <c r="C49" i="40"/>
  <c r="F61" i="40"/>
  <c r="G61" i="40"/>
  <c r="E60" i="40"/>
  <c r="E65" i="40"/>
  <c r="B49" i="40"/>
  <c r="C61" i="40"/>
  <c r="B31" i="40"/>
  <c r="B37" i="40"/>
  <c r="B32" i="40"/>
  <c r="C31" i="40"/>
  <c r="C37" i="40"/>
  <c r="B33" i="40"/>
  <c r="E27" i="40"/>
  <c r="B24" i="40"/>
  <c r="B27" i="40"/>
  <c r="B22" i="40"/>
  <c r="B28" i="40"/>
  <c r="E21" i="40"/>
  <c r="E28" i="40"/>
  <c r="C15" i="40"/>
  <c r="B15" i="40"/>
  <c r="C10" i="40"/>
  <c r="C16" i="40"/>
  <c r="B10" i="40"/>
  <c r="B16" i="40"/>
  <c r="C22" i="40"/>
  <c r="D68" i="39"/>
  <c r="C68" i="39"/>
  <c r="B68" i="39"/>
  <c r="D64" i="39"/>
  <c r="C64" i="39"/>
  <c r="B64" i="39"/>
  <c r="B66" i="39" s="1"/>
  <c r="B69" i="39" s="1"/>
  <c r="B60" i="39"/>
  <c r="E56" i="39" s="1"/>
  <c r="E58" i="39" s="1"/>
  <c r="E60" i="39" s="1"/>
  <c r="H56" i="39" s="1"/>
  <c r="H58" i="39" s="1"/>
  <c r="H60" i="39" s="1"/>
  <c r="D59" i="39"/>
  <c r="B65" i="39"/>
  <c r="D58" i="39"/>
  <c r="F56" i="39"/>
  <c r="D49" i="39"/>
  <c r="D50" i="39" s="1"/>
  <c r="D51" i="39" s="1"/>
  <c r="I57" i="39" s="1"/>
  <c r="J57" i="39" s="1"/>
  <c r="C49" i="39"/>
  <c r="C50" i="39"/>
  <c r="C51" i="39"/>
  <c r="F57" i="39" s="1"/>
  <c r="G57" i="39" s="1"/>
  <c r="B49" i="39"/>
  <c r="B50" i="39"/>
  <c r="B51" i="39" s="1"/>
  <c r="C57" i="39" s="1"/>
  <c r="D57" i="39" s="1"/>
  <c r="D60" i="39" s="1"/>
  <c r="G56" i="39" s="1"/>
  <c r="B18" i="39"/>
  <c r="B34" i="39"/>
  <c r="D30" i="39"/>
  <c r="C30" i="39"/>
  <c r="B30" i="39"/>
  <c r="B25" i="39"/>
  <c r="B24" i="39"/>
  <c r="B26" i="39"/>
  <c r="E23" i="39"/>
  <c r="E26" i="39"/>
  <c r="H23" i="39"/>
  <c r="H26" i="39"/>
  <c r="D18" i="39"/>
  <c r="D34" i="39"/>
  <c r="C18" i="39"/>
  <c r="C34" i="39"/>
  <c r="D15" i="39"/>
  <c r="D33" i="39"/>
  <c r="C15" i="39"/>
  <c r="C33" i="39"/>
  <c r="B15" i="39"/>
  <c r="B33" i="39"/>
  <c r="C7" i="39"/>
  <c r="C8" i="39"/>
  <c r="F24" i="39"/>
  <c r="D7" i="39"/>
  <c r="D8" i="39"/>
  <c r="I24" i="39"/>
  <c r="B7" i="39"/>
  <c r="B8" i="39"/>
  <c r="C24" i="39"/>
  <c r="J18" i="38"/>
  <c r="I18" i="38"/>
  <c r="J17" i="38"/>
  <c r="I17" i="38"/>
  <c r="J16" i="38"/>
  <c r="I16" i="38"/>
  <c r="J15" i="38"/>
  <c r="J19" i="38"/>
  <c r="J12" i="38"/>
  <c r="J20" i="38"/>
  <c r="I15" i="38"/>
  <c r="I19" i="38"/>
  <c r="I12" i="38"/>
  <c r="I20" i="38"/>
  <c r="C64" i="37"/>
  <c r="C66" i="37"/>
  <c r="C67" i="37"/>
  <c r="D66" i="37"/>
  <c r="E66" i="37"/>
  <c r="D64" i="37"/>
  <c r="E64" i="37"/>
  <c r="C68" i="37"/>
  <c r="D67" i="37"/>
  <c r="C53" i="37"/>
  <c r="D53" i="37"/>
  <c r="E53" i="37"/>
  <c r="C55" i="37"/>
  <c r="D55" i="37"/>
  <c r="D51" i="37"/>
  <c r="C51" i="37"/>
  <c r="C54" i="37"/>
  <c r="I39" i="37"/>
  <c r="H39" i="37"/>
  <c r="D39" i="37"/>
  <c r="C39" i="37"/>
  <c r="I37" i="37"/>
  <c r="I40" i="37"/>
  <c r="H37" i="37"/>
  <c r="H40" i="37"/>
  <c r="D37" i="37"/>
  <c r="D40" i="37"/>
  <c r="B22" i="37"/>
  <c r="B23" i="37"/>
  <c r="D22" i="37"/>
  <c r="B24" i="37"/>
  <c r="B25" i="37"/>
  <c r="D24" i="37"/>
  <c r="B26" i="37"/>
  <c r="B27" i="37"/>
  <c r="D26" i="37"/>
  <c r="B28" i="37"/>
  <c r="B29" i="37"/>
  <c r="D28" i="37"/>
  <c r="B30" i="37"/>
  <c r="B31" i="37"/>
  <c r="D30" i="37"/>
  <c r="D32" i="37"/>
  <c r="D41" i="37"/>
  <c r="D42" i="37"/>
  <c r="D43" i="37"/>
  <c r="C37" i="37"/>
  <c r="C40" i="37"/>
  <c r="G31" i="37"/>
  <c r="C30" i="37"/>
  <c r="G30" i="37"/>
  <c r="H30" i="37"/>
  <c r="G29" i="37"/>
  <c r="C28" i="37"/>
  <c r="G28" i="37"/>
  <c r="H28" i="37"/>
  <c r="G27" i="37"/>
  <c r="C26" i="37"/>
  <c r="G26" i="37"/>
  <c r="H26" i="37"/>
  <c r="G25" i="37"/>
  <c r="C24" i="37"/>
  <c r="G24" i="37"/>
  <c r="H24" i="37"/>
  <c r="G23" i="37"/>
  <c r="C22" i="37"/>
  <c r="G22" i="37"/>
  <c r="G32" i="37"/>
  <c r="B32" i="37"/>
  <c r="D19" i="37"/>
  <c r="D18" i="37"/>
  <c r="D17" i="37"/>
  <c r="D16" i="37"/>
  <c r="D15" i="37"/>
  <c r="B12" i="37"/>
  <c r="F37" i="36"/>
  <c r="F36" i="36"/>
  <c r="F35" i="36"/>
  <c r="D7" i="35"/>
  <c r="D9" i="35"/>
  <c r="D10" i="35"/>
  <c r="B7" i="35"/>
  <c r="B9" i="35"/>
  <c r="B10" i="35"/>
  <c r="C7" i="35"/>
  <c r="C9" i="35"/>
  <c r="C10" i="35"/>
  <c r="F15" i="34"/>
  <c r="D15" i="34"/>
  <c r="F14" i="34"/>
  <c r="D14" i="34"/>
  <c r="I12" i="34"/>
  <c r="I21" i="34"/>
  <c r="B12" i="34"/>
  <c r="D12" i="34"/>
  <c r="F12" i="34"/>
  <c r="F9" i="34"/>
  <c r="G10" i="34"/>
  <c r="G11" i="34"/>
  <c r="G12" i="34"/>
  <c r="E9" i="34"/>
  <c r="D9" i="34"/>
  <c r="E10" i="34"/>
  <c r="E11" i="34"/>
  <c r="E12" i="34"/>
  <c r="B7" i="34"/>
  <c r="B9" i="34"/>
  <c r="C10" i="34"/>
  <c r="H5" i="34"/>
  <c r="E9" i="33"/>
  <c r="E10" i="33"/>
  <c r="E14" i="33"/>
  <c r="E15" i="33"/>
  <c r="E16" i="33"/>
  <c r="C10" i="33"/>
  <c r="C14" i="33"/>
  <c r="D9" i="33"/>
  <c r="D10" i="33"/>
  <c r="D14" i="33"/>
  <c r="D15" i="33"/>
  <c r="D16" i="33"/>
  <c r="E6" i="33"/>
  <c r="D6" i="33"/>
  <c r="C6" i="33"/>
  <c r="H9" i="32"/>
  <c r="H10" i="32"/>
  <c r="F9" i="32"/>
  <c r="F10" i="32"/>
  <c r="D6" i="32"/>
  <c r="D9" i="32"/>
  <c r="D10" i="32"/>
  <c r="G9" i="32"/>
  <c r="G10" i="32"/>
  <c r="E9" i="32"/>
  <c r="C9" i="32"/>
  <c r="C10" i="32"/>
  <c r="D28" i="31"/>
  <c r="D29" i="31"/>
  <c r="D31" i="31"/>
  <c r="B27" i="31"/>
  <c r="B28" i="31"/>
  <c r="B29" i="31"/>
  <c r="E27" i="31"/>
  <c r="D22" i="31"/>
  <c r="B22" i="31"/>
  <c r="D18" i="31"/>
  <c r="B18" i="31"/>
  <c r="D17" i="31"/>
  <c r="E17" i="31"/>
  <c r="B17" i="31"/>
  <c r="C17" i="31"/>
  <c r="D15" i="31"/>
  <c r="D16" i="31"/>
  <c r="D14" i="31"/>
  <c r="D19" i="31"/>
  <c r="D24" i="31"/>
  <c r="D33" i="31"/>
  <c r="E33" i="31"/>
  <c r="B15" i="31"/>
  <c r="B16" i="31"/>
  <c r="B14" i="31"/>
  <c r="B19" i="31"/>
  <c r="B24" i="31"/>
  <c r="B30" i="31"/>
  <c r="E30" i="31"/>
  <c r="E14" i="31"/>
  <c r="D32" i="31"/>
  <c r="C14" i="31"/>
  <c r="B32" i="31"/>
  <c r="E32" i="30"/>
  <c r="D18" i="30"/>
  <c r="D24" i="30"/>
  <c r="C18" i="30"/>
  <c r="C24" i="30"/>
  <c r="D23" i="30"/>
  <c r="C23" i="30"/>
  <c r="C17" i="30"/>
  <c r="C22" i="30"/>
  <c r="D21" i="30"/>
  <c r="C21" i="30"/>
  <c r="C25" i="30"/>
  <c r="B21" i="30"/>
  <c r="B18" i="30"/>
  <c r="B24" i="30"/>
  <c r="D17" i="30"/>
  <c r="D22" i="30"/>
  <c r="B17" i="30"/>
  <c r="B22" i="30"/>
  <c r="B24" i="29"/>
  <c r="B22" i="29"/>
  <c r="B21" i="29"/>
  <c r="B23" i="29"/>
  <c r="B25" i="29"/>
  <c r="B19" i="29"/>
  <c r="H11" i="29"/>
  <c r="G9" i="29"/>
  <c r="G8" i="29"/>
  <c r="G3" i="29"/>
  <c r="G4" i="29"/>
  <c r="G6" i="29"/>
  <c r="G7" i="29"/>
  <c r="G10" i="29"/>
  <c r="H4" i="29"/>
  <c r="F4" i="29"/>
  <c r="H3" i="29"/>
  <c r="H5" i="29"/>
  <c r="G11" i="29"/>
  <c r="F3" i="29"/>
  <c r="F10" i="29"/>
  <c r="B27" i="28"/>
  <c r="B26" i="28"/>
  <c r="B25" i="28"/>
  <c r="B24" i="28"/>
  <c r="B21" i="28"/>
  <c r="F11" i="28"/>
  <c r="F10" i="28"/>
  <c r="F9" i="28"/>
  <c r="F8" i="28"/>
  <c r="F7" i="28"/>
  <c r="F6" i="28"/>
  <c r="E5" i="28"/>
  <c r="G4" i="28"/>
  <c r="F4" i="28"/>
  <c r="E4" i="28"/>
  <c r="G3" i="28"/>
  <c r="F3" i="28"/>
  <c r="E3" i="28"/>
  <c r="E13" i="28"/>
  <c r="F5" i="28"/>
  <c r="F13" i="28"/>
  <c r="G5" i="28"/>
  <c r="G13" i="28"/>
  <c r="B22" i="28"/>
  <c r="B23" i="28"/>
  <c r="B28" i="28"/>
  <c r="B29" i="27"/>
  <c r="B31" i="27"/>
  <c r="B26" i="27"/>
  <c r="B25" i="27"/>
  <c r="B34" i="27"/>
  <c r="B20" i="27"/>
  <c r="B19" i="27"/>
  <c r="B17" i="27"/>
  <c r="D18" i="27"/>
  <c r="B18" i="27"/>
  <c r="D17" i="27"/>
  <c r="B16" i="27"/>
  <c r="C16" i="27"/>
  <c r="B15" i="27"/>
  <c r="B22" i="27"/>
  <c r="B18" i="25"/>
  <c r="B17" i="25"/>
  <c r="B19" i="25"/>
  <c r="B14" i="25"/>
  <c r="B13" i="25"/>
  <c r="B12" i="25"/>
  <c r="B10" i="25"/>
  <c r="B15" i="25"/>
  <c r="B9" i="47"/>
  <c r="B10" i="45"/>
  <c r="B29" i="44"/>
  <c r="B28" i="44"/>
  <c r="E31" i="42"/>
  <c r="E43" i="42"/>
  <c r="B39" i="42"/>
  <c r="B41" i="42"/>
  <c r="B45" i="42"/>
  <c r="E28" i="42"/>
  <c r="E30" i="42"/>
  <c r="E40" i="42"/>
  <c r="E32" i="42"/>
  <c r="E36" i="42"/>
  <c r="E39" i="42"/>
  <c r="E41" i="42"/>
  <c r="E45" i="42"/>
  <c r="E21" i="41"/>
  <c r="E23" i="41"/>
  <c r="B24" i="41"/>
  <c r="E25" i="41"/>
  <c r="B20" i="41"/>
  <c r="B22" i="41"/>
  <c r="F22" i="40"/>
  <c r="F25" i="40"/>
  <c r="G25" i="40"/>
  <c r="G26" i="40"/>
  <c r="G22" i="40"/>
  <c r="C24" i="40"/>
  <c r="D22" i="40"/>
  <c r="D61" i="40"/>
  <c r="C63" i="40"/>
  <c r="F63" i="40"/>
  <c r="B70" i="40"/>
  <c r="C32" i="40"/>
  <c r="C33" i="40"/>
  <c r="J24" i="39"/>
  <c r="I25" i="39"/>
  <c r="J25" i="39"/>
  <c r="D31" i="39"/>
  <c r="D32" i="39"/>
  <c r="D35" i="39"/>
  <c r="D24" i="39"/>
  <c r="C25" i="39"/>
  <c r="F25" i="39"/>
  <c r="G25" i="39"/>
  <c r="C31" i="39"/>
  <c r="C32" i="39"/>
  <c r="C35" i="39"/>
  <c r="G24" i="39"/>
  <c r="D25" i="39"/>
  <c r="B31" i="39"/>
  <c r="B32" i="39"/>
  <c r="B35" i="39"/>
  <c r="E35" i="39"/>
  <c r="C56" i="37"/>
  <c r="C57" i="37"/>
  <c r="D54" i="37"/>
  <c r="E54" i="37"/>
  <c r="C69" i="37"/>
  <c r="C70" i="37"/>
  <c r="C32" i="37"/>
  <c r="D68" i="37"/>
  <c r="D69" i="37"/>
  <c r="D70" i="37"/>
  <c r="I22" i="37"/>
  <c r="I24" i="37"/>
  <c r="I26" i="37"/>
  <c r="I28" i="37"/>
  <c r="I30" i="37"/>
  <c r="D56" i="37"/>
  <c r="D57" i="37"/>
  <c r="E67" i="37"/>
  <c r="H22" i="37"/>
  <c r="H32" i="37"/>
  <c r="H41" i="37"/>
  <c r="H42" i="37"/>
  <c r="H43" i="37"/>
  <c r="E10" i="35"/>
  <c r="C11" i="34"/>
  <c r="H11" i="34"/>
  <c r="H10" i="34"/>
  <c r="J5" i="34"/>
  <c r="J11" i="34"/>
  <c r="C12" i="34"/>
  <c r="B16" i="34"/>
  <c r="B21" i="34"/>
  <c r="C15" i="33"/>
  <c r="F14" i="33"/>
  <c r="I9" i="32"/>
  <c r="G11" i="32"/>
  <c r="G12" i="32"/>
  <c r="E10" i="32"/>
  <c r="C11" i="32"/>
  <c r="C12" i="32"/>
  <c r="C16" i="32"/>
  <c r="C17" i="32"/>
  <c r="D34" i="31"/>
  <c r="E29" i="31"/>
  <c r="B31" i="31"/>
  <c r="E32" i="31"/>
  <c r="E28" i="31"/>
  <c r="C26" i="30"/>
  <c r="C27" i="30"/>
  <c r="D25" i="30"/>
  <c r="E18" i="30"/>
  <c r="B32" i="30"/>
  <c r="E17" i="30"/>
  <c r="C32" i="30"/>
  <c r="C33" i="30"/>
  <c r="B23" i="30"/>
  <c r="B25" i="30"/>
  <c r="D32" i="30"/>
  <c r="G5" i="29"/>
  <c r="F11" i="29"/>
  <c r="F5" i="29"/>
  <c r="B32" i="27"/>
  <c r="B33" i="27"/>
  <c r="B35" i="27"/>
  <c r="B27" i="27"/>
  <c r="C27" i="27"/>
  <c r="B39" i="27"/>
  <c r="C22" i="27"/>
  <c r="B38" i="27"/>
  <c r="C15" i="27"/>
  <c r="C18" i="27"/>
  <c r="B40" i="27"/>
  <c r="B20" i="25"/>
  <c r="B23" i="25"/>
  <c r="B22" i="25"/>
  <c r="B31" i="44"/>
  <c r="B33" i="44"/>
  <c r="B34" i="44"/>
  <c r="E27" i="41"/>
  <c r="B25" i="41"/>
  <c r="D63" i="40"/>
  <c r="D65" i="40"/>
  <c r="C65" i="40"/>
  <c r="F60" i="40"/>
  <c r="G60" i="40"/>
  <c r="B71" i="40"/>
  <c r="B72" i="40"/>
  <c r="B75" i="40"/>
  <c r="G63" i="40"/>
  <c r="C71" i="40"/>
  <c r="C72" i="40"/>
  <c r="C75" i="40"/>
  <c r="D75" i="40"/>
  <c r="F65" i="40"/>
  <c r="G65" i="40"/>
  <c r="C28" i="40"/>
  <c r="F21" i="40"/>
  <c r="D24" i="40"/>
  <c r="D28" i="40"/>
  <c r="D26" i="39"/>
  <c r="G23" i="39"/>
  <c r="G26" i="39"/>
  <c r="J23" i="39"/>
  <c r="J26" i="39"/>
  <c r="C41" i="37"/>
  <c r="C42" i="37"/>
  <c r="C43" i="37"/>
  <c r="E32" i="37"/>
  <c r="I32" i="37"/>
  <c r="I41" i="37"/>
  <c r="I42" i="37"/>
  <c r="I43" i="37"/>
  <c r="D40" i="36"/>
  <c r="E40" i="36"/>
  <c r="F34" i="36"/>
  <c r="B18" i="34"/>
  <c r="C19" i="34"/>
  <c r="F16" i="34"/>
  <c r="F18" i="34"/>
  <c r="G19" i="34"/>
  <c r="G20" i="34"/>
  <c r="G21" i="34"/>
  <c r="D16" i="34"/>
  <c r="D18" i="34"/>
  <c r="E19" i="34"/>
  <c r="E20" i="34"/>
  <c r="E21" i="34"/>
  <c r="H12" i="34"/>
  <c r="C16" i="33"/>
  <c r="F16" i="33"/>
  <c r="F15" i="33"/>
  <c r="E11" i="32"/>
  <c r="F11" i="32"/>
  <c r="F12" i="32"/>
  <c r="H11" i="32"/>
  <c r="H12" i="32"/>
  <c r="D11" i="32"/>
  <c r="D12" i="32"/>
  <c r="D16" i="32"/>
  <c r="D17" i="32"/>
  <c r="E12" i="32"/>
  <c r="E16" i="32"/>
  <c r="E17" i="32"/>
  <c r="B34" i="31"/>
  <c r="E34" i="31"/>
  <c r="E31" i="31"/>
  <c r="B26" i="30"/>
  <c r="B27" i="30"/>
  <c r="B33" i="30"/>
  <c r="D26" i="30"/>
  <c r="D27" i="30"/>
  <c r="C28" i="30"/>
  <c r="C34" i="30"/>
  <c r="C35" i="30"/>
  <c r="D33" i="30"/>
  <c r="F24" i="40"/>
  <c r="G24" i="40"/>
  <c r="G27" i="40"/>
  <c r="C34" i="40"/>
  <c r="C35" i="40"/>
  <c r="C38" i="40"/>
  <c r="G21" i="40"/>
  <c r="G28" i="40"/>
  <c r="D27" i="40"/>
  <c r="B34" i="40"/>
  <c r="B35" i="40"/>
  <c r="B38" i="40"/>
  <c r="C40" i="36"/>
  <c r="F39" i="36"/>
  <c r="C20" i="34"/>
  <c r="H19" i="34"/>
  <c r="J19" i="34"/>
  <c r="J20" i="34"/>
  <c r="D34" i="30"/>
  <c r="D35" i="30"/>
  <c r="D28" i="30"/>
  <c r="B28" i="30"/>
  <c r="B34" i="30"/>
  <c r="B35" i="30"/>
  <c r="D38" i="40"/>
  <c r="H20" i="34"/>
  <c r="J14" i="34"/>
  <c r="J21" i="34"/>
  <c r="C21" i="34"/>
  <c r="H21" i="34"/>
  <c r="G58" i="39" l="1"/>
  <c r="F58" i="39" s="1"/>
  <c r="F59" i="39" s="1"/>
  <c r="G59" i="39" l="1"/>
  <c r="I56" i="39"/>
  <c r="C65" i="39" l="1"/>
  <c r="C66" i="39" s="1"/>
  <c r="C69" i="39" s="1"/>
  <c r="G60" i="39"/>
  <c r="J56" i="39" s="1"/>
  <c r="J58" i="39" s="1"/>
  <c r="I58" i="39" l="1"/>
  <c r="I59" i="39" s="1"/>
  <c r="J59" i="39" s="1"/>
  <c r="D65" i="39" s="1"/>
  <c r="D66" i="39" s="1"/>
  <c r="D69" i="39" s="1"/>
  <c r="E69" i="39"/>
  <c r="J60" i="39" l="1"/>
</calcChain>
</file>

<file path=xl/sharedStrings.xml><?xml version="1.0" encoding="utf-8"?>
<sst xmlns="http://schemas.openxmlformats.org/spreadsheetml/2006/main" count="890" uniqueCount="464">
  <si>
    <t>Receitas</t>
  </si>
  <si>
    <t>Energia elétrica fábrica</t>
  </si>
  <si>
    <t>Lucro Bruto</t>
  </si>
  <si>
    <t>Lucro Operacional</t>
  </si>
  <si>
    <t>Despesas</t>
  </si>
  <si>
    <t>Receita Líquida</t>
  </si>
  <si>
    <t>DRE</t>
  </si>
  <si>
    <t>Estoques</t>
  </si>
  <si>
    <t>Impostos</t>
  </si>
  <si>
    <t>Receita líquida</t>
  </si>
  <si>
    <t>Custos</t>
  </si>
  <si>
    <t>Lucro antes do IR</t>
  </si>
  <si>
    <t>Lucro Líquido</t>
  </si>
  <si>
    <t>Receita Bruta</t>
  </si>
  <si>
    <t>Provisão para IR</t>
  </si>
  <si>
    <t>Custo dos produtos vendidos</t>
  </si>
  <si>
    <t>Despesas Administrativas</t>
  </si>
  <si>
    <t>Lucro operacional</t>
  </si>
  <si>
    <t>IR</t>
  </si>
  <si>
    <t>Total</t>
  </si>
  <si>
    <t>Lucro líquido</t>
  </si>
  <si>
    <t>Saldo</t>
  </si>
  <si>
    <t>Salários e encargos dos médicos</t>
  </si>
  <si>
    <t>Gastos com construção</t>
  </si>
  <si>
    <t>Salários e encargos enfermagem</t>
  </si>
  <si>
    <t>Aquisição de material cirúrgico (40% consumidos)</t>
  </si>
  <si>
    <t>Compra de equipamentos hospitalares</t>
  </si>
  <si>
    <t>Salários e encargos da administração</t>
  </si>
  <si>
    <t>Gastos com equipamentos para administração</t>
  </si>
  <si>
    <t>Salários e Encargos</t>
  </si>
  <si>
    <t>Depreciação</t>
  </si>
  <si>
    <t>construção</t>
  </si>
  <si>
    <t>equipamentos</t>
  </si>
  <si>
    <t>Materiais</t>
  </si>
  <si>
    <t>Custo total por absorção</t>
  </si>
  <si>
    <t>Salários e encargos</t>
  </si>
  <si>
    <t>Despesas totais</t>
  </si>
  <si>
    <t>Custo Integral</t>
  </si>
  <si>
    <t>Custo por absorção unitário</t>
  </si>
  <si>
    <t>Custo integral unitário</t>
  </si>
  <si>
    <t>Descricão</t>
  </si>
  <si>
    <t>valor</t>
  </si>
  <si>
    <t>Vida útil</t>
  </si>
  <si>
    <t>Forno elétrico</t>
  </si>
  <si>
    <t>Masseira</t>
  </si>
  <si>
    <t>liquidificador</t>
  </si>
  <si>
    <t>Bandejas, utensílios</t>
  </si>
  <si>
    <t>Salários e encargos do pessoal de produção (para 900 bandejas/mês)</t>
  </si>
  <si>
    <t>Veículo para entregas</t>
  </si>
  <si>
    <t>Matérias-primas (apenas 70% foram consumidos)</t>
  </si>
  <si>
    <t>Telefone</t>
  </si>
  <si>
    <t>Embalagens (90% consumidos)</t>
  </si>
  <si>
    <t>Energia elétrica (considerar variável)</t>
  </si>
  <si>
    <t>Custo contábil de produção</t>
  </si>
  <si>
    <t>total</t>
  </si>
  <si>
    <t>unitário</t>
  </si>
  <si>
    <t>observações</t>
  </si>
  <si>
    <t>Matérias Primas</t>
  </si>
  <si>
    <t>Embalagens</t>
  </si>
  <si>
    <t>custo direto</t>
  </si>
  <si>
    <t>Energia elétrica</t>
  </si>
  <si>
    <t>custo indireto</t>
  </si>
  <si>
    <t>Depreciação equipamentos</t>
  </si>
  <si>
    <t>Depreciação utensílios</t>
  </si>
  <si>
    <t>Custo contábil (por absorção)</t>
  </si>
  <si>
    <t>telefone</t>
  </si>
  <si>
    <t>Depreciação veículo</t>
  </si>
  <si>
    <t>Custo integral</t>
  </si>
  <si>
    <t>Vendas (unidades)</t>
  </si>
  <si>
    <t>Receitas (líquidas)</t>
  </si>
  <si>
    <t>Resumo</t>
  </si>
  <si>
    <t>Custo contábil unitário</t>
  </si>
  <si>
    <t>Materiais indiretos consumidos</t>
  </si>
  <si>
    <t>Produtos em processo</t>
  </si>
  <si>
    <t>Produtos acabados</t>
  </si>
  <si>
    <t>Depreciação de móveis administrativos</t>
  </si>
  <si>
    <t>Estoque inicial</t>
  </si>
  <si>
    <t>Receitas de Vendas</t>
  </si>
  <si>
    <t>Estoque final</t>
  </si>
  <si>
    <t>Depreciação de máquinas industriais</t>
  </si>
  <si>
    <t>Aquisições e transferências</t>
  </si>
  <si>
    <t>Salários de vendedores</t>
  </si>
  <si>
    <t>Custos incorridos</t>
  </si>
  <si>
    <t>Aquisição de novo equipamento</t>
  </si>
  <si>
    <t>Seguros da fábrica</t>
  </si>
  <si>
    <t>Salários Administrativos</t>
  </si>
  <si>
    <t>Compras de matérias-primas</t>
  </si>
  <si>
    <t>Mão de obra indireta</t>
  </si>
  <si>
    <t>Mão de obra direta</t>
  </si>
  <si>
    <t>Custo a transferir</t>
  </si>
  <si>
    <t>Agosto</t>
  </si>
  <si>
    <t>Setembro</t>
  </si>
  <si>
    <t>Matérias-primas</t>
  </si>
  <si>
    <t>Salários admnistrativos</t>
  </si>
  <si>
    <t>Salários de vendas</t>
  </si>
  <si>
    <t>Produtos em Processo</t>
  </si>
  <si>
    <t>Gastos</t>
  </si>
  <si>
    <t>MOD</t>
  </si>
  <si>
    <t>Mo indireta</t>
  </si>
  <si>
    <t>Salários administrativos</t>
  </si>
  <si>
    <t>Depreciação de máquinas</t>
  </si>
  <si>
    <t>Depreciação equipamentos administração</t>
  </si>
  <si>
    <t>CIF diversos</t>
  </si>
  <si>
    <t>Receitas líquidas</t>
  </si>
  <si>
    <t>CPV</t>
  </si>
  <si>
    <t>Despesas administrativas</t>
  </si>
  <si>
    <t>Despesas comerciais</t>
  </si>
  <si>
    <t>A101</t>
  </si>
  <si>
    <t>A102</t>
  </si>
  <si>
    <t>A103</t>
  </si>
  <si>
    <t>Matérias Primas (un)</t>
  </si>
  <si>
    <t>Tempo de MOD (h/un)</t>
  </si>
  <si>
    <t>Tempo de máquina (h/un)</t>
  </si>
  <si>
    <t>Fixos</t>
  </si>
  <si>
    <t>Variáveis</t>
  </si>
  <si>
    <t>Supervisão</t>
  </si>
  <si>
    <t>Depreciação máquinas</t>
  </si>
  <si>
    <t>EE $/h maq</t>
  </si>
  <si>
    <t xml:space="preserve">MOD $/h </t>
  </si>
  <si>
    <t>Outros</t>
  </si>
  <si>
    <t>Modelos</t>
  </si>
  <si>
    <t>produção</t>
  </si>
  <si>
    <t>pedido</t>
  </si>
  <si>
    <t>tempo MOD total</t>
  </si>
  <si>
    <t>Tempo maq total</t>
  </si>
  <si>
    <t>Custos diretos totais</t>
  </si>
  <si>
    <t>Materias Primas</t>
  </si>
  <si>
    <t>EE</t>
  </si>
  <si>
    <t>Outros CD</t>
  </si>
  <si>
    <t>CD total</t>
  </si>
  <si>
    <t>CIF predeterminados</t>
  </si>
  <si>
    <t>Custo total</t>
  </si>
  <si>
    <t>Custo unitário</t>
  </si>
  <si>
    <t xml:space="preserve">Acerto </t>
  </si>
  <si>
    <t>Por tempo maq</t>
  </si>
  <si>
    <t>CI total</t>
  </si>
  <si>
    <t>ajuste</t>
  </si>
  <si>
    <t>Matérias Primas (kg/un)</t>
  </si>
  <si>
    <t>Preço da Matéria Prima ($/kg)</t>
  </si>
  <si>
    <t>Tempo de  MOD (h/un)</t>
  </si>
  <si>
    <t>Embalagem ($/un)</t>
  </si>
  <si>
    <t>Salários (sem encargos) ($/h)</t>
  </si>
  <si>
    <t>Energia Elétrica ($/un)</t>
  </si>
  <si>
    <t>OF 221</t>
  </si>
  <si>
    <t>OF 222</t>
  </si>
  <si>
    <t>Quantidade</t>
  </si>
  <si>
    <t>Custos Diretos</t>
  </si>
  <si>
    <t>Recup tributos</t>
  </si>
  <si>
    <t>Mat Primas</t>
  </si>
  <si>
    <t>Encargos</t>
  </si>
  <si>
    <t>Embalagem</t>
  </si>
  <si>
    <t>Energia Eletrica</t>
  </si>
  <si>
    <t>Custos Indiretos</t>
  </si>
  <si>
    <t>Depreciacao (prop valor MOD)</t>
  </si>
  <si>
    <t>Custo Total</t>
  </si>
  <si>
    <t>Tributos</t>
  </si>
  <si>
    <t>Recuperação tributária</t>
  </si>
  <si>
    <t>Perdas extraordinárias</t>
  </si>
  <si>
    <t>Resultado da ordem</t>
  </si>
  <si>
    <t>Data</t>
  </si>
  <si>
    <t>Descrição</t>
  </si>
  <si>
    <t>OP11</t>
  </si>
  <si>
    <t>OP12</t>
  </si>
  <si>
    <t>OP13</t>
  </si>
  <si>
    <t>OP14</t>
  </si>
  <si>
    <t>OP 15</t>
  </si>
  <si>
    <t>OP16</t>
  </si>
  <si>
    <t>Materiais diretos</t>
  </si>
  <si>
    <t>CIF</t>
  </si>
  <si>
    <t>1-30/set</t>
  </si>
  <si>
    <t>CIF (250% MOD)</t>
  </si>
  <si>
    <t>ajuste dos CIF</t>
  </si>
  <si>
    <t>Total ajustado</t>
  </si>
  <si>
    <t>unidades</t>
  </si>
  <si>
    <t>unidades equivalentes</t>
  </si>
  <si>
    <t>MP</t>
  </si>
  <si>
    <t>Unidades iniciadas</t>
  </si>
  <si>
    <t>Perdas</t>
  </si>
  <si>
    <t>Unidades completadas</t>
  </si>
  <si>
    <t>Unidades em processo</t>
  </si>
  <si>
    <t>% elaboradas</t>
  </si>
  <si>
    <t>Saldo inicial</t>
  </si>
  <si>
    <t>Entradas</t>
  </si>
  <si>
    <t>Saídas</t>
  </si>
  <si>
    <t>Saldo final</t>
  </si>
  <si>
    <t>Produto em Processo</t>
  </si>
  <si>
    <t>Produto Acabado</t>
  </si>
  <si>
    <t>Valor</t>
  </si>
  <si>
    <t>Saldo inicial em unidades</t>
  </si>
  <si>
    <t>Saldo inicial em valor</t>
  </si>
  <si>
    <t>Entradas em unidades</t>
  </si>
  <si>
    <t>Entradas em valor</t>
  </si>
  <si>
    <t>Cargo</t>
  </si>
  <si>
    <t>Tempo disponível (h)</t>
  </si>
  <si>
    <t>Salário por unidade no período ($)</t>
  </si>
  <si>
    <t>Sálario hora</t>
  </si>
  <si>
    <t>Gerente</t>
  </si>
  <si>
    <t>Secretária</t>
  </si>
  <si>
    <t>Engenheiro</t>
  </si>
  <si>
    <t>Estagiário</t>
  </si>
  <si>
    <t>Projetar novos produtos</t>
  </si>
  <si>
    <t>Elaborar fichas técnicas</t>
  </si>
  <si>
    <t>Treinar funcionários</t>
  </si>
  <si>
    <t>Viagens</t>
  </si>
  <si>
    <t>Aluguel</t>
  </si>
  <si>
    <t>Direcionador e valor unitário</t>
  </si>
  <si>
    <t>horas</t>
  </si>
  <si>
    <t xml:space="preserve">Consumo Total (h) </t>
  </si>
  <si>
    <t>Gerente (h)</t>
  </si>
  <si>
    <t>Secretária (h)</t>
  </si>
  <si>
    <t>Engenheiro (h)</t>
  </si>
  <si>
    <t>Estagiário (h)</t>
  </si>
  <si>
    <t>Custo de Salários e Encargos</t>
  </si>
  <si>
    <t>Sub Total</t>
  </si>
  <si>
    <t>Custo Total da Atividade</t>
  </si>
  <si>
    <t>Requeijão</t>
  </si>
  <si>
    <t>Queijo</t>
  </si>
  <si>
    <t>Mão-de-obra</t>
  </si>
  <si>
    <t>Atividade</t>
  </si>
  <si>
    <t>Custo</t>
  </si>
  <si>
    <t>Inspecionar matéria-prima</t>
  </si>
  <si>
    <t>Armazenar matéria-prima</t>
  </si>
  <si>
    <t>Controlar estoques</t>
  </si>
  <si>
    <t>Processar produtos (máquinas)</t>
  </si>
  <si>
    <t>Controlar processos (engenharia)</t>
  </si>
  <si>
    <t>No de lotes inspecionados e armazenados</t>
  </si>
  <si>
    <t>No de pedidos entregues aos clientes</t>
  </si>
  <si>
    <t>No de horas-máquina de processamento de produto</t>
  </si>
  <si>
    <t>No de horas de transporte</t>
  </si>
  <si>
    <t>Horas de engenheiros</t>
  </si>
  <si>
    <t>Total Custos Indiretos</t>
  </si>
  <si>
    <t>Custo Do Produto</t>
  </si>
  <si>
    <t>Volume produzido</t>
  </si>
  <si>
    <t>Matérias Primas Total</t>
  </si>
  <si>
    <t>Mão-de-obra total</t>
  </si>
  <si>
    <t>Custo direto Total</t>
  </si>
  <si>
    <t>Custo Indireto</t>
  </si>
  <si>
    <t>Rateio por MOD</t>
  </si>
  <si>
    <t>Rateio por Matéria-Prima</t>
  </si>
  <si>
    <t>Serviço A</t>
  </si>
  <si>
    <t>Serviço B</t>
  </si>
  <si>
    <t>Depreciação de veículos</t>
  </si>
  <si>
    <t xml:space="preserve">Salários e encargos pessoal </t>
  </si>
  <si>
    <t>Depreciação instalações</t>
  </si>
  <si>
    <t>Material para reparos</t>
  </si>
  <si>
    <t>Custo direto total</t>
  </si>
  <si>
    <t>Direcionadores</t>
  </si>
  <si>
    <t>direcionadores</t>
  </si>
  <si>
    <t>No de h de manutenção preventiva</t>
  </si>
  <si>
    <t>Custos indiretos (atividades)</t>
  </si>
  <si>
    <t>No de h de manutenção corretiva</t>
  </si>
  <si>
    <t>Realizar manutenção preventiva de equipamentos</t>
  </si>
  <si>
    <t>Tempo de supervisores</t>
  </si>
  <si>
    <t>Realizar manutenção corretiva de equipamentos</t>
  </si>
  <si>
    <t>No de defeitos detectados e corrigidos</t>
  </si>
  <si>
    <t>Supervisionar serviços</t>
  </si>
  <si>
    <t xml:space="preserve">No de pontos de inspeção de qualidade </t>
  </si>
  <si>
    <t>Controlar qualidade dos serviços</t>
  </si>
  <si>
    <t>Manutenções realizadas</t>
  </si>
  <si>
    <t>Custo indireto total</t>
  </si>
  <si>
    <t>Custos indiretos</t>
  </si>
  <si>
    <t>Custeio Variável</t>
  </si>
  <si>
    <t>Outubro</t>
  </si>
  <si>
    <t>Novembro</t>
  </si>
  <si>
    <t>Dezembro</t>
  </si>
  <si>
    <t>Produção</t>
  </si>
  <si>
    <t>Vendas</t>
  </si>
  <si>
    <t>Custo direto unitário</t>
  </si>
  <si>
    <t>Despesas variáveis</t>
  </si>
  <si>
    <t>Custo do produto</t>
  </si>
  <si>
    <t>Custos Fixos</t>
  </si>
  <si>
    <t>Salários e encargos dos funcionários</t>
  </si>
  <si>
    <t>Depreciação dos equipamentos da fábrica</t>
  </si>
  <si>
    <t>Aluguel do prédio da fábrica</t>
  </si>
  <si>
    <t>Custos diversos de manufatura</t>
  </si>
  <si>
    <t>Custos Fixos Totais</t>
  </si>
  <si>
    <t>Salários e encargos do pessoal administrativo</t>
  </si>
  <si>
    <t>Promoção e Propaganda</t>
  </si>
  <si>
    <t>Despesas Fixas</t>
  </si>
  <si>
    <t>Quant</t>
  </si>
  <si>
    <t>inicial</t>
  </si>
  <si>
    <t>entradas</t>
  </si>
  <si>
    <t>saída</t>
  </si>
  <si>
    <t>saldo</t>
  </si>
  <si>
    <t>Margem de Contribuição</t>
  </si>
  <si>
    <t>Custeio por Absorção</t>
  </si>
  <si>
    <t>Custos Indiretos Totais</t>
  </si>
  <si>
    <t>Custo Indireto Unitário</t>
  </si>
  <si>
    <t>Custo Total unitário da produção acabada</t>
  </si>
  <si>
    <t>saldo parcial</t>
  </si>
  <si>
    <t>Absorção</t>
  </si>
  <si>
    <t>Março</t>
  </si>
  <si>
    <t>Abril</t>
  </si>
  <si>
    <t>Preço de Venda</t>
  </si>
  <si>
    <t>Comissões</t>
  </si>
  <si>
    <t>Custo Material Direto unitário</t>
  </si>
  <si>
    <t>Mão de obra Direta</t>
  </si>
  <si>
    <t>Custo Direto unitário</t>
  </si>
  <si>
    <t>Mão de obra Indireta</t>
  </si>
  <si>
    <t>Custo Total Unitário</t>
  </si>
  <si>
    <t>Inicial</t>
  </si>
  <si>
    <t>Saída Total</t>
  </si>
  <si>
    <t>Variável</t>
  </si>
  <si>
    <t>Custo Direto (Variável)</t>
  </si>
  <si>
    <t>Custo total unitário</t>
  </si>
  <si>
    <t>Custos e Despesas Fixos</t>
  </si>
  <si>
    <t>Custos Variáveis</t>
  </si>
  <si>
    <t>Custo por absorção</t>
  </si>
  <si>
    <t>Exportacao</t>
  </si>
  <si>
    <t>preco unitario</t>
  </si>
  <si>
    <t>Custos diretos</t>
  </si>
  <si>
    <t>Materia prima</t>
  </si>
  <si>
    <t>mao de obra</t>
  </si>
  <si>
    <t>Custo indireto unitario</t>
  </si>
  <si>
    <t>Custo Total unitário</t>
  </si>
  <si>
    <t>Margem de contribuicao</t>
  </si>
  <si>
    <t>Margem de contribuicao do preço de exportação</t>
  </si>
  <si>
    <t>Margem de contribuição Total da exportação</t>
  </si>
  <si>
    <t>DRE na situacao atual</t>
  </si>
  <si>
    <t>DRE com exportação</t>
  </si>
  <si>
    <t>Receitas mercado interno</t>
  </si>
  <si>
    <t>Receitas de exportacao</t>
  </si>
  <si>
    <t>Receita liquida</t>
  </si>
  <si>
    <t>Custo dos prod vendidos</t>
  </si>
  <si>
    <t>Despesas com comissoes</t>
  </si>
  <si>
    <t>Despesas com frete</t>
  </si>
  <si>
    <t>Revista M</t>
  </si>
  <si>
    <t>Revista H</t>
  </si>
  <si>
    <t>Matérias-primas e embalagens</t>
  </si>
  <si>
    <t>$2,26/un</t>
  </si>
  <si>
    <t>$1,94/un</t>
  </si>
  <si>
    <t>Logística</t>
  </si>
  <si>
    <t>Manuseio</t>
  </si>
  <si>
    <t>$20 por mil un.</t>
  </si>
  <si>
    <t>$15 por mil un.</t>
  </si>
  <si>
    <t>Frete de ida</t>
  </si>
  <si>
    <t>$0,50/kg</t>
  </si>
  <si>
    <t>Frete de retorno</t>
  </si>
  <si>
    <t>$50 por mil un.</t>
  </si>
  <si>
    <t>$75 por mil un.</t>
  </si>
  <si>
    <t>Custos Fixos (indiretos) do Centro de Distribuição:</t>
  </si>
  <si>
    <t>Preço de venda por un.</t>
  </si>
  <si>
    <t>Volume</t>
  </si>
  <si>
    <t>Receitas de publicidade por edição</t>
  </si>
  <si>
    <t>Peso médio por un. (g)</t>
  </si>
  <si>
    <t>Encalhe</t>
  </si>
  <si>
    <t>Margem de contribuição</t>
  </si>
  <si>
    <t>Preço de venda líquido</t>
  </si>
  <si>
    <t>Custo material direto</t>
  </si>
  <si>
    <t>Frete</t>
  </si>
  <si>
    <t>Situaca atual</t>
  </si>
  <si>
    <t>Custos indiretos totais</t>
  </si>
  <si>
    <t>Custos Totais</t>
  </si>
  <si>
    <t>Despesas de frete de ida</t>
  </si>
  <si>
    <t>Despesas de frete de ret</t>
  </si>
  <si>
    <t>Receitas de vendas</t>
  </si>
  <si>
    <t>Receitas de publicidade</t>
  </si>
  <si>
    <t>impostos</t>
  </si>
  <si>
    <t>Despesas manuseio</t>
  </si>
  <si>
    <t>Despesas frete</t>
  </si>
  <si>
    <t>Despesas encalhe</t>
  </si>
  <si>
    <t>Matéria-prima</t>
  </si>
  <si>
    <t>embalagem</t>
  </si>
  <si>
    <t>componentes</t>
  </si>
  <si>
    <t>salarios produção</t>
  </si>
  <si>
    <t>depreciação</t>
  </si>
  <si>
    <t>Salários administração</t>
  </si>
  <si>
    <t>seguros</t>
  </si>
  <si>
    <t>Preço de venda</t>
  </si>
  <si>
    <t>preço líquido</t>
  </si>
  <si>
    <t>Custos de Despesas fixos</t>
  </si>
  <si>
    <t>Ponto de Equilíbrio</t>
  </si>
  <si>
    <t>PEC em unidades</t>
  </si>
  <si>
    <t>PEC em valor</t>
  </si>
  <si>
    <t xml:space="preserve">PEE </t>
  </si>
  <si>
    <t>Lucro de 30%</t>
  </si>
  <si>
    <t>PEE</t>
  </si>
  <si>
    <t>Dados</t>
  </si>
  <si>
    <t>Valor da diária</t>
  </si>
  <si>
    <t>Custos variáveis</t>
  </si>
  <si>
    <t>Despesas fixas</t>
  </si>
  <si>
    <t xml:space="preserve">Margem de contribuição </t>
  </si>
  <si>
    <t>Ponto de equilíbrio contábil</t>
  </si>
  <si>
    <t>diárias</t>
  </si>
  <si>
    <t>Capacidade maxima teorica</t>
  </si>
  <si>
    <t>80% de ocupação</t>
  </si>
  <si>
    <t>Margem de segurança de 80%</t>
  </si>
  <si>
    <t>Lucro meta</t>
  </si>
  <si>
    <t>Ponto equilíbrio econômico</t>
  </si>
  <si>
    <t>Taxa de ocupação do PEC</t>
  </si>
  <si>
    <t>Taxa de ocupação do PEE</t>
  </si>
  <si>
    <t>Despesas Variáveis</t>
  </si>
  <si>
    <t>Produto</t>
  </si>
  <si>
    <t>L</t>
  </si>
  <si>
    <t>T</t>
  </si>
  <si>
    <t>Preço líquido</t>
  </si>
  <si>
    <t>Material direto</t>
  </si>
  <si>
    <t>Comissão vendas</t>
  </si>
  <si>
    <t>CDF</t>
  </si>
  <si>
    <t>PEC</t>
  </si>
  <si>
    <t>Mão-de-obra direta</t>
  </si>
  <si>
    <t>Outros custos</t>
  </si>
  <si>
    <t>Custos e despesas fixos</t>
  </si>
  <si>
    <t>Mão-de-obra indireta</t>
  </si>
  <si>
    <t>Impostos e seguros</t>
  </si>
  <si>
    <t>Despesas de vendas</t>
  </si>
  <si>
    <t>Em valor</t>
  </si>
  <si>
    <t>Simples</t>
  </si>
  <si>
    <t>Luxo</t>
  </si>
  <si>
    <t>Diária líquida</t>
  </si>
  <si>
    <t>Custos e despesas variáveis</t>
  </si>
  <si>
    <t>Custos e despesas fixos identificados</t>
  </si>
  <si>
    <t>Custos e despesas fixos comuns</t>
  </si>
  <si>
    <t>PEC dos custos identificados</t>
  </si>
  <si>
    <t>número de diárias simples</t>
  </si>
  <si>
    <t xml:space="preserve">PEC  </t>
  </si>
  <si>
    <t>Pasteurização</t>
  </si>
  <si>
    <t>Manutenção</t>
  </si>
  <si>
    <t>Adm Produção</t>
  </si>
  <si>
    <t>Area</t>
  </si>
  <si>
    <t>Consumo EE</t>
  </si>
  <si>
    <t>Horas de MOI</t>
  </si>
  <si>
    <t>no funcionários</t>
  </si>
  <si>
    <t>Material</t>
  </si>
  <si>
    <t>Rateio Adm Prod</t>
  </si>
  <si>
    <t>Sub total CI</t>
  </si>
  <si>
    <t>Rateio Manutenção</t>
  </si>
  <si>
    <t>Total CI</t>
  </si>
  <si>
    <t>V Processado</t>
  </si>
  <si>
    <t>V Produzido</t>
  </si>
  <si>
    <t>Tipo IN</t>
  </si>
  <si>
    <t>Pipo SD</t>
  </si>
  <si>
    <t>CI por produto</t>
  </si>
  <si>
    <t>CI Total</t>
  </si>
  <si>
    <t>CD</t>
  </si>
  <si>
    <t>Ctotal</t>
  </si>
  <si>
    <t>Custo Unitário</t>
  </si>
  <si>
    <t>Tipo SD</t>
  </si>
  <si>
    <t>Estamparia</t>
  </si>
  <si>
    <t>Montagem</t>
  </si>
  <si>
    <t>Furação</t>
  </si>
  <si>
    <t>Almoxarifado</t>
  </si>
  <si>
    <t>AdmGeral</t>
  </si>
  <si>
    <t>Energia Elétrica</t>
  </si>
  <si>
    <t>Materiais Indiretos</t>
  </si>
  <si>
    <t>Mão-de-obra Indireta</t>
  </si>
  <si>
    <t>Rateio Adm Geral</t>
  </si>
  <si>
    <t>Sub total</t>
  </si>
  <si>
    <t>Rateio Almoxarifado</t>
  </si>
  <si>
    <t>Percentuais de distribuição</t>
  </si>
  <si>
    <t>Administração Geral</t>
  </si>
  <si>
    <t>Produto A</t>
  </si>
  <si>
    <t>Produto B</t>
  </si>
  <si>
    <t>Produto C</t>
  </si>
  <si>
    <t>Total horas</t>
  </si>
  <si>
    <t>Custo Indireto por produto</t>
  </si>
  <si>
    <t>Depreciação de equipamentos</t>
  </si>
  <si>
    <t>Viagens e estadias</t>
  </si>
  <si>
    <t>Lucro bruto</t>
  </si>
  <si>
    <t>Custo variável unitário (com salários)</t>
  </si>
  <si>
    <t>Custo variável unitário (somente materiais)</t>
  </si>
  <si>
    <t>Acréscimo no lucro</t>
  </si>
  <si>
    <t>DRE Custeio Variável</t>
  </si>
  <si>
    <t>DRE Custeio por Absorção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</si>
</sst>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_(&quot;R$&quot;* #,##0.00_);_(&quot;R$&quot;* \(#,##0.00\);_(&quot;R$&quot;* &quot;-&quot;??_);_(@_)"/>
    <numFmt numFmtId="165" formatCode="_(* #,##0.00_);_(* \(#,##0.00\);_(* &quot;-&quot;??_);_(@_)"/>
    <numFmt numFmtId="166" formatCode="&quot;R$ &quot;#,##0"/>
    <numFmt numFmtId="167" formatCode="&quot;R$&quot;\ #,##0"/>
    <numFmt numFmtId="168" formatCode="_(* #,##0_);_(* \(#,##0\);_(* &quot;-&quot;??_);_(@_)"/>
    <numFmt numFmtId="169" formatCode="&quot;$&quot;#,##0"/>
    <numFmt numFmtId="170" formatCode="&quot;$&quot;#,##0.0"/>
    <numFmt numFmtId="171" formatCode="&quot;$&quot;#,##0.00"/>
    <numFmt numFmtId="172" formatCode="&quot;R$&quot;\ #,##0.00"/>
    <numFmt numFmtId="173" formatCode="_(&quot;$&quot;* #,##0.00_);_(&quot;$&quot;* \(#,##0.00\);_(&quot;$&quot;* &quot;-&quot;??_);_(@_)"/>
    <numFmt numFmtId="174" formatCode="_(&quot;$&quot;* #,##0_);_(&quot;$&quot;* \(#,##0\);_(&quot;$&quot;* &quot;-&quot;??_);_(@_)"/>
    <numFmt numFmtId="175" formatCode="&quot;$&quot;#,##0.00_);[Red]\(&quot;$&quot;#,##0.00\)"/>
    <numFmt numFmtId="176" formatCode="&quot;R$ &quot;#,##0.00"/>
    <numFmt numFmtId="177" formatCode="#,##0.0"/>
    <numFmt numFmtId="178" formatCode="_-* #,##0_-;\-* #,##0_-;_-* &quot;-&quot;??_-;_-@_-"/>
    <numFmt numFmtId="179" formatCode="&quot;$&quot;#,##0_);[Red]\(&quot;$&quot;#,##0\)"/>
    <numFmt numFmtId="180" formatCode="0.0%"/>
    <numFmt numFmtId="181" formatCode="0.0"/>
    <numFmt numFmtId="182" formatCode="_([$R$ -416]* #,##0.00_);_([$R$ -416]* \(#,##0.00\);_([$R$ -416]* &quot;-&quot;??_);_(@_)"/>
    <numFmt numFmtId="183" formatCode="_(* #,##0.0_);_(* \(#,##0.0\);_(* &quot;-&quot;??_);_(@_)"/>
    <numFmt numFmtId="184" formatCode="[$$-409]#,##0"/>
    <numFmt numFmtId="185" formatCode="[$$-409]#,##0.00"/>
  </numFmts>
  <fonts count="23">
    <font>
      <sz val="10"/>
      <name val="Arial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theme="0"/>
      <name val="Verdana"/>
      <family val="2"/>
    </font>
    <font>
      <b/>
      <sz val="10"/>
      <color theme="3" tint="0.39997558519241921"/>
      <name val="Verdana"/>
      <family val="2"/>
    </font>
    <font>
      <b/>
      <sz val="10"/>
      <color rgb="FFC00000"/>
      <name val="Verdana"/>
      <family val="2"/>
    </font>
    <font>
      <sz val="12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0"/>
      <color theme="3" tint="-0.249977111117893"/>
      <name val="Verdana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0.5"/>
      <name val="ArialMT"/>
    </font>
  </fonts>
  <fills count="2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59999389629810485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9">
    <xf numFmtId="0" fontId="0" fillId="0" borderId="0"/>
    <xf numFmtId="165" fontId="3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375">
    <xf numFmtId="0" fontId="0" fillId="0" borderId="0" xfId="0"/>
    <xf numFmtId="0" fontId="0" fillId="0" borderId="0" xfId="0" applyBorder="1"/>
    <xf numFmtId="0" fontId="2" fillId="0" borderId="0" xfId="0" applyFont="1"/>
    <xf numFmtId="0" fontId="1" fillId="0" borderId="0" xfId="0" applyFont="1" applyBorder="1"/>
    <xf numFmtId="0" fontId="4" fillId="0" borderId="9" xfId="0" applyFont="1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9" xfId="0" applyBorder="1"/>
    <xf numFmtId="0" fontId="4" fillId="0" borderId="0" xfId="0" applyFont="1" applyFill="1" applyBorder="1" applyAlignment="1">
      <alignment vertical="top" wrapText="1"/>
    </xf>
    <xf numFmtId="0" fontId="5" fillId="0" borderId="0" xfId="0" applyFont="1"/>
    <xf numFmtId="0" fontId="7" fillId="0" borderId="14" xfId="2" applyBorder="1"/>
    <xf numFmtId="169" fontId="7" fillId="0" borderId="15" xfId="2" applyNumberFormat="1" applyBorder="1"/>
    <xf numFmtId="0" fontId="7" fillId="0" borderId="0" xfId="2"/>
    <xf numFmtId="0" fontId="7" fillId="0" borderId="13" xfId="2" applyBorder="1"/>
    <xf numFmtId="169" fontId="7" fillId="0" borderId="16" xfId="2" applyNumberFormat="1" applyBorder="1"/>
    <xf numFmtId="0" fontId="7" fillId="0" borderId="17" xfId="2" applyBorder="1"/>
    <xf numFmtId="169" fontId="7" fillId="0" borderId="18" xfId="2" applyNumberFormat="1" applyBorder="1"/>
    <xf numFmtId="0" fontId="7" fillId="3" borderId="0" xfId="2" applyFill="1"/>
    <xf numFmtId="169" fontId="7" fillId="0" borderId="0" xfId="2" applyNumberFormat="1"/>
    <xf numFmtId="0" fontId="8" fillId="0" borderId="0" xfId="2" applyFont="1"/>
    <xf numFmtId="169" fontId="8" fillId="0" borderId="0" xfId="2" applyNumberFormat="1" applyFont="1"/>
    <xf numFmtId="169" fontId="7" fillId="3" borderId="0" xfId="2" applyNumberFormat="1" applyFill="1"/>
    <xf numFmtId="170" fontId="7" fillId="0" borderId="0" xfId="2" applyNumberFormat="1"/>
    <xf numFmtId="171" fontId="7" fillId="3" borderId="0" xfId="2" applyNumberFormat="1" applyFill="1"/>
    <xf numFmtId="0" fontId="7" fillId="0" borderId="19" xfId="2" applyBorder="1" applyAlignment="1">
      <alignment horizontal="center"/>
    </xf>
    <xf numFmtId="0" fontId="7" fillId="0" borderId="15" xfId="2" applyBorder="1" applyAlignment="1">
      <alignment horizontal="center"/>
    </xf>
    <xf numFmtId="167" fontId="7" fillId="0" borderId="0" xfId="2" applyNumberFormat="1" applyBorder="1" applyAlignment="1">
      <alignment horizontal="center"/>
    </xf>
    <xf numFmtId="0" fontId="7" fillId="0" borderId="16" xfId="2" applyBorder="1" applyAlignment="1">
      <alignment horizontal="center"/>
    </xf>
    <xf numFmtId="167" fontId="7" fillId="0" borderId="20" xfId="2" applyNumberFormat="1" applyBorder="1" applyAlignment="1">
      <alignment horizontal="center"/>
    </xf>
    <xf numFmtId="0" fontId="7" fillId="0" borderId="18" xfId="2" applyBorder="1" applyAlignment="1">
      <alignment horizontal="center"/>
    </xf>
    <xf numFmtId="167" fontId="7" fillId="0" borderId="0" xfId="2" applyNumberFormat="1"/>
    <xf numFmtId="167" fontId="7" fillId="0" borderId="15" xfId="2" applyNumberFormat="1" applyBorder="1"/>
    <xf numFmtId="167" fontId="7" fillId="0" borderId="16" xfId="2" applyNumberFormat="1" applyBorder="1"/>
    <xf numFmtId="167" fontId="7" fillId="0" borderId="18" xfId="2" applyNumberFormat="1" applyBorder="1"/>
    <xf numFmtId="0" fontId="7" fillId="3" borderId="0" xfId="2" applyFill="1" applyAlignment="1">
      <alignment horizontal="center"/>
    </xf>
    <xf numFmtId="167" fontId="7" fillId="0" borderId="0" xfId="2" applyNumberFormat="1" applyAlignment="1">
      <alignment horizontal="right"/>
    </xf>
    <xf numFmtId="0" fontId="7" fillId="0" borderId="0" xfId="2" applyAlignment="1">
      <alignment horizontal="right"/>
    </xf>
    <xf numFmtId="0" fontId="9" fillId="3" borderId="0" xfId="2" applyFont="1" applyFill="1"/>
    <xf numFmtId="167" fontId="7" fillId="3" borderId="0" xfId="2" applyNumberFormat="1" applyFill="1" applyAlignment="1">
      <alignment horizontal="center"/>
    </xf>
    <xf numFmtId="167" fontId="7" fillId="3" borderId="0" xfId="2" applyNumberFormat="1" applyFill="1"/>
    <xf numFmtId="172" fontId="7" fillId="3" borderId="0" xfId="2" applyNumberFormat="1" applyFill="1"/>
    <xf numFmtId="0" fontId="9" fillId="0" borderId="0" xfId="2" applyFont="1"/>
    <xf numFmtId="168" fontId="0" fillId="0" borderId="0" xfId="3" applyNumberFormat="1" applyFont="1"/>
    <xf numFmtId="0" fontId="7" fillId="0" borderId="0" xfId="2" applyBorder="1"/>
    <xf numFmtId="167" fontId="7" fillId="0" borderId="0" xfId="2" applyNumberFormat="1" applyBorder="1"/>
    <xf numFmtId="0" fontId="10" fillId="0" borderId="0" xfId="2" applyFont="1" applyFill="1" applyBorder="1"/>
    <xf numFmtId="174" fontId="0" fillId="0" borderId="15" xfId="4" applyNumberFormat="1" applyFont="1" applyBorder="1"/>
    <xf numFmtId="0" fontId="11" fillId="4" borderId="0" xfId="2" applyFont="1" applyFill="1"/>
    <xf numFmtId="174" fontId="0" fillId="0" borderId="16" xfId="4" applyNumberFormat="1" applyFont="1" applyBorder="1"/>
    <xf numFmtId="174" fontId="0" fillId="0" borderId="0" xfId="4" applyNumberFormat="1" applyFont="1"/>
    <xf numFmtId="0" fontId="7" fillId="5" borderId="0" xfId="2" applyFill="1"/>
    <xf numFmtId="174" fontId="0" fillId="5" borderId="0" xfId="4" applyNumberFormat="1" applyFont="1" applyFill="1"/>
    <xf numFmtId="174" fontId="0" fillId="0" borderId="18" xfId="4" applyNumberFormat="1" applyFont="1" applyBorder="1"/>
    <xf numFmtId="174" fontId="7" fillId="0" borderId="0" xfId="2" applyNumberFormat="1"/>
    <xf numFmtId="174" fontId="8" fillId="0" borderId="0" xfId="2" applyNumberFormat="1" applyFont="1"/>
    <xf numFmtId="0" fontId="9" fillId="0" borderId="14" xfId="2" applyFont="1" applyBorder="1"/>
    <xf numFmtId="16" fontId="7" fillId="0" borderId="19" xfId="2" applyNumberFormat="1" applyBorder="1"/>
    <xf numFmtId="16" fontId="7" fillId="0" borderId="15" xfId="2" applyNumberFormat="1" applyBorder="1"/>
    <xf numFmtId="0" fontId="9" fillId="0" borderId="13" xfId="2" applyFont="1" applyBorder="1"/>
    <xf numFmtId="174" fontId="0" fillId="0" borderId="0" xfId="4" applyNumberFormat="1" applyFont="1" applyBorder="1"/>
    <xf numFmtId="0" fontId="9" fillId="0" borderId="17" xfId="2" applyFont="1" applyBorder="1"/>
    <xf numFmtId="174" fontId="0" fillId="0" borderId="20" xfId="4" applyNumberFormat="1" applyFont="1" applyBorder="1"/>
    <xf numFmtId="174" fontId="12" fillId="0" borderId="0" xfId="4" applyNumberFormat="1" applyFont="1"/>
    <xf numFmtId="0" fontId="7" fillId="0" borderId="15" xfId="2" applyBorder="1"/>
    <xf numFmtId="174" fontId="13" fillId="0" borderId="0" xfId="4" applyNumberFormat="1" applyFont="1"/>
    <xf numFmtId="174" fontId="9" fillId="0" borderId="0" xfId="4" applyNumberFormat="1" applyFont="1"/>
    <xf numFmtId="0" fontId="2" fillId="0" borderId="9" xfId="2" applyFont="1" applyBorder="1" applyAlignment="1">
      <alignment vertical="top" wrapText="1"/>
    </xf>
    <xf numFmtId="0" fontId="5" fillId="0" borderId="10" xfId="2" applyFont="1" applyBorder="1" applyAlignment="1">
      <alignment horizontal="right" vertical="top" wrapText="1"/>
    </xf>
    <xf numFmtId="0" fontId="2" fillId="0" borderId="11" xfId="2" applyFont="1" applyBorder="1" applyAlignment="1">
      <alignment vertical="top" wrapText="1"/>
    </xf>
    <xf numFmtId="0" fontId="2" fillId="0" borderId="8" xfId="2" applyFont="1" applyBorder="1" applyAlignment="1">
      <alignment vertical="top" wrapText="1"/>
    </xf>
    <xf numFmtId="0" fontId="2" fillId="0" borderId="0" xfId="2" applyFont="1"/>
    <xf numFmtId="175" fontId="2" fillId="0" borderId="8" xfId="2" applyNumberFormat="1" applyFont="1" applyBorder="1" applyAlignment="1">
      <alignment vertical="top" wrapText="1"/>
    </xf>
    <xf numFmtId="0" fontId="6" fillId="6" borderId="0" xfId="2" applyFont="1" applyFill="1" applyBorder="1" applyAlignment="1">
      <alignment vertical="top" wrapText="1"/>
    </xf>
    <xf numFmtId="0" fontId="7" fillId="6" borderId="0" xfId="2" applyFill="1" applyAlignment="1">
      <alignment horizontal="right"/>
    </xf>
    <xf numFmtId="0" fontId="2" fillId="0" borderId="0" xfId="2" applyFont="1" applyFill="1" applyBorder="1" applyAlignment="1">
      <alignment vertical="top" wrapText="1"/>
    </xf>
    <xf numFmtId="0" fontId="5" fillId="7" borderId="1" xfId="2" applyFont="1" applyFill="1" applyBorder="1" applyAlignment="1">
      <alignment vertical="top" wrapText="1"/>
    </xf>
    <xf numFmtId="0" fontId="7" fillId="7" borderId="2" xfId="2" applyFill="1" applyBorder="1" applyAlignment="1">
      <alignment horizontal="right"/>
    </xf>
    <xf numFmtId="0" fontId="7" fillId="7" borderId="3" xfId="2" applyFill="1" applyBorder="1" applyAlignment="1">
      <alignment horizontal="right"/>
    </xf>
    <xf numFmtId="0" fontId="2" fillId="0" borderId="4" xfId="2" applyFont="1" applyFill="1" applyBorder="1" applyAlignment="1">
      <alignment vertical="top" wrapText="1"/>
    </xf>
    <xf numFmtId="175" fontId="7" fillId="0" borderId="0" xfId="2" applyNumberFormat="1" applyBorder="1"/>
    <xf numFmtId="175" fontId="7" fillId="0" borderId="5" xfId="2" applyNumberFormat="1" applyBorder="1"/>
    <xf numFmtId="0" fontId="5" fillId="0" borderId="6" xfId="2" applyFont="1" applyFill="1" applyBorder="1" applyAlignment="1">
      <alignment vertical="top" wrapText="1"/>
    </xf>
    <xf numFmtId="175" fontId="7" fillId="0" borderId="7" xfId="2" applyNumberFormat="1" applyBorder="1"/>
    <xf numFmtId="175" fontId="7" fillId="0" borderId="8" xfId="2" applyNumberFormat="1" applyBorder="1"/>
    <xf numFmtId="0" fontId="5" fillId="6" borderId="0" xfId="2" applyFont="1" applyFill="1" applyBorder="1" applyAlignment="1">
      <alignment vertical="top" wrapText="1"/>
    </xf>
    <xf numFmtId="175" fontId="7" fillId="6" borderId="0" xfId="2" applyNumberFormat="1" applyFill="1" applyBorder="1"/>
    <xf numFmtId="0" fontId="5" fillId="0" borderId="0" xfId="2" applyFont="1" applyFill="1" applyBorder="1" applyAlignment="1">
      <alignment vertical="top" wrapText="1"/>
    </xf>
    <xf numFmtId="0" fontId="5" fillId="0" borderId="1" xfId="2" applyFont="1" applyFill="1" applyBorder="1" applyAlignment="1">
      <alignment vertical="top" wrapText="1"/>
    </xf>
    <xf numFmtId="0" fontId="7" fillId="0" borderId="2" xfId="2" applyBorder="1" applyAlignment="1">
      <alignment horizontal="right"/>
    </xf>
    <xf numFmtId="0" fontId="7" fillId="0" borderId="3" xfId="2" applyBorder="1" applyAlignment="1">
      <alignment horizontal="right"/>
    </xf>
    <xf numFmtId="175" fontId="7" fillId="0" borderId="0" xfId="2" applyNumberFormat="1"/>
    <xf numFmtId="0" fontId="5" fillId="8" borderId="6" xfId="2" applyFont="1" applyFill="1" applyBorder="1" applyAlignment="1">
      <alignment vertical="top" wrapText="1"/>
    </xf>
    <xf numFmtId="175" fontId="7" fillId="8" borderId="7" xfId="2" applyNumberFormat="1" applyFill="1" applyBorder="1"/>
    <xf numFmtId="0" fontId="2" fillId="9" borderId="0" xfId="2" applyFont="1" applyFill="1" applyBorder="1" applyAlignment="1">
      <alignment vertical="top" wrapText="1"/>
    </xf>
    <xf numFmtId="175" fontId="7" fillId="9" borderId="7" xfId="2" applyNumberFormat="1" applyFill="1" applyBorder="1"/>
    <xf numFmtId="0" fontId="5" fillId="10" borderId="0" xfId="2" applyFont="1" applyFill="1" applyBorder="1" applyAlignment="1">
      <alignment vertical="top" wrapText="1"/>
    </xf>
    <xf numFmtId="0" fontId="7" fillId="10" borderId="0" xfId="2" applyFill="1" applyBorder="1" applyAlignment="1">
      <alignment horizontal="right"/>
    </xf>
    <xf numFmtId="0" fontId="2" fillId="10" borderId="0" xfId="2" applyFont="1" applyFill="1" applyBorder="1" applyAlignment="1">
      <alignment vertical="top" wrapText="1"/>
    </xf>
    <xf numFmtId="175" fontId="7" fillId="10" borderId="0" xfId="2" applyNumberFormat="1" applyFill="1" applyBorder="1"/>
    <xf numFmtId="0" fontId="14" fillId="0" borderId="9" xfId="2" applyFont="1" applyBorder="1" applyAlignment="1">
      <alignment vertical="top" wrapText="1"/>
    </xf>
    <xf numFmtId="0" fontId="14" fillId="0" borderId="10" xfId="2" applyFont="1" applyBorder="1" applyAlignment="1">
      <alignment vertical="top" wrapText="1"/>
    </xf>
    <xf numFmtId="0" fontId="14" fillId="0" borderId="0" xfId="2" applyFont="1" applyBorder="1" applyAlignment="1">
      <alignment vertical="top" wrapText="1"/>
    </xf>
    <xf numFmtId="0" fontId="15" fillId="0" borderId="0" xfId="2" applyFont="1"/>
    <xf numFmtId="0" fontId="14" fillId="0" borderId="11" xfId="2" applyFont="1" applyBorder="1" applyAlignment="1">
      <alignment vertical="top" wrapText="1"/>
    </xf>
    <xf numFmtId="0" fontId="14" fillId="0" borderId="8" xfId="2" applyFont="1" applyBorder="1" applyAlignment="1">
      <alignment vertical="top" wrapText="1"/>
    </xf>
    <xf numFmtId="0" fontId="14" fillId="7" borderId="0" xfId="2" applyFont="1" applyFill="1" applyBorder="1" applyAlignment="1">
      <alignment vertical="top" wrapText="1"/>
    </xf>
    <xf numFmtId="0" fontId="16" fillId="7" borderId="5" xfId="2" applyFont="1" applyFill="1" applyBorder="1" applyAlignment="1">
      <alignment horizontal="right" vertical="top" wrapText="1"/>
    </xf>
    <xf numFmtId="0" fontId="16" fillId="7" borderId="0" xfId="2" applyFont="1" applyFill="1" applyBorder="1" applyAlignment="1">
      <alignment horizontal="right" vertical="top" wrapText="1"/>
    </xf>
    <xf numFmtId="0" fontId="16" fillId="7" borderId="5" xfId="2" applyFont="1" applyFill="1" applyBorder="1" applyAlignment="1">
      <alignment horizontal="right"/>
    </xf>
    <xf numFmtId="0" fontId="14" fillId="7" borderId="0" xfId="2" applyFont="1" applyFill="1"/>
    <xf numFmtId="0" fontId="14" fillId="0" borderId="0" xfId="2" applyFont="1" applyFill="1" applyBorder="1" applyAlignment="1">
      <alignment vertical="top" wrapText="1"/>
    </xf>
    <xf numFmtId="0" fontId="14" fillId="0" borderId="5" xfId="2" applyFont="1" applyBorder="1"/>
    <xf numFmtId="0" fontId="14" fillId="0" borderId="0" xfId="2" applyFont="1"/>
    <xf numFmtId="0" fontId="14" fillId="7" borderId="5" xfId="2" applyFont="1" applyFill="1" applyBorder="1"/>
    <xf numFmtId="176" fontId="14" fillId="0" borderId="5" xfId="2" applyNumberFormat="1" applyFont="1" applyBorder="1"/>
    <xf numFmtId="176" fontId="14" fillId="0" borderId="0" xfId="2" applyNumberFormat="1" applyFont="1"/>
    <xf numFmtId="0" fontId="14" fillId="0" borderId="12" xfId="2" applyFont="1" applyFill="1" applyBorder="1" applyAlignment="1">
      <alignment vertical="top" wrapText="1"/>
    </xf>
    <xf numFmtId="176" fontId="14" fillId="0" borderId="21" xfId="2" applyNumberFormat="1" applyFont="1" applyBorder="1"/>
    <xf numFmtId="176" fontId="14" fillId="0" borderId="12" xfId="2" applyNumberFormat="1" applyFont="1" applyBorder="1"/>
    <xf numFmtId="0" fontId="14" fillId="0" borderId="12" xfId="2" applyFont="1" applyBorder="1"/>
    <xf numFmtId="176" fontId="14" fillId="0" borderId="2" xfId="2" applyNumberFormat="1" applyFont="1" applyBorder="1"/>
    <xf numFmtId="176" fontId="14" fillId="0" borderId="3" xfId="2" applyNumberFormat="1" applyFont="1" applyBorder="1"/>
    <xf numFmtId="176" fontId="14" fillId="0" borderId="0" xfId="2" applyNumberFormat="1" applyFont="1" applyBorder="1"/>
    <xf numFmtId="176" fontId="14" fillId="0" borderId="20" xfId="2" applyNumberFormat="1" applyFont="1" applyBorder="1"/>
    <xf numFmtId="176" fontId="14" fillId="0" borderId="22" xfId="2" applyNumberFormat="1" applyFont="1" applyBorder="1"/>
    <xf numFmtId="0" fontId="7" fillId="11" borderId="0" xfId="2" applyFill="1"/>
    <xf numFmtId="0" fontId="10" fillId="11" borderId="0" xfId="2" applyFont="1" applyFill="1" applyAlignment="1">
      <alignment horizontal="right"/>
    </xf>
    <xf numFmtId="16" fontId="7" fillId="0" borderId="0" xfId="2" applyNumberFormat="1"/>
    <xf numFmtId="0" fontId="7" fillId="2" borderId="0" xfId="2" applyFill="1"/>
    <xf numFmtId="174" fontId="0" fillId="2" borderId="0" xfId="4" applyNumberFormat="1" applyFont="1" applyFill="1"/>
    <xf numFmtId="0" fontId="9" fillId="2" borderId="0" xfId="2" applyFont="1" applyFill="1"/>
    <xf numFmtId="174" fontId="7" fillId="2" borderId="0" xfId="2" applyNumberFormat="1" applyFill="1"/>
    <xf numFmtId="0" fontId="9" fillId="0" borderId="1" xfId="2" applyFont="1" applyBorder="1"/>
    <xf numFmtId="0" fontId="7" fillId="0" borderId="2" xfId="2" applyBorder="1"/>
    <xf numFmtId="0" fontId="7" fillId="0" borderId="3" xfId="2" applyBorder="1"/>
    <xf numFmtId="0" fontId="9" fillId="0" borderId="4" xfId="2" applyFont="1" applyBorder="1"/>
    <xf numFmtId="174" fontId="7" fillId="0" borderId="0" xfId="2" applyNumberFormat="1" applyBorder="1"/>
    <xf numFmtId="174" fontId="7" fillId="0" borderId="5" xfId="2" applyNumberFormat="1" applyBorder="1"/>
    <xf numFmtId="0" fontId="9" fillId="0" borderId="6" xfId="2" applyFont="1" applyBorder="1"/>
    <xf numFmtId="174" fontId="7" fillId="0" borderId="7" xfId="2" applyNumberFormat="1" applyBorder="1"/>
    <xf numFmtId="174" fontId="7" fillId="0" borderId="8" xfId="2" applyNumberFormat="1" applyBorder="1"/>
    <xf numFmtId="0" fontId="9" fillId="11" borderId="0" xfId="2" applyFont="1" applyFill="1"/>
    <xf numFmtId="0" fontId="17" fillId="0" borderId="1" xfId="2" applyFont="1" applyBorder="1"/>
    <xf numFmtId="0" fontId="17" fillId="0" borderId="4" xfId="2" applyFont="1" applyBorder="1"/>
    <xf numFmtId="165" fontId="0" fillId="0" borderId="0" xfId="3" applyFont="1"/>
    <xf numFmtId="0" fontId="17" fillId="0" borderId="6" xfId="2" applyFont="1" applyBorder="1"/>
    <xf numFmtId="173" fontId="0" fillId="0" borderId="0" xfId="4" applyFont="1"/>
    <xf numFmtId="173" fontId="0" fillId="11" borderId="0" xfId="4" applyFont="1" applyFill="1"/>
    <xf numFmtId="174" fontId="9" fillId="0" borderId="0" xfId="4" applyNumberFormat="1" applyFont="1" applyFill="1" applyBorder="1"/>
    <xf numFmtId="0" fontId="9" fillId="0" borderId="0" xfId="2" applyFont="1" applyAlignment="1">
      <alignment horizontal="right"/>
    </xf>
    <xf numFmtId="0" fontId="9" fillId="0" borderId="0" xfId="2" applyFont="1" applyFill="1" applyBorder="1" applyAlignment="1">
      <alignment horizontal="right"/>
    </xf>
    <xf numFmtId="0" fontId="17" fillId="0" borderId="2" xfId="2" applyFont="1" applyBorder="1"/>
    <xf numFmtId="0" fontId="17" fillId="0" borderId="3" xfId="2" applyFont="1" applyBorder="1"/>
    <xf numFmtId="0" fontId="17" fillId="0" borderId="0" xfId="2" applyFont="1" applyBorder="1"/>
    <xf numFmtId="0" fontId="17" fillId="0" borderId="5" xfId="2" applyFont="1" applyBorder="1"/>
    <xf numFmtId="0" fontId="17" fillId="0" borderId="7" xfId="2" applyFont="1" applyBorder="1"/>
    <xf numFmtId="0" fontId="17" fillId="0" borderId="8" xfId="2" applyFont="1" applyBorder="1"/>
    <xf numFmtId="174" fontId="9" fillId="11" borderId="0" xfId="4" applyNumberFormat="1" applyFont="1" applyFill="1" applyBorder="1"/>
    <xf numFmtId="0" fontId="11" fillId="11" borderId="0" xfId="2" applyFont="1" applyFill="1"/>
    <xf numFmtId="0" fontId="17" fillId="0" borderId="0" xfId="2" applyFont="1"/>
    <xf numFmtId="165" fontId="9" fillId="2" borderId="0" xfId="3" applyFont="1" applyFill="1"/>
    <xf numFmtId="165" fontId="9" fillId="2" borderId="0" xfId="3" applyFont="1" applyFill="1" applyAlignment="1">
      <alignment horizontal="right"/>
    </xf>
    <xf numFmtId="165" fontId="9" fillId="0" borderId="0" xfId="3" applyFont="1"/>
    <xf numFmtId="168" fontId="9" fillId="0" borderId="0" xfId="3" applyNumberFormat="1" applyFont="1"/>
    <xf numFmtId="9" fontId="0" fillId="0" borderId="0" xfId="5" applyFont="1"/>
    <xf numFmtId="165" fontId="9" fillId="5" borderId="0" xfId="3" applyFont="1" applyFill="1"/>
    <xf numFmtId="168" fontId="0" fillId="5" borderId="0" xfId="3" applyNumberFormat="1" applyFont="1" applyFill="1"/>
    <xf numFmtId="173" fontId="0" fillId="2" borderId="0" xfId="4" applyFont="1" applyFill="1"/>
    <xf numFmtId="0" fontId="5" fillId="7" borderId="23" xfId="2" applyFont="1" applyFill="1" applyBorder="1" applyAlignment="1">
      <alignment vertical="top" wrapText="1"/>
    </xf>
    <xf numFmtId="0" fontId="5" fillId="7" borderId="24" xfId="2" applyFont="1" applyFill="1" applyBorder="1" applyAlignment="1">
      <alignment horizontal="center" vertical="top" wrapText="1"/>
    </xf>
    <xf numFmtId="0" fontId="5" fillId="7" borderId="25" xfId="2" applyFont="1" applyFill="1" applyBorder="1" applyAlignment="1">
      <alignment horizontal="center" vertical="top" wrapText="1"/>
    </xf>
    <xf numFmtId="0" fontId="5" fillId="7" borderId="9" xfId="2" applyFont="1" applyFill="1" applyBorder="1" applyAlignment="1">
      <alignment horizontal="center" vertical="top" wrapText="1"/>
    </xf>
    <xf numFmtId="0" fontId="2" fillId="0" borderId="26" xfId="2" applyFont="1" applyBorder="1" applyAlignment="1">
      <alignment vertical="top" wrapText="1"/>
    </xf>
    <xf numFmtId="0" fontId="2" fillId="0" borderId="18" xfId="2" applyFont="1" applyBorder="1" applyAlignment="1">
      <alignment horizontal="center" vertical="top" wrapText="1"/>
    </xf>
    <xf numFmtId="0" fontId="2" fillId="0" borderId="20" xfId="2" applyFont="1" applyBorder="1" applyAlignment="1">
      <alignment horizontal="center" vertical="top" wrapText="1"/>
    </xf>
    <xf numFmtId="0" fontId="7" fillId="0" borderId="9" xfId="2" applyBorder="1" applyAlignment="1">
      <alignment horizontal="center"/>
    </xf>
    <xf numFmtId="0" fontId="2" fillId="0" borderId="0" xfId="2" applyFont="1" applyBorder="1" applyAlignment="1">
      <alignment vertical="top" wrapText="1"/>
    </xf>
    <xf numFmtId="0" fontId="2" fillId="0" borderId="0" xfId="2" applyFont="1" applyBorder="1" applyAlignment="1">
      <alignment horizontal="center" vertical="top" wrapText="1"/>
    </xf>
    <xf numFmtId="0" fontId="5" fillId="7" borderId="9" xfId="2" applyFont="1" applyFill="1" applyBorder="1"/>
    <xf numFmtId="0" fontId="5" fillId="7" borderId="9" xfId="2" applyFont="1" applyFill="1" applyBorder="1" applyAlignment="1">
      <alignment horizontal="center" wrapText="1"/>
    </xf>
    <xf numFmtId="0" fontId="18" fillId="0" borderId="9" xfId="2" applyFont="1" applyBorder="1" applyAlignment="1">
      <alignment horizontal="center"/>
    </xf>
    <xf numFmtId="0" fontId="7" fillId="0" borderId="9" xfId="2" applyBorder="1"/>
    <xf numFmtId="0" fontId="2" fillId="0" borderId="9" xfId="2" applyFont="1" applyFill="1" applyBorder="1" applyAlignment="1">
      <alignment vertical="top" wrapText="1"/>
    </xf>
    <xf numFmtId="3" fontId="2" fillId="0" borderId="9" xfId="2" applyNumberFormat="1" applyFont="1" applyBorder="1" applyAlignment="1">
      <alignment horizontal="center" vertical="top" wrapText="1"/>
    </xf>
    <xf numFmtId="3" fontId="7" fillId="0" borderId="0" xfId="2" applyNumberFormat="1"/>
    <xf numFmtId="0" fontId="5" fillId="12" borderId="9" xfId="2" applyFont="1" applyFill="1" applyBorder="1" applyAlignment="1">
      <alignment vertical="top" wrapText="1"/>
    </xf>
    <xf numFmtId="0" fontId="5" fillId="12" borderId="9" xfId="2" applyFont="1" applyFill="1" applyBorder="1" applyAlignment="1">
      <alignment horizontal="center"/>
    </xf>
    <xf numFmtId="3" fontId="5" fillId="12" borderId="9" xfId="2" applyNumberFormat="1" applyFont="1" applyFill="1" applyBorder="1" applyAlignment="1">
      <alignment horizontal="center"/>
    </xf>
    <xf numFmtId="0" fontId="5" fillId="13" borderId="9" xfId="2" applyFont="1" applyFill="1" applyBorder="1" applyAlignment="1">
      <alignment vertical="top" wrapText="1"/>
    </xf>
    <xf numFmtId="0" fontId="5" fillId="13" borderId="9" xfId="2" applyFont="1" applyFill="1" applyBorder="1" applyAlignment="1">
      <alignment horizontal="center"/>
    </xf>
    <xf numFmtId="3" fontId="5" fillId="13" borderId="9" xfId="2" applyNumberFormat="1" applyFont="1" applyFill="1" applyBorder="1" applyAlignment="1">
      <alignment horizontal="center"/>
    </xf>
    <xf numFmtId="0" fontId="2" fillId="0" borderId="23" xfId="2" applyFont="1" applyBorder="1" applyAlignment="1">
      <alignment vertical="top" wrapText="1"/>
    </xf>
    <xf numFmtId="0" fontId="2" fillId="0" borderId="24" xfId="2" applyFont="1" applyBorder="1" applyAlignment="1">
      <alignment horizontal="center" vertical="top" wrapText="1"/>
    </xf>
    <xf numFmtId="0" fontId="5" fillId="0" borderId="24" xfId="2" applyFont="1" applyBorder="1" applyAlignment="1">
      <alignment horizontal="center" vertical="top" wrapText="1"/>
    </xf>
    <xf numFmtId="0" fontId="2" fillId="0" borderId="18" xfId="2" applyFont="1" applyBorder="1" applyAlignment="1">
      <alignment vertical="top" wrapText="1"/>
    </xf>
    <xf numFmtId="0" fontId="2" fillId="0" borderId="23" xfId="2" applyFont="1" applyBorder="1" applyAlignment="1">
      <alignment vertical="center" wrapText="1"/>
    </xf>
    <xf numFmtId="0" fontId="5" fillId="0" borderId="24" xfId="2" applyFont="1" applyBorder="1" applyAlignment="1">
      <alignment horizontal="center" vertical="center" wrapText="1"/>
    </xf>
    <xf numFmtId="0" fontId="5" fillId="0" borderId="0" xfId="2" applyFont="1" applyAlignment="1">
      <alignment horizontal="center" vertical="center" wrapText="1"/>
    </xf>
    <xf numFmtId="0" fontId="2" fillId="0" borderId="26" xfId="2" applyFont="1" applyBorder="1" applyAlignment="1">
      <alignment vertical="center" wrapText="1"/>
    </xf>
    <xf numFmtId="0" fontId="2" fillId="0" borderId="18" xfId="2" applyFont="1" applyBorder="1" applyAlignment="1">
      <alignment horizontal="center" vertical="center" wrapText="1"/>
    </xf>
    <xf numFmtId="0" fontId="7" fillId="0" borderId="0" xfId="2" applyAlignment="1">
      <alignment horizontal="center" vertical="center" wrapText="1"/>
    </xf>
    <xf numFmtId="0" fontId="2" fillId="0" borderId="9" xfId="2" applyFont="1" applyFill="1" applyBorder="1" applyAlignment="1">
      <alignment vertical="center" wrapText="1"/>
    </xf>
    <xf numFmtId="0" fontId="7" fillId="0" borderId="9" xfId="2" applyBorder="1" applyAlignment="1">
      <alignment wrapText="1"/>
    </xf>
    <xf numFmtId="0" fontId="5" fillId="0" borderId="9" xfId="2" applyFont="1" applyBorder="1" applyAlignment="1">
      <alignment horizontal="center"/>
    </xf>
    <xf numFmtId="0" fontId="2" fillId="7" borderId="9" xfId="2" applyFont="1" applyFill="1" applyBorder="1" applyAlignment="1">
      <alignment vertical="top" wrapText="1"/>
    </xf>
    <xf numFmtId="3" fontId="7" fillId="7" borderId="9" xfId="2" applyNumberFormat="1" applyFill="1" applyBorder="1" applyAlignment="1">
      <alignment horizontal="center"/>
    </xf>
    <xf numFmtId="0" fontId="2" fillId="0" borderId="9" xfId="2" applyFont="1" applyBorder="1" applyAlignment="1">
      <alignment vertical="center" wrapText="1"/>
    </xf>
    <xf numFmtId="3" fontId="7" fillId="0" borderId="9" xfId="2" applyNumberFormat="1" applyBorder="1" applyAlignment="1">
      <alignment horizontal="center"/>
    </xf>
    <xf numFmtId="0" fontId="2" fillId="14" borderId="9" xfId="2" applyFont="1" applyFill="1" applyBorder="1" applyAlignment="1">
      <alignment vertical="center" wrapText="1"/>
    </xf>
    <xf numFmtId="3" fontId="5" fillId="7" borderId="9" xfId="2" applyNumberFormat="1" applyFont="1" applyFill="1" applyBorder="1" applyAlignment="1">
      <alignment horizontal="center"/>
    </xf>
    <xf numFmtId="0" fontId="7" fillId="7" borderId="9" xfId="2" applyFill="1" applyBorder="1"/>
    <xf numFmtId="0" fontId="7" fillId="7" borderId="9" xfId="2" applyFill="1" applyBorder="1" applyAlignment="1">
      <alignment horizontal="center"/>
    </xf>
    <xf numFmtId="0" fontId="5" fillId="0" borderId="9" xfId="2" applyFont="1" applyFill="1" applyBorder="1" applyAlignment="1">
      <alignment vertical="top" wrapText="1"/>
    </xf>
    <xf numFmtId="3" fontId="5" fillId="0" borderId="9" xfId="2" applyNumberFormat="1" applyFont="1" applyBorder="1" applyAlignment="1">
      <alignment horizontal="center"/>
    </xf>
    <xf numFmtId="177" fontId="7" fillId="7" borderId="9" xfId="2" applyNumberFormat="1" applyFill="1" applyBorder="1" applyAlignment="1">
      <alignment horizontal="center"/>
    </xf>
    <xf numFmtId="0" fontId="7" fillId="7" borderId="0" xfId="2" applyFill="1"/>
    <xf numFmtId="0" fontId="7" fillId="0" borderId="1" xfId="2" applyBorder="1"/>
    <xf numFmtId="3" fontId="7" fillId="0" borderId="9" xfId="2" applyNumberFormat="1" applyFill="1" applyBorder="1" applyAlignment="1">
      <alignment horizontal="center"/>
    </xf>
    <xf numFmtId="0" fontId="7" fillId="0" borderId="4" xfId="2" applyBorder="1"/>
    <xf numFmtId="0" fontId="7" fillId="7" borderId="4" xfId="2" applyFill="1" applyBorder="1"/>
    <xf numFmtId="0" fontId="7" fillId="7" borderId="0" xfId="2" applyFill="1" applyBorder="1"/>
    <xf numFmtId="0" fontId="7" fillId="7" borderId="6" xfId="2" applyFill="1" applyBorder="1"/>
    <xf numFmtId="0" fontId="7" fillId="7" borderId="7" xfId="2" applyFill="1" applyBorder="1"/>
    <xf numFmtId="0" fontId="7" fillId="0" borderId="4" xfId="2" applyFill="1" applyBorder="1"/>
    <xf numFmtId="0" fontId="7" fillId="0" borderId="0" xfId="2" applyFill="1" applyBorder="1"/>
    <xf numFmtId="4" fontId="7" fillId="0" borderId="9" xfId="2" applyNumberFormat="1" applyFill="1" applyBorder="1" applyAlignment="1">
      <alignment horizontal="center"/>
    </xf>
    <xf numFmtId="0" fontId="4" fillId="0" borderId="0" xfId="2" applyFont="1" applyBorder="1" applyAlignment="1">
      <alignment vertical="top" wrapText="1"/>
    </xf>
    <xf numFmtId="0" fontId="4" fillId="0" borderId="0" xfId="2" applyFont="1" applyBorder="1" applyAlignment="1">
      <alignment horizontal="center" vertical="top" wrapText="1"/>
    </xf>
    <xf numFmtId="0" fontId="4" fillId="0" borderId="1" xfId="2" applyFont="1" applyBorder="1" applyAlignment="1">
      <alignment vertical="top" wrapText="1"/>
    </xf>
    <xf numFmtId="0" fontId="4" fillId="0" borderId="2" xfId="2" applyFont="1" applyBorder="1" applyAlignment="1">
      <alignment horizontal="center" vertical="top" wrapText="1"/>
    </xf>
    <xf numFmtId="0" fontId="4" fillId="0" borderId="3" xfId="2" applyFont="1" applyBorder="1" applyAlignment="1">
      <alignment horizontal="center" vertical="top" wrapText="1"/>
    </xf>
    <xf numFmtId="3" fontId="4" fillId="0" borderId="0" xfId="2" applyNumberFormat="1" applyFont="1" applyBorder="1"/>
    <xf numFmtId="0" fontId="4" fillId="0" borderId="4" xfId="2" applyFont="1" applyBorder="1" applyAlignment="1">
      <alignment vertical="top" wrapText="1"/>
    </xf>
    <xf numFmtId="174" fontId="4" fillId="0" borderId="0" xfId="4" applyNumberFormat="1" applyFont="1" applyBorder="1"/>
    <xf numFmtId="174" fontId="4" fillId="0" borderId="5" xfId="4" applyNumberFormat="1" applyFont="1" applyBorder="1"/>
    <xf numFmtId="3" fontId="4" fillId="0" borderId="0" xfId="2" applyNumberFormat="1" applyFont="1" applyBorder="1" applyAlignment="1">
      <alignment horizontal="center" vertical="top" wrapText="1"/>
    </xf>
    <xf numFmtId="174" fontId="4" fillId="0" borderId="0" xfId="4" applyNumberFormat="1" applyFont="1" applyBorder="1" applyAlignment="1">
      <alignment horizontal="center" vertical="top" wrapText="1"/>
    </xf>
    <xf numFmtId="174" fontId="4" fillId="0" borderId="5" xfId="4" applyNumberFormat="1" applyFont="1" applyBorder="1" applyAlignment="1">
      <alignment horizontal="center" vertical="top" wrapText="1"/>
    </xf>
    <xf numFmtId="0" fontId="4" fillId="0" borderId="4" xfId="2" applyFont="1" applyFill="1" applyBorder="1" applyAlignment="1">
      <alignment vertical="top" wrapText="1"/>
    </xf>
    <xf numFmtId="174" fontId="0" fillId="0" borderId="5" xfId="4" applyNumberFormat="1" applyFont="1" applyBorder="1"/>
    <xf numFmtId="0" fontId="9" fillId="0" borderId="0" xfId="2" applyFont="1" applyBorder="1"/>
    <xf numFmtId="174" fontId="4" fillId="0" borderId="0" xfId="4" applyNumberFormat="1" applyFont="1" applyBorder="1" applyAlignment="1">
      <alignment horizontal="right" vertical="top" wrapText="1"/>
    </xf>
    <xf numFmtId="9" fontId="4" fillId="0" borderId="0" xfId="2" applyNumberFormat="1" applyFont="1" applyBorder="1" applyAlignment="1">
      <alignment horizontal="center" vertical="top" wrapText="1"/>
    </xf>
    <xf numFmtId="0" fontId="4" fillId="0" borderId="6" xfId="2" applyFont="1" applyFill="1" applyBorder="1" applyAlignment="1">
      <alignment vertical="top" wrapText="1"/>
    </xf>
    <xf numFmtId="0" fontId="7" fillId="0" borderId="7" xfId="2" applyBorder="1"/>
    <xf numFmtId="174" fontId="0" fillId="0" borderId="7" xfId="4" applyNumberFormat="1" applyFont="1" applyBorder="1"/>
    <xf numFmtId="174" fontId="0" fillId="0" borderId="8" xfId="4" applyNumberFormat="1" applyFont="1" applyBorder="1"/>
    <xf numFmtId="0" fontId="2" fillId="0" borderId="0" xfId="2" applyFont="1" applyAlignment="1">
      <alignment horizontal="right"/>
    </xf>
    <xf numFmtId="3" fontId="7" fillId="6" borderId="0" xfId="2" applyNumberFormat="1" applyFill="1"/>
    <xf numFmtId="0" fontId="7" fillId="0" borderId="0" xfId="2" applyAlignment="1">
      <alignment horizontal="center"/>
    </xf>
    <xf numFmtId="3" fontId="7" fillId="7" borderId="0" xfId="2" applyNumberFormat="1" applyFill="1"/>
    <xf numFmtId="3" fontId="18" fillId="15" borderId="0" xfId="2" applyNumberFormat="1" applyFont="1" applyFill="1"/>
    <xf numFmtId="0" fontId="18" fillId="15" borderId="0" xfId="2" applyFont="1" applyFill="1" applyAlignment="1">
      <alignment horizontal="right"/>
    </xf>
    <xf numFmtId="3" fontId="7" fillId="14" borderId="0" xfId="2" applyNumberFormat="1" applyFill="1"/>
    <xf numFmtId="3" fontId="7" fillId="0" borderId="0" xfId="2" applyNumberFormat="1" applyFill="1"/>
    <xf numFmtId="0" fontId="6" fillId="0" borderId="0" xfId="2" applyFont="1" applyBorder="1" applyAlignment="1">
      <alignment vertical="top" wrapText="1"/>
    </xf>
    <xf numFmtId="3" fontId="5" fillId="7" borderId="0" xfId="2" applyNumberFormat="1" applyFont="1" applyFill="1"/>
    <xf numFmtId="3" fontId="5" fillId="0" borderId="0" xfId="2" applyNumberFormat="1" applyFont="1" applyFill="1"/>
    <xf numFmtId="3" fontId="7" fillId="0" borderId="0" xfId="2" applyNumberFormat="1" applyBorder="1"/>
    <xf numFmtId="3" fontId="7" fillId="7" borderId="0" xfId="2" applyNumberFormat="1" applyFill="1" applyBorder="1"/>
    <xf numFmtId="2" fontId="7" fillId="0" borderId="0" xfId="2" applyNumberFormat="1" applyBorder="1"/>
    <xf numFmtId="3" fontId="7" fillId="16" borderId="0" xfId="2" applyNumberFormat="1" applyFill="1" applyBorder="1"/>
    <xf numFmtId="3" fontId="7" fillId="13" borderId="0" xfId="2" applyNumberFormat="1" applyFill="1"/>
    <xf numFmtId="0" fontId="9" fillId="0" borderId="0" xfId="2" applyFont="1" applyFill="1"/>
    <xf numFmtId="0" fontId="7" fillId="0" borderId="0" xfId="2" applyFill="1"/>
    <xf numFmtId="0" fontId="7" fillId="0" borderId="0" xfId="2" applyFill="1" applyAlignment="1">
      <alignment horizontal="right"/>
    </xf>
    <xf numFmtId="9" fontId="7" fillId="0" borderId="0" xfId="2" applyNumberFormat="1" applyFill="1"/>
    <xf numFmtId="165" fontId="0" fillId="0" borderId="0" xfId="6" applyFont="1" applyFill="1"/>
    <xf numFmtId="4" fontId="7" fillId="0" borderId="0" xfId="2" applyNumberFormat="1" applyFill="1"/>
    <xf numFmtId="0" fontId="7" fillId="11" borderId="0" xfId="2" applyFill="1" applyAlignment="1">
      <alignment horizontal="center"/>
    </xf>
    <xf numFmtId="0" fontId="7" fillId="6" borderId="0" xfId="2" applyFill="1"/>
    <xf numFmtId="4" fontId="7" fillId="6" borderId="0" xfId="2" applyNumberFormat="1" applyFill="1"/>
    <xf numFmtId="3" fontId="7" fillId="0" borderId="0" xfId="2" applyNumberFormat="1" applyFont="1"/>
    <xf numFmtId="9" fontId="7" fillId="0" borderId="0" xfId="2" applyNumberFormat="1"/>
    <xf numFmtId="165" fontId="0" fillId="0" borderId="0" xfId="6" applyFont="1"/>
    <xf numFmtId="178" fontId="7" fillId="0" borderId="0" xfId="2" applyNumberFormat="1"/>
    <xf numFmtId="165" fontId="7" fillId="0" borderId="0" xfId="2" applyNumberFormat="1"/>
    <xf numFmtId="0" fontId="7" fillId="6" borderId="0" xfId="2" applyFill="1" applyBorder="1"/>
    <xf numFmtId="166" fontId="7" fillId="6" borderId="0" xfId="2" applyNumberFormat="1" applyFill="1" applyBorder="1"/>
    <xf numFmtId="166" fontId="7" fillId="7" borderId="0" xfId="2" applyNumberFormat="1" applyFill="1" applyBorder="1"/>
    <xf numFmtId="166" fontId="7" fillId="0" borderId="0" xfId="2" applyNumberFormat="1" applyBorder="1"/>
    <xf numFmtId="166" fontId="9" fillId="0" borderId="0" xfId="2" applyNumberFormat="1" applyFont="1" applyBorder="1"/>
    <xf numFmtId="0" fontId="9" fillId="6" borderId="0" xfId="2" applyFont="1" applyFill="1" applyBorder="1"/>
    <xf numFmtId="166" fontId="9" fillId="6" borderId="0" xfId="2" applyNumberFormat="1" applyFont="1" applyFill="1" applyBorder="1"/>
    <xf numFmtId="0" fontId="8" fillId="0" borderId="0" xfId="2" applyFont="1" applyBorder="1" applyAlignment="1">
      <alignment wrapText="1"/>
    </xf>
    <xf numFmtId="166" fontId="7" fillId="14" borderId="0" xfId="2" applyNumberFormat="1" applyFill="1" applyBorder="1"/>
    <xf numFmtId="166" fontId="7" fillId="0" borderId="0" xfId="2" applyNumberFormat="1"/>
    <xf numFmtId="166" fontId="7" fillId="0" borderId="3" xfId="2" applyNumberFormat="1" applyBorder="1"/>
    <xf numFmtId="166" fontId="7" fillId="0" borderId="5" xfId="2" applyNumberFormat="1" applyBorder="1"/>
    <xf numFmtId="0" fontId="7" fillId="0" borderId="6" xfId="2" applyBorder="1"/>
    <xf numFmtId="166" fontId="7" fillId="0" borderId="8" xfId="2" applyNumberFormat="1" applyBorder="1"/>
    <xf numFmtId="0" fontId="9" fillId="0" borderId="9" xfId="2" applyFont="1" applyBorder="1" applyAlignment="1">
      <alignment vertical="top" wrapText="1"/>
    </xf>
    <xf numFmtId="0" fontId="9" fillId="0" borderId="10" xfId="2" applyFont="1" applyBorder="1" applyAlignment="1">
      <alignment vertical="top" wrapText="1"/>
    </xf>
    <xf numFmtId="0" fontId="9" fillId="0" borderId="11" xfId="2" applyFont="1" applyBorder="1" applyAlignment="1">
      <alignment vertical="top" wrapText="1"/>
    </xf>
    <xf numFmtId="0" fontId="9" fillId="0" borderId="8" xfId="2" applyFont="1" applyBorder="1" applyAlignment="1">
      <alignment vertical="top" wrapText="1"/>
    </xf>
    <xf numFmtId="0" fontId="9" fillId="0" borderId="27" xfId="2" applyFont="1" applyBorder="1" applyAlignment="1">
      <alignment vertical="top" wrapText="1"/>
    </xf>
    <xf numFmtId="179" fontId="9" fillId="0" borderId="8" xfId="2" applyNumberFormat="1" applyFont="1" applyBorder="1" applyAlignment="1">
      <alignment vertical="top" wrapText="1"/>
    </xf>
    <xf numFmtId="0" fontId="9" fillId="0" borderId="8" xfId="2" applyNumberFormat="1" applyFont="1" applyBorder="1" applyAlignment="1">
      <alignment vertical="top" wrapText="1"/>
    </xf>
    <xf numFmtId="9" fontId="9" fillId="0" borderId="8" xfId="2" applyNumberFormat="1" applyFont="1" applyBorder="1" applyAlignment="1">
      <alignment vertical="top" wrapText="1"/>
    </xf>
    <xf numFmtId="0" fontId="9" fillId="0" borderId="0" xfId="2" applyFont="1" applyFill="1" applyBorder="1" applyAlignment="1">
      <alignment vertical="top" wrapText="1"/>
    </xf>
    <xf numFmtId="179" fontId="9" fillId="0" borderId="0" xfId="2" applyNumberFormat="1" applyFont="1"/>
    <xf numFmtId="166" fontId="9" fillId="0" borderId="0" xfId="2" applyNumberFormat="1" applyFont="1"/>
    <xf numFmtId="166" fontId="9" fillId="0" borderId="3" xfId="2" applyNumberFormat="1" applyFont="1" applyBorder="1"/>
    <xf numFmtId="180" fontId="9" fillId="0" borderId="5" xfId="2" applyNumberFormat="1" applyFont="1" applyBorder="1"/>
    <xf numFmtId="166" fontId="9" fillId="0" borderId="5" xfId="2" applyNumberFormat="1" applyFont="1" applyBorder="1"/>
    <xf numFmtId="0" fontId="9" fillId="0" borderId="5" xfId="2" applyFont="1" applyBorder="1"/>
    <xf numFmtId="181" fontId="9" fillId="0" borderId="5" xfId="2" applyNumberFormat="1" applyFont="1" applyBorder="1"/>
    <xf numFmtId="166" fontId="9" fillId="0" borderId="8" xfId="2" applyNumberFormat="1" applyFont="1" applyBorder="1"/>
    <xf numFmtId="181" fontId="7" fillId="0" borderId="5" xfId="2" applyNumberFormat="1" applyBorder="1"/>
    <xf numFmtId="9" fontId="7" fillId="0" borderId="5" xfId="2" applyNumberFormat="1" applyBorder="1"/>
    <xf numFmtId="166" fontId="7" fillId="7" borderId="0" xfId="2" applyNumberFormat="1" applyFill="1"/>
    <xf numFmtId="180" fontId="7" fillId="0" borderId="0" xfId="2" applyNumberFormat="1"/>
    <xf numFmtId="0" fontId="10" fillId="17" borderId="0" xfId="2" applyFont="1" applyFill="1"/>
    <xf numFmtId="182" fontId="10" fillId="17" borderId="0" xfId="2" applyNumberFormat="1" applyFont="1" applyFill="1" applyAlignment="1">
      <alignment horizontal="center"/>
    </xf>
    <xf numFmtId="0" fontId="10" fillId="17" borderId="0" xfId="2" applyFont="1" applyFill="1" applyAlignment="1">
      <alignment horizontal="center"/>
    </xf>
    <xf numFmtId="182" fontId="0" fillId="0" borderId="0" xfId="7" applyNumberFormat="1" applyFont="1" applyAlignment="1">
      <alignment horizontal="center"/>
    </xf>
    <xf numFmtId="174" fontId="0" fillId="0" borderId="0" xfId="7" applyNumberFormat="1" applyFont="1"/>
    <xf numFmtId="168" fontId="0" fillId="0" borderId="0" xfId="6" applyNumberFormat="1" applyFont="1"/>
    <xf numFmtId="0" fontId="7" fillId="17" borderId="0" xfId="2" applyFill="1"/>
    <xf numFmtId="182" fontId="0" fillId="17" borderId="0" xfId="7" applyNumberFormat="1" applyFont="1" applyFill="1" applyAlignment="1">
      <alignment horizontal="center"/>
    </xf>
    <xf numFmtId="181" fontId="7" fillId="0" borderId="0" xfId="2" applyNumberFormat="1"/>
    <xf numFmtId="174" fontId="4" fillId="0" borderId="0" xfId="7" applyNumberFormat="1" applyFont="1" applyBorder="1" applyAlignment="1">
      <alignment vertical="top" wrapText="1"/>
    </xf>
    <xf numFmtId="0" fontId="4" fillId="0" borderId="0" xfId="2" applyFont="1" applyFill="1" applyBorder="1" applyAlignment="1">
      <alignment vertical="top" wrapText="1"/>
    </xf>
    <xf numFmtId="183" fontId="0" fillId="0" borderId="0" xfId="6" applyNumberFormat="1" applyFont="1"/>
    <xf numFmtId="0" fontId="19" fillId="18" borderId="0" xfId="0" applyFont="1" applyFill="1" applyBorder="1"/>
    <xf numFmtId="0" fontId="20" fillId="18" borderId="0" xfId="0" applyFont="1" applyFill="1" applyBorder="1" applyAlignment="1">
      <alignment horizontal="right"/>
    </xf>
    <xf numFmtId="3" fontId="0" fillId="0" borderId="0" xfId="0" applyNumberFormat="1" applyBorder="1"/>
    <xf numFmtId="0" fontId="5" fillId="19" borderId="0" xfId="0" applyFont="1" applyFill="1" applyBorder="1"/>
    <xf numFmtId="3" fontId="5" fillId="19" borderId="0" xfId="0" applyNumberFormat="1" applyFont="1" applyFill="1" applyBorder="1"/>
    <xf numFmtId="3" fontId="0" fillId="0" borderId="0" xfId="0" applyNumberFormat="1"/>
    <xf numFmtId="0" fontId="20" fillId="18" borderId="0" xfId="0" applyFont="1" applyFill="1"/>
    <xf numFmtId="0" fontId="20" fillId="18" borderId="0" xfId="0" applyFont="1" applyFill="1" applyAlignment="1">
      <alignment horizontal="right"/>
    </xf>
    <xf numFmtId="0" fontId="19" fillId="18" borderId="0" xfId="0" applyFont="1" applyFill="1" applyBorder="1" applyAlignment="1">
      <alignment horizontal="right"/>
    </xf>
    <xf numFmtId="177" fontId="0" fillId="0" borderId="0" xfId="0" applyNumberFormat="1"/>
    <xf numFmtId="177" fontId="0" fillId="9" borderId="0" xfId="0" applyNumberFormat="1" applyFill="1" applyBorder="1"/>
    <xf numFmtId="177" fontId="5" fillId="19" borderId="0" xfId="0" applyNumberFormat="1" applyFont="1" applyFill="1" applyBorder="1"/>
    <xf numFmtId="177" fontId="0" fillId="0" borderId="0" xfId="0" applyNumberFormat="1" applyBorder="1"/>
    <xf numFmtId="177" fontId="5" fillId="0" borderId="0" xfId="0" applyNumberFormat="1" applyFont="1" applyBorder="1"/>
    <xf numFmtId="164" fontId="5" fillId="0" borderId="0" xfId="8" applyFont="1"/>
    <xf numFmtId="0" fontId="21" fillId="18" borderId="0" xfId="0" applyFont="1" applyFill="1" applyBorder="1" applyAlignment="1">
      <alignment horizontal="center" vertical="top" wrapText="1"/>
    </xf>
    <xf numFmtId="184" fontId="4" fillId="0" borderId="0" xfId="0" applyNumberFormat="1" applyFont="1" applyBorder="1" applyAlignment="1">
      <alignment horizontal="center" vertical="top" wrapText="1"/>
    </xf>
    <xf numFmtId="0" fontId="4" fillId="19" borderId="28" xfId="0" applyFont="1" applyFill="1" applyBorder="1" applyAlignment="1">
      <alignment vertical="top" wrapText="1"/>
    </xf>
    <xf numFmtId="184" fontId="4" fillId="19" borderId="28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184" fontId="1" fillId="0" borderId="0" xfId="0" applyNumberFormat="1" applyFont="1" applyBorder="1" applyAlignment="1">
      <alignment horizontal="center"/>
    </xf>
    <xf numFmtId="0" fontId="1" fillId="19" borderId="28" xfId="0" applyFont="1" applyFill="1" applyBorder="1" applyAlignment="1">
      <alignment vertical="top" wrapText="1"/>
    </xf>
    <xf numFmtId="184" fontId="1" fillId="19" borderId="28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84" fontId="0" fillId="0" borderId="0" xfId="0" applyNumberFormat="1"/>
    <xf numFmtId="0" fontId="4" fillId="0" borderId="29" xfId="0" applyFont="1" applyBorder="1" applyAlignment="1">
      <alignment vertical="top" wrapText="1"/>
    </xf>
    <xf numFmtId="0" fontId="4" fillId="0" borderId="30" xfId="0" applyFont="1" applyBorder="1" applyAlignment="1">
      <alignment horizontal="center" vertical="top" wrapText="1"/>
    </xf>
    <xf numFmtId="0" fontId="4" fillId="0" borderId="31" xfId="0" applyFont="1" applyBorder="1" applyAlignment="1">
      <alignment vertical="top" wrapText="1"/>
    </xf>
    <xf numFmtId="0" fontId="4" fillId="0" borderId="32" xfId="0" applyFont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0" fillId="0" borderId="9" xfId="0" applyBorder="1" applyAlignment="1">
      <alignment horizontal="right"/>
    </xf>
    <xf numFmtId="185" fontId="2" fillId="0" borderId="9" xfId="0" applyNumberFormat="1" applyFont="1" applyBorder="1"/>
    <xf numFmtId="0" fontId="2" fillId="0" borderId="9" xfId="0" applyFont="1" applyBorder="1"/>
    <xf numFmtId="0" fontId="22" fillId="0" borderId="33" xfId="0" applyFont="1" applyBorder="1" applyAlignment="1">
      <alignment vertical="top" wrapText="1"/>
    </xf>
    <xf numFmtId="0" fontId="22" fillId="0" borderId="34" xfId="0" applyFont="1" applyBorder="1" applyAlignment="1">
      <alignment vertical="top" wrapText="1"/>
    </xf>
    <xf numFmtId="0" fontId="22" fillId="0" borderId="35" xfId="0" applyFont="1" applyBorder="1" applyAlignment="1">
      <alignment vertical="top" wrapText="1"/>
    </xf>
    <xf numFmtId="0" fontId="22" fillId="0" borderId="36" xfId="0" applyFont="1" applyBorder="1" applyAlignment="1">
      <alignment vertical="top" wrapText="1"/>
    </xf>
    <xf numFmtId="0" fontId="11" fillId="0" borderId="0" xfId="2" applyFont="1"/>
    <xf numFmtId="172" fontId="7" fillId="0" borderId="0" xfId="2" applyNumberFormat="1" applyFont="1" applyAlignment="1">
      <alignment horizontal="right"/>
    </xf>
    <xf numFmtId="0" fontId="7" fillId="0" borderId="0" xfId="2" applyFont="1" applyAlignment="1">
      <alignment horizontal="right"/>
    </xf>
    <xf numFmtId="172" fontId="7" fillId="3" borderId="0" xfId="2" applyNumberFormat="1" applyFont="1" applyFill="1" applyAlignment="1">
      <alignment horizontal="right"/>
    </xf>
    <xf numFmtId="0" fontId="7" fillId="0" borderId="0" xfId="2" applyFont="1"/>
    <xf numFmtId="172" fontId="7" fillId="3" borderId="0" xfId="2" applyNumberFormat="1" applyFont="1" applyFill="1"/>
    <xf numFmtId="167" fontId="7" fillId="0" borderId="0" xfId="2" applyNumberFormat="1" applyFont="1"/>
    <xf numFmtId="172" fontId="7" fillId="0" borderId="0" xfId="2" applyNumberFormat="1"/>
    <xf numFmtId="0" fontId="11" fillId="0" borderId="0" xfId="2" applyFont="1" applyFill="1"/>
    <xf numFmtId="172" fontId="11" fillId="0" borderId="0" xfId="2" applyNumberFormat="1" applyFont="1" applyFill="1"/>
    <xf numFmtId="172" fontId="7" fillId="0" borderId="0" xfId="2" applyNumberFormat="1" applyFont="1"/>
    <xf numFmtId="0" fontId="7" fillId="0" borderId="0" xfId="2" applyAlignment="1">
      <alignment horizontal="center"/>
    </xf>
    <xf numFmtId="0" fontId="7" fillId="11" borderId="0" xfId="2" applyFill="1" applyAlignment="1">
      <alignment horizontal="center"/>
    </xf>
    <xf numFmtId="174" fontId="4" fillId="0" borderId="0" xfId="7" applyNumberFormat="1" applyFont="1" applyBorder="1" applyAlignment="1">
      <alignment horizontal="center" vertical="top" wrapText="1"/>
    </xf>
  </cellXfs>
  <cellStyles count="9">
    <cellStyle name="Moeda" xfId="8" builtinId="4"/>
    <cellStyle name="Moeda 2" xfId="4"/>
    <cellStyle name="Moeda 3" xfId="7"/>
    <cellStyle name="Normal" xfId="0" builtinId="0"/>
    <cellStyle name="Normal 2" xfId="2"/>
    <cellStyle name="Porcentagem 2" xfId="5"/>
    <cellStyle name="Separador de milhares 2" xfId="1"/>
    <cellStyle name="Separador de milhares 3" xfId="3"/>
    <cellStyle name="Separador de milhares 4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224790</xdr:colOff>
      <xdr:row>32</xdr:row>
      <xdr:rowOff>123825</xdr:rowOff>
    </xdr:from>
    <xdr:to>
      <xdr:col>5</xdr:col>
      <xdr:colOff>261014</xdr:colOff>
      <xdr:row>35</xdr:row>
      <xdr:rowOff>57150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4652010" y="5671185"/>
          <a:ext cx="1202084" cy="436245"/>
        </a:xfrm>
        <a:prstGeom prst="wedgeRectCallout">
          <a:avLst>
            <a:gd name="adj1" fmla="val -75773"/>
            <a:gd name="adj2" fmla="val -31819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/>
            </a:rPr>
            <a:t>dividido pela quantidade do pedido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160020</xdr:colOff>
      <xdr:row>6</xdr:row>
      <xdr:rowOff>30480</xdr:rowOff>
    </xdr:from>
    <xdr:to>
      <xdr:col>6</xdr:col>
      <xdr:colOff>388620</xdr:colOff>
      <xdr:row>8</xdr:row>
      <xdr:rowOff>129540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6713220" y="990600"/>
          <a:ext cx="960120" cy="419100"/>
        </a:xfrm>
        <a:prstGeom prst="wedgeRectCallout">
          <a:avLst>
            <a:gd name="adj1" fmla="val -63759"/>
            <a:gd name="adj2" fmla="val 3695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considerando o o volume de 24000 +12000</a:t>
          </a:r>
        </a:p>
      </xdr:txBody>
    </xdr:sp>
    <xdr:clientData/>
  </xdr:twoCellAnchor>
  <xdr:twoCellAnchor>
    <xdr:from>
      <xdr:col>0</xdr:col>
      <xdr:colOff>1562100</xdr:colOff>
      <xdr:row>12</xdr:row>
      <xdr:rowOff>99060</xdr:rowOff>
    </xdr:from>
    <xdr:to>
      <xdr:col>2</xdr:col>
      <xdr:colOff>76200</xdr:colOff>
      <xdr:row>14</xdr:row>
      <xdr:rowOff>68580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1562100" y="2377440"/>
          <a:ext cx="1417320" cy="647700"/>
        </a:xfrm>
        <a:prstGeom prst="wedgeRectCallout">
          <a:avLst>
            <a:gd name="adj1" fmla="val 30074"/>
            <a:gd name="adj2" fmla="val -82431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preço - impostos - custos variáveis - comissões</a:t>
          </a:r>
        </a:p>
      </xdr:txBody>
    </xdr:sp>
    <xdr:clientData/>
  </xdr:twoCellAnchor>
  <xdr:twoCellAnchor>
    <xdr:from>
      <xdr:col>5</xdr:col>
      <xdr:colOff>144780</xdr:colOff>
      <xdr:row>10</xdr:row>
      <xdr:rowOff>152400</xdr:rowOff>
    </xdr:from>
    <xdr:to>
      <xdr:col>6</xdr:col>
      <xdr:colOff>631372</xdr:colOff>
      <xdr:row>12</xdr:row>
      <xdr:rowOff>38100</xdr:rowOff>
    </xdr:to>
    <xdr:sp macro="" textlink="">
      <xdr:nvSpPr>
        <xdr:cNvPr id="4" name="AutoShape 3"/>
        <xdr:cNvSpPr>
          <a:spLocks noChangeArrowheads="1"/>
        </xdr:cNvSpPr>
      </xdr:nvSpPr>
      <xdr:spPr bwMode="auto">
        <a:xfrm>
          <a:off x="6697980" y="1752600"/>
          <a:ext cx="1218112" cy="563880"/>
        </a:xfrm>
        <a:prstGeom prst="wedgeRectCallout">
          <a:avLst>
            <a:gd name="adj1" fmla="val -58972"/>
            <a:gd name="adj2" fmla="val 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preço - custos variáveis - comissões -frete e seguro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408940</xdr:colOff>
      <xdr:row>22</xdr:row>
      <xdr:rowOff>64770</xdr:rowOff>
    </xdr:from>
    <xdr:to>
      <xdr:col>5</xdr:col>
      <xdr:colOff>355600</xdr:colOff>
      <xdr:row>24</xdr:row>
      <xdr:rowOff>6350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171190" y="3836670"/>
          <a:ext cx="1794510" cy="2844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pt-BR" sz="10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PEE = CDF/(MC-0.3p)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showGridLines="0" tabSelected="1" zoomScale="150" zoomScaleNormal="150" zoomScalePageLayoutView="150" workbookViewId="0">
      <selection activeCell="B19" sqref="B19"/>
    </sheetView>
  </sheetViews>
  <sheetFormatPr defaultColWidth="13.36328125" defaultRowHeight="13.5"/>
  <cols>
    <col min="1" max="1" width="49.81640625" style="11" bestFit="1" customWidth="1"/>
    <col min="2" max="2" width="13.453125" style="11" bestFit="1" customWidth="1"/>
    <col min="3" max="16384" width="13.36328125" style="11"/>
  </cols>
  <sheetData>
    <row r="1" spans="1:2">
      <c r="A1" s="9" t="s">
        <v>22</v>
      </c>
      <c r="B1" s="10">
        <v>80000</v>
      </c>
    </row>
    <row r="2" spans="1:2">
      <c r="A2" s="12" t="s">
        <v>23</v>
      </c>
      <c r="B2" s="13">
        <v>800000</v>
      </c>
    </row>
    <row r="3" spans="1:2">
      <c r="A3" s="12" t="s">
        <v>24</v>
      </c>
      <c r="B3" s="13">
        <v>40000</v>
      </c>
    </row>
    <row r="4" spans="1:2">
      <c r="A4" s="12" t="s">
        <v>25</v>
      </c>
      <c r="B4" s="13">
        <v>120000</v>
      </c>
    </row>
    <row r="5" spans="1:2">
      <c r="A5" s="12" t="s">
        <v>26</v>
      </c>
      <c r="B5" s="13">
        <v>300000</v>
      </c>
    </row>
    <row r="6" spans="1:2">
      <c r="A6" s="12" t="s">
        <v>27</v>
      </c>
      <c r="B6" s="13">
        <v>20000</v>
      </c>
    </row>
    <row r="7" spans="1:2" ht="14" thickBot="1">
      <c r="A7" s="14" t="s">
        <v>28</v>
      </c>
      <c r="B7" s="15">
        <v>10000</v>
      </c>
    </row>
    <row r="9" spans="1:2">
      <c r="A9" s="16" t="s">
        <v>10</v>
      </c>
      <c r="B9" s="16"/>
    </row>
    <row r="10" spans="1:2">
      <c r="A10" s="11" t="s">
        <v>29</v>
      </c>
      <c r="B10" s="17">
        <f>B1+B3</f>
        <v>120000</v>
      </c>
    </row>
    <row r="11" spans="1:2">
      <c r="A11" s="11" t="s">
        <v>30</v>
      </c>
    </row>
    <row r="12" spans="1:2">
      <c r="A12" s="18" t="s">
        <v>31</v>
      </c>
      <c r="B12" s="19">
        <f>0.05*B2</f>
        <v>40000</v>
      </c>
    </row>
    <row r="13" spans="1:2">
      <c r="A13" s="18" t="s">
        <v>32</v>
      </c>
      <c r="B13" s="19">
        <f>0.1*B5</f>
        <v>30000</v>
      </c>
    </row>
    <row r="14" spans="1:2">
      <c r="A14" s="11" t="s">
        <v>33</v>
      </c>
      <c r="B14" s="17">
        <f>0.4*B4</f>
        <v>48000</v>
      </c>
    </row>
    <row r="15" spans="1:2">
      <c r="A15" s="16" t="s">
        <v>34</v>
      </c>
      <c r="B15" s="20">
        <f>SUM(B10:B14)</f>
        <v>238000</v>
      </c>
    </row>
    <row r="16" spans="1:2">
      <c r="A16" s="11" t="s">
        <v>4</v>
      </c>
    </row>
    <row r="17" spans="1:2">
      <c r="A17" s="11" t="s">
        <v>35</v>
      </c>
      <c r="B17" s="17">
        <f>B6</f>
        <v>20000</v>
      </c>
    </row>
    <row r="18" spans="1:2">
      <c r="A18" s="11" t="s">
        <v>30</v>
      </c>
      <c r="B18" s="21">
        <f>0.1*B7</f>
        <v>1000</v>
      </c>
    </row>
    <row r="19" spans="1:2">
      <c r="A19" s="11" t="s">
        <v>36</v>
      </c>
      <c r="B19" s="17">
        <f>SUM(B17:B18)</f>
        <v>21000</v>
      </c>
    </row>
    <row r="20" spans="1:2">
      <c r="A20" s="16" t="s">
        <v>37</v>
      </c>
      <c r="B20" s="20">
        <f>B15+B19</f>
        <v>259000</v>
      </c>
    </row>
    <row r="22" spans="1:2">
      <c r="A22" s="16" t="s">
        <v>38</v>
      </c>
      <c r="B22" s="22">
        <f>B15/120</f>
        <v>1983.3333333333333</v>
      </c>
    </row>
    <row r="23" spans="1:2">
      <c r="A23" s="16" t="s">
        <v>39</v>
      </c>
      <c r="B23" s="22">
        <f>B20/120</f>
        <v>2158.3333333333335</v>
      </c>
    </row>
  </sheetData>
  <pageMargins left="0.78740157499999996" right="0.78740157499999996" top="0.984251969" bottom="0.984251969" header="0.5" footer="0.5"/>
  <pageSetup paperSize="0" orientation="portrait" horizontalDpi="4294967292" verticalDpi="429496729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showGridLines="0" workbookViewId="0">
      <selection activeCell="C15" sqref="C15"/>
    </sheetView>
  </sheetViews>
  <sheetFormatPr defaultColWidth="8.81640625" defaultRowHeight="13.5"/>
  <cols>
    <col min="1" max="1" width="25.81640625" style="11" bestFit="1" customWidth="1"/>
    <col min="2" max="4" width="13.81640625" style="11" bestFit="1" customWidth="1"/>
    <col min="5" max="5" width="10.81640625" style="11" bestFit="1" customWidth="1"/>
    <col min="6" max="6" width="13.453125" style="11" bestFit="1" customWidth="1"/>
    <col min="7" max="7" width="13" style="11" bestFit="1" customWidth="1"/>
    <col min="8" max="8" width="13.36328125" style="11" bestFit="1" customWidth="1"/>
    <col min="9" max="16384" width="8.81640625" style="11"/>
  </cols>
  <sheetData>
    <row r="1" spans="1:5">
      <c r="A1" s="159"/>
      <c r="B1" s="160" t="s">
        <v>175</v>
      </c>
      <c r="C1" s="160" t="s">
        <v>97</v>
      </c>
      <c r="D1" s="160" t="s">
        <v>168</v>
      </c>
      <c r="E1" s="143"/>
    </row>
    <row r="2" spans="1:5">
      <c r="A2" s="161" t="s">
        <v>188</v>
      </c>
      <c r="B2" s="162">
        <v>2000</v>
      </c>
      <c r="C2" s="162">
        <v>2000</v>
      </c>
      <c r="D2" s="162">
        <v>2000</v>
      </c>
      <c r="E2" s="143"/>
    </row>
    <row r="3" spans="1:5">
      <c r="A3" s="161" t="s">
        <v>189</v>
      </c>
      <c r="B3" s="64">
        <v>3500</v>
      </c>
      <c r="C3" s="64">
        <v>0</v>
      </c>
      <c r="D3" s="64">
        <v>0</v>
      </c>
      <c r="E3" s="143"/>
    </row>
    <row r="4" spans="1:5">
      <c r="A4" s="161" t="s">
        <v>190</v>
      </c>
      <c r="B4" s="162">
        <v>20000</v>
      </c>
      <c r="C4" s="162">
        <v>20000</v>
      </c>
      <c r="D4" s="162">
        <v>20000</v>
      </c>
      <c r="E4" s="143"/>
    </row>
    <row r="5" spans="1:5">
      <c r="A5" s="161" t="s">
        <v>191</v>
      </c>
      <c r="B5" s="64">
        <v>42700</v>
      </c>
      <c r="C5" s="64">
        <v>25200</v>
      </c>
      <c r="D5" s="64">
        <v>51800</v>
      </c>
      <c r="E5" s="143"/>
    </row>
    <row r="6" spans="1:5">
      <c r="A6" s="161" t="s">
        <v>178</v>
      </c>
      <c r="B6" s="162">
        <v>16000</v>
      </c>
      <c r="C6" s="162">
        <v>16000</v>
      </c>
      <c r="D6" s="162">
        <v>16000</v>
      </c>
      <c r="E6" s="143"/>
    </row>
    <row r="7" spans="1:5">
      <c r="A7" s="161" t="s">
        <v>179</v>
      </c>
      <c r="B7" s="41">
        <f>B2+B4-B6</f>
        <v>6000</v>
      </c>
      <c r="C7" s="41">
        <f>C2+C4-C6</f>
        <v>6000</v>
      </c>
      <c r="D7" s="41">
        <f>D2+D4-D6</f>
        <v>6000</v>
      </c>
      <c r="E7" s="143"/>
    </row>
    <row r="8" spans="1:5">
      <c r="A8" s="161" t="s">
        <v>180</v>
      </c>
      <c r="B8" s="163">
        <v>1</v>
      </c>
      <c r="C8" s="163">
        <v>0.6</v>
      </c>
      <c r="D8" s="163">
        <v>0.6</v>
      </c>
      <c r="E8" s="143"/>
    </row>
    <row r="9" spans="1:5">
      <c r="A9" s="164" t="s">
        <v>174</v>
      </c>
      <c r="B9" s="165">
        <f>B6+B8*B7</f>
        <v>22000</v>
      </c>
      <c r="C9" s="165">
        <f>C6+C8*C7</f>
        <v>19600</v>
      </c>
      <c r="D9" s="165">
        <f>D6+D8*D7</f>
        <v>19600</v>
      </c>
      <c r="E9" s="143"/>
    </row>
    <row r="10" spans="1:5">
      <c r="A10" s="159" t="s">
        <v>132</v>
      </c>
      <c r="B10" s="166">
        <f>(B3+B5)/B9</f>
        <v>2.1</v>
      </c>
      <c r="C10" s="166">
        <f>(C3+C5)/C9</f>
        <v>1.2857142857142858</v>
      </c>
      <c r="D10" s="166">
        <f>(D3+D5)/D9</f>
        <v>2.6428571428571428</v>
      </c>
      <c r="E10" s="166">
        <f>SUM(B10:D10)</f>
        <v>6.0285714285714285</v>
      </c>
    </row>
  </sheetData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1"/>
  <sheetViews>
    <sheetView topLeftCell="A7" zoomScale="120" zoomScaleNormal="120" zoomScalePageLayoutView="120" workbookViewId="0">
      <selection activeCell="B30" sqref="B30"/>
    </sheetView>
  </sheetViews>
  <sheetFormatPr defaultColWidth="11.453125" defaultRowHeight="12.5"/>
  <cols>
    <col min="2" max="2" width="14.1796875" bestFit="1" customWidth="1"/>
  </cols>
  <sheetData>
    <row r="3" spans="1:6" ht="13">
      <c r="A3" s="323"/>
      <c r="B3" s="324" t="s">
        <v>416</v>
      </c>
      <c r="C3" s="324" t="s">
        <v>150</v>
      </c>
      <c r="D3" s="324" t="s">
        <v>417</v>
      </c>
      <c r="E3" s="324" t="s">
        <v>418</v>
      </c>
      <c r="F3" s="324" t="s">
        <v>19</v>
      </c>
    </row>
    <row r="4" spans="1:6">
      <c r="A4" s="1" t="s">
        <v>419</v>
      </c>
      <c r="B4" s="325">
        <v>1100</v>
      </c>
      <c r="C4" s="325">
        <v>955</v>
      </c>
      <c r="D4" s="325">
        <v>170</v>
      </c>
      <c r="E4" s="325">
        <v>275</v>
      </c>
      <c r="F4" s="325">
        <f>SUM(B4:E4)</f>
        <v>2500</v>
      </c>
    </row>
    <row r="5" spans="1:6">
      <c r="A5" s="1" t="s">
        <v>420</v>
      </c>
      <c r="B5" s="325">
        <v>17000</v>
      </c>
      <c r="C5" s="325">
        <v>14280</v>
      </c>
      <c r="D5" s="325">
        <v>1700</v>
      </c>
      <c r="E5" s="325">
        <v>1020</v>
      </c>
      <c r="F5" s="325">
        <f>SUM(B5:E5)</f>
        <v>34000</v>
      </c>
    </row>
    <row r="6" spans="1:6">
      <c r="A6" s="1" t="s">
        <v>421</v>
      </c>
      <c r="B6" s="325">
        <v>24000</v>
      </c>
      <c r="C6" s="325">
        <v>12000</v>
      </c>
      <c r="D6" s="325">
        <v>2000</v>
      </c>
      <c r="E6" s="325">
        <v>2000</v>
      </c>
      <c r="F6" s="325">
        <f>SUM(B6:E6)</f>
        <v>40000</v>
      </c>
    </row>
    <row r="7" spans="1:6">
      <c r="A7" s="1" t="s">
        <v>422</v>
      </c>
      <c r="B7" s="1">
        <v>12</v>
      </c>
      <c r="C7" s="1">
        <v>12</v>
      </c>
      <c r="D7" s="1">
        <v>6</v>
      </c>
      <c r="E7" s="1">
        <v>6</v>
      </c>
      <c r="F7" s="1"/>
    </row>
    <row r="8" spans="1:6">
      <c r="A8" s="1"/>
      <c r="B8" s="1"/>
      <c r="C8" s="1"/>
      <c r="D8" s="1"/>
      <c r="E8" s="1"/>
      <c r="F8" s="1"/>
    </row>
    <row r="9" spans="1:6">
      <c r="A9" s="1" t="s">
        <v>204</v>
      </c>
      <c r="B9" s="325">
        <f>B4/$F$4*$F$9</f>
        <v>3740</v>
      </c>
      <c r="C9" s="325">
        <f>C4/$F$4*$F$9</f>
        <v>3247</v>
      </c>
      <c r="D9" s="325">
        <f>D4/$F$4*$F$9</f>
        <v>578</v>
      </c>
      <c r="E9" s="325">
        <f>E4/$F$4*$F$9</f>
        <v>935</v>
      </c>
      <c r="F9" s="325">
        <v>8500</v>
      </c>
    </row>
    <row r="10" spans="1:6">
      <c r="A10" s="1" t="s">
        <v>423</v>
      </c>
      <c r="B10" s="325">
        <f>B6/$F$6*$F10</f>
        <v>3120</v>
      </c>
      <c r="C10" s="325">
        <f>C6/$F$6*$F10</f>
        <v>1560</v>
      </c>
      <c r="D10" s="325">
        <f>D6/$F$6*$F10</f>
        <v>260</v>
      </c>
      <c r="E10" s="325">
        <f>E6/$F$6*$F10</f>
        <v>260</v>
      </c>
      <c r="F10" s="325">
        <v>5200</v>
      </c>
    </row>
    <row r="11" spans="1:6">
      <c r="A11" s="1" t="s">
        <v>30</v>
      </c>
      <c r="B11" s="325">
        <f>B6/$F$6*$F$11</f>
        <v>2832</v>
      </c>
      <c r="C11" s="325">
        <f>C6/$F$6*$F$11</f>
        <v>1416</v>
      </c>
      <c r="D11" s="325">
        <f>D6/$F$6*$F$11</f>
        <v>236</v>
      </c>
      <c r="E11" s="325">
        <f>E6/$F$6*$F$11</f>
        <v>236</v>
      </c>
      <c r="F11" s="325">
        <v>4720</v>
      </c>
    </row>
    <row r="12" spans="1:6">
      <c r="A12" s="1" t="s">
        <v>127</v>
      </c>
      <c r="B12" s="325">
        <f>B5/$F$5*$F$12</f>
        <v>3650</v>
      </c>
      <c r="C12" s="325">
        <f>C5/$F$5*$F$12</f>
        <v>3066</v>
      </c>
      <c r="D12" s="325">
        <f>D5/$F$5*$F$12</f>
        <v>365</v>
      </c>
      <c r="E12" s="325">
        <f>E5/$F$5*$F$12</f>
        <v>219</v>
      </c>
      <c r="F12" s="325">
        <v>7300</v>
      </c>
    </row>
    <row r="13" spans="1:6">
      <c r="A13" s="1" t="s">
        <v>119</v>
      </c>
      <c r="B13" s="325">
        <f>B6/$F$6*$F$13</f>
        <v>3960</v>
      </c>
      <c r="C13" s="325">
        <f>C6/$F$6*$F$13</f>
        <v>1980</v>
      </c>
      <c r="D13" s="325">
        <f>D6/$F$6*$F$13</f>
        <v>330</v>
      </c>
      <c r="E13" s="325">
        <f>E6/$F$6*$F$13</f>
        <v>330</v>
      </c>
      <c r="F13" s="325">
        <v>6600</v>
      </c>
    </row>
    <row r="14" spans="1:6" ht="13">
      <c r="A14" s="326" t="s">
        <v>236</v>
      </c>
      <c r="B14" s="327">
        <f>SUM(B9:B13)</f>
        <v>17302</v>
      </c>
      <c r="C14" s="327">
        <f>SUM(C9:C13)</f>
        <v>11269</v>
      </c>
      <c r="D14" s="327">
        <f>SUM(D9:D13)</f>
        <v>1769</v>
      </c>
      <c r="E14" s="327">
        <f>SUM(E9:E13)</f>
        <v>1980</v>
      </c>
      <c r="F14" s="327">
        <f>SUM(F9:F13)</f>
        <v>32320</v>
      </c>
    </row>
    <row r="15" spans="1:6">
      <c r="A15" s="1" t="s">
        <v>424</v>
      </c>
      <c r="B15" s="325">
        <f>B7/(B7+C7+D7)*E14</f>
        <v>792</v>
      </c>
      <c r="C15" s="325">
        <f>C7/(B7+C7+D7)*E14</f>
        <v>792</v>
      </c>
      <c r="D15" s="325">
        <f>D7/(D7+C7+B7)*E14</f>
        <v>396</v>
      </c>
      <c r="E15" s="325"/>
      <c r="F15" s="325"/>
    </row>
    <row r="16" spans="1:6" ht="13">
      <c r="A16" s="326" t="s">
        <v>425</v>
      </c>
      <c r="B16" s="327">
        <f>B15+B14</f>
        <v>18094</v>
      </c>
      <c r="C16" s="327">
        <f>C15+C14</f>
        <v>12061</v>
      </c>
      <c r="D16" s="327">
        <f>D15+D14</f>
        <v>2165</v>
      </c>
      <c r="E16" s="325"/>
      <c r="F16" s="325"/>
    </row>
    <row r="17" spans="1:6">
      <c r="A17" s="1" t="s">
        <v>426</v>
      </c>
      <c r="B17" s="325">
        <f>0.8*D16</f>
        <v>1732</v>
      </c>
      <c r="C17" s="325">
        <f>0.2*D16</f>
        <v>433</v>
      </c>
      <c r="D17" s="325"/>
      <c r="E17" s="325"/>
      <c r="F17" s="325"/>
    </row>
    <row r="18" spans="1:6" ht="13">
      <c r="A18" s="326" t="s">
        <v>427</v>
      </c>
      <c r="B18" s="327">
        <f>B16+B17</f>
        <v>19826</v>
      </c>
      <c r="C18" s="327">
        <f>C16+C17</f>
        <v>12494</v>
      </c>
      <c r="D18" s="325"/>
      <c r="E18" s="325"/>
      <c r="F18" s="325"/>
    </row>
    <row r="20" spans="1:6" ht="13">
      <c r="A20" s="8"/>
      <c r="B20" s="8" t="s">
        <v>428</v>
      </c>
      <c r="C20" s="8" t="s">
        <v>429</v>
      </c>
    </row>
    <row r="21" spans="1:6">
      <c r="A21" s="2" t="s">
        <v>430</v>
      </c>
      <c r="B21" s="328">
        <v>489786</v>
      </c>
      <c r="C21" s="328">
        <v>448160</v>
      </c>
    </row>
    <row r="22" spans="1:6">
      <c r="A22" s="2" t="s">
        <v>431</v>
      </c>
      <c r="B22" s="328">
        <v>163262</v>
      </c>
      <c r="C22" s="328">
        <v>146935</v>
      </c>
    </row>
    <row r="24" spans="1:6" ht="13">
      <c r="A24" s="329" t="s">
        <v>432</v>
      </c>
      <c r="B24" s="330" t="s">
        <v>416</v>
      </c>
      <c r="C24" s="330" t="s">
        <v>150</v>
      </c>
      <c r="D24" s="331" t="s">
        <v>433</v>
      </c>
      <c r="E24" s="331" t="s">
        <v>434</v>
      </c>
      <c r="F24" s="324" t="s">
        <v>435</v>
      </c>
    </row>
    <row r="25" spans="1:6" ht="13">
      <c r="A25" s="2" t="s">
        <v>430</v>
      </c>
      <c r="B25" s="332">
        <f>B18*B21/(B21+B22)</f>
        <v>14869.5</v>
      </c>
      <c r="C25" s="332">
        <f>C18*B21/(B21+B22)</f>
        <v>9370.5</v>
      </c>
      <c r="D25" s="333">
        <f>B25+C25</f>
        <v>24240</v>
      </c>
      <c r="E25" s="333">
        <v>87800</v>
      </c>
      <c r="F25" s="334">
        <f>D25+E25</f>
        <v>112040</v>
      </c>
    </row>
    <row r="26" spans="1:6" ht="13">
      <c r="A26" s="2" t="s">
        <v>431</v>
      </c>
      <c r="B26" s="332">
        <f>B18*B22/(B21+B22)</f>
        <v>4956.5</v>
      </c>
      <c r="C26" s="332">
        <f>C18*B22/(B21+B22)</f>
        <v>3123.5</v>
      </c>
      <c r="D26" s="333">
        <f>B26+C26</f>
        <v>8080</v>
      </c>
      <c r="E26" s="333">
        <v>50400</v>
      </c>
      <c r="F26" s="334">
        <f>D26+E26</f>
        <v>58480</v>
      </c>
    </row>
    <row r="27" spans="1:6" ht="13">
      <c r="A27" s="2"/>
      <c r="B27" s="332"/>
      <c r="C27" s="332"/>
      <c r="D27" s="335"/>
      <c r="E27" s="335"/>
      <c r="F27" s="336"/>
    </row>
    <row r="29" spans="1:6" ht="13">
      <c r="A29" s="8" t="s">
        <v>436</v>
      </c>
      <c r="B29" s="8"/>
    </row>
    <row r="30" spans="1:6" ht="13">
      <c r="A30" s="8" t="s">
        <v>430</v>
      </c>
      <c r="B30" s="337">
        <f>F25/C21</f>
        <v>0.25</v>
      </c>
    </row>
    <row r="31" spans="1:6" ht="13">
      <c r="A31" s="8" t="s">
        <v>437</v>
      </c>
      <c r="B31" s="337">
        <f>F26/C22</f>
        <v>0.39799911525504472</v>
      </c>
    </row>
  </sheetData>
  <pageMargins left="0.75" right="0.75" top="1" bottom="1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1"/>
  <sheetViews>
    <sheetView topLeftCell="A7" workbookViewId="0">
      <selection activeCell="E30" sqref="E30"/>
    </sheetView>
  </sheetViews>
  <sheetFormatPr defaultColWidth="11.453125" defaultRowHeight="12.5"/>
  <sheetData>
    <row r="3" spans="1:7" ht="28">
      <c r="A3" s="338"/>
      <c r="B3" s="338" t="s">
        <v>438</v>
      </c>
      <c r="C3" s="338" t="s">
        <v>439</v>
      </c>
      <c r="D3" s="338" t="s">
        <v>440</v>
      </c>
      <c r="E3" s="338" t="s">
        <v>441</v>
      </c>
      <c r="F3" s="338" t="s">
        <v>417</v>
      </c>
      <c r="G3" s="338" t="s">
        <v>442</v>
      </c>
    </row>
    <row r="4" spans="1:7" ht="14">
      <c r="A4" s="5" t="s">
        <v>204</v>
      </c>
      <c r="B4" s="339"/>
      <c r="C4" s="339"/>
      <c r="D4" s="339"/>
      <c r="E4" s="339"/>
      <c r="F4" s="339"/>
      <c r="G4" s="339">
        <v>200000</v>
      </c>
    </row>
    <row r="5" spans="1:7" ht="28">
      <c r="A5" s="5" t="s">
        <v>443</v>
      </c>
      <c r="B5" s="339">
        <v>150000</v>
      </c>
      <c r="C5" s="339">
        <v>80000</v>
      </c>
      <c r="D5" s="339">
        <v>28000</v>
      </c>
      <c r="E5" s="339">
        <v>18000</v>
      </c>
      <c r="F5" s="339">
        <v>22000</v>
      </c>
      <c r="G5" s="339">
        <v>10000</v>
      </c>
    </row>
    <row r="6" spans="1:7" ht="28">
      <c r="A6" s="5" t="s">
        <v>444</v>
      </c>
      <c r="B6" s="339">
        <v>10000</v>
      </c>
      <c r="C6" s="339">
        <v>4000</v>
      </c>
      <c r="D6" s="339">
        <v>4500</v>
      </c>
      <c r="E6" s="339">
        <v>6000</v>
      </c>
      <c r="F6" s="339">
        <v>5000</v>
      </c>
      <c r="G6" s="339">
        <v>25000</v>
      </c>
    </row>
    <row r="7" spans="1:7" ht="42">
      <c r="A7" s="5" t="s">
        <v>445</v>
      </c>
      <c r="B7" s="339">
        <v>35000</v>
      </c>
      <c r="C7" s="339">
        <v>25000</v>
      </c>
      <c r="D7" s="339">
        <v>43000</v>
      </c>
      <c r="E7" s="339">
        <v>10000</v>
      </c>
      <c r="F7" s="339">
        <v>15000</v>
      </c>
      <c r="G7" s="339">
        <v>68000</v>
      </c>
    </row>
    <row r="8" spans="1:7" ht="14.5" thickBot="1">
      <c r="A8" s="340" t="s">
        <v>19</v>
      </c>
      <c r="B8" s="341">
        <v>195000</v>
      </c>
      <c r="C8" s="341">
        <v>109000</v>
      </c>
      <c r="D8" s="341">
        <v>75500</v>
      </c>
      <c r="E8" s="341">
        <v>34000</v>
      </c>
      <c r="F8" s="341">
        <v>42000</v>
      </c>
      <c r="G8" s="341">
        <v>303000</v>
      </c>
    </row>
    <row r="9" spans="1:7" ht="31.5" thickTop="1">
      <c r="A9" s="342" t="s">
        <v>446</v>
      </c>
      <c r="B9" s="343">
        <f>$G$8*B17</f>
        <v>106050</v>
      </c>
      <c r="C9" s="343">
        <f>$G$8*C17</f>
        <v>45450</v>
      </c>
      <c r="D9" s="343">
        <f>$G$8*D17</f>
        <v>90900</v>
      </c>
      <c r="E9" s="343">
        <f>$G$8*E17</f>
        <v>30300</v>
      </c>
      <c r="F9" s="343">
        <f>$G$8*F17</f>
        <v>30300</v>
      </c>
      <c r="G9" s="343">
        <f>$G$7*G20</f>
        <v>0</v>
      </c>
    </row>
    <row r="10" spans="1:7" ht="16" thickBot="1">
      <c r="A10" s="344" t="s">
        <v>447</v>
      </c>
      <c r="B10" s="345">
        <f>B8+B9</f>
        <v>301050</v>
      </c>
      <c r="C10" s="345">
        <f>C8+C9</f>
        <v>154450</v>
      </c>
      <c r="D10" s="345">
        <f>D8+D9</f>
        <v>166400</v>
      </c>
      <c r="E10" s="345">
        <f>E8+E9</f>
        <v>64300</v>
      </c>
      <c r="F10" s="345">
        <f>F8+F9</f>
        <v>72300</v>
      </c>
      <c r="G10" s="346"/>
    </row>
    <row r="11" spans="1:7" ht="16" thickTop="1">
      <c r="A11" s="3" t="s">
        <v>426</v>
      </c>
      <c r="B11" s="343">
        <f>$F$10*B18</f>
        <v>28920</v>
      </c>
      <c r="C11" s="343">
        <f>$F$10*C18</f>
        <v>18075</v>
      </c>
      <c r="D11" s="343">
        <f>$F$10*D18</f>
        <v>25305</v>
      </c>
      <c r="E11" s="346"/>
      <c r="F11" s="346"/>
      <c r="G11" s="346"/>
    </row>
    <row r="12" spans="1:7" ht="46.5">
      <c r="A12" s="342" t="s">
        <v>448</v>
      </c>
      <c r="B12" s="343">
        <f>$E$10*B19</f>
        <v>32150</v>
      </c>
      <c r="C12" s="343">
        <f>$E$10*C19</f>
        <v>16075</v>
      </c>
      <c r="D12" s="343">
        <f>$E$10*D19</f>
        <v>16075</v>
      </c>
      <c r="E12" s="346"/>
      <c r="F12" s="346"/>
      <c r="G12" s="346"/>
    </row>
    <row r="13" spans="1:7" ht="16" thickBot="1">
      <c r="A13" s="344" t="s">
        <v>19</v>
      </c>
      <c r="B13" s="345">
        <f>B10+B11+B12</f>
        <v>362120</v>
      </c>
      <c r="C13" s="345">
        <f>C10+C11+C12</f>
        <v>188600</v>
      </c>
      <c r="D13" s="345">
        <f>D10+D11+D12</f>
        <v>207780</v>
      </c>
      <c r="E13" s="347"/>
      <c r="F13" s="347"/>
      <c r="G13" s="347"/>
    </row>
    <row r="14" spans="1:7" ht="14.5" thickTop="1">
      <c r="A14" s="7"/>
      <c r="B14" s="348"/>
      <c r="C14" s="348"/>
      <c r="D14" s="348"/>
    </row>
    <row r="15" spans="1:7" ht="42.5" thickBot="1">
      <c r="A15" s="7" t="s">
        <v>449</v>
      </c>
    </row>
    <row r="16" spans="1:7" ht="28.5" thickBot="1">
      <c r="A16" s="349"/>
      <c r="B16" s="350" t="s">
        <v>438</v>
      </c>
      <c r="C16" s="350" t="s">
        <v>439</v>
      </c>
      <c r="D16" s="350" t="s">
        <v>440</v>
      </c>
      <c r="E16" s="350" t="s">
        <v>441</v>
      </c>
      <c r="F16" s="350" t="s">
        <v>417</v>
      </c>
    </row>
    <row r="17" spans="1:6" ht="28.5" thickBot="1">
      <c r="A17" s="351" t="s">
        <v>450</v>
      </c>
      <c r="B17" s="352">
        <v>0.35</v>
      </c>
      <c r="C17" s="352">
        <v>0.15</v>
      </c>
      <c r="D17" s="352">
        <v>0.3</v>
      </c>
      <c r="E17" s="352">
        <v>0.1</v>
      </c>
      <c r="F17" s="352">
        <v>0.1</v>
      </c>
    </row>
    <row r="18" spans="1:6" ht="28.5" thickBot="1">
      <c r="A18" s="351" t="s">
        <v>417</v>
      </c>
      <c r="B18" s="352">
        <v>0.4</v>
      </c>
      <c r="C18" s="352">
        <v>0.25</v>
      </c>
      <c r="D18" s="352">
        <v>0.35</v>
      </c>
      <c r="E18" s="352"/>
      <c r="F18" s="352"/>
    </row>
    <row r="19" spans="1:6" ht="28.5" thickBot="1">
      <c r="A19" s="351" t="s">
        <v>441</v>
      </c>
      <c r="B19" s="352">
        <v>0.5</v>
      </c>
      <c r="C19" s="352">
        <v>0.25</v>
      </c>
      <c r="D19" s="352">
        <v>0.25</v>
      </c>
      <c r="E19" s="352"/>
      <c r="F19" s="352"/>
    </row>
    <row r="21" spans="1:6" ht="14">
      <c r="A21" s="4" t="s">
        <v>451</v>
      </c>
      <c r="B21" s="353">
        <v>160</v>
      </c>
      <c r="C21" s="353">
        <v>100</v>
      </c>
      <c r="D21" s="353">
        <v>120</v>
      </c>
    </row>
    <row r="22" spans="1:6" ht="14">
      <c r="A22" s="4" t="s">
        <v>452</v>
      </c>
      <c r="B22" s="353">
        <v>350</v>
      </c>
      <c r="C22" s="353">
        <v>230</v>
      </c>
      <c r="D22" s="353">
        <v>180</v>
      </c>
    </row>
    <row r="23" spans="1:6" ht="14">
      <c r="A23" s="4" t="s">
        <v>453</v>
      </c>
      <c r="B23" s="353">
        <v>180</v>
      </c>
      <c r="C23" s="353">
        <v>125</v>
      </c>
      <c r="D23" s="353">
        <v>90</v>
      </c>
    </row>
    <row r="24" spans="1:6" ht="14">
      <c r="A24" s="4" t="s">
        <v>454</v>
      </c>
      <c r="B24" s="353">
        <f>B21+B22+B23</f>
        <v>690</v>
      </c>
      <c r="C24" s="353">
        <f>C21+C22+C23</f>
        <v>455</v>
      </c>
      <c r="D24" s="353">
        <f>D21+D22+D23</f>
        <v>390</v>
      </c>
    </row>
    <row r="26" spans="1:6" ht="42">
      <c r="A26" s="7" t="s">
        <v>455</v>
      </c>
    </row>
    <row r="27" spans="1:6">
      <c r="A27" s="6"/>
      <c r="B27" s="354" t="s">
        <v>438</v>
      </c>
      <c r="C27" s="354" t="s">
        <v>439</v>
      </c>
      <c r="D27" s="354" t="s">
        <v>440</v>
      </c>
      <c r="E27" s="354" t="s">
        <v>19</v>
      </c>
    </row>
    <row r="28" spans="1:6" ht="14">
      <c r="A28" s="4" t="s">
        <v>451</v>
      </c>
      <c r="B28" s="355">
        <f>B21*B13/B24</f>
        <v>83969.855072463775</v>
      </c>
      <c r="C28" s="355">
        <f>C21*C13/C24</f>
        <v>41450.54945054945</v>
      </c>
      <c r="D28" s="355">
        <f>D21*D13/D24</f>
        <v>63932.307692307695</v>
      </c>
      <c r="E28" s="355">
        <f>B28+C28+D28</f>
        <v>189352.71221532091</v>
      </c>
    </row>
    <row r="29" spans="1:6" ht="14">
      <c r="A29" s="4" t="s">
        <v>452</v>
      </c>
      <c r="B29" s="355">
        <f>B22*B13/B24</f>
        <v>183684.0579710145</v>
      </c>
      <c r="C29" s="355">
        <f>C22*C13/C24</f>
        <v>95336.263736263732</v>
      </c>
      <c r="D29" s="355">
        <f>D22*D13/D24</f>
        <v>95898.461538461532</v>
      </c>
      <c r="E29" s="355">
        <f>B29+C29+D29</f>
        <v>374918.78324573976</v>
      </c>
    </row>
    <row r="30" spans="1:6" ht="14">
      <c r="A30" s="4" t="s">
        <v>453</v>
      </c>
      <c r="B30" s="355">
        <f>B23*B13/B24</f>
        <v>94466.086956521744</v>
      </c>
      <c r="C30" s="355">
        <f>C23*C13/C24</f>
        <v>51813.18681318681</v>
      </c>
      <c r="D30" s="355">
        <f>D23*D13/D24</f>
        <v>47949.230769230766</v>
      </c>
      <c r="E30" s="355">
        <f>B30+C30+D30</f>
        <v>194228.50453893933</v>
      </c>
    </row>
    <row r="31" spans="1:6">
      <c r="A31" s="6"/>
      <c r="B31" s="355">
        <f>B28+B29+B30</f>
        <v>362120</v>
      </c>
      <c r="C31" s="355">
        <f>C28+C29+C30</f>
        <v>188600</v>
      </c>
      <c r="D31" s="355">
        <f>D28+D29+D30</f>
        <v>207780</v>
      </c>
      <c r="E31" s="356"/>
    </row>
  </sheetData>
  <pageMargins left="0.75" right="0.75" top="1" bottom="1" header="0.5" footer="0.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showGridLines="0" topLeftCell="A25" zoomScale="120" zoomScaleNormal="120" workbookViewId="0">
      <selection activeCell="E40" sqref="E40"/>
    </sheetView>
  </sheetViews>
  <sheetFormatPr defaultColWidth="8.81640625" defaultRowHeight="13.5"/>
  <cols>
    <col min="1" max="1" width="29.1796875" style="11" bestFit="1" customWidth="1"/>
    <col min="2" max="2" width="14.453125" style="11" bestFit="1" customWidth="1"/>
    <col min="3" max="3" width="20.36328125" style="11" bestFit="1" customWidth="1"/>
    <col min="4" max="4" width="23" style="11" bestFit="1" customWidth="1"/>
    <col min="5" max="5" width="19.453125" style="11" bestFit="1" customWidth="1"/>
    <col min="6" max="16384" width="8.81640625" style="11"/>
  </cols>
  <sheetData>
    <row r="1" spans="1:5" ht="14" thickBot="1">
      <c r="A1" s="357" t="s">
        <v>29</v>
      </c>
      <c r="B1" s="358">
        <v>204000</v>
      </c>
    </row>
    <row r="2" spans="1:5" ht="14" thickBot="1">
      <c r="A2" s="359" t="s">
        <v>456</v>
      </c>
      <c r="B2" s="360">
        <v>34000</v>
      </c>
    </row>
    <row r="3" spans="1:5" ht="14" thickBot="1">
      <c r="A3" s="359" t="s">
        <v>457</v>
      </c>
      <c r="B3" s="360">
        <v>20000</v>
      </c>
    </row>
    <row r="4" spans="1:5" ht="14" thickBot="1">
      <c r="A4" s="359" t="s">
        <v>204</v>
      </c>
      <c r="B4" s="360">
        <v>10000</v>
      </c>
    </row>
    <row r="5" spans="1:5" ht="14" thickBot="1">
      <c r="A5" s="359" t="s">
        <v>401</v>
      </c>
      <c r="B5" s="360">
        <v>7000</v>
      </c>
    </row>
    <row r="6" spans="1:5" ht="14" thickBot="1"/>
    <row r="7" spans="1:5" ht="26.5" thickBot="1">
      <c r="A7" s="167" t="s">
        <v>192</v>
      </c>
      <c r="B7" s="168" t="s">
        <v>145</v>
      </c>
      <c r="C7" s="168" t="s">
        <v>193</v>
      </c>
      <c r="D7" s="169" t="s">
        <v>194</v>
      </c>
      <c r="E7" s="170" t="s">
        <v>195</v>
      </c>
    </row>
    <row r="8" spans="1:5" ht="14" thickBot="1">
      <c r="A8" s="171" t="s">
        <v>196</v>
      </c>
      <c r="B8" s="172">
        <v>1</v>
      </c>
      <c r="C8" s="172">
        <v>2000</v>
      </c>
      <c r="D8" s="173">
        <v>60000</v>
      </c>
      <c r="E8" s="174">
        <f>D8/C8</f>
        <v>30</v>
      </c>
    </row>
    <row r="9" spans="1:5" ht="14" thickBot="1">
      <c r="A9" s="171" t="s">
        <v>197</v>
      </c>
      <c r="B9" s="172">
        <v>1</v>
      </c>
      <c r="C9" s="172">
        <v>2000</v>
      </c>
      <c r="D9" s="173">
        <v>12000</v>
      </c>
      <c r="E9" s="174">
        <f>D9/C9</f>
        <v>6</v>
      </c>
    </row>
    <row r="10" spans="1:5" ht="14" thickBot="1">
      <c r="A10" s="171" t="s">
        <v>198</v>
      </c>
      <c r="B10" s="172">
        <v>3</v>
      </c>
      <c r="C10" s="172">
        <v>2000</v>
      </c>
      <c r="D10" s="173">
        <v>40000</v>
      </c>
      <c r="E10" s="174">
        <f>D10/C10</f>
        <v>20</v>
      </c>
    </row>
    <row r="11" spans="1:5" ht="14" thickBot="1">
      <c r="A11" s="171" t="s">
        <v>199</v>
      </c>
      <c r="B11" s="172">
        <v>2</v>
      </c>
      <c r="C11" s="172">
        <v>2000</v>
      </c>
      <c r="D11" s="173">
        <v>6000</v>
      </c>
      <c r="E11" s="174">
        <f>D11/C11</f>
        <v>3</v>
      </c>
    </row>
    <row r="12" spans="1:5">
      <c r="A12" s="69"/>
      <c r="B12" s="69"/>
      <c r="C12" s="69"/>
      <c r="D12" s="69"/>
    </row>
    <row r="13" spans="1:5" ht="14" thickBot="1">
      <c r="A13" s="69"/>
      <c r="B13" s="69"/>
      <c r="C13" s="69"/>
      <c r="D13" s="69"/>
    </row>
    <row r="14" spans="1:5" ht="26.5" thickBot="1">
      <c r="A14" s="167"/>
      <c r="B14" s="168" t="s">
        <v>200</v>
      </c>
      <c r="C14" s="168" t="s">
        <v>201</v>
      </c>
      <c r="D14" s="168" t="s">
        <v>202</v>
      </c>
    </row>
    <row r="15" spans="1:5" ht="14" thickBot="1">
      <c r="A15" s="171" t="s">
        <v>196</v>
      </c>
      <c r="B15" s="172">
        <v>0.7</v>
      </c>
      <c r="C15" s="172"/>
      <c r="D15" s="172">
        <v>0.3</v>
      </c>
    </row>
    <row r="16" spans="1:5" ht="14" thickBot="1">
      <c r="A16" s="171" t="s">
        <v>197</v>
      </c>
      <c r="B16" s="172"/>
      <c r="C16" s="172"/>
      <c r="D16" s="172"/>
    </row>
    <row r="17" spans="1:6" ht="14" thickBot="1">
      <c r="A17" s="171" t="s">
        <v>198</v>
      </c>
      <c r="B17" s="172">
        <v>0.5</v>
      </c>
      <c r="C17" s="172">
        <v>0.2</v>
      </c>
      <c r="D17" s="172">
        <v>0.3</v>
      </c>
    </row>
    <row r="18" spans="1:6" ht="14" thickBot="1">
      <c r="A18" s="171" t="s">
        <v>199</v>
      </c>
      <c r="B18" s="172"/>
      <c r="C18" s="172">
        <v>1</v>
      </c>
      <c r="D18" s="172"/>
    </row>
    <row r="19" spans="1:6">
      <c r="A19" s="175"/>
      <c r="B19" s="176"/>
      <c r="C19" s="176"/>
      <c r="D19" s="176"/>
    </row>
    <row r="20" spans="1:6" ht="14" thickBot="1">
      <c r="A20" s="69"/>
      <c r="B20" s="69"/>
      <c r="C20" s="69"/>
      <c r="D20" s="69"/>
    </row>
    <row r="21" spans="1:6" ht="28.5" customHeight="1" thickBot="1">
      <c r="A21" s="167"/>
      <c r="B21" s="168" t="s">
        <v>200</v>
      </c>
      <c r="C21" s="168" t="s">
        <v>201</v>
      </c>
      <c r="D21" s="168" t="s">
        <v>202</v>
      </c>
    </row>
    <row r="22" spans="1:6" ht="14" thickBot="1">
      <c r="A22" s="171" t="s">
        <v>30</v>
      </c>
      <c r="B22" s="172">
        <v>0.3</v>
      </c>
      <c r="C22" s="172">
        <v>0.2</v>
      </c>
      <c r="D22" s="172">
        <v>0.5</v>
      </c>
    </row>
    <row r="23" spans="1:6" ht="14" thickBot="1">
      <c r="A23" s="171" t="s">
        <v>203</v>
      </c>
      <c r="B23" s="172">
        <v>1</v>
      </c>
      <c r="C23" s="172"/>
      <c r="D23" s="172"/>
    </row>
    <row r="24" spans="1:6" ht="14" thickBot="1">
      <c r="A24" s="171" t="s">
        <v>204</v>
      </c>
      <c r="B24" s="172">
        <v>0.4</v>
      </c>
      <c r="C24" s="172">
        <v>0.1</v>
      </c>
      <c r="D24" s="172">
        <v>0.5</v>
      </c>
    </row>
    <row r="25" spans="1:6">
      <c r="A25" s="175"/>
      <c r="B25" s="176"/>
      <c r="C25" s="176"/>
      <c r="D25" s="176"/>
    </row>
    <row r="27" spans="1:6" ht="26">
      <c r="A27" s="177"/>
      <c r="B27" s="178" t="s">
        <v>205</v>
      </c>
      <c r="C27" s="170" t="s">
        <v>200</v>
      </c>
      <c r="D27" s="170" t="s">
        <v>201</v>
      </c>
      <c r="E27" s="170" t="s">
        <v>202</v>
      </c>
    </row>
    <row r="28" spans="1:6">
      <c r="A28" s="65" t="s">
        <v>29</v>
      </c>
      <c r="B28" s="179" t="s">
        <v>206</v>
      </c>
      <c r="C28" s="180"/>
      <c r="D28" s="180"/>
      <c r="E28" s="180"/>
    </row>
    <row r="29" spans="1:6">
      <c r="A29" s="181" t="s">
        <v>207</v>
      </c>
      <c r="B29" s="179"/>
      <c r="C29" s="174"/>
      <c r="D29" s="174"/>
      <c r="E29" s="174"/>
    </row>
    <row r="30" spans="1:6">
      <c r="A30" s="65" t="s">
        <v>208</v>
      </c>
      <c r="B30" s="179">
        <f>E8</f>
        <v>30</v>
      </c>
      <c r="C30" s="182">
        <f>B15*C8*B8</f>
        <v>1400</v>
      </c>
      <c r="D30" s="182"/>
      <c r="E30" s="182">
        <f>D15*C8*B8</f>
        <v>600</v>
      </c>
      <c r="F30" s="183"/>
    </row>
    <row r="31" spans="1:6">
      <c r="A31" s="65" t="s">
        <v>209</v>
      </c>
      <c r="B31" s="179">
        <f>E9</f>
        <v>6</v>
      </c>
      <c r="C31" s="182">
        <f xml:space="preserve"> 0.75*C9*B15+0.25*C9*B17</f>
        <v>1300</v>
      </c>
      <c r="D31" s="182">
        <f>0.75*C9*C15+0.25*C9*C17</f>
        <v>100</v>
      </c>
      <c r="E31" s="182">
        <f>0.75*C9*D15+0.25*C9*D17</f>
        <v>600</v>
      </c>
      <c r="F31" s="183"/>
    </row>
    <row r="32" spans="1:6">
      <c r="A32" s="65" t="s">
        <v>210</v>
      </c>
      <c r="B32" s="179">
        <f>E10</f>
        <v>20</v>
      </c>
      <c r="C32" s="182">
        <f>B17*C10*B10</f>
        <v>3000</v>
      </c>
      <c r="D32" s="182">
        <f>C17*C10*B10</f>
        <v>1200</v>
      </c>
      <c r="E32" s="182">
        <f>D17*C10*B10</f>
        <v>1800</v>
      </c>
      <c r="F32" s="183"/>
    </row>
    <row r="33" spans="1:6">
      <c r="A33" s="65" t="s">
        <v>211</v>
      </c>
      <c r="B33" s="179">
        <f>E11</f>
        <v>3</v>
      </c>
      <c r="C33" s="182"/>
      <c r="D33" s="182">
        <f>C18*C11*B11</f>
        <v>4000</v>
      </c>
      <c r="E33" s="182"/>
      <c r="F33" s="183"/>
    </row>
    <row r="34" spans="1:6">
      <c r="A34" s="184" t="s">
        <v>212</v>
      </c>
      <c r="B34" s="185"/>
      <c r="C34" s="186">
        <f>C30*B30+C31*B31+C32*B32+C33*B33</f>
        <v>109800</v>
      </c>
      <c r="D34" s="186">
        <f>D30*B30+D31*B31+D32*B32+D33*B33</f>
        <v>36600</v>
      </c>
      <c r="E34" s="186">
        <f>E30*B30+E31*B31+E32*B32+E33*B33</f>
        <v>57600</v>
      </c>
      <c r="F34" s="183">
        <f t="shared" ref="F34:F39" si="0">SUM(C34:E34)</f>
        <v>204000</v>
      </c>
    </row>
    <row r="35" spans="1:6">
      <c r="A35" s="184" t="s">
        <v>30</v>
      </c>
      <c r="B35" s="185"/>
      <c r="C35" s="186">
        <f>B22*$B$2</f>
        <v>10200</v>
      </c>
      <c r="D35" s="186">
        <f>C22*$B$2</f>
        <v>6800</v>
      </c>
      <c r="E35" s="186">
        <f>D22*$B$2</f>
        <v>17000</v>
      </c>
      <c r="F35" s="183">
        <f t="shared" si="0"/>
        <v>34000</v>
      </c>
    </row>
    <row r="36" spans="1:6">
      <c r="A36" s="184" t="s">
        <v>203</v>
      </c>
      <c r="B36" s="185"/>
      <c r="C36" s="186">
        <f>B23*$B$3</f>
        <v>20000</v>
      </c>
      <c r="D36" s="186">
        <f>C23*$B$3</f>
        <v>0</v>
      </c>
      <c r="E36" s="186">
        <f>D23*$B$3</f>
        <v>0</v>
      </c>
      <c r="F36" s="183">
        <f t="shared" si="0"/>
        <v>20000</v>
      </c>
    </row>
    <row r="37" spans="1:6">
      <c r="A37" s="184" t="s">
        <v>204</v>
      </c>
      <c r="B37" s="185"/>
      <c r="C37" s="186">
        <f>B24*$B$4</f>
        <v>4000</v>
      </c>
      <c r="D37" s="186">
        <f>C24*$B$4</f>
        <v>1000</v>
      </c>
      <c r="E37" s="186">
        <f>D24*$B$4</f>
        <v>5000</v>
      </c>
      <c r="F37" s="183">
        <f t="shared" si="0"/>
        <v>10000</v>
      </c>
    </row>
    <row r="38" spans="1:6">
      <c r="A38" s="184" t="s">
        <v>213</v>
      </c>
      <c r="B38" s="185"/>
      <c r="C38" s="186">
        <f>SUM(C34:C37)</f>
        <v>144000</v>
      </c>
      <c r="D38" s="186">
        <f>SUM(D34:D37)</f>
        <v>44400</v>
      </c>
      <c r="E38" s="186">
        <f>SUM(E34:E37)</f>
        <v>79600</v>
      </c>
      <c r="F38" s="183">
        <f t="shared" si="0"/>
        <v>268000</v>
      </c>
    </row>
    <row r="39" spans="1:6">
      <c r="A39" s="184" t="s">
        <v>119</v>
      </c>
      <c r="B39" s="185"/>
      <c r="C39" s="186">
        <f>$B$5*C38/$F$38</f>
        <v>3761.1940298507461</v>
      </c>
      <c r="D39" s="186">
        <f>$B$5*D38/$F$38</f>
        <v>1159.7014925373135</v>
      </c>
      <c r="E39" s="186">
        <f>$B$5*E38/$F$38</f>
        <v>2079.1044776119402</v>
      </c>
      <c r="F39" s="183">
        <f t="shared" si="0"/>
        <v>7000</v>
      </c>
    </row>
    <row r="40" spans="1:6">
      <c r="A40" s="187" t="s">
        <v>214</v>
      </c>
      <c r="B40" s="188"/>
      <c r="C40" s="189">
        <f>C38+C39</f>
        <v>147761.19402985074</v>
      </c>
      <c r="D40" s="189">
        <f>D38+D39</f>
        <v>45559.701492537315</v>
      </c>
      <c r="E40" s="189">
        <f>E38+E39</f>
        <v>81679.104477611938</v>
      </c>
    </row>
  </sheetData>
  <pageMargins left="0.511811024" right="0.511811024" top="0.78740157499999996" bottom="0.78740157499999996" header="0.31496062000000002" footer="0.31496062000000002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showGridLines="0" topLeftCell="A13" workbookViewId="0">
      <selection activeCell="E25" sqref="E25"/>
    </sheetView>
  </sheetViews>
  <sheetFormatPr defaultColWidth="8.81640625" defaultRowHeight="13.5"/>
  <cols>
    <col min="1" max="1" width="25" style="11" bestFit="1" customWidth="1"/>
    <col min="2" max="2" width="14.453125" style="11" customWidth="1"/>
    <col min="3" max="5" width="8.81640625" style="11"/>
    <col min="6" max="6" width="21.6328125" style="11" bestFit="1" customWidth="1"/>
    <col min="7" max="7" width="16.453125" style="11" customWidth="1"/>
    <col min="8" max="16384" width="8.81640625" style="11"/>
  </cols>
  <sheetData>
    <row r="1" spans="1:4" ht="14" thickBot="1"/>
    <row r="2" spans="1:4" ht="14" thickBot="1">
      <c r="A2" s="190"/>
      <c r="B2" s="191" t="s">
        <v>215</v>
      </c>
      <c r="C2" s="191" t="s">
        <v>216</v>
      </c>
    </row>
    <row r="3" spans="1:4" ht="14" thickBot="1">
      <c r="A3" s="171" t="s">
        <v>92</v>
      </c>
      <c r="B3" s="172">
        <v>12</v>
      </c>
      <c r="C3" s="172">
        <v>18</v>
      </c>
    </row>
    <row r="4" spans="1:4" ht="14" thickBot="1">
      <c r="A4" s="171" t="s">
        <v>217</v>
      </c>
      <c r="B4" s="172">
        <v>6</v>
      </c>
      <c r="C4" s="172">
        <v>3</v>
      </c>
    </row>
    <row r="5" spans="1:4" ht="14" thickBot="1">
      <c r="A5" s="69"/>
      <c r="B5" s="69"/>
      <c r="C5" s="69"/>
    </row>
    <row r="6" spans="1:4" ht="14" thickBot="1">
      <c r="A6" s="190" t="s">
        <v>218</v>
      </c>
      <c r="B6" s="192" t="s">
        <v>219</v>
      </c>
      <c r="C6" s="69"/>
    </row>
    <row r="7" spans="1:4" ht="14" thickBot="1">
      <c r="A7" s="171" t="s">
        <v>220</v>
      </c>
      <c r="B7" s="193">
        <v>8000</v>
      </c>
      <c r="C7" s="69"/>
    </row>
    <row r="8" spans="1:4" ht="14" thickBot="1">
      <c r="A8" s="171" t="s">
        <v>221</v>
      </c>
      <c r="B8" s="193">
        <v>6000</v>
      </c>
      <c r="C8" s="69"/>
    </row>
    <row r="9" spans="1:4" ht="14" thickBot="1">
      <c r="A9" s="171" t="s">
        <v>222</v>
      </c>
      <c r="B9" s="193">
        <v>5000</v>
      </c>
      <c r="C9" s="69"/>
    </row>
    <row r="10" spans="1:4" ht="25.5" thickBot="1">
      <c r="A10" s="171" t="s">
        <v>223</v>
      </c>
      <c r="B10" s="193">
        <v>15000</v>
      </c>
      <c r="C10" s="69"/>
    </row>
    <row r="11" spans="1:4" ht="25.5" thickBot="1">
      <c r="A11" s="171" t="s">
        <v>224</v>
      </c>
      <c r="B11" s="193">
        <v>20000</v>
      </c>
      <c r="C11" s="69"/>
    </row>
    <row r="12" spans="1:4">
      <c r="A12" s="175"/>
      <c r="B12" s="175">
        <f>SUM(B7:B11)</f>
        <v>54000</v>
      </c>
      <c r="C12" s="69"/>
    </row>
    <row r="13" spans="1:4" ht="14" thickBot="1">
      <c r="A13" s="69"/>
      <c r="B13" s="69"/>
      <c r="C13" s="69"/>
    </row>
    <row r="14" spans="1:4" ht="14" thickBot="1">
      <c r="A14" s="194"/>
      <c r="B14" s="195" t="s">
        <v>215</v>
      </c>
      <c r="C14" s="195" t="s">
        <v>216</v>
      </c>
      <c r="D14" s="196" t="s">
        <v>19</v>
      </c>
    </row>
    <row r="15" spans="1:4" ht="25.5" thickBot="1">
      <c r="A15" s="197" t="s">
        <v>225</v>
      </c>
      <c r="B15" s="198">
        <v>15</v>
      </c>
      <c r="C15" s="198">
        <v>60</v>
      </c>
      <c r="D15" s="199">
        <f>B15+C15</f>
        <v>75</v>
      </c>
    </row>
    <row r="16" spans="1:4" ht="25.5" thickBot="1">
      <c r="A16" s="197" t="s">
        <v>226</v>
      </c>
      <c r="B16" s="198">
        <v>120</v>
      </c>
      <c r="C16" s="198">
        <v>140</v>
      </c>
      <c r="D16" s="199">
        <f>B16+C16</f>
        <v>260</v>
      </c>
    </row>
    <row r="17" spans="1:9" ht="25.5" thickBot="1">
      <c r="A17" s="197" t="s">
        <v>227</v>
      </c>
      <c r="B17" s="198">
        <v>4000</v>
      </c>
      <c r="C17" s="198">
        <v>6000</v>
      </c>
      <c r="D17" s="199">
        <f>B17+C17</f>
        <v>10000</v>
      </c>
    </row>
    <row r="18" spans="1:9" ht="14" thickBot="1">
      <c r="A18" s="197" t="s">
        <v>228</v>
      </c>
      <c r="B18" s="198">
        <v>210</v>
      </c>
      <c r="C18" s="198">
        <v>295</v>
      </c>
      <c r="D18" s="199">
        <f>B18+C18</f>
        <v>505</v>
      </c>
    </row>
    <row r="19" spans="1:9" ht="14" thickBot="1">
      <c r="A19" s="197" t="s">
        <v>229</v>
      </c>
      <c r="B19" s="198">
        <v>50</v>
      </c>
      <c r="C19" s="198">
        <v>150</v>
      </c>
      <c r="D19" s="199">
        <f>B19+C19</f>
        <v>200</v>
      </c>
    </row>
    <row r="21" spans="1:9" ht="27">
      <c r="A21" s="200" t="s">
        <v>218</v>
      </c>
      <c r="B21" s="201" t="s">
        <v>214</v>
      </c>
      <c r="C21" s="202" t="s">
        <v>215</v>
      </c>
      <c r="D21" s="202" t="s">
        <v>216</v>
      </c>
      <c r="F21" s="200" t="s">
        <v>218</v>
      </c>
      <c r="G21" s="201" t="s">
        <v>214</v>
      </c>
      <c r="H21" s="202" t="s">
        <v>215</v>
      </c>
      <c r="I21" s="202" t="s">
        <v>216</v>
      </c>
    </row>
    <row r="22" spans="1:9" ht="25">
      <c r="A22" s="203" t="s">
        <v>220</v>
      </c>
      <c r="B22" s="204">
        <f>B7</f>
        <v>8000</v>
      </c>
      <c r="C22" s="204">
        <f>B22*C23/B23</f>
        <v>1600</v>
      </c>
      <c r="D22" s="204">
        <f>B22*D23/B23</f>
        <v>6400</v>
      </c>
      <c r="F22" s="203" t="s">
        <v>220</v>
      </c>
      <c r="G22" s="204">
        <f>B22</f>
        <v>8000</v>
      </c>
      <c r="H22" s="204">
        <f>G22*H23/G23</f>
        <v>1600</v>
      </c>
      <c r="I22" s="204">
        <f>G22*I23/G23</f>
        <v>6400</v>
      </c>
    </row>
    <row r="23" spans="1:9" ht="37.5">
      <c r="A23" s="205" t="s">
        <v>225</v>
      </c>
      <c r="B23" s="206">
        <f>SUM(C23:D23)</f>
        <v>75</v>
      </c>
      <c r="C23" s="206">
        <v>15</v>
      </c>
      <c r="D23" s="206">
        <v>60</v>
      </c>
      <c r="F23" s="205" t="s">
        <v>225</v>
      </c>
      <c r="G23" s="206">
        <f>SUM(H23:I23)</f>
        <v>75</v>
      </c>
      <c r="H23" s="206">
        <v>15</v>
      </c>
      <c r="I23" s="206">
        <v>60</v>
      </c>
    </row>
    <row r="24" spans="1:9">
      <c r="A24" s="203" t="s">
        <v>221</v>
      </c>
      <c r="B24" s="204">
        <f>B8</f>
        <v>6000</v>
      </c>
      <c r="C24" s="204">
        <f>B24*C25/B25</f>
        <v>2495.0495049504952</v>
      </c>
      <c r="D24" s="204">
        <f>B24*D25/B25</f>
        <v>3504.9504950495048</v>
      </c>
      <c r="F24" s="203" t="s">
        <v>221</v>
      </c>
      <c r="G24" s="204">
        <f>B24</f>
        <v>6000</v>
      </c>
      <c r="H24" s="204">
        <f>G24*H25/G25</f>
        <v>1200</v>
      </c>
      <c r="I24" s="204">
        <f>G24*I25/G25</f>
        <v>4800</v>
      </c>
    </row>
    <row r="25" spans="1:9" ht="37.5">
      <c r="A25" s="207" t="s">
        <v>228</v>
      </c>
      <c r="B25" s="206">
        <f>SUM(C25:D25)</f>
        <v>505</v>
      </c>
      <c r="C25" s="206">
        <v>210</v>
      </c>
      <c r="D25" s="206">
        <v>295</v>
      </c>
      <c r="F25" s="207" t="s">
        <v>225</v>
      </c>
      <c r="G25" s="206">
        <f>SUM(H25:I25)</f>
        <v>75</v>
      </c>
      <c r="H25" s="206">
        <v>15</v>
      </c>
      <c r="I25" s="206">
        <v>60</v>
      </c>
    </row>
    <row r="26" spans="1:9">
      <c r="A26" s="203" t="s">
        <v>222</v>
      </c>
      <c r="B26" s="204">
        <f>B9</f>
        <v>5000</v>
      </c>
      <c r="C26" s="204">
        <f>B26*C27/B27</f>
        <v>2307.6923076923076</v>
      </c>
      <c r="D26" s="204">
        <f>B26*D27/B27</f>
        <v>2692.3076923076924</v>
      </c>
      <c r="F26" s="203" t="s">
        <v>222</v>
      </c>
      <c r="G26" s="204">
        <f>B26</f>
        <v>5000</v>
      </c>
      <c r="H26" s="204">
        <f>G26*H27/G27</f>
        <v>2307.6923076923076</v>
      </c>
      <c r="I26" s="204">
        <f>G26*I27/G27</f>
        <v>2692.3076923076924</v>
      </c>
    </row>
    <row r="27" spans="1:9" ht="25">
      <c r="A27" s="205" t="s">
        <v>226</v>
      </c>
      <c r="B27" s="206">
        <f>SUM(C27:D27)</f>
        <v>260</v>
      </c>
      <c r="C27" s="206">
        <v>120</v>
      </c>
      <c r="D27" s="206">
        <v>140</v>
      </c>
      <c r="F27" s="205" t="s">
        <v>226</v>
      </c>
      <c r="G27" s="206">
        <f>SUM(H27:I27)</f>
        <v>260</v>
      </c>
      <c r="H27" s="206">
        <v>120</v>
      </c>
      <c r="I27" s="206">
        <v>140</v>
      </c>
    </row>
    <row r="28" spans="1:9" ht="25">
      <c r="A28" s="203" t="s">
        <v>223</v>
      </c>
      <c r="B28" s="204">
        <f>B10</f>
        <v>15000</v>
      </c>
      <c r="C28" s="204">
        <f>B28*C29/B29</f>
        <v>6000</v>
      </c>
      <c r="D28" s="204">
        <f>B28*D29/B29</f>
        <v>9000</v>
      </c>
      <c r="F28" s="203" t="s">
        <v>223</v>
      </c>
      <c r="G28" s="204">
        <f>B28</f>
        <v>15000</v>
      </c>
      <c r="H28" s="204">
        <f>G28*H29/G29</f>
        <v>6000</v>
      </c>
      <c r="I28" s="204">
        <f>G28*I29/G29</f>
        <v>9000</v>
      </c>
    </row>
    <row r="29" spans="1:9" ht="37.5">
      <c r="A29" s="205" t="s">
        <v>227</v>
      </c>
      <c r="B29" s="206">
        <f>SUM(C29:D29)</f>
        <v>10000</v>
      </c>
      <c r="C29" s="206">
        <v>4000</v>
      </c>
      <c r="D29" s="206">
        <v>6000</v>
      </c>
      <c r="F29" s="205" t="s">
        <v>227</v>
      </c>
      <c r="G29" s="206">
        <f>SUM(H29:I29)</f>
        <v>10000</v>
      </c>
      <c r="H29" s="206">
        <v>4000</v>
      </c>
      <c r="I29" s="206">
        <v>6000</v>
      </c>
    </row>
    <row r="30" spans="1:9" ht="25">
      <c r="A30" s="203" t="s">
        <v>224</v>
      </c>
      <c r="B30" s="204">
        <f>B11</f>
        <v>20000</v>
      </c>
      <c r="C30" s="204">
        <f>B30*C31/B31</f>
        <v>5000</v>
      </c>
      <c r="D30" s="204">
        <f>B30*D31/B31</f>
        <v>15000</v>
      </c>
      <c r="F30" s="203" t="s">
        <v>224</v>
      </c>
      <c r="G30" s="204">
        <f>B30</f>
        <v>20000</v>
      </c>
      <c r="H30" s="204">
        <f>G30*H31/G31</f>
        <v>5000</v>
      </c>
      <c r="I30" s="204">
        <f>G30*I31/G31</f>
        <v>15000</v>
      </c>
    </row>
    <row r="31" spans="1:9">
      <c r="A31" s="205" t="s">
        <v>229</v>
      </c>
      <c r="B31" s="206">
        <f>SUM(C31:D31)</f>
        <v>200</v>
      </c>
      <c r="C31" s="206">
        <v>50</v>
      </c>
      <c r="D31" s="206">
        <v>150</v>
      </c>
      <c r="F31" s="205" t="s">
        <v>229</v>
      </c>
      <c r="G31" s="206">
        <f>SUM(H31:I31)</f>
        <v>200</v>
      </c>
      <c r="H31" s="206">
        <v>50</v>
      </c>
      <c r="I31" s="206">
        <v>150</v>
      </c>
    </row>
    <row r="32" spans="1:9">
      <c r="A32" s="203" t="s">
        <v>230</v>
      </c>
      <c r="B32" s="204">
        <f>B22+B24+B26+B28+B30</f>
        <v>54000</v>
      </c>
      <c r="C32" s="208">
        <f>C22+C24+C26+C28+C30</f>
        <v>17402.741812642802</v>
      </c>
      <c r="D32" s="208">
        <f>D22+D24+D26+D28+D30</f>
        <v>36597.258187357198</v>
      </c>
      <c r="E32" s="183">
        <f>SUM(C32:D32)</f>
        <v>54000</v>
      </c>
      <c r="F32" s="203" t="s">
        <v>230</v>
      </c>
      <c r="G32" s="204">
        <f>G22+G24+G26+G28+G30</f>
        <v>54000</v>
      </c>
      <c r="H32" s="208">
        <f>H22+H24+H26+H28+H30</f>
        <v>16107.692307692309</v>
      </c>
      <c r="I32" s="208">
        <f>I22+I24+I26+I28+I30</f>
        <v>37892.307692307688</v>
      </c>
    </row>
    <row r="34" spans="1:9">
      <c r="A34" s="180" t="s">
        <v>231</v>
      </c>
      <c r="B34" s="174"/>
      <c r="C34" s="202" t="s">
        <v>215</v>
      </c>
      <c r="D34" s="202" t="s">
        <v>216</v>
      </c>
      <c r="F34" s="180" t="s">
        <v>231</v>
      </c>
      <c r="G34" s="174"/>
      <c r="H34" s="202" t="s">
        <v>215</v>
      </c>
      <c r="I34" s="202" t="s">
        <v>216</v>
      </c>
    </row>
    <row r="35" spans="1:9">
      <c r="A35" s="209" t="s">
        <v>232</v>
      </c>
      <c r="B35" s="210"/>
      <c r="C35" s="204">
        <v>6000</v>
      </c>
      <c r="D35" s="204">
        <v>3000</v>
      </c>
      <c r="F35" s="209" t="s">
        <v>232</v>
      </c>
      <c r="G35" s="210"/>
      <c r="H35" s="204">
        <v>6000</v>
      </c>
      <c r="I35" s="204">
        <v>3000</v>
      </c>
    </row>
    <row r="36" spans="1:9">
      <c r="A36" s="65" t="s">
        <v>92</v>
      </c>
      <c r="B36" s="174"/>
      <c r="C36" s="206">
        <v>12</v>
      </c>
      <c r="D36" s="206">
        <v>18</v>
      </c>
      <c r="F36" s="65" t="s">
        <v>92</v>
      </c>
      <c r="G36" s="174"/>
      <c r="H36" s="206">
        <v>12</v>
      </c>
      <c r="I36" s="206">
        <v>18</v>
      </c>
    </row>
    <row r="37" spans="1:9">
      <c r="A37" s="209" t="s">
        <v>233</v>
      </c>
      <c r="B37" s="210"/>
      <c r="C37" s="204">
        <f>C36*C35</f>
        <v>72000</v>
      </c>
      <c r="D37" s="204">
        <f>D36*D35</f>
        <v>54000</v>
      </c>
      <c r="F37" s="209" t="s">
        <v>233</v>
      </c>
      <c r="G37" s="210"/>
      <c r="H37" s="204">
        <f>H36*H35</f>
        <v>72000</v>
      </c>
      <c r="I37" s="204">
        <f>I36*I35</f>
        <v>54000</v>
      </c>
    </row>
    <row r="38" spans="1:9">
      <c r="A38" s="65" t="s">
        <v>217</v>
      </c>
      <c r="B38" s="174"/>
      <c r="C38" s="206">
        <v>6</v>
      </c>
      <c r="D38" s="206">
        <v>3</v>
      </c>
      <c r="F38" s="65" t="s">
        <v>217</v>
      </c>
      <c r="G38" s="174"/>
      <c r="H38" s="206">
        <v>6</v>
      </c>
      <c r="I38" s="206">
        <v>3</v>
      </c>
    </row>
    <row r="39" spans="1:9">
      <c r="A39" s="209" t="s">
        <v>234</v>
      </c>
      <c r="B39" s="210"/>
      <c r="C39" s="204">
        <f>C38*C35</f>
        <v>36000</v>
      </c>
      <c r="D39" s="204">
        <f>D38*D35</f>
        <v>9000</v>
      </c>
      <c r="F39" s="209" t="s">
        <v>234</v>
      </c>
      <c r="G39" s="210"/>
      <c r="H39" s="204">
        <f>H38*H35</f>
        <v>36000</v>
      </c>
      <c r="I39" s="204">
        <f>I38*I35</f>
        <v>9000</v>
      </c>
    </row>
    <row r="40" spans="1:9">
      <c r="A40" s="181" t="s">
        <v>235</v>
      </c>
      <c r="B40" s="174"/>
      <c r="C40" s="206">
        <f>C37+C39</f>
        <v>108000</v>
      </c>
      <c r="D40" s="206">
        <f>D37+D39</f>
        <v>63000</v>
      </c>
      <c r="F40" s="181" t="s">
        <v>235</v>
      </c>
      <c r="G40" s="174"/>
      <c r="H40" s="206">
        <f>H37+H39</f>
        <v>108000</v>
      </c>
      <c r="I40" s="206">
        <f>I37+I39</f>
        <v>63000</v>
      </c>
    </row>
    <row r="41" spans="1:9">
      <c r="A41" s="209" t="s">
        <v>236</v>
      </c>
      <c r="B41" s="210"/>
      <c r="C41" s="204">
        <f>C32</f>
        <v>17402.741812642802</v>
      </c>
      <c r="D41" s="204">
        <f>D32</f>
        <v>36597.258187357198</v>
      </c>
      <c r="F41" s="209" t="s">
        <v>236</v>
      </c>
      <c r="G41" s="210"/>
      <c r="H41" s="204">
        <f>H32</f>
        <v>16107.692307692309</v>
      </c>
      <c r="I41" s="204">
        <f>I32</f>
        <v>37892.307692307688</v>
      </c>
    </row>
    <row r="42" spans="1:9">
      <c r="A42" s="211" t="s">
        <v>154</v>
      </c>
      <c r="B42" s="202"/>
      <c r="C42" s="212">
        <f>C40+C41</f>
        <v>125402.74181264281</v>
      </c>
      <c r="D42" s="212">
        <f>D40+D41</f>
        <v>99597.258187357191</v>
      </c>
      <c r="F42" s="211" t="s">
        <v>154</v>
      </c>
      <c r="G42" s="202"/>
      <c r="H42" s="212">
        <f>H40+H41</f>
        <v>124107.69230769231</v>
      </c>
      <c r="I42" s="212">
        <f>I40+I41</f>
        <v>100892.30769230769</v>
      </c>
    </row>
    <row r="43" spans="1:9">
      <c r="A43" s="209" t="s">
        <v>132</v>
      </c>
      <c r="B43" s="209"/>
      <c r="C43" s="213">
        <f>C42/C35</f>
        <v>20.900456968773803</v>
      </c>
      <c r="D43" s="213">
        <f>D42/D35</f>
        <v>33.199086062452395</v>
      </c>
      <c r="F43" s="209" t="s">
        <v>132</v>
      </c>
      <c r="G43" s="209"/>
      <c r="H43" s="213">
        <f>H42/H35</f>
        <v>20.684615384615384</v>
      </c>
      <c r="I43" s="213">
        <f>I42/I35</f>
        <v>33.630769230769232</v>
      </c>
    </row>
    <row r="47" spans="1:9">
      <c r="A47" s="214" t="s">
        <v>237</v>
      </c>
      <c r="C47" s="11" t="s">
        <v>215</v>
      </c>
      <c r="D47" s="11" t="s">
        <v>216</v>
      </c>
    </row>
    <row r="48" spans="1:9">
      <c r="A48" s="215" t="s">
        <v>231</v>
      </c>
      <c r="B48" s="132"/>
      <c r="C48" s="216"/>
      <c r="D48" s="216"/>
      <c r="E48" s="216" t="s">
        <v>54</v>
      </c>
    </row>
    <row r="49" spans="1:5">
      <c r="A49" s="217" t="s">
        <v>232</v>
      </c>
      <c r="B49" s="42"/>
      <c r="C49" s="216">
        <v>6000</v>
      </c>
      <c r="D49" s="216">
        <v>3000</v>
      </c>
      <c r="E49" s="216"/>
    </row>
    <row r="50" spans="1:5">
      <c r="A50" s="217" t="s">
        <v>92</v>
      </c>
      <c r="B50" s="42"/>
      <c r="C50" s="216">
        <v>12</v>
      </c>
      <c r="D50" s="216">
        <v>18</v>
      </c>
      <c r="E50" s="216"/>
    </row>
    <row r="51" spans="1:5">
      <c r="A51" s="217" t="s">
        <v>233</v>
      </c>
      <c r="B51" s="42"/>
      <c r="C51" s="216">
        <f>C50*C49</f>
        <v>72000</v>
      </c>
      <c r="D51" s="216">
        <f>D50*D49</f>
        <v>54000</v>
      </c>
      <c r="E51" s="216"/>
    </row>
    <row r="52" spans="1:5">
      <c r="A52" s="217" t="s">
        <v>217</v>
      </c>
      <c r="B52" s="42"/>
      <c r="C52" s="216">
        <v>6</v>
      </c>
      <c r="D52" s="216">
        <v>3</v>
      </c>
      <c r="E52" s="216"/>
    </row>
    <row r="53" spans="1:5">
      <c r="A53" s="217" t="s">
        <v>234</v>
      </c>
      <c r="B53" s="42"/>
      <c r="C53" s="216">
        <f>C52*C49</f>
        <v>36000</v>
      </c>
      <c r="D53" s="216">
        <f>D52*D49</f>
        <v>9000</v>
      </c>
      <c r="E53" s="216">
        <f>C53+D53</f>
        <v>45000</v>
      </c>
    </row>
    <row r="54" spans="1:5">
      <c r="A54" s="218" t="s">
        <v>235</v>
      </c>
      <c r="B54" s="219"/>
      <c r="C54" s="204">
        <f>C51+C53</f>
        <v>108000</v>
      </c>
      <c r="D54" s="204">
        <f>D51+D53</f>
        <v>63000</v>
      </c>
      <c r="E54" s="204">
        <f>C54+D54</f>
        <v>171000</v>
      </c>
    </row>
    <row r="55" spans="1:5">
      <c r="A55" s="217" t="s">
        <v>236</v>
      </c>
      <c r="B55" s="42"/>
      <c r="C55" s="216">
        <f>E55*C53/E53</f>
        <v>43200</v>
      </c>
      <c r="D55" s="216">
        <f>E55*D53/E53</f>
        <v>10800</v>
      </c>
      <c r="E55" s="216">
        <v>54000</v>
      </c>
    </row>
    <row r="56" spans="1:5">
      <c r="A56" s="220" t="s">
        <v>154</v>
      </c>
      <c r="B56" s="221"/>
      <c r="C56" s="204">
        <f>C54+C55</f>
        <v>151200</v>
      </c>
      <c r="D56" s="204">
        <f>D54+D55</f>
        <v>73800</v>
      </c>
      <c r="E56" s="204"/>
    </row>
    <row r="57" spans="1:5">
      <c r="A57" s="222" t="s">
        <v>132</v>
      </c>
      <c r="B57" s="223"/>
      <c r="C57" s="224">
        <f>C56/C49</f>
        <v>25.2</v>
      </c>
      <c r="D57" s="224">
        <f>D56/D49</f>
        <v>24.6</v>
      </c>
      <c r="E57" s="42"/>
    </row>
    <row r="58" spans="1:5">
      <c r="A58" s="223"/>
      <c r="B58" s="223"/>
      <c r="C58" s="223"/>
      <c r="D58" s="223"/>
      <c r="E58" s="42"/>
    </row>
    <row r="60" spans="1:5">
      <c r="A60" s="214" t="s">
        <v>238</v>
      </c>
    </row>
    <row r="61" spans="1:5">
      <c r="A61" s="215" t="s">
        <v>231</v>
      </c>
      <c r="B61" s="132"/>
      <c r="C61" s="216"/>
      <c r="D61" s="216"/>
      <c r="E61" s="216" t="s">
        <v>54</v>
      </c>
    </row>
    <row r="62" spans="1:5">
      <c r="A62" s="217" t="s">
        <v>232</v>
      </c>
      <c r="B62" s="42"/>
      <c r="C62" s="216">
        <v>6000</v>
      </c>
      <c r="D62" s="216">
        <v>3000</v>
      </c>
      <c r="E62" s="216"/>
    </row>
    <row r="63" spans="1:5">
      <c r="A63" s="217" t="s">
        <v>92</v>
      </c>
      <c r="B63" s="42"/>
      <c r="C63" s="216">
        <v>12</v>
      </c>
      <c r="D63" s="216">
        <v>18</v>
      </c>
      <c r="E63" s="216"/>
    </row>
    <row r="64" spans="1:5">
      <c r="A64" s="217" t="s">
        <v>233</v>
      </c>
      <c r="B64" s="42"/>
      <c r="C64" s="216">
        <f>C63*C62</f>
        <v>72000</v>
      </c>
      <c r="D64" s="216">
        <f>D63*D62</f>
        <v>54000</v>
      </c>
      <c r="E64" s="216">
        <f>C64+D64</f>
        <v>126000</v>
      </c>
    </row>
    <row r="65" spans="1:5">
      <c r="A65" s="217" t="s">
        <v>217</v>
      </c>
      <c r="B65" s="42"/>
      <c r="C65" s="216">
        <v>6</v>
      </c>
      <c r="D65" s="216">
        <v>3</v>
      </c>
      <c r="E65" s="216"/>
    </row>
    <row r="66" spans="1:5">
      <c r="A66" s="217" t="s">
        <v>234</v>
      </c>
      <c r="B66" s="42"/>
      <c r="C66" s="216">
        <f>C65*C62</f>
        <v>36000</v>
      </c>
      <c r="D66" s="216">
        <f>D65*D62</f>
        <v>9000</v>
      </c>
      <c r="E66" s="216">
        <f>C66+D66</f>
        <v>45000</v>
      </c>
    </row>
    <row r="67" spans="1:5">
      <c r="A67" s="218" t="s">
        <v>235</v>
      </c>
      <c r="B67" s="219"/>
      <c r="C67" s="204">
        <f>C64+C66</f>
        <v>108000</v>
      </c>
      <c r="D67" s="204">
        <f>D64+D66</f>
        <v>63000</v>
      </c>
      <c r="E67" s="204">
        <f>C67+D67</f>
        <v>171000</v>
      </c>
    </row>
    <row r="68" spans="1:5">
      <c r="A68" s="217" t="s">
        <v>236</v>
      </c>
      <c r="B68" s="42"/>
      <c r="C68" s="216">
        <f>E68*C64/E64</f>
        <v>30857.142857142859</v>
      </c>
      <c r="D68" s="216">
        <f>E68*D64/E64</f>
        <v>23142.857142857141</v>
      </c>
      <c r="E68" s="216">
        <v>54000</v>
      </c>
    </row>
    <row r="69" spans="1:5">
      <c r="A69" s="220" t="s">
        <v>154</v>
      </c>
      <c r="B69" s="221"/>
      <c r="C69" s="204">
        <f>C67+C68</f>
        <v>138857.14285714287</v>
      </c>
      <c r="D69" s="204">
        <f>D67+D68</f>
        <v>86142.857142857145</v>
      </c>
      <c r="E69" s="216"/>
    </row>
    <row r="70" spans="1:5">
      <c r="A70" s="222" t="s">
        <v>132</v>
      </c>
      <c r="C70" s="224">
        <f>C69/C62</f>
        <v>23.142857142857146</v>
      </c>
      <c r="D70" s="224">
        <f>D69/D62</f>
        <v>28.714285714285715</v>
      </c>
    </row>
  </sheetData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8"/>
  <sheetViews>
    <sheetView showGridLines="0" topLeftCell="C12" zoomScale="130" zoomScaleNormal="130" workbookViewId="0">
      <selection activeCell="I21" sqref="I21:J21"/>
    </sheetView>
  </sheetViews>
  <sheetFormatPr defaultColWidth="8.81640625" defaultRowHeight="13.5"/>
  <cols>
    <col min="1" max="1" width="34.36328125" style="11" customWidth="1"/>
    <col min="2" max="2" width="13.36328125" style="11" bestFit="1" customWidth="1"/>
    <col min="3" max="3" width="11.1796875" style="11" customWidth="1"/>
    <col min="4" max="4" width="8.81640625" style="11" customWidth="1"/>
    <col min="5" max="5" width="32.7265625" style="11" customWidth="1"/>
    <col min="6" max="6" width="13.36328125" style="11" bestFit="1" customWidth="1"/>
    <col min="7" max="8" width="8.81640625" style="11"/>
    <col min="9" max="10" width="15.1796875" style="11" bestFit="1" customWidth="1"/>
    <col min="11" max="16384" width="8.81640625" style="11"/>
  </cols>
  <sheetData>
    <row r="3" spans="1:10" ht="14">
      <c r="A3" s="225"/>
      <c r="B3" s="226" t="s">
        <v>239</v>
      </c>
      <c r="C3" s="226" t="s">
        <v>240</v>
      </c>
      <c r="E3" s="227"/>
      <c r="F3" s="132"/>
      <c r="G3" s="132"/>
      <c r="H3" s="132"/>
      <c r="I3" s="228" t="s">
        <v>239</v>
      </c>
      <c r="J3" s="229" t="s">
        <v>240</v>
      </c>
    </row>
    <row r="4" spans="1:10" ht="14">
      <c r="A4" s="225" t="s">
        <v>0</v>
      </c>
      <c r="B4" s="230">
        <v>790715</v>
      </c>
      <c r="C4" s="230">
        <v>994620</v>
      </c>
      <c r="E4" s="231" t="s">
        <v>0</v>
      </c>
      <c r="F4" s="42"/>
      <c r="G4" s="42"/>
      <c r="H4" s="42"/>
      <c r="I4" s="232">
        <v>790715</v>
      </c>
      <c r="J4" s="233">
        <v>994620</v>
      </c>
    </row>
    <row r="5" spans="1:10" ht="14">
      <c r="A5" s="225"/>
      <c r="B5" s="230"/>
      <c r="C5" s="230"/>
      <c r="E5" s="231"/>
      <c r="F5" s="42"/>
      <c r="G5" s="42"/>
      <c r="H5" s="42"/>
      <c r="I5" s="232"/>
      <c r="J5" s="233"/>
    </row>
    <row r="6" spans="1:10" ht="14">
      <c r="A6" s="225" t="s">
        <v>146</v>
      </c>
      <c r="B6" s="230"/>
      <c r="C6" s="230"/>
      <c r="E6" s="231" t="s">
        <v>146</v>
      </c>
      <c r="F6" s="42"/>
      <c r="G6" s="42"/>
      <c r="H6" s="42"/>
      <c r="I6" s="232"/>
      <c r="J6" s="233"/>
    </row>
    <row r="7" spans="1:10" ht="14">
      <c r="A7" s="225" t="s">
        <v>241</v>
      </c>
      <c r="B7" s="226"/>
      <c r="C7" s="234">
        <v>80000</v>
      </c>
      <c r="E7" s="231" t="s">
        <v>241</v>
      </c>
      <c r="F7" s="42"/>
      <c r="G7" s="42"/>
      <c r="H7" s="42"/>
      <c r="I7" s="235"/>
      <c r="J7" s="236">
        <v>80000</v>
      </c>
    </row>
    <row r="8" spans="1:10" ht="14">
      <c r="A8" s="225" t="s">
        <v>242</v>
      </c>
      <c r="B8" s="234">
        <v>200000</v>
      </c>
      <c r="C8" s="234">
        <v>120000</v>
      </c>
      <c r="E8" s="231" t="s">
        <v>242</v>
      </c>
      <c r="F8" s="42"/>
      <c r="G8" s="42"/>
      <c r="H8" s="42"/>
      <c r="I8" s="235">
        <v>200000</v>
      </c>
      <c r="J8" s="236">
        <v>120000</v>
      </c>
    </row>
    <row r="9" spans="1:10" ht="14">
      <c r="A9" s="225" t="s">
        <v>243</v>
      </c>
      <c r="B9" s="234">
        <v>100000</v>
      </c>
      <c r="C9" s="226"/>
      <c r="E9" s="231" t="s">
        <v>243</v>
      </c>
      <c r="F9" s="42"/>
      <c r="G9" s="42"/>
      <c r="H9" s="42"/>
      <c r="I9" s="235">
        <v>100000</v>
      </c>
      <c r="J9" s="236"/>
    </row>
    <row r="10" spans="1:10" ht="14">
      <c r="A10" s="225" t="s">
        <v>244</v>
      </c>
      <c r="B10" s="226"/>
      <c r="C10" s="234">
        <v>45000</v>
      </c>
      <c r="E10" s="231" t="s">
        <v>244</v>
      </c>
      <c r="F10" s="42"/>
      <c r="G10" s="42"/>
      <c r="H10" s="42"/>
      <c r="I10" s="235"/>
      <c r="J10" s="236">
        <v>45000</v>
      </c>
    </row>
    <row r="11" spans="1:10" ht="14">
      <c r="A11" s="225" t="s">
        <v>60</v>
      </c>
      <c r="B11" s="234">
        <v>155000</v>
      </c>
      <c r="C11" s="226"/>
      <c r="E11" s="231" t="s">
        <v>60</v>
      </c>
      <c r="F11" s="42"/>
      <c r="G11" s="42"/>
      <c r="H11" s="42"/>
      <c r="I11" s="235">
        <v>155000</v>
      </c>
      <c r="J11" s="236"/>
    </row>
    <row r="12" spans="1:10" ht="14">
      <c r="A12" s="225"/>
      <c r="B12" s="234"/>
      <c r="C12" s="226"/>
      <c r="E12" s="237" t="s">
        <v>245</v>
      </c>
      <c r="F12" s="42"/>
      <c r="G12" s="42"/>
      <c r="H12" s="42"/>
      <c r="I12" s="58">
        <f>SUM(I7:I11)</f>
        <v>455000</v>
      </c>
      <c r="J12" s="238">
        <f>SUM(J7:J11)</f>
        <v>245000</v>
      </c>
    </row>
    <row r="13" spans="1:10" ht="14">
      <c r="A13" s="225" t="s">
        <v>246</v>
      </c>
      <c r="B13" s="234"/>
      <c r="C13" s="226"/>
      <c r="E13" s="217"/>
      <c r="F13" s="42"/>
      <c r="G13" s="239" t="s">
        <v>247</v>
      </c>
      <c r="H13" s="42"/>
      <c r="I13" s="58"/>
      <c r="J13" s="238"/>
    </row>
    <row r="14" spans="1:10" ht="28">
      <c r="A14" s="225" t="s">
        <v>248</v>
      </c>
      <c r="B14" s="234">
        <v>1000</v>
      </c>
      <c r="C14" s="234">
        <v>5000</v>
      </c>
      <c r="E14" s="237" t="s">
        <v>249</v>
      </c>
      <c r="F14" s="42"/>
      <c r="G14" s="226" t="s">
        <v>239</v>
      </c>
      <c r="H14" s="226" t="s">
        <v>240</v>
      </c>
      <c r="I14" s="58"/>
      <c r="J14" s="238"/>
    </row>
    <row r="15" spans="1:10" ht="28">
      <c r="A15" s="225" t="s">
        <v>250</v>
      </c>
      <c r="B15" s="226">
        <v>5</v>
      </c>
      <c r="C15" s="226">
        <v>20</v>
      </c>
      <c r="E15" s="231" t="s">
        <v>251</v>
      </c>
      <c r="F15" s="240">
        <v>150000</v>
      </c>
      <c r="G15" s="234">
        <v>1000</v>
      </c>
      <c r="H15" s="234">
        <v>5000</v>
      </c>
      <c r="I15" s="58">
        <f>$F$15*G15/SUM($G$15:$H$15)</f>
        <v>25000</v>
      </c>
      <c r="J15" s="238">
        <f>$F$15*H15/SUM($G$15:$H$15)</f>
        <v>125000</v>
      </c>
    </row>
    <row r="16" spans="1:10" ht="28">
      <c r="A16" s="225" t="s">
        <v>252</v>
      </c>
      <c r="B16" s="241">
        <v>0.25</v>
      </c>
      <c r="C16" s="241">
        <v>0.75</v>
      </c>
      <c r="E16" s="231" t="s">
        <v>253</v>
      </c>
      <c r="F16" s="240">
        <v>180000</v>
      </c>
      <c r="G16" s="226">
        <v>5</v>
      </c>
      <c r="H16" s="226">
        <v>20</v>
      </c>
      <c r="I16" s="58">
        <f>$F$16*G16/SUM($G$16:$H$16)</f>
        <v>36000</v>
      </c>
      <c r="J16" s="238">
        <f>$F$16*H16/SUM($G$16:$H$16)</f>
        <v>144000</v>
      </c>
    </row>
    <row r="17" spans="1:10" ht="28">
      <c r="A17" s="225" t="s">
        <v>254</v>
      </c>
      <c r="B17" s="226">
        <v>10</v>
      </c>
      <c r="C17" s="226">
        <v>40</v>
      </c>
      <c r="E17" s="231" t="s">
        <v>255</v>
      </c>
      <c r="F17" s="240">
        <v>70000</v>
      </c>
      <c r="G17" s="241">
        <v>0.25</v>
      </c>
      <c r="H17" s="241">
        <v>0.75</v>
      </c>
      <c r="I17" s="58">
        <f>$F$17*G17/SUM($G$17:$H$17)</f>
        <v>17500</v>
      </c>
      <c r="J17" s="238">
        <f>$F$17*H17/SUM($G$17:$H$17)</f>
        <v>52500</v>
      </c>
    </row>
    <row r="18" spans="1:10" ht="28">
      <c r="A18" s="225" t="s">
        <v>256</v>
      </c>
      <c r="B18" s="226">
        <v>20</v>
      </c>
      <c r="C18" s="226">
        <v>80</v>
      </c>
      <c r="E18" s="231" t="s">
        <v>257</v>
      </c>
      <c r="F18" s="240">
        <v>100000</v>
      </c>
      <c r="G18" s="226">
        <v>20</v>
      </c>
      <c r="H18" s="226">
        <v>80</v>
      </c>
      <c r="I18" s="58">
        <f>$F$18*G18/SUM($G$18:$H$18)</f>
        <v>20000</v>
      </c>
      <c r="J18" s="238">
        <f>$F$18*H18/SUM($G$18:$H$18)</f>
        <v>80000</v>
      </c>
    </row>
    <row r="19" spans="1:10" ht="14">
      <c r="A19" s="225" t="s">
        <v>258</v>
      </c>
      <c r="B19" s="226"/>
      <c r="C19" s="226">
        <v>300</v>
      </c>
      <c r="E19" s="237" t="s">
        <v>259</v>
      </c>
      <c r="F19" s="42"/>
      <c r="G19" s="42"/>
      <c r="H19" s="42"/>
      <c r="I19" s="58">
        <f>SUM(I15:I18)</f>
        <v>98500</v>
      </c>
      <c r="J19" s="238">
        <f>SUM(J15:J18)</f>
        <v>401500</v>
      </c>
    </row>
    <row r="20" spans="1:10" ht="14">
      <c r="A20" s="225"/>
      <c r="B20" s="234"/>
      <c r="C20" s="226"/>
      <c r="E20" s="242" t="s">
        <v>154</v>
      </c>
      <c r="F20" s="243"/>
      <c r="G20" s="243"/>
      <c r="H20" s="243"/>
      <c r="I20" s="244">
        <f>I12+I19</f>
        <v>553500</v>
      </c>
      <c r="J20" s="245">
        <f>J19+J12</f>
        <v>646500</v>
      </c>
    </row>
    <row r="21" spans="1:10" ht="14">
      <c r="A21" s="225"/>
      <c r="B21" s="234"/>
      <c r="C21" s="226"/>
      <c r="E21" s="11" t="s">
        <v>458</v>
      </c>
      <c r="I21" s="52">
        <f>I4-I20</f>
        <v>237215</v>
      </c>
      <c r="J21" s="52">
        <f>J4-J20</f>
        <v>348120</v>
      </c>
    </row>
    <row r="22" spans="1:10" ht="14">
      <c r="A22" s="225" t="s">
        <v>260</v>
      </c>
      <c r="B22" s="234"/>
      <c r="C22" s="226"/>
    </row>
    <row r="23" spans="1:10" ht="14">
      <c r="A23" s="225" t="s">
        <v>218</v>
      </c>
      <c r="B23" s="226"/>
      <c r="C23" s="42"/>
    </row>
    <row r="24" spans="1:10" ht="28">
      <c r="A24" s="225" t="s">
        <v>251</v>
      </c>
      <c r="B24" s="240">
        <v>150000</v>
      </c>
      <c r="C24" s="42"/>
    </row>
    <row r="25" spans="1:10" ht="28">
      <c r="A25" s="225" t="s">
        <v>253</v>
      </c>
      <c r="B25" s="240">
        <v>180000</v>
      </c>
      <c r="C25" s="42"/>
    </row>
    <row r="26" spans="1:10" ht="14">
      <c r="A26" s="225" t="s">
        <v>255</v>
      </c>
      <c r="B26" s="240">
        <v>70000</v>
      </c>
      <c r="C26" s="42"/>
    </row>
    <row r="27" spans="1:10" ht="14">
      <c r="A27" s="225" t="s">
        <v>257</v>
      </c>
      <c r="B27" s="240">
        <v>100000</v>
      </c>
      <c r="C27" s="42"/>
    </row>
    <row r="28" spans="1:10" ht="14">
      <c r="A28" s="225" t="s">
        <v>19</v>
      </c>
      <c r="B28" s="240">
        <v>500000</v>
      </c>
      <c r="C28" s="42"/>
    </row>
  </sheetData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opLeftCell="A42" zoomScale="140" zoomScaleNormal="140" workbookViewId="0">
      <selection activeCell="B51" sqref="B51:D51"/>
    </sheetView>
  </sheetViews>
  <sheetFormatPr defaultColWidth="8.81640625" defaultRowHeight="13.5"/>
  <cols>
    <col min="1" max="1" width="45.453125" style="11" bestFit="1" customWidth="1"/>
    <col min="2" max="5" width="10.81640625" style="11" bestFit="1" customWidth="1"/>
    <col min="6" max="6" width="8.81640625" style="11"/>
    <col min="7" max="7" width="10.81640625" style="11" bestFit="1" customWidth="1"/>
    <col min="8" max="9" width="8.81640625" style="11"/>
    <col min="10" max="10" width="10.81640625" style="11" bestFit="1" customWidth="1"/>
    <col min="11" max="16384" width="8.81640625" style="11"/>
  </cols>
  <sheetData>
    <row r="1" spans="1:4">
      <c r="A1" s="183" t="s">
        <v>261</v>
      </c>
    </row>
    <row r="3" spans="1:4">
      <c r="B3" s="246" t="s">
        <v>262</v>
      </c>
      <c r="C3" s="246" t="s">
        <v>263</v>
      </c>
      <c r="D3" s="246" t="s">
        <v>264</v>
      </c>
    </row>
    <row r="4" spans="1:4">
      <c r="A4" s="11" t="s">
        <v>265</v>
      </c>
      <c r="B4" s="11">
        <v>8000</v>
      </c>
      <c r="C4" s="11">
        <v>16000</v>
      </c>
      <c r="D4" s="11">
        <v>4000</v>
      </c>
    </row>
    <row r="5" spans="1:4">
      <c r="A5" s="183" t="s">
        <v>266</v>
      </c>
      <c r="B5" s="183">
        <v>7000</v>
      </c>
      <c r="C5" s="183">
        <v>7000</v>
      </c>
      <c r="D5" s="183">
        <v>14000</v>
      </c>
    </row>
    <row r="6" spans="1:4">
      <c r="A6" s="183" t="s">
        <v>267</v>
      </c>
      <c r="B6" s="183">
        <v>200</v>
      </c>
      <c r="C6" s="183">
        <v>200</v>
      </c>
      <c r="D6" s="183">
        <v>200</v>
      </c>
    </row>
    <row r="7" spans="1:4">
      <c r="A7" s="183" t="s">
        <v>268</v>
      </c>
      <c r="B7" s="183">
        <f>0.05*600</f>
        <v>30</v>
      </c>
      <c r="C7" s="183">
        <f>0.05*600</f>
        <v>30</v>
      </c>
      <c r="D7" s="183">
        <f>0.05*600</f>
        <v>30</v>
      </c>
    </row>
    <row r="8" spans="1:4">
      <c r="A8" s="183" t="s">
        <v>269</v>
      </c>
      <c r="B8" s="183">
        <f>B6+B7</f>
        <v>230</v>
      </c>
      <c r="C8" s="183">
        <f>C6+C7</f>
        <v>230</v>
      </c>
      <c r="D8" s="183">
        <f>D6+D7</f>
        <v>230</v>
      </c>
    </row>
    <row r="9" spans="1:4">
      <c r="A9" s="183"/>
      <c r="B9" s="183"/>
      <c r="C9" s="183"/>
      <c r="D9" s="183"/>
    </row>
    <row r="10" spans="1:4">
      <c r="A10" s="183" t="s">
        <v>270</v>
      </c>
      <c r="B10" s="183"/>
      <c r="C10" s="183"/>
      <c r="D10" s="183"/>
    </row>
    <row r="11" spans="1:4">
      <c r="A11" s="183" t="s">
        <v>271</v>
      </c>
      <c r="B11" s="183">
        <v>2000000</v>
      </c>
      <c r="C11" s="183">
        <v>2000000</v>
      </c>
      <c r="D11" s="183">
        <v>2000000</v>
      </c>
    </row>
    <row r="12" spans="1:4">
      <c r="A12" s="183" t="s">
        <v>272</v>
      </c>
      <c r="B12" s="183">
        <v>200000</v>
      </c>
      <c r="C12" s="183">
        <v>200000</v>
      </c>
      <c r="D12" s="183">
        <v>200000</v>
      </c>
    </row>
    <row r="13" spans="1:4">
      <c r="A13" s="183" t="s">
        <v>273</v>
      </c>
      <c r="B13" s="183">
        <v>100000</v>
      </c>
      <c r="C13" s="183">
        <v>100000</v>
      </c>
      <c r="D13" s="183">
        <v>100000</v>
      </c>
    </row>
    <row r="14" spans="1:4">
      <c r="A14" s="183" t="s">
        <v>274</v>
      </c>
      <c r="B14" s="183">
        <v>100000</v>
      </c>
      <c r="C14" s="183">
        <v>100000</v>
      </c>
      <c r="D14" s="183">
        <v>100000</v>
      </c>
    </row>
    <row r="15" spans="1:4">
      <c r="A15" s="247" t="s">
        <v>275</v>
      </c>
      <c r="B15" s="247">
        <f>SUM(B11:B14)</f>
        <v>2400000</v>
      </c>
      <c r="C15" s="247">
        <f>SUM(C11:C14)</f>
        <v>2400000</v>
      </c>
      <c r="D15" s="247">
        <f>SUM(D11:D14)</f>
        <v>2400000</v>
      </c>
    </row>
    <row r="16" spans="1:4">
      <c r="A16" s="183" t="s">
        <v>276</v>
      </c>
      <c r="B16" s="183">
        <v>300000</v>
      </c>
      <c r="C16" s="183">
        <v>300000</v>
      </c>
      <c r="D16" s="183">
        <v>300000</v>
      </c>
    </row>
    <row r="17" spans="1:10">
      <c r="A17" s="183" t="s">
        <v>277</v>
      </c>
      <c r="B17" s="183">
        <v>50000</v>
      </c>
      <c r="C17" s="183">
        <v>50000</v>
      </c>
      <c r="D17" s="183">
        <v>50000</v>
      </c>
    </row>
    <row r="18" spans="1:10">
      <c r="A18" s="247" t="s">
        <v>278</v>
      </c>
      <c r="B18" s="247">
        <f>B16+B17</f>
        <v>350000</v>
      </c>
      <c r="C18" s="247">
        <f>C16+C17</f>
        <v>350000</v>
      </c>
      <c r="D18" s="247">
        <f>D16+D17</f>
        <v>350000</v>
      </c>
    </row>
    <row r="19" spans="1:10">
      <c r="A19" s="183"/>
      <c r="B19" s="183"/>
      <c r="C19" s="183"/>
      <c r="D19" s="183"/>
    </row>
    <row r="21" spans="1:10">
      <c r="B21" s="372" t="s">
        <v>262</v>
      </c>
      <c r="C21" s="372"/>
      <c r="D21" s="372"/>
      <c r="E21" s="372" t="s">
        <v>263</v>
      </c>
      <c r="F21" s="372"/>
      <c r="G21" s="372"/>
      <c r="H21" s="372" t="s">
        <v>264</v>
      </c>
      <c r="I21" s="372"/>
      <c r="J21" s="372"/>
    </row>
    <row r="22" spans="1:10">
      <c r="A22" s="183" t="s">
        <v>7</v>
      </c>
      <c r="B22" s="11" t="s">
        <v>279</v>
      </c>
      <c r="C22" s="11" t="s">
        <v>55</v>
      </c>
      <c r="D22" s="11" t="s">
        <v>187</v>
      </c>
      <c r="E22" s="248"/>
      <c r="F22" s="248"/>
      <c r="G22" s="248"/>
      <c r="H22" s="248"/>
      <c r="I22" s="248"/>
      <c r="J22" s="248"/>
    </row>
    <row r="23" spans="1:10">
      <c r="A23" s="183" t="s">
        <v>280</v>
      </c>
      <c r="B23" s="249">
        <v>0</v>
      </c>
      <c r="E23" s="249">
        <f>B26</f>
        <v>1000</v>
      </c>
      <c r="G23" s="183">
        <f>D26</f>
        <v>230000</v>
      </c>
      <c r="H23" s="249">
        <f>E26</f>
        <v>10000</v>
      </c>
      <c r="J23" s="183">
        <f>G26</f>
        <v>2300000</v>
      </c>
    </row>
    <row r="24" spans="1:10">
      <c r="A24" s="183" t="s">
        <v>281</v>
      </c>
      <c r="B24" s="249">
        <f>B4</f>
        <v>8000</v>
      </c>
      <c r="C24" s="183">
        <f>B8</f>
        <v>230</v>
      </c>
      <c r="D24" s="11">
        <f>C24*B24</f>
        <v>1840000</v>
      </c>
      <c r="E24" s="249">
        <v>16000</v>
      </c>
      <c r="F24" s="183">
        <f>C8</f>
        <v>230</v>
      </c>
      <c r="G24" s="11">
        <f>F24*E24</f>
        <v>3680000</v>
      </c>
      <c r="H24" s="249">
        <v>4000</v>
      </c>
      <c r="I24" s="183">
        <f>D8</f>
        <v>230</v>
      </c>
      <c r="J24" s="11">
        <f>I24*H24</f>
        <v>920000</v>
      </c>
    </row>
    <row r="25" spans="1:10">
      <c r="A25" s="183" t="s">
        <v>282</v>
      </c>
      <c r="B25" s="249">
        <f>B5</f>
        <v>7000</v>
      </c>
      <c r="C25" s="183">
        <f>C24</f>
        <v>230</v>
      </c>
      <c r="D25" s="183">
        <f>B25*C25</f>
        <v>1610000</v>
      </c>
      <c r="E25" s="249">
        <v>7000</v>
      </c>
      <c r="F25" s="183">
        <f>F24</f>
        <v>230</v>
      </c>
      <c r="G25" s="183">
        <f>E25*F25</f>
        <v>1610000</v>
      </c>
      <c r="H25" s="249">
        <v>14000</v>
      </c>
      <c r="I25" s="183">
        <f>I24</f>
        <v>230</v>
      </c>
      <c r="J25" s="183">
        <f>H25*I25</f>
        <v>3220000</v>
      </c>
    </row>
    <row r="26" spans="1:10">
      <c r="A26" s="183" t="s">
        <v>283</v>
      </c>
      <c r="B26" s="249">
        <f>B23+B24-B25</f>
        <v>1000</v>
      </c>
      <c r="D26" s="183">
        <f>D23+D24-D25</f>
        <v>230000</v>
      </c>
      <c r="E26" s="249">
        <f>E23+E24-E25</f>
        <v>10000</v>
      </c>
      <c r="G26" s="183">
        <f>G23+G24-G25</f>
        <v>2300000</v>
      </c>
      <c r="H26" s="249">
        <f>H23+H24-H25</f>
        <v>0</v>
      </c>
      <c r="J26" s="183">
        <f>J23+J24-J25</f>
        <v>0</v>
      </c>
    </row>
    <row r="27" spans="1:10">
      <c r="A27" s="183"/>
      <c r="B27" s="183"/>
      <c r="C27" s="183"/>
      <c r="D27" s="183"/>
      <c r="E27" s="183"/>
      <c r="F27" s="183"/>
      <c r="G27" s="183"/>
    </row>
    <row r="29" spans="1:10">
      <c r="A29" s="250" t="s">
        <v>462</v>
      </c>
      <c r="B29" s="251" t="s">
        <v>262</v>
      </c>
      <c r="C29" s="251" t="s">
        <v>263</v>
      </c>
      <c r="D29" s="251" t="s">
        <v>264</v>
      </c>
    </row>
    <row r="30" spans="1:10">
      <c r="A30" s="183" t="s">
        <v>0</v>
      </c>
      <c r="B30" s="183">
        <f>B5*600</f>
        <v>4200000</v>
      </c>
      <c r="C30" s="183">
        <f>C5*600</f>
        <v>4200000</v>
      </c>
      <c r="D30" s="183">
        <f>D5*600</f>
        <v>8400000</v>
      </c>
      <c r="E30" s="183"/>
    </row>
    <row r="31" spans="1:10">
      <c r="A31" s="183" t="s">
        <v>15</v>
      </c>
      <c r="B31" s="183">
        <f>D25</f>
        <v>1610000</v>
      </c>
      <c r="C31" s="183">
        <f>G25</f>
        <v>1610000</v>
      </c>
      <c r="D31" s="183">
        <f>J25</f>
        <v>3220000</v>
      </c>
      <c r="E31" s="183"/>
    </row>
    <row r="32" spans="1:10">
      <c r="A32" s="249" t="s">
        <v>284</v>
      </c>
      <c r="B32" s="249">
        <f>B30-B31</f>
        <v>2590000</v>
      </c>
      <c r="C32" s="249">
        <f>C30-C31</f>
        <v>2590000</v>
      </c>
      <c r="D32" s="249">
        <f>D30-D31</f>
        <v>5180000</v>
      </c>
      <c r="E32" s="183"/>
    </row>
    <row r="33" spans="1:7">
      <c r="A33" s="252" t="s">
        <v>270</v>
      </c>
      <c r="B33" s="252">
        <f>B15</f>
        <v>2400000</v>
      </c>
      <c r="C33" s="252">
        <f>C15</f>
        <v>2400000</v>
      </c>
      <c r="D33" s="252">
        <f>D15</f>
        <v>2400000</v>
      </c>
      <c r="E33" s="183"/>
    </row>
    <row r="34" spans="1:7">
      <c r="A34" s="183" t="s">
        <v>278</v>
      </c>
      <c r="B34" s="183">
        <f>B18</f>
        <v>350000</v>
      </c>
      <c r="C34" s="183">
        <f>C18</f>
        <v>350000</v>
      </c>
      <c r="D34" s="183">
        <f>D18</f>
        <v>350000</v>
      </c>
      <c r="E34" s="183"/>
    </row>
    <row r="35" spans="1:7">
      <c r="A35" s="247" t="s">
        <v>12</v>
      </c>
      <c r="B35" s="247">
        <f>B32-B33-B34</f>
        <v>-160000</v>
      </c>
      <c r="C35" s="247">
        <f>C32-C33-C34</f>
        <v>-160000</v>
      </c>
      <c r="D35" s="247">
        <f>D32-D33-D34</f>
        <v>2430000</v>
      </c>
      <c r="E35" s="247">
        <f>SUM(B35:D35)</f>
        <v>2110000</v>
      </c>
    </row>
    <row r="36" spans="1:7">
      <c r="A36" s="253"/>
      <c r="B36" s="253"/>
      <c r="C36" s="253"/>
      <c r="D36" s="253"/>
      <c r="E36" s="253"/>
    </row>
    <row r="37" spans="1:7">
      <c r="A37" s="253"/>
      <c r="B37" s="253"/>
      <c r="C37" s="253"/>
      <c r="D37" s="253"/>
      <c r="E37" s="253"/>
    </row>
    <row r="39" spans="1:7">
      <c r="A39" s="11" t="s">
        <v>285</v>
      </c>
    </row>
    <row r="40" spans="1:7" ht="15.5">
      <c r="B40" s="246" t="s">
        <v>262</v>
      </c>
      <c r="C40" s="246" t="s">
        <v>263</v>
      </c>
      <c r="D40" s="246" t="s">
        <v>264</v>
      </c>
      <c r="F40" s="254"/>
      <c r="G40" s="254"/>
    </row>
    <row r="41" spans="1:7" ht="15.5">
      <c r="A41" s="11" t="s">
        <v>265</v>
      </c>
      <c r="B41" s="11">
        <v>8000</v>
      </c>
      <c r="C41" s="11">
        <v>16000</v>
      </c>
      <c r="D41" s="11">
        <v>4000</v>
      </c>
      <c r="F41" s="254"/>
      <c r="G41" s="254"/>
    </row>
    <row r="42" spans="1:7" ht="15.5">
      <c r="A42" s="183" t="s">
        <v>266</v>
      </c>
      <c r="B42" s="183">
        <v>7000</v>
      </c>
      <c r="C42" s="183">
        <v>7000</v>
      </c>
      <c r="D42" s="183">
        <v>14000</v>
      </c>
      <c r="F42" s="254"/>
      <c r="G42" s="254"/>
    </row>
    <row r="43" spans="1:7" ht="15.5">
      <c r="A43" s="249" t="s">
        <v>267</v>
      </c>
      <c r="B43" s="249">
        <v>200</v>
      </c>
      <c r="C43" s="249">
        <v>200</v>
      </c>
      <c r="D43" s="249">
        <v>200</v>
      </c>
      <c r="F43" s="254"/>
      <c r="G43" s="254"/>
    </row>
    <row r="44" spans="1:7">
      <c r="A44" s="183" t="s">
        <v>152</v>
      </c>
      <c r="B44" s="183"/>
      <c r="C44" s="183"/>
      <c r="D44" s="183"/>
    </row>
    <row r="45" spans="1:7">
      <c r="A45" s="183" t="s">
        <v>271</v>
      </c>
      <c r="B45" s="183">
        <v>2000000</v>
      </c>
      <c r="C45" s="183">
        <v>2000000</v>
      </c>
      <c r="D45" s="183">
        <v>2000000</v>
      </c>
    </row>
    <row r="46" spans="1:7">
      <c r="A46" s="183" t="s">
        <v>272</v>
      </c>
      <c r="B46" s="183">
        <v>200000</v>
      </c>
      <c r="C46" s="183">
        <v>200000</v>
      </c>
      <c r="D46" s="183">
        <v>200000</v>
      </c>
      <c r="F46" s="42"/>
    </row>
    <row r="47" spans="1:7">
      <c r="A47" s="183" t="s">
        <v>273</v>
      </c>
      <c r="B47" s="183">
        <v>100000</v>
      </c>
      <c r="C47" s="183">
        <v>100000</v>
      </c>
      <c r="D47" s="183">
        <v>100000</v>
      </c>
    </row>
    <row r="48" spans="1:7">
      <c r="A48" s="183" t="s">
        <v>274</v>
      </c>
      <c r="B48" s="183">
        <v>100000</v>
      </c>
      <c r="C48" s="183">
        <v>100000</v>
      </c>
      <c r="D48" s="183">
        <v>100000</v>
      </c>
    </row>
    <row r="49" spans="1:10">
      <c r="A49" s="183" t="s">
        <v>286</v>
      </c>
      <c r="B49" s="183">
        <f>SUM(B45:B48)</f>
        <v>2400000</v>
      </c>
      <c r="C49" s="183">
        <f>SUM(C45:C48)</f>
        <v>2400000</v>
      </c>
      <c r="D49" s="183">
        <f>SUM(D45:D48)</f>
        <v>2400000</v>
      </c>
    </row>
    <row r="50" spans="1:10">
      <c r="A50" s="183" t="s">
        <v>287</v>
      </c>
      <c r="B50" s="183">
        <f>B49/B41</f>
        <v>300</v>
      </c>
      <c r="C50" s="183">
        <f>C49/C41</f>
        <v>150</v>
      </c>
      <c r="D50" s="183">
        <f>D49/D41</f>
        <v>600</v>
      </c>
    </row>
    <row r="51" spans="1:10">
      <c r="A51" s="255" t="s">
        <v>288</v>
      </c>
      <c r="B51" s="255">
        <f>B43+B50</f>
        <v>500</v>
      </c>
      <c r="C51" s="255">
        <f>C43+C50</f>
        <v>350</v>
      </c>
      <c r="D51" s="255">
        <f>D43+D50</f>
        <v>800</v>
      </c>
    </row>
    <row r="52" spans="1:10">
      <c r="A52" s="256"/>
      <c r="B52" s="256"/>
      <c r="C52" s="256"/>
      <c r="D52" s="256"/>
    </row>
    <row r="53" spans="1:10">
      <c r="A53" s="256"/>
      <c r="B53" s="256"/>
      <c r="C53" s="256"/>
      <c r="D53" s="256"/>
    </row>
    <row r="54" spans="1:10">
      <c r="B54" s="372" t="s">
        <v>262</v>
      </c>
      <c r="C54" s="372"/>
      <c r="D54" s="372"/>
      <c r="E54" s="372" t="s">
        <v>263</v>
      </c>
      <c r="F54" s="372"/>
      <c r="G54" s="372"/>
      <c r="H54" s="372" t="s">
        <v>264</v>
      </c>
      <c r="I54" s="372"/>
      <c r="J54" s="372"/>
    </row>
    <row r="55" spans="1:10">
      <c r="A55" s="183" t="s">
        <v>7</v>
      </c>
      <c r="B55" s="11" t="s">
        <v>279</v>
      </c>
      <c r="C55" s="11" t="s">
        <v>55</v>
      </c>
      <c r="D55" s="11" t="s">
        <v>187</v>
      </c>
      <c r="E55" s="11" t="s">
        <v>279</v>
      </c>
      <c r="G55" s="11" t="s">
        <v>187</v>
      </c>
      <c r="H55" s="11" t="s">
        <v>279</v>
      </c>
      <c r="J55" s="11" t="s">
        <v>187</v>
      </c>
    </row>
    <row r="56" spans="1:10">
      <c r="A56" s="257" t="s">
        <v>280</v>
      </c>
      <c r="B56" s="258">
        <v>0</v>
      </c>
      <c r="C56" s="42"/>
      <c r="D56" s="257">
        <v>0</v>
      </c>
      <c r="E56" s="258">
        <f>B60</f>
        <v>1000</v>
      </c>
      <c r="F56" s="42">
        <f>C60</f>
        <v>500</v>
      </c>
      <c r="G56" s="257">
        <f>D60</f>
        <v>500000</v>
      </c>
      <c r="H56" s="258">
        <f>E60</f>
        <v>10000</v>
      </c>
      <c r="I56" s="259">
        <f>F59</f>
        <v>358.8235294117647</v>
      </c>
      <c r="J56" s="260">
        <f>G60</f>
        <v>3588235.2941176472</v>
      </c>
    </row>
    <row r="57" spans="1:10">
      <c r="A57" s="257" t="s">
        <v>281</v>
      </c>
      <c r="B57" s="258">
        <v>8000</v>
      </c>
      <c r="C57" s="257">
        <f>B51</f>
        <v>500</v>
      </c>
      <c r="D57" s="257">
        <f>C57*B57</f>
        <v>4000000</v>
      </c>
      <c r="E57" s="258">
        <v>16000</v>
      </c>
      <c r="F57" s="257">
        <f>C51</f>
        <v>350</v>
      </c>
      <c r="G57" s="257">
        <f>E57*F57</f>
        <v>5600000</v>
      </c>
      <c r="H57" s="258">
        <v>4000</v>
      </c>
      <c r="I57" s="257">
        <f>D51</f>
        <v>800</v>
      </c>
      <c r="J57" s="260">
        <f>H57*I57</f>
        <v>3200000</v>
      </c>
    </row>
    <row r="58" spans="1:10">
      <c r="A58" s="257" t="s">
        <v>289</v>
      </c>
      <c r="B58" s="258"/>
      <c r="C58" s="42"/>
      <c r="D58" s="257">
        <f>B57*B58</f>
        <v>0</v>
      </c>
      <c r="E58" s="258">
        <f>E56+E57</f>
        <v>17000</v>
      </c>
      <c r="F58" s="259">
        <f>G58/E58</f>
        <v>358.8235294117647</v>
      </c>
      <c r="G58" s="257">
        <f>G56+G57</f>
        <v>6100000</v>
      </c>
      <c r="H58" s="258">
        <f>H56+H57</f>
        <v>14000</v>
      </c>
      <c r="I58" s="259">
        <f>J58/H58</f>
        <v>484.87394957983196</v>
      </c>
      <c r="J58" s="260">
        <f>J56+J57</f>
        <v>6788235.2941176472</v>
      </c>
    </row>
    <row r="59" spans="1:10">
      <c r="A59" s="257" t="s">
        <v>282</v>
      </c>
      <c r="B59" s="258">
        <v>7000</v>
      </c>
      <c r="C59" s="42">
        <v>500</v>
      </c>
      <c r="D59" s="257">
        <f>B59*C59</f>
        <v>3500000</v>
      </c>
      <c r="E59" s="258">
        <v>7000</v>
      </c>
      <c r="F59" s="259">
        <f>F58</f>
        <v>358.8235294117647</v>
      </c>
      <c r="G59" s="257">
        <f>E59*F59</f>
        <v>2511764.7058823528</v>
      </c>
      <c r="H59" s="258">
        <v>14000</v>
      </c>
      <c r="I59" s="259">
        <f>I58</f>
        <v>484.87394957983196</v>
      </c>
      <c r="J59" s="260">
        <f>H59*I59</f>
        <v>6788235.2941176472</v>
      </c>
    </row>
    <row r="60" spans="1:10">
      <c r="A60" s="257" t="s">
        <v>283</v>
      </c>
      <c r="B60" s="258">
        <f>B56+B57-B59</f>
        <v>1000</v>
      </c>
      <c r="C60" s="42">
        <v>500</v>
      </c>
      <c r="D60" s="257">
        <f>D56+D57-D59</f>
        <v>500000</v>
      </c>
      <c r="E60" s="258">
        <f>E58-E59</f>
        <v>10000</v>
      </c>
      <c r="F60" s="42"/>
      <c r="G60" s="257">
        <f>G58-G59</f>
        <v>3588235.2941176472</v>
      </c>
      <c r="H60" s="258">
        <f>H58-H59</f>
        <v>0</v>
      </c>
      <c r="I60" s="42"/>
      <c r="J60" s="260">
        <f>J58-J59</f>
        <v>0</v>
      </c>
    </row>
    <row r="63" spans="1:10">
      <c r="A63" s="250" t="s">
        <v>463</v>
      </c>
      <c r="B63" s="251" t="s">
        <v>262</v>
      </c>
      <c r="C63" s="251" t="s">
        <v>263</v>
      </c>
      <c r="D63" s="251" t="s">
        <v>264</v>
      </c>
    </row>
    <row r="64" spans="1:10">
      <c r="A64" s="183" t="s">
        <v>0</v>
      </c>
      <c r="B64" s="183">
        <f>B42*600</f>
        <v>4200000</v>
      </c>
      <c r="C64" s="183">
        <f>C42*600</f>
        <v>4200000</v>
      </c>
      <c r="D64" s="183">
        <f>D42*600</f>
        <v>8400000</v>
      </c>
    </row>
    <row r="65" spans="1:5">
      <c r="A65" s="183" t="s">
        <v>15</v>
      </c>
      <c r="B65" s="261">
        <f>D59</f>
        <v>3500000</v>
      </c>
      <c r="C65" s="261">
        <f>G59</f>
        <v>2511764.7058823528</v>
      </c>
      <c r="D65" s="261">
        <f>J59</f>
        <v>6788235.2941176472</v>
      </c>
    </row>
    <row r="66" spans="1:5">
      <c r="A66" s="183" t="s">
        <v>2</v>
      </c>
      <c r="B66" s="183">
        <f>B64-B65</f>
        <v>700000</v>
      </c>
      <c r="C66" s="183">
        <f>C64-C65</f>
        <v>1688235.2941176472</v>
      </c>
      <c r="D66" s="183">
        <f>D64-D65</f>
        <v>1611764.7058823528</v>
      </c>
    </row>
    <row r="67" spans="1:5">
      <c r="A67" s="183" t="s">
        <v>105</v>
      </c>
      <c r="B67" s="183">
        <v>300000</v>
      </c>
      <c r="C67" s="183">
        <v>300000</v>
      </c>
      <c r="D67" s="183">
        <v>300000</v>
      </c>
    </row>
    <row r="68" spans="1:5">
      <c r="A68" s="183" t="s">
        <v>106</v>
      </c>
      <c r="B68" s="183">
        <f>50000+0.05*600*B42</f>
        <v>260000</v>
      </c>
      <c r="C68" s="183">
        <f>50000+0.05*600*C42</f>
        <v>260000</v>
      </c>
      <c r="D68" s="183">
        <f>50000+0.05*600*D42</f>
        <v>470000</v>
      </c>
    </row>
    <row r="69" spans="1:5">
      <c r="A69" s="247" t="s">
        <v>20</v>
      </c>
      <c r="B69" s="247">
        <f>B66-B67-B68</f>
        <v>140000</v>
      </c>
      <c r="C69" s="247">
        <f>C66-C67-C68</f>
        <v>1128235.2941176472</v>
      </c>
      <c r="D69" s="247">
        <f>D66-D67-D68</f>
        <v>841764.70588235278</v>
      </c>
      <c r="E69" s="247">
        <f>SUM(B69:D69)</f>
        <v>2110000</v>
      </c>
    </row>
  </sheetData>
  <mergeCells count="6">
    <mergeCell ref="B21:D21"/>
    <mergeCell ref="E21:G21"/>
    <mergeCell ref="H21:J21"/>
    <mergeCell ref="B54:D54"/>
    <mergeCell ref="E54:G54"/>
    <mergeCell ref="H54:J54"/>
  </mergeCells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topLeftCell="A4" workbookViewId="0">
      <selection activeCell="F32" sqref="F32"/>
    </sheetView>
  </sheetViews>
  <sheetFormatPr defaultColWidth="8.81640625" defaultRowHeight="13.5"/>
  <cols>
    <col min="1" max="1" width="29.453125" style="11" bestFit="1" customWidth="1"/>
    <col min="2" max="3" width="9.1796875" style="11" bestFit="1" customWidth="1"/>
    <col min="4" max="16384" width="8.81640625" style="11"/>
  </cols>
  <sheetData>
    <row r="1" spans="1:6">
      <c r="A1" s="262" t="s">
        <v>290</v>
      </c>
      <c r="B1" s="263"/>
      <c r="C1" s="263"/>
      <c r="D1" s="263"/>
      <c r="E1" s="263"/>
      <c r="F1" s="263"/>
    </row>
    <row r="2" spans="1:6">
      <c r="A2" s="263"/>
      <c r="B2" s="264" t="s">
        <v>291</v>
      </c>
      <c r="C2" s="264" t="s">
        <v>292</v>
      </c>
      <c r="D2" s="263"/>
      <c r="E2" s="263"/>
      <c r="F2" s="263"/>
    </row>
    <row r="3" spans="1:6">
      <c r="A3" s="263" t="s">
        <v>265</v>
      </c>
      <c r="B3" s="253">
        <v>12000</v>
      </c>
      <c r="C3" s="253">
        <v>15000</v>
      </c>
      <c r="D3" s="263"/>
      <c r="E3" s="263"/>
      <c r="F3" s="263"/>
    </row>
    <row r="4" spans="1:6">
      <c r="A4" s="263" t="s">
        <v>266</v>
      </c>
      <c r="B4" s="253">
        <v>9000</v>
      </c>
      <c r="C4" s="253">
        <v>9000</v>
      </c>
      <c r="D4" s="263"/>
      <c r="E4" s="263"/>
      <c r="F4" s="263"/>
    </row>
    <row r="5" spans="1:6">
      <c r="A5" s="263" t="s">
        <v>293</v>
      </c>
      <c r="B5" s="263">
        <v>45</v>
      </c>
      <c r="C5" s="263">
        <v>45</v>
      </c>
      <c r="D5" s="263"/>
      <c r="E5" s="263"/>
      <c r="F5" s="263"/>
    </row>
    <row r="6" spans="1:6">
      <c r="A6" s="263" t="s">
        <v>8</v>
      </c>
      <c r="B6" s="265">
        <v>0.2</v>
      </c>
      <c r="C6" s="265">
        <v>0.2</v>
      </c>
      <c r="D6" s="263"/>
      <c r="E6" s="263"/>
      <c r="F6" s="263"/>
    </row>
    <row r="7" spans="1:6">
      <c r="A7" s="263" t="s">
        <v>294</v>
      </c>
      <c r="B7" s="265">
        <v>0.15</v>
      </c>
      <c r="C7" s="265">
        <v>0.15</v>
      </c>
      <c r="D7" s="263"/>
      <c r="E7" s="263"/>
      <c r="F7" s="263"/>
    </row>
    <row r="8" spans="1:6">
      <c r="A8" s="263" t="s">
        <v>295</v>
      </c>
      <c r="B8" s="263">
        <v>15</v>
      </c>
      <c r="C8" s="263">
        <v>15</v>
      </c>
      <c r="D8" s="263"/>
      <c r="E8" s="263"/>
      <c r="F8" s="263"/>
    </row>
    <row r="9" spans="1:6">
      <c r="A9" s="263" t="s">
        <v>296</v>
      </c>
      <c r="B9" s="253">
        <v>60000</v>
      </c>
      <c r="C9" s="253">
        <v>60000</v>
      </c>
      <c r="D9" s="263"/>
      <c r="E9" s="263"/>
      <c r="F9" s="263"/>
    </row>
    <row r="10" spans="1:6">
      <c r="A10" s="263" t="s">
        <v>297</v>
      </c>
      <c r="B10" s="266">
        <f>B8+(B9/B3)</f>
        <v>20</v>
      </c>
      <c r="C10" s="266">
        <f>C8+(C9/C3)</f>
        <v>19</v>
      </c>
      <c r="D10" s="263"/>
      <c r="E10" s="263"/>
      <c r="F10" s="263"/>
    </row>
    <row r="11" spans="1:6">
      <c r="A11" s="263"/>
      <c r="B11" s="263"/>
      <c r="C11" s="263"/>
      <c r="D11" s="263"/>
      <c r="E11" s="263"/>
      <c r="F11" s="263"/>
    </row>
    <row r="12" spans="1:6">
      <c r="A12" s="263" t="s">
        <v>152</v>
      </c>
      <c r="B12" s="263"/>
      <c r="C12" s="263"/>
      <c r="D12" s="263"/>
      <c r="E12" s="263"/>
      <c r="F12" s="263"/>
    </row>
    <row r="13" spans="1:6">
      <c r="A13" s="263" t="s">
        <v>298</v>
      </c>
      <c r="B13" s="253">
        <v>25000</v>
      </c>
      <c r="C13" s="253">
        <v>25000</v>
      </c>
      <c r="D13" s="263"/>
      <c r="E13" s="263"/>
      <c r="F13" s="263"/>
    </row>
    <row r="14" spans="1:6">
      <c r="A14" s="263" t="s">
        <v>30</v>
      </c>
      <c r="B14" s="253">
        <v>5000</v>
      </c>
      <c r="C14" s="253">
        <v>5000</v>
      </c>
      <c r="D14" s="263"/>
      <c r="E14" s="263"/>
      <c r="F14" s="263"/>
    </row>
    <row r="15" spans="1:6">
      <c r="A15" s="263" t="s">
        <v>287</v>
      </c>
      <c r="B15" s="267">
        <f>(B13+B14)/B3</f>
        <v>2.5</v>
      </c>
      <c r="C15" s="267">
        <f>(C13+C14)/C3</f>
        <v>2</v>
      </c>
      <c r="D15" s="263"/>
      <c r="E15" s="263"/>
      <c r="F15" s="263"/>
    </row>
    <row r="16" spans="1:6">
      <c r="A16" s="263" t="s">
        <v>299</v>
      </c>
      <c r="B16" s="267">
        <f>B10+B15</f>
        <v>22.5</v>
      </c>
      <c r="C16" s="267">
        <f>C10+C15</f>
        <v>21</v>
      </c>
      <c r="D16" s="263"/>
      <c r="E16" s="263"/>
      <c r="F16" s="263"/>
    </row>
    <row r="17" spans="1:7">
      <c r="A17" s="263"/>
      <c r="B17" s="253"/>
      <c r="C17" s="253"/>
      <c r="D17" s="263"/>
      <c r="E17" s="263"/>
      <c r="F17" s="263"/>
      <c r="G17" s="263"/>
    </row>
    <row r="18" spans="1:7">
      <c r="A18" s="263"/>
      <c r="B18" s="263"/>
      <c r="C18" s="263"/>
      <c r="D18" s="263"/>
      <c r="E18" s="263"/>
      <c r="F18" s="263"/>
      <c r="G18" s="263"/>
    </row>
    <row r="19" spans="1:7">
      <c r="A19" s="124" t="s">
        <v>7</v>
      </c>
      <c r="B19" s="373" t="s">
        <v>291</v>
      </c>
      <c r="C19" s="373"/>
      <c r="D19" s="373"/>
      <c r="E19" s="373" t="s">
        <v>292</v>
      </c>
      <c r="F19" s="373"/>
      <c r="G19" s="373"/>
    </row>
    <row r="20" spans="1:7">
      <c r="A20" s="124"/>
      <c r="B20" s="268" t="s">
        <v>279</v>
      </c>
      <c r="C20" s="124" t="s">
        <v>55</v>
      </c>
      <c r="D20" s="268" t="s">
        <v>187</v>
      </c>
      <c r="E20" s="268" t="s">
        <v>279</v>
      </c>
      <c r="F20" s="124" t="s">
        <v>55</v>
      </c>
      <c r="G20" s="268" t="s">
        <v>187</v>
      </c>
    </row>
    <row r="21" spans="1:7">
      <c r="A21" s="263" t="s">
        <v>300</v>
      </c>
      <c r="B21" s="263">
        <v>0</v>
      </c>
      <c r="C21" s="263"/>
      <c r="D21" s="263"/>
      <c r="E21" s="253">
        <f>B28</f>
        <v>3000</v>
      </c>
      <c r="F21" s="267">
        <f>C28</f>
        <v>22.5</v>
      </c>
      <c r="G21" s="253">
        <f>F21*E21</f>
        <v>67500</v>
      </c>
    </row>
    <row r="22" spans="1:7">
      <c r="A22" s="263" t="s">
        <v>182</v>
      </c>
      <c r="B22" s="253">
        <f>B3</f>
        <v>12000</v>
      </c>
      <c r="C22" s="267">
        <f>B16</f>
        <v>22.5</v>
      </c>
      <c r="D22" s="253">
        <f>C22*B22</f>
        <v>270000</v>
      </c>
      <c r="E22" s="253">
        <v>15000</v>
      </c>
      <c r="F22" s="267">
        <f>C16</f>
        <v>21</v>
      </c>
      <c r="G22" s="253">
        <f>E22*C16</f>
        <v>315000</v>
      </c>
    </row>
    <row r="23" spans="1:7">
      <c r="A23" s="263"/>
      <c r="B23" s="253"/>
      <c r="C23" s="263"/>
      <c r="D23" s="253"/>
      <c r="E23" s="253"/>
      <c r="F23" s="263"/>
      <c r="G23" s="253"/>
    </row>
    <row r="24" spans="1:7">
      <c r="A24" s="263" t="s">
        <v>183</v>
      </c>
      <c r="B24" s="253">
        <f>B4</f>
        <v>9000</v>
      </c>
      <c r="C24" s="267">
        <f>C22</f>
        <v>22.5</v>
      </c>
      <c r="D24" s="253">
        <f>C24*B24</f>
        <v>202500</v>
      </c>
      <c r="E24" s="253">
        <v>3000</v>
      </c>
      <c r="F24" s="267">
        <f>F21</f>
        <v>22.5</v>
      </c>
      <c r="G24" s="253">
        <f>F24*E24</f>
        <v>67500</v>
      </c>
    </row>
    <row r="25" spans="1:7">
      <c r="A25" s="263"/>
      <c r="B25" s="253"/>
      <c r="C25" s="263"/>
      <c r="D25" s="253"/>
      <c r="E25" s="253">
        <v>6000</v>
      </c>
      <c r="F25" s="267">
        <f>F22</f>
        <v>21</v>
      </c>
      <c r="G25" s="253">
        <f>F25*E25</f>
        <v>126000</v>
      </c>
    </row>
    <row r="26" spans="1:7">
      <c r="A26" s="263"/>
      <c r="B26" s="263"/>
      <c r="C26" s="263"/>
      <c r="D26" s="253"/>
      <c r="E26" s="253"/>
      <c r="F26" s="263"/>
      <c r="G26" s="253">
        <f>E26*C16</f>
        <v>0</v>
      </c>
    </row>
    <row r="27" spans="1:7">
      <c r="A27" s="263" t="s">
        <v>301</v>
      </c>
      <c r="B27" s="253">
        <f>B24</f>
        <v>9000</v>
      </c>
      <c r="C27" s="263"/>
      <c r="D27" s="253">
        <f>D24</f>
        <v>202500</v>
      </c>
      <c r="E27" s="253">
        <f>E24+E25</f>
        <v>9000</v>
      </c>
      <c r="F27" s="263"/>
      <c r="G27" s="253">
        <f>G24+G25</f>
        <v>193500</v>
      </c>
    </row>
    <row r="28" spans="1:7">
      <c r="A28" s="269" t="s">
        <v>21</v>
      </c>
      <c r="B28" s="247">
        <f>B21+B22-B24</f>
        <v>3000</v>
      </c>
      <c r="C28" s="270">
        <f>C24</f>
        <v>22.5</v>
      </c>
      <c r="D28" s="247">
        <f>D21+D22-D24</f>
        <v>67500</v>
      </c>
      <c r="E28" s="247">
        <f>(E21-E24)+(E22-E25)</f>
        <v>9000</v>
      </c>
      <c r="F28" s="269"/>
      <c r="G28" s="247">
        <f>(G21-G24)+(G22-G25)</f>
        <v>189000</v>
      </c>
    </row>
    <row r="29" spans="1:7">
      <c r="A29" s="263"/>
      <c r="B29" s="263"/>
      <c r="C29" s="263"/>
      <c r="D29" s="263"/>
      <c r="E29" s="263"/>
      <c r="F29" s="263"/>
      <c r="G29" s="263"/>
    </row>
    <row r="30" spans="1:7">
      <c r="A30" s="263" t="s">
        <v>6</v>
      </c>
      <c r="B30" s="263"/>
      <c r="C30" s="263"/>
      <c r="D30" s="263"/>
      <c r="E30" s="263"/>
      <c r="F30" s="263"/>
    </row>
    <row r="31" spans="1:7">
      <c r="A31" s="253" t="s">
        <v>13</v>
      </c>
      <c r="B31" s="253">
        <f>B4*B5</f>
        <v>405000</v>
      </c>
      <c r="C31" s="253">
        <f>C4*C5</f>
        <v>405000</v>
      </c>
      <c r="D31" s="263"/>
      <c r="E31" s="263"/>
      <c r="F31" s="263"/>
    </row>
    <row r="32" spans="1:7">
      <c r="A32" s="253" t="s">
        <v>8</v>
      </c>
      <c r="B32" s="253">
        <f>B31*B6</f>
        <v>81000</v>
      </c>
      <c r="C32" s="253">
        <f>C31*C6</f>
        <v>81000</v>
      </c>
      <c r="D32" s="263"/>
      <c r="E32" s="263"/>
      <c r="F32" s="263"/>
    </row>
    <row r="33" spans="1:6">
      <c r="A33" s="253" t="s">
        <v>9</v>
      </c>
      <c r="B33" s="253">
        <f>B31-B32</f>
        <v>324000</v>
      </c>
      <c r="C33" s="253">
        <f>C31-C32</f>
        <v>324000</v>
      </c>
      <c r="D33" s="263"/>
      <c r="E33" s="263"/>
      <c r="F33" s="263"/>
    </row>
    <row r="34" spans="1:6">
      <c r="A34" s="253" t="s">
        <v>15</v>
      </c>
      <c r="B34" s="253">
        <f>D24</f>
        <v>202500</v>
      </c>
      <c r="C34" s="253">
        <f>G27</f>
        <v>193500</v>
      </c>
      <c r="D34" s="263"/>
      <c r="E34" s="263"/>
      <c r="F34" s="263"/>
    </row>
    <row r="35" spans="1:6">
      <c r="A35" s="253" t="s">
        <v>2</v>
      </c>
      <c r="B35" s="253">
        <f>B33-B34</f>
        <v>121500</v>
      </c>
      <c r="C35" s="253">
        <f>C33-C34</f>
        <v>130500</v>
      </c>
      <c r="D35" s="263"/>
      <c r="E35" s="263"/>
      <c r="F35" s="263"/>
    </row>
    <row r="36" spans="1:6">
      <c r="A36" s="253" t="s">
        <v>105</v>
      </c>
      <c r="B36" s="253">
        <v>30000</v>
      </c>
      <c r="C36" s="253">
        <v>30000</v>
      </c>
      <c r="D36" s="263"/>
      <c r="E36" s="263"/>
      <c r="F36" s="263"/>
    </row>
    <row r="37" spans="1:6">
      <c r="A37" s="253" t="s">
        <v>106</v>
      </c>
      <c r="B37" s="253">
        <f>B31*B7</f>
        <v>60750</v>
      </c>
      <c r="C37" s="253">
        <f>C31*C7</f>
        <v>60750</v>
      </c>
      <c r="D37" s="263"/>
      <c r="E37" s="263"/>
      <c r="F37" s="263"/>
    </row>
    <row r="38" spans="1:6">
      <c r="A38" s="253" t="s">
        <v>20</v>
      </c>
      <c r="B38" s="253">
        <f>B35-B36-B37</f>
        <v>30750</v>
      </c>
      <c r="C38" s="253">
        <f>C35-C36-C37</f>
        <v>39750</v>
      </c>
      <c r="D38" s="253">
        <f>B38+C38</f>
        <v>70500</v>
      </c>
      <c r="E38" s="263"/>
      <c r="F38" s="263"/>
    </row>
    <row r="39" spans="1:6">
      <c r="A39" s="183"/>
      <c r="B39" s="183"/>
      <c r="C39" s="183"/>
      <c r="D39" s="183"/>
    </row>
    <row r="40" spans="1:6">
      <c r="A40" s="183"/>
      <c r="B40" s="183"/>
      <c r="C40" s="183"/>
      <c r="D40" s="183"/>
    </row>
    <row r="41" spans="1:6">
      <c r="A41" s="271" t="s">
        <v>302</v>
      </c>
    </row>
    <row r="42" spans="1:6">
      <c r="B42" s="35" t="s">
        <v>291</v>
      </c>
      <c r="C42" s="35" t="s">
        <v>292</v>
      </c>
    </row>
    <row r="43" spans="1:6">
      <c r="A43" s="11" t="s">
        <v>265</v>
      </c>
      <c r="B43" s="183">
        <v>12000</v>
      </c>
      <c r="C43" s="183">
        <v>15000</v>
      </c>
    </row>
    <row r="44" spans="1:6">
      <c r="A44" s="11" t="s">
        <v>266</v>
      </c>
      <c r="B44" s="183">
        <v>9000</v>
      </c>
      <c r="C44" s="183">
        <v>9000</v>
      </c>
    </row>
    <row r="45" spans="1:6">
      <c r="A45" s="11" t="s">
        <v>293</v>
      </c>
      <c r="B45" s="11">
        <v>45</v>
      </c>
      <c r="C45" s="11">
        <v>45</v>
      </c>
    </row>
    <row r="46" spans="1:6">
      <c r="A46" s="11" t="s">
        <v>303</v>
      </c>
      <c r="B46" s="11">
        <v>15</v>
      </c>
      <c r="C46" s="11">
        <v>15</v>
      </c>
    </row>
    <row r="47" spans="1:6">
      <c r="A47" s="11" t="s">
        <v>8</v>
      </c>
      <c r="B47" s="272">
        <v>0.2</v>
      </c>
      <c r="C47" s="272">
        <v>0.2</v>
      </c>
    </row>
    <row r="48" spans="1:6">
      <c r="A48" s="11" t="s">
        <v>294</v>
      </c>
      <c r="B48" s="272">
        <v>0.15</v>
      </c>
      <c r="C48" s="272">
        <v>0.15</v>
      </c>
    </row>
    <row r="49" spans="1:7">
      <c r="A49" s="11" t="s">
        <v>304</v>
      </c>
      <c r="B49" s="273">
        <f>B46+B48*B45</f>
        <v>21.75</v>
      </c>
      <c r="C49" s="273">
        <f>C46+C48*C45</f>
        <v>21.75</v>
      </c>
    </row>
    <row r="50" spans="1:7">
      <c r="B50" s="272"/>
      <c r="C50" s="272"/>
    </row>
    <row r="51" spans="1:7">
      <c r="A51" s="11" t="s">
        <v>305</v>
      </c>
    </row>
    <row r="52" spans="1:7">
      <c r="A52" s="11" t="s">
        <v>296</v>
      </c>
      <c r="B52" s="183">
        <v>60000</v>
      </c>
      <c r="C52" s="183">
        <v>60000</v>
      </c>
    </row>
    <row r="53" spans="1:7">
      <c r="A53" s="11" t="s">
        <v>298</v>
      </c>
      <c r="B53" s="183">
        <v>25000</v>
      </c>
      <c r="C53" s="183">
        <v>25000</v>
      </c>
    </row>
    <row r="54" spans="1:7">
      <c r="A54" s="11" t="s">
        <v>30</v>
      </c>
      <c r="B54" s="183">
        <v>5000</v>
      </c>
      <c r="C54" s="183">
        <v>5000</v>
      </c>
    </row>
    <row r="55" spans="1:7">
      <c r="A55" s="11" t="s">
        <v>16</v>
      </c>
      <c r="B55" s="183">
        <v>30000</v>
      </c>
      <c r="C55" s="183">
        <v>30000</v>
      </c>
    </row>
    <row r="58" spans="1:7">
      <c r="A58" s="11" t="s">
        <v>7</v>
      </c>
      <c r="B58" s="372" t="s">
        <v>291</v>
      </c>
      <c r="C58" s="372"/>
      <c r="D58" s="372" t="s">
        <v>292</v>
      </c>
      <c r="E58" s="372"/>
    </row>
    <row r="59" spans="1:7">
      <c r="B59" s="248" t="s">
        <v>279</v>
      </c>
      <c r="D59" s="248" t="s">
        <v>187</v>
      </c>
      <c r="E59" s="248"/>
      <c r="F59" s="248"/>
    </row>
    <row r="60" spans="1:7">
      <c r="A60" s="11" t="s">
        <v>300</v>
      </c>
      <c r="B60" s="11">
        <v>0</v>
      </c>
      <c r="D60" s="11">
        <v>0</v>
      </c>
      <c r="E60" s="183">
        <f>B65</f>
        <v>3000</v>
      </c>
      <c r="F60" s="11">
        <f>C65</f>
        <v>21.75</v>
      </c>
      <c r="G60" s="274">
        <f>F60*E60</f>
        <v>65250</v>
      </c>
    </row>
    <row r="61" spans="1:7">
      <c r="A61" s="11" t="s">
        <v>182</v>
      </c>
      <c r="B61" s="183">
        <v>12000</v>
      </c>
      <c r="C61" s="275">
        <f>B49</f>
        <v>21.75</v>
      </c>
      <c r="D61" s="274">
        <f>C61*B61</f>
        <v>261000</v>
      </c>
      <c r="E61" s="11">
        <v>15000</v>
      </c>
      <c r="F61" s="275">
        <f>C49</f>
        <v>21.75</v>
      </c>
      <c r="G61" s="274">
        <f>F61*E61</f>
        <v>326250</v>
      </c>
    </row>
    <row r="62" spans="1:7">
      <c r="B62" s="183"/>
      <c r="C62" s="275"/>
      <c r="D62" s="274"/>
      <c r="G62" s="274"/>
    </row>
    <row r="63" spans="1:7">
      <c r="A63" s="11" t="s">
        <v>183</v>
      </c>
      <c r="B63" s="183">
        <v>9000</v>
      </c>
      <c r="C63" s="275">
        <f>C61</f>
        <v>21.75</v>
      </c>
      <c r="D63" s="274">
        <f>C63*B63</f>
        <v>195750</v>
      </c>
      <c r="E63" s="11">
        <v>9000</v>
      </c>
      <c r="F63" s="275">
        <f>F61</f>
        <v>21.75</v>
      </c>
      <c r="G63" s="274">
        <f>F63*E63</f>
        <v>195750</v>
      </c>
    </row>
    <row r="64" spans="1:7">
      <c r="B64" s="183"/>
      <c r="C64" s="275"/>
      <c r="D64" s="274"/>
      <c r="G64" s="274"/>
    </row>
    <row r="65" spans="1:7">
      <c r="A65" s="11" t="s">
        <v>21</v>
      </c>
      <c r="B65" s="183">
        <f>B60+B61-B63</f>
        <v>3000</v>
      </c>
      <c r="C65" s="275">
        <f>C63</f>
        <v>21.75</v>
      </c>
      <c r="D65" s="274">
        <f>D60+D61-D63</f>
        <v>65250</v>
      </c>
      <c r="E65" s="183">
        <f>E60+E61-E63</f>
        <v>9000</v>
      </c>
      <c r="F65" s="275">
        <f>F63</f>
        <v>21.75</v>
      </c>
      <c r="G65" s="274">
        <f>F65*E65</f>
        <v>195750</v>
      </c>
    </row>
    <row r="67" spans="1:7">
      <c r="A67" s="11" t="s">
        <v>6</v>
      </c>
    </row>
    <row r="68" spans="1:7">
      <c r="A68" s="183" t="s">
        <v>13</v>
      </c>
      <c r="B68" s="183">
        <f>B44*B45</f>
        <v>405000</v>
      </c>
      <c r="C68" s="183">
        <f>C44*C45</f>
        <v>405000</v>
      </c>
      <c r="D68" s="183"/>
    </row>
    <row r="69" spans="1:7">
      <c r="A69" s="183" t="s">
        <v>8</v>
      </c>
      <c r="B69" s="183">
        <f>B68*B47</f>
        <v>81000</v>
      </c>
      <c r="C69" s="183">
        <f>C68*C47</f>
        <v>81000</v>
      </c>
      <c r="D69" s="183"/>
    </row>
    <row r="70" spans="1:7">
      <c r="A70" s="183" t="s">
        <v>5</v>
      </c>
      <c r="B70" s="183">
        <f>B68-B69</f>
        <v>324000</v>
      </c>
      <c r="C70" s="183">
        <f>C68-C69</f>
        <v>324000</v>
      </c>
      <c r="D70" s="183"/>
    </row>
    <row r="71" spans="1:7">
      <c r="A71" s="183" t="s">
        <v>306</v>
      </c>
      <c r="B71" s="183">
        <f>D63</f>
        <v>195750</v>
      </c>
      <c r="C71" s="183">
        <f>G63</f>
        <v>195750</v>
      </c>
      <c r="D71" s="183"/>
    </row>
    <row r="72" spans="1:7">
      <c r="A72" s="253" t="s">
        <v>284</v>
      </c>
      <c r="B72" s="183">
        <f>B70-B71</f>
        <v>128250</v>
      </c>
      <c r="C72" s="183">
        <f>C70-C71</f>
        <v>128250</v>
      </c>
      <c r="D72" s="183"/>
    </row>
    <row r="73" spans="1:7">
      <c r="A73" s="253" t="s">
        <v>270</v>
      </c>
      <c r="B73" s="183">
        <f>B52+B53+B54</f>
        <v>90000</v>
      </c>
      <c r="C73" s="183">
        <f>C52+C53+C54</f>
        <v>90000</v>
      </c>
      <c r="D73" s="183"/>
    </row>
    <row r="74" spans="1:7">
      <c r="A74" s="183" t="s">
        <v>278</v>
      </c>
      <c r="B74" s="183">
        <f>B55</f>
        <v>30000</v>
      </c>
      <c r="C74" s="183">
        <f>C55</f>
        <v>30000</v>
      </c>
      <c r="D74" s="183"/>
    </row>
    <row r="75" spans="1:7">
      <c r="A75" s="183" t="s">
        <v>12</v>
      </c>
      <c r="B75" s="183">
        <f>B72-B73-B74</f>
        <v>8250</v>
      </c>
      <c r="C75" s="183">
        <f>C72-C73-C74</f>
        <v>8250</v>
      </c>
      <c r="D75" s="183">
        <f>B75+C75</f>
        <v>16500</v>
      </c>
    </row>
  </sheetData>
  <mergeCells count="4">
    <mergeCell ref="B19:D19"/>
    <mergeCell ref="E19:G19"/>
    <mergeCell ref="B58:C58"/>
    <mergeCell ref="D58:E58"/>
  </mergeCells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opLeftCell="A6" zoomScale="130" zoomScaleNormal="130" workbookViewId="0">
      <selection activeCell="B12" sqref="B12"/>
    </sheetView>
  </sheetViews>
  <sheetFormatPr defaultColWidth="8.81640625" defaultRowHeight="13.5"/>
  <cols>
    <col min="1" max="1" width="25.36328125" style="11" bestFit="1" customWidth="1"/>
    <col min="2" max="2" width="17" style="11" bestFit="1" customWidth="1"/>
    <col min="3" max="3" width="8.81640625" style="11"/>
    <col min="4" max="4" width="25.453125" style="11" bestFit="1" customWidth="1"/>
    <col min="5" max="5" width="17" style="11" bestFit="1" customWidth="1"/>
    <col min="6" max="16384" width="8.81640625" style="11"/>
  </cols>
  <sheetData>
    <row r="1" spans="1:5">
      <c r="A1" s="11" t="s">
        <v>307</v>
      </c>
      <c r="E1" s="11" t="s">
        <v>308</v>
      </c>
    </row>
    <row r="3" spans="1:5">
      <c r="A3" s="276" t="s">
        <v>309</v>
      </c>
      <c r="B3" s="277">
        <v>10000</v>
      </c>
      <c r="D3" s="219" t="s">
        <v>309</v>
      </c>
      <c r="E3" s="278">
        <v>7500</v>
      </c>
    </row>
    <row r="4" spans="1:5">
      <c r="A4" s="42" t="s">
        <v>232</v>
      </c>
      <c r="B4" s="42">
        <v>24000</v>
      </c>
      <c r="D4" s="42" t="s">
        <v>232</v>
      </c>
      <c r="E4" s="42">
        <v>12000</v>
      </c>
    </row>
    <row r="5" spans="1:5">
      <c r="A5" s="42" t="s">
        <v>310</v>
      </c>
      <c r="B5" s="42"/>
      <c r="D5" s="42" t="s">
        <v>310</v>
      </c>
      <c r="E5" s="42"/>
    </row>
    <row r="6" spans="1:5">
      <c r="A6" s="42" t="s">
        <v>311</v>
      </c>
      <c r="B6" s="279">
        <v>4000</v>
      </c>
      <c r="D6" s="42" t="s">
        <v>311</v>
      </c>
      <c r="E6" s="279">
        <v>4000</v>
      </c>
    </row>
    <row r="7" spans="1:5">
      <c r="A7" s="42" t="s">
        <v>312</v>
      </c>
      <c r="B7" s="279">
        <v>2500</v>
      </c>
      <c r="D7" s="42" t="s">
        <v>312</v>
      </c>
      <c r="E7" s="279">
        <v>2500</v>
      </c>
    </row>
    <row r="8" spans="1:5">
      <c r="A8" s="42" t="s">
        <v>260</v>
      </c>
      <c r="B8" s="279">
        <v>45000000</v>
      </c>
      <c r="D8" s="239" t="s">
        <v>260</v>
      </c>
      <c r="E8" s="280">
        <f>B8</f>
        <v>45000000</v>
      </c>
    </row>
    <row r="9" spans="1:5">
      <c r="A9" s="42" t="s">
        <v>313</v>
      </c>
      <c r="B9" s="279">
        <f>B8/B4</f>
        <v>1875</v>
      </c>
      <c r="D9" s="239" t="s">
        <v>313</v>
      </c>
      <c r="E9" s="280">
        <f>E8/(B4+E4)</f>
        <v>1250</v>
      </c>
    </row>
    <row r="10" spans="1:5">
      <c r="A10" s="276" t="s">
        <v>314</v>
      </c>
      <c r="B10" s="277">
        <f>B9+B6+B7</f>
        <v>8375</v>
      </c>
      <c r="D10" s="281" t="s">
        <v>154</v>
      </c>
      <c r="E10" s="282">
        <f>E6+E7+E9</f>
        <v>7750</v>
      </c>
    </row>
    <row r="11" spans="1:5">
      <c r="A11" s="42"/>
      <c r="B11" s="42"/>
      <c r="D11" s="42"/>
      <c r="E11" s="279"/>
    </row>
    <row r="12" spans="1:5" ht="21">
      <c r="A12" s="42" t="s">
        <v>315</v>
      </c>
      <c r="B12" s="279">
        <f>B3-B6-B7-0.09*B3-0.01*B3</f>
        <v>2500</v>
      </c>
      <c r="D12" s="283" t="s">
        <v>316</v>
      </c>
      <c r="E12" s="284">
        <f>E3-E6-E7-0.02*E3-250</f>
        <v>600</v>
      </c>
    </row>
    <row r="13" spans="1:5" ht="21">
      <c r="B13" s="285"/>
      <c r="D13" s="283" t="s">
        <v>317</v>
      </c>
      <c r="E13" s="279">
        <f>E4*E12</f>
        <v>7200000</v>
      </c>
    </row>
    <row r="14" spans="1:5">
      <c r="B14" s="285"/>
      <c r="D14" s="42"/>
      <c r="E14" s="279"/>
    </row>
    <row r="15" spans="1:5">
      <c r="B15" s="285"/>
    </row>
    <row r="16" spans="1:5">
      <c r="A16" s="11" t="s">
        <v>318</v>
      </c>
      <c r="B16" s="285"/>
      <c r="D16" s="11" t="s">
        <v>319</v>
      </c>
    </row>
    <row r="17" spans="1:5">
      <c r="B17" s="285"/>
    </row>
    <row r="18" spans="1:5">
      <c r="A18" s="215" t="s">
        <v>0</v>
      </c>
      <c r="B18" s="286">
        <f>B3*B4</f>
        <v>240000000</v>
      </c>
      <c r="D18" s="215" t="s">
        <v>320</v>
      </c>
      <c r="E18" s="286">
        <f>B18</f>
        <v>240000000</v>
      </c>
    </row>
    <row r="19" spans="1:5">
      <c r="A19" s="217" t="s">
        <v>8</v>
      </c>
      <c r="B19" s="287">
        <f>B18*0.09</f>
        <v>21600000</v>
      </c>
      <c r="D19" s="217" t="s">
        <v>321</v>
      </c>
      <c r="E19" s="287">
        <f>E3*E4</f>
        <v>90000000</v>
      </c>
    </row>
    <row r="20" spans="1:5">
      <c r="A20" s="217" t="s">
        <v>322</v>
      </c>
      <c r="B20" s="287">
        <f>B18-B19</f>
        <v>218400000</v>
      </c>
      <c r="D20" s="217" t="s">
        <v>8</v>
      </c>
      <c r="E20" s="287">
        <f>B19</f>
        <v>21600000</v>
      </c>
    </row>
    <row r="21" spans="1:5">
      <c r="A21" s="217" t="s">
        <v>323</v>
      </c>
      <c r="B21" s="287">
        <f>B4*B10</f>
        <v>201000000</v>
      </c>
      <c r="D21" s="217" t="s">
        <v>322</v>
      </c>
      <c r="E21" s="287">
        <f>E18+E19-E20</f>
        <v>308400000</v>
      </c>
    </row>
    <row r="22" spans="1:5">
      <c r="A22" s="217" t="s">
        <v>2</v>
      </c>
      <c r="B22" s="287">
        <f>B20-B21</f>
        <v>17400000</v>
      </c>
      <c r="D22" s="217" t="s">
        <v>323</v>
      </c>
      <c r="E22" s="287">
        <f>E10*(B4+E4)</f>
        <v>279000000</v>
      </c>
    </row>
    <row r="23" spans="1:5">
      <c r="A23" s="217" t="s">
        <v>4</v>
      </c>
      <c r="B23" s="287">
        <v>9000000</v>
      </c>
      <c r="D23" s="217" t="s">
        <v>2</v>
      </c>
      <c r="E23" s="287">
        <f>E21-E22</f>
        <v>29400000</v>
      </c>
    </row>
    <row r="24" spans="1:5">
      <c r="A24" s="217" t="s">
        <v>324</v>
      </c>
      <c r="B24" s="287">
        <f>B18*0.01</f>
        <v>2400000</v>
      </c>
      <c r="D24" s="217" t="s">
        <v>4</v>
      </c>
      <c r="E24" s="287">
        <f>B23</f>
        <v>9000000</v>
      </c>
    </row>
    <row r="25" spans="1:5">
      <c r="A25" s="288" t="s">
        <v>17</v>
      </c>
      <c r="B25" s="289">
        <f>B22-B23-B24</f>
        <v>6000000</v>
      </c>
      <c r="D25" s="217" t="s">
        <v>324</v>
      </c>
      <c r="E25" s="287">
        <f>B24+(E3*E4*0.02)</f>
        <v>4200000</v>
      </c>
    </row>
    <row r="26" spans="1:5">
      <c r="D26" s="217" t="s">
        <v>325</v>
      </c>
      <c r="E26" s="287">
        <f>250*E4</f>
        <v>3000000</v>
      </c>
    </row>
    <row r="27" spans="1:5">
      <c r="D27" s="288" t="s">
        <v>17</v>
      </c>
      <c r="E27" s="289">
        <f>E23-E24-E25-E26</f>
        <v>13200000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opLeftCell="A4" workbookViewId="0">
      <selection activeCell="E21" sqref="E21"/>
    </sheetView>
  </sheetViews>
  <sheetFormatPr defaultColWidth="8.81640625" defaultRowHeight="13.5"/>
  <cols>
    <col min="1" max="1" width="25.1796875" style="11" customWidth="1"/>
    <col min="2" max="2" width="20.453125" style="11" customWidth="1"/>
    <col min="3" max="3" width="16.81640625" style="11" customWidth="1"/>
    <col min="4" max="4" width="16.453125" style="11" customWidth="1"/>
    <col min="5" max="5" width="14.36328125" style="11" bestFit="1" customWidth="1"/>
    <col min="6" max="16384" width="8.81640625" style="11"/>
  </cols>
  <sheetData>
    <row r="1" spans="1:5">
      <c r="A1" s="40"/>
      <c r="B1" s="40"/>
      <c r="C1" s="40"/>
      <c r="D1" s="40"/>
      <c r="E1" s="40"/>
    </row>
    <row r="2" spans="1:5">
      <c r="A2" s="290" t="s">
        <v>306</v>
      </c>
      <c r="B2" s="291"/>
      <c r="C2" s="291" t="s">
        <v>326</v>
      </c>
      <c r="D2" s="291" t="s">
        <v>327</v>
      </c>
      <c r="E2" s="40"/>
    </row>
    <row r="3" spans="1:5" ht="27">
      <c r="A3" s="292" t="s">
        <v>265</v>
      </c>
      <c r="B3" s="293" t="s">
        <v>328</v>
      </c>
      <c r="C3" s="293" t="s">
        <v>329</v>
      </c>
      <c r="D3" s="293" t="s">
        <v>330</v>
      </c>
      <c r="E3" s="40"/>
    </row>
    <row r="4" spans="1:5">
      <c r="A4" s="294" t="s">
        <v>331</v>
      </c>
      <c r="B4" s="293" t="s">
        <v>332</v>
      </c>
      <c r="C4" s="293" t="s">
        <v>333</v>
      </c>
      <c r="D4" s="293" t="s">
        <v>334</v>
      </c>
      <c r="E4" s="40"/>
    </row>
    <row r="5" spans="1:5">
      <c r="A5" s="294"/>
      <c r="B5" s="293" t="s">
        <v>335</v>
      </c>
      <c r="C5" s="293" t="s">
        <v>336</v>
      </c>
      <c r="D5" s="293" t="s">
        <v>336</v>
      </c>
      <c r="E5" s="40"/>
    </row>
    <row r="6" spans="1:5">
      <c r="A6" s="292"/>
      <c r="B6" s="293" t="s">
        <v>337</v>
      </c>
      <c r="C6" s="293" t="s">
        <v>338</v>
      </c>
      <c r="D6" s="293" t="s">
        <v>339</v>
      </c>
      <c r="E6" s="40"/>
    </row>
    <row r="7" spans="1:5">
      <c r="A7" s="40"/>
      <c r="B7" s="40"/>
      <c r="C7" s="40"/>
      <c r="D7" s="40"/>
      <c r="E7" s="40"/>
    </row>
    <row r="8" spans="1:5">
      <c r="A8" s="40" t="s">
        <v>340</v>
      </c>
      <c r="B8" s="40"/>
      <c r="C8" s="40"/>
      <c r="D8" s="40"/>
      <c r="E8" s="40"/>
    </row>
    <row r="9" spans="1:5">
      <c r="A9" s="40" t="s">
        <v>204</v>
      </c>
      <c r="B9" s="295">
        <v>80000</v>
      </c>
      <c r="C9" s="40"/>
      <c r="D9" s="40"/>
      <c r="E9" s="40"/>
    </row>
    <row r="10" spans="1:5">
      <c r="A10" s="40" t="s">
        <v>30</v>
      </c>
      <c r="B10" s="295">
        <v>260000</v>
      </c>
      <c r="C10" s="40"/>
      <c r="D10" s="40"/>
      <c r="E10" s="40"/>
    </row>
    <row r="11" spans="1:5">
      <c r="A11" s="40" t="s">
        <v>35</v>
      </c>
      <c r="B11" s="295">
        <v>410000</v>
      </c>
      <c r="C11" s="40"/>
      <c r="D11" s="40"/>
      <c r="E11" s="40"/>
    </row>
    <row r="12" spans="1:5">
      <c r="A12" s="40"/>
      <c r="B12" s="40"/>
      <c r="C12" s="40"/>
      <c r="D12" s="40"/>
      <c r="E12" s="40"/>
    </row>
    <row r="13" spans="1:5">
      <c r="A13" s="290"/>
      <c r="B13" s="291" t="s">
        <v>326</v>
      </c>
      <c r="C13" s="291" t="s">
        <v>327</v>
      </c>
      <c r="D13" s="40"/>
      <c r="E13" s="40"/>
    </row>
    <row r="14" spans="1:5">
      <c r="A14" s="292" t="s">
        <v>341</v>
      </c>
      <c r="B14" s="295">
        <v>7</v>
      </c>
      <c r="C14" s="295">
        <v>4</v>
      </c>
      <c r="D14" s="40"/>
      <c r="E14" s="40"/>
    </row>
    <row r="15" spans="1:5">
      <c r="A15" s="292" t="s">
        <v>342</v>
      </c>
      <c r="B15" s="296">
        <v>120000</v>
      </c>
      <c r="C15" s="296">
        <f>B15*0.2/0.8</f>
        <v>30000</v>
      </c>
      <c r="D15" s="40"/>
      <c r="E15" s="40"/>
    </row>
    <row r="16" spans="1:5" ht="27">
      <c r="A16" s="292" t="s">
        <v>343</v>
      </c>
      <c r="B16" s="295">
        <v>300000</v>
      </c>
      <c r="C16" s="295">
        <v>100000</v>
      </c>
      <c r="D16" s="40"/>
      <c r="E16" s="40"/>
    </row>
    <row r="17" spans="1:5">
      <c r="A17" s="292" t="s">
        <v>344</v>
      </c>
      <c r="B17" s="293">
        <v>460</v>
      </c>
      <c r="C17" s="293">
        <v>200</v>
      </c>
      <c r="D17" s="40"/>
      <c r="E17" s="40"/>
    </row>
    <row r="18" spans="1:5">
      <c r="A18" s="292" t="s">
        <v>345</v>
      </c>
      <c r="B18" s="297">
        <v>0.05</v>
      </c>
      <c r="C18" s="297">
        <v>0.02</v>
      </c>
      <c r="D18" s="40"/>
      <c r="E18" s="40"/>
    </row>
    <row r="19" spans="1:5">
      <c r="A19" s="40"/>
      <c r="B19" s="40"/>
      <c r="C19" s="40"/>
      <c r="D19" s="40"/>
      <c r="E19" s="40"/>
    </row>
    <row r="20" spans="1:5">
      <c r="A20" s="298" t="s">
        <v>346</v>
      </c>
      <c r="B20" s="40"/>
      <c r="C20" s="40"/>
      <c r="D20" s="40"/>
      <c r="E20" s="40"/>
    </row>
    <row r="21" spans="1:5">
      <c r="A21" s="298" t="s">
        <v>347</v>
      </c>
      <c r="B21" s="299">
        <f>B14</f>
        <v>7</v>
      </c>
      <c r="C21" s="299">
        <f>C14</f>
        <v>4</v>
      </c>
      <c r="D21" s="40"/>
      <c r="E21" s="40"/>
    </row>
    <row r="22" spans="1:5">
      <c r="A22" s="298" t="s">
        <v>348</v>
      </c>
      <c r="B22" s="40">
        <v>2.2599999999999998</v>
      </c>
      <c r="C22" s="40">
        <v>1.94</v>
      </c>
      <c r="D22" s="40"/>
      <c r="E22" s="40"/>
    </row>
    <row r="23" spans="1:5">
      <c r="A23" s="298" t="s">
        <v>332</v>
      </c>
      <c r="B23" s="40">
        <f>20/1000</f>
        <v>0.02</v>
      </c>
      <c r="C23" s="40">
        <f>15/1000</f>
        <v>1.4999999999999999E-2</v>
      </c>
      <c r="D23" s="40"/>
      <c r="E23" s="40"/>
    </row>
    <row r="24" spans="1:5">
      <c r="A24" s="298" t="s">
        <v>349</v>
      </c>
      <c r="B24" s="40">
        <f>0.5*0.46</f>
        <v>0.23</v>
      </c>
      <c r="C24" s="40">
        <f>0.5*0.2</f>
        <v>0.1</v>
      </c>
      <c r="D24" s="40"/>
      <c r="E24" s="40"/>
    </row>
    <row r="25" spans="1:5">
      <c r="A25" s="298" t="s">
        <v>346</v>
      </c>
      <c r="B25" s="299">
        <f>B21-B22-B23-B24</f>
        <v>4.49</v>
      </c>
      <c r="C25" s="299">
        <f>C21-C22-C23-C24</f>
        <v>1.9449999999999998</v>
      </c>
      <c r="D25" s="40"/>
      <c r="E25" s="40"/>
    </row>
    <row r="26" spans="1:5">
      <c r="A26" s="40"/>
      <c r="B26" s="40"/>
      <c r="C26" s="40"/>
      <c r="D26" s="40"/>
      <c r="E26" s="40"/>
    </row>
    <row r="27" spans="1:5">
      <c r="A27" s="298" t="s">
        <v>350</v>
      </c>
      <c r="B27" s="40"/>
      <c r="C27" s="40"/>
      <c r="D27" s="40"/>
      <c r="E27" s="40"/>
    </row>
    <row r="28" spans="1:5" ht="27">
      <c r="A28" s="298" t="s">
        <v>125</v>
      </c>
      <c r="B28" s="286">
        <f>2.26*B15</f>
        <v>271200</v>
      </c>
      <c r="C28" s="40"/>
      <c r="D28" s="298" t="s">
        <v>125</v>
      </c>
      <c r="E28" s="286">
        <f>B28+C15*1.94</f>
        <v>329400</v>
      </c>
    </row>
    <row r="29" spans="1:5" ht="27">
      <c r="A29" s="298" t="s">
        <v>351</v>
      </c>
      <c r="B29" s="286">
        <f>80000+260000+410000</f>
        <v>750000</v>
      </c>
      <c r="C29" s="40"/>
      <c r="D29" s="298" t="s">
        <v>351</v>
      </c>
      <c r="E29" s="286">
        <f>B29</f>
        <v>750000</v>
      </c>
    </row>
    <row r="30" spans="1:5">
      <c r="A30" s="298" t="s">
        <v>352</v>
      </c>
      <c r="B30" s="286">
        <f>B28+B29</f>
        <v>1021200</v>
      </c>
      <c r="C30" s="40"/>
      <c r="D30" s="298" t="s">
        <v>352</v>
      </c>
      <c r="E30" s="286">
        <f>E28+E29</f>
        <v>1079400</v>
      </c>
    </row>
    <row r="31" spans="1:5" ht="27">
      <c r="A31" s="298" t="s">
        <v>353</v>
      </c>
      <c r="B31" s="286">
        <f>0.5*0.46*B15</f>
        <v>27600</v>
      </c>
      <c r="C31" s="40"/>
      <c r="D31" s="298" t="s">
        <v>353</v>
      </c>
      <c r="E31" s="286">
        <f>B31+C15*0.2*0.5</f>
        <v>30600</v>
      </c>
    </row>
    <row r="32" spans="1:5">
      <c r="A32" s="298" t="s">
        <v>345</v>
      </c>
      <c r="B32" s="286">
        <f>0.05*B15</f>
        <v>6000</v>
      </c>
      <c r="C32" s="40"/>
      <c r="D32" s="298" t="s">
        <v>345</v>
      </c>
      <c r="E32" s="286">
        <f>B32+C15*0.02</f>
        <v>6600</v>
      </c>
    </row>
    <row r="33" spans="1:5" ht="27">
      <c r="A33" s="298" t="s">
        <v>354</v>
      </c>
      <c r="B33" s="286">
        <f>50*B32/1000</f>
        <v>300</v>
      </c>
      <c r="C33" s="40"/>
      <c r="D33" s="298" t="s">
        <v>354</v>
      </c>
      <c r="E33" s="286">
        <f>B33+75*600/1000</f>
        <v>345</v>
      </c>
    </row>
    <row r="34" spans="1:5">
      <c r="A34" s="40"/>
      <c r="B34" s="286"/>
      <c r="C34" s="40"/>
      <c r="D34" s="40"/>
      <c r="E34" s="40"/>
    </row>
    <row r="35" spans="1:5">
      <c r="A35" s="298" t="s">
        <v>6</v>
      </c>
      <c r="B35" s="286"/>
      <c r="C35" s="40"/>
      <c r="D35" s="298" t="s">
        <v>6</v>
      </c>
      <c r="E35" s="40"/>
    </row>
    <row r="36" spans="1:5" ht="27">
      <c r="A36" s="298" t="s">
        <v>355</v>
      </c>
      <c r="B36" s="286">
        <f>B15*0.95*7</f>
        <v>798000</v>
      </c>
      <c r="C36" s="40"/>
      <c r="D36" s="298" t="s">
        <v>355</v>
      </c>
      <c r="E36" s="286">
        <f>B36+0.92*C15*4</f>
        <v>908400</v>
      </c>
    </row>
    <row r="37" spans="1:5" ht="27">
      <c r="A37" s="298" t="s">
        <v>356</v>
      </c>
      <c r="B37" s="286">
        <f>300000</f>
        <v>300000</v>
      </c>
      <c r="C37" s="40"/>
      <c r="D37" s="298" t="s">
        <v>356</v>
      </c>
      <c r="E37" s="286">
        <f>B37+100000</f>
        <v>400000</v>
      </c>
    </row>
    <row r="38" spans="1:5">
      <c r="A38" s="298" t="s">
        <v>357</v>
      </c>
      <c r="B38" s="286">
        <f>B37*0.1</f>
        <v>30000</v>
      </c>
      <c r="C38" s="40"/>
      <c r="D38" s="298" t="s">
        <v>357</v>
      </c>
      <c r="E38" s="286">
        <f>0.1*E37</f>
        <v>40000</v>
      </c>
    </row>
    <row r="39" spans="1:5">
      <c r="A39" s="298" t="s">
        <v>322</v>
      </c>
      <c r="B39" s="286">
        <f>B36+B37-B38</f>
        <v>1068000</v>
      </c>
      <c r="C39" s="40"/>
      <c r="D39" s="298" t="s">
        <v>322</v>
      </c>
      <c r="E39" s="286">
        <f>E36+E37-E38</f>
        <v>1268400</v>
      </c>
    </row>
    <row r="40" spans="1:5" ht="40.5">
      <c r="A40" s="298" t="s">
        <v>15</v>
      </c>
      <c r="B40" s="286">
        <f>B30</f>
        <v>1021200</v>
      </c>
      <c r="C40" s="40"/>
      <c r="D40" s="298" t="s">
        <v>15</v>
      </c>
      <c r="E40" s="286">
        <f>E30</f>
        <v>1079400</v>
      </c>
    </row>
    <row r="41" spans="1:5">
      <c r="A41" s="298" t="s">
        <v>2</v>
      </c>
      <c r="B41" s="286">
        <f>B39-B40</f>
        <v>46800</v>
      </c>
      <c r="C41" s="40"/>
      <c r="D41" s="298" t="s">
        <v>2</v>
      </c>
      <c r="E41" s="286">
        <f>E39-E40</f>
        <v>189000</v>
      </c>
    </row>
    <row r="42" spans="1:5" ht="27">
      <c r="A42" s="298" t="s">
        <v>358</v>
      </c>
      <c r="B42" s="286">
        <f>20*B15/1000</f>
        <v>2400</v>
      </c>
      <c r="C42" s="40"/>
      <c r="D42" s="298" t="s">
        <v>358</v>
      </c>
      <c r="E42" s="286">
        <f>B42+15*C15/1000</f>
        <v>2850</v>
      </c>
    </row>
    <row r="43" spans="1:5">
      <c r="A43" s="298" t="s">
        <v>359</v>
      </c>
      <c r="B43" s="286">
        <f>B31</f>
        <v>27600</v>
      </c>
      <c r="C43" s="40"/>
      <c r="D43" s="298" t="s">
        <v>359</v>
      </c>
      <c r="E43" s="286">
        <f>E31</f>
        <v>30600</v>
      </c>
    </row>
    <row r="44" spans="1:5" ht="27">
      <c r="A44" s="298" t="s">
        <v>360</v>
      </c>
      <c r="B44" s="286">
        <f>B33</f>
        <v>300</v>
      </c>
      <c r="C44" s="40"/>
      <c r="D44" s="298" t="s">
        <v>360</v>
      </c>
      <c r="E44" s="286">
        <f>E33</f>
        <v>345</v>
      </c>
    </row>
    <row r="45" spans="1:5" ht="27">
      <c r="A45" s="298" t="s">
        <v>3</v>
      </c>
      <c r="B45" s="286">
        <f>B41-B42-B43-B44</f>
        <v>16500</v>
      </c>
      <c r="C45" s="40"/>
      <c r="D45" s="298" t="s">
        <v>3</v>
      </c>
      <c r="E45" s="286">
        <f>E41-E42-E43-E44</f>
        <v>155205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showGridLines="0" topLeftCell="A26" zoomScale="120" zoomScaleNormal="120" zoomScalePageLayoutView="120" workbookViewId="0">
      <selection activeCell="C36" sqref="C36"/>
    </sheetView>
  </sheetViews>
  <sheetFormatPr defaultColWidth="13.36328125" defaultRowHeight="13.5"/>
  <cols>
    <col min="1" max="1" width="48" style="11" customWidth="1"/>
    <col min="2" max="2" width="14" style="11" bestFit="1" customWidth="1"/>
    <col min="3" max="3" width="13.7265625" style="11" bestFit="1" customWidth="1"/>
    <col min="4" max="16384" width="13.36328125" style="11"/>
  </cols>
  <sheetData>
    <row r="1" spans="1:5">
      <c r="A1" s="9" t="s">
        <v>40</v>
      </c>
      <c r="B1" s="23" t="s">
        <v>41</v>
      </c>
      <c r="C1" s="24" t="s">
        <v>42</v>
      </c>
    </row>
    <row r="2" spans="1:5">
      <c r="A2" s="12" t="s">
        <v>43</v>
      </c>
      <c r="B2" s="25">
        <v>10000</v>
      </c>
      <c r="C2" s="26">
        <v>10</v>
      </c>
    </row>
    <row r="3" spans="1:5">
      <c r="A3" s="12" t="s">
        <v>44</v>
      </c>
      <c r="B3" s="25">
        <v>4000</v>
      </c>
      <c r="C3" s="26">
        <v>10</v>
      </c>
    </row>
    <row r="4" spans="1:5">
      <c r="A4" s="12" t="s">
        <v>45</v>
      </c>
      <c r="B4" s="25">
        <v>1800</v>
      </c>
      <c r="C4" s="26">
        <v>10</v>
      </c>
    </row>
    <row r="5" spans="1:5" ht="14" thickBot="1">
      <c r="A5" s="14" t="s">
        <v>46</v>
      </c>
      <c r="B5" s="27">
        <v>2000</v>
      </c>
      <c r="C5" s="28">
        <v>5</v>
      </c>
    </row>
    <row r="6" spans="1:5" ht="14" thickBot="1">
      <c r="B6" s="29"/>
    </row>
    <row r="7" spans="1:5">
      <c r="A7" s="9" t="s">
        <v>47</v>
      </c>
      <c r="B7" s="30">
        <v>80000</v>
      </c>
    </row>
    <row r="8" spans="1:5">
      <c r="A8" s="12" t="s">
        <v>48</v>
      </c>
      <c r="B8" s="31">
        <v>16000</v>
      </c>
    </row>
    <row r="9" spans="1:5">
      <c r="A9" s="12" t="s">
        <v>49</v>
      </c>
      <c r="B9" s="31">
        <v>80000</v>
      </c>
    </row>
    <row r="10" spans="1:5">
      <c r="A10" s="12" t="s">
        <v>50</v>
      </c>
      <c r="B10" s="31">
        <v>1200</v>
      </c>
    </row>
    <row r="11" spans="1:5">
      <c r="A11" s="12" t="s">
        <v>51</v>
      </c>
      <c r="B11" s="31">
        <v>9000</v>
      </c>
    </row>
    <row r="12" spans="1:5" ht="14" thickBot="1">
      <c r="A12" s="14" t="s">
        <v>52</v>
      </c>
      <c r="B12" s="32">
        <v>3600</v>
      </c>
    </row>
    <row r="14" spans="1:5">
      <c r="A14" s="16" t="s">
        <v>53</v>
      </c>
      <c r="B14" s="33" t="s">
        <v>54</v>
      </c>
      <c r="C14" s="33" t="s">
        <v>55</v>
      </c>
      <c r="D14" s="16" t="s">
        <v>56</v>
      </c>
    </row>
    <row r="15" spans="1:5">
      <c r="A15" s="11" t="s">
        <v>57</v>
      </c>
      <c r="B15" s="34">
        <f>0.7*B9</f>
        <v>56000</v>
      </c>
      <c r="C15" s="362">
        <f>B15/B29</f>
        <v>11.666666666666666</v>
      </c>
      <c r="D15" s="365"/>
      <c r="E15" s="361"/>
    </row>
    <row r="16" spans="1:5">
      <c r="A16" s="11" t="s">
        <v>58</v>
      </c>
      <c r="B16" s="34">
        <f>0.9*B11</f>
        <v>8100</v>
      </c>
      <c r="C16" s="362">
        <f>B16/B29</f>
        <v>1.6875</v>
      </c>
      <c r="D16" s="365"/>
      <c r="E16" s="361"/>
    </row>
    <row r="17" spans="1:5">
      <c r="A17" s="11" t="s">
        <v>35</v>
      </c>
      <c r="B17" s="34">
        <f>B7</f>
        <v>80000</v>
      </c>
      <c r="C17" s="362">
        <f>B17*400/900/(12*700)</f>
        <v>4.2328042328042326</v>
      </c>
      <c r="D17" s="367">
        <f>B17/900*400</f>
        <v>35555.555555555555</v>
      </c>
      <c r="E17" s="361" t="s">
        <v>59</v>
      </c>
    </row>
    <row r="18" spans="1:5">
      <c r="A18" s="11" t="s">
        <v>60</v>
      </c>
      <c r="B18" s="34">
        <f>B12</f>
        <v>3600</v>
      </c>
      <c r="C18" s="362">
        <f>B18/B29</f>
        <v>0.75</v>
      </c>
      <c r="D18" s="367">
        <f>B17*(900-400)/900</f>
        <v>44444.444444444445</v>
      </c>
      <c r="E18" s="361" t="s">
        <v>61</v>
      </c>
    </row>
    <row r="19" spans="1:5">
      <c r="A19" s="11" t="s">
        <v>62</v>
      </c>
      <c r="B19" s="34">
        <f>(B2+B3+B4)/10</f>
        <v>1580</v>
      </c>
      <c r="C19" s="363"/>
      <c r="D19" s="365"/>
    </row>
    <row r="20" spans="1:5">
      <c r="A20" s="11" t="s">
        <v>63</v>
      </c>
      <c r="B20" s="34">
        <f>(B5)/5</f>
        <v>400</v>
      </c>
      <c r="C20" s="363"/>
      <c r="D20" s="365"/>
    </row>
    <row r="21" spans="1:5">
      <c r="B21" s="35"/>
      <c r="C21" s="363"/>
      <c r="D21" s="365"/>
    </row>
    <row r="22" spans="1:5">
      <c r="A22" s="36" t="s">
        <v>64</v>
      </c>
      <c r="B22" s="37">
        <f>SUM(B15:B21)</f>
        <v>149680</v>
      </c>
      <c r="C22" s="364">
        <f>B22/B29</f>
        <v>31.183333333333334</v>
      </c>
      <c r="D22" s="365"/>
    </row>
    <row r="23" spans="1:5">
      <c r="C23" s="365"/>
      <c r="D23" s="365"/>
    </row>
    <row r="24" spans="1:5">
      <c r="A24" s="11" t="s">
        <v>4</v>
      </c>
      <c r="B24" s="35"/>
      <c r="C24" s="365"/>
      <c r="D24" s="365"/>
    </row>
    <row r="25" spans="1:5">
      <c r="A25" s="11" t="s">
        <v>65</v>
      </c>
      <c r="B25" s="34">
        <f>B10</f>
        <v>1200</v>
      </c>
      <c r="C25" s="365"/>
      <c r="D25" s="365"/>
    </row>
    <row r="26" spans="1:5">
      <c r="A26" s="11" t="s">
        <v>66</v>
      </c>
      <c r="B26" s="34">
        <f>B8/5</f>
        <v>3200</v>
      </c>
      <c r="C26" s="365"/>
      <c r="D26" s="365"/>
    </row>
    <row r="27" spans="1:5">
      <c r="A27" s="16" t="s">
        <v>67</v>
      </c>
      <c r="B27" s="38">
        <f>B22+B25+B26</f>
        <v>154080</v>
      </c>
      <c r="C27" s="366">
        <f>B27/B29</f>
        <v>32.1</v>
      </c>
      <c r="D27" s="365"/>
    </row>
    <row r="28" spans="1:5">
      <c r="C28" s="365"/>
      <c r="D28" s="365"/>
    </row>
    <row r="29" spans="1:5">
      <c r="A29" s="40" t="s">
        <v>68</v>
      </c>
      <c r="B29" s="41">
        <f>400*12</f>
        <v>4800</v>
      </c>
      <c r="C29" s="365"/>
      <c r="D29" s="365"/>
    </row>
    <row r="30" spans="1:5" ht="14" thickBot="1">
      <c r="C30" s="365"/>
      <c r="D30" s="365"/>
    </row>
    <row r="31" spans="1:5">
      <c r="A31" s="9" t="s">
        <v>69</v>
      </c>
      <c r="B31" s="30">
        <f>B29*38</f>
        <v>182400</v>
      </c>
      <c r="C31" s="365"/>
      <c r="D31" s="365"/>
    </row>
    <row r="32" spans="1:5">
      <c r="A32" s="12" t="s">
        <v>15</v>
      </c>
      <c r="B32" s="31">
        <f>-B22</f>
        <v>-149680</v>
      </c>
      <c r="C32" s="365"/>
      <c r="D32" s="365"/>
    </row>
    <row r="33" spans="1:4">
      <c r="A33" s="12" t="s">
        <v>2</v>
      </c>
      <c r="B33" s="31">
        <f>B31+B32</f>
        <v>32720</v>
      </c>
      <c r="C33" s="365"/>
      <c r="D33" s="365"/>
    </row>
    <row r="34" spans="1:4">
      <c r="A34" s="12" t="s">
        <v>4</v>
      </c>
      <c r="B34" s="31">
        <f>-B25-B26</f>
        <v>-4400</v>
      </c>
      <c r="C34" s="365"/>
      <c r="D34" s="365"/>
    </row>
    <row r="35" spans="1:4" ht="14" thickBot="1">
      <c r="A35" s="14" t="s">
        <v>3</v>
      </c>
      <c r="B35" s="32">
        <f>B33+B34</f>
        <v>28320</v>
      </c>
      <c r="C35" s="371">
        <f>B35+C43</f>
        <v>53145</v>
      </c>
      <c r="D35" s="365"/>
    </row>
    <row r="36" spans="1:4">
      <c r="A36" s="42"/>
      <c r="B36" s="43"/>
    </row>
    <row r="37" spans="1:4">
      <c r="A37" s="44" t="s">
        <v>70</v>
      </c>
    </row>
    <row r="38" spans="1:4">
      <c r="A38" s="16" t="s">
        <v>71</v>
      </c>
      <c r="B38" s="39">
        <f>C22</f>
        <v>31.183333333333334</v>
      </c>
    </row>
    <row r="39" spans="1:4">
      <c r="A39" s="16" t="s">
        <v>39</v>
      </c>
      <c r="B39" s="39">
        <f>C27</f>
        <v>32.1</v>
      </c>
    </row>
    <row r="40" spans="1:4">
      <c r="A40" s="369" t="s">
        <v>459</v>
      </c>
      <c r="B40" s="370">
        <f>SUM(C15:C18)</f>
        <v>18.336970899470899</v>
      </c>
      <c r="C40" s="370">
        <f>21-B40</f>
        <v>2.6630291005291014</v>
      </c>
    </row>
    <row r="41" spans="1:4">
      <c r="A41" s="11" t="s">
        <v>460</v>
      </c>
      <c r="B41" s="368">
        <f>C15+C16+C18</f>
        <v>14.104166666666666</v>
      </c>
      <c r="C41" s="368">
        <f>21-B41</f>
        <v>6.8958333333333339</v>
      </c>
    </row>
    <row r="43" spans="1:4">
      <c r="A43" s="11" t="s">
        <v>461</v>
      </c>
      <c r="C43" s="368">
        <f>C41*300*12</f>
        <v>24825</v>
      </c>
    </row>
  </sheetData>
  <pageMargins left="0.78740157499999996" right="0.78740157499999996" top="0.984251969" bottom="0.984251969" header="0.5" footer="0.5"/>
  <pageSetup paperSize="9" orientation="portrait" horizontalDpi="4294967292" verticalDpi="4294967292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topLeftCell="A16" zoomScale="130" zoomScaleNormal="130" workbookViewId="0">
      <selection activeCell="B20" sqref="B20"/>
    </sheetView>
  </sheetViews>
  <sheetFormatPr defaultColWidth="8.81640625" defaultRowHeight="13.5"/>
  <cols>
    <col min="1" max="1" width="27.1796875" style="11" bestFit="1" customWidth="1"/>
    <col min="2" max="2" width="12.36328125" style="11" bestFit="1" customWidth="1"/>
    <col min="3" max="16384" width="8.81640625" style="11"/>
  </cols>
  <sheetData>
    <row r="1" spans="1:2">
      <c r="A1" s="40" t="s">
        <v>361</v>
      </c>
      <c r="B1" s="300">
        <v>20</v>
      </c>
    </row>
    <row r="2" spans="1:2">
      <c r="A2" s="40" t="s">
        <v>362</v>
      </c>
      <c r="B2" s="300">
        <v>20</v>
      </c>
    </row>
    <row r="3" spans="1:2">
      <c r="A3" s="40" t="s">
        <v>363</v>
      </c>
      <c r="B3" s="300">
        <v>7</v>
      </c>
    </row>
    <row r="4" spans="1:2">
      <c r="A4" s="40"/>
      <c r="B4" s="300"/>
    </row>
    <row r="5" spans="1:2">
      <c r="A5" s="40" t="s">
        <v>364</v>
      </c>
      <c r="B5" s="300">
        <v>40000</v>
      </c>
    </row>
    <row r="6" spans="1:2">
      <c r="A6" s="40" t="s">
        <v>365</v>
      </c>
      <c r="B6" s="300">
        <v>10000</v>
      </c>
    </row>
    <row r="7" spans="1:2">
      <c r="A7" s="40"/>
      <c r="B7" s="300"/>
    </row>
    <row r="8" spans="1:2">
      <c r="A8" s="40" t="s">
        <v>366</v>
      </c>
      <c r="B8" s="300">
        <v>15000</v>
      </c>
    </row>
    <row r="9" spans="1:2">
      <c r="A9" s="40" t="s">
        <v>367</v>
      </c>
      <c r="B9" s="300">
        <v>1500</v>
      </c>
    </row>
    <row r="10" spans="1:2">
      <c r="A10" s="40"/>
      <c r="B10" s="300"/>
    </row>
    <row r="11" spans="1:2">
      <c r="A11" s="131" t="s">
        <v>368</v>
      </c>
      <c r="B11" s="301">
        <v>200</v>
      </c>
    </row>
    <row r="12" spans="1:2">
      <c r="A12" s="134" t="s">
        <v>357</v>
      </c>
      <c r="B12" s="302">
        <v>0.15</v>
      </c>
    </row>
    <row r="13" spans="1:2">
      <c r="A13" s="134" t="s">
        <v>369</v>
      </c>
      <c r="B13" s="303">
        <f>B11*(1-B12)</f>
        <v>170</v>
      </c>
    </row>
    <row r="14" spans="1:2">
      <c r="A14" s="134"/>
      <c r="B14" s="303"/>
    </row>
    <row r="15" spans="1:2">
      <c r="A15" s="134" t="s">
        <v>346</v>
      </c>
      <c r="B15" s="303">
        <f>B13-B1-B2-B3</f>
        <v>123</v>
      </c>
    </row>
    <row r="16" spans="1:2">
      <c r="A16" s="134"/>
      <c r="B16" s="303"/>
    </row>
    <row r="17" spans="1:2">
      <c r="A17" s="134" t="s">
        <v>370</v>
      </c>
      <c r="B17" s="303">
        <f>(B5+B6+B8+B9)</f>
        <v>66500</v>
      </c>
    </row>
    <row r="18" spans="1:2">
      <c r="A18" s="134"/>
      <c r="B18" s="304"/>
    </row>
    <row r="19" spans="1:2">
      <c r="A19" s="134" t="s">
        <v>371</v>
      </c>
      <c r="B19" s="305">
        <f>B17/B15</f>
        <v>540.65040650406502</v>
      </c>
    </row>
    <row r="20" spans="1:2">
      <c r="A20" s="134" t="s">
        <v>372</v>
      </c>
      <c r="B20" s="305">
        <v>541</v>
      </c>
    </row>
    <row r="21" spans="1:2">
      <c r="A21" s="137" t="s">
        <v>373</v>
      </c>
      <c r="B21" s="306">
        <f>B20*B11</f>
        <v>108200</v>
      </c>
    </row>
    <row r="23" spans="1:2">
      <c r="A23" s="215" t="s">
        <v>374</v>
      </c>
      <c r="B23" s="133"/>
    </row>
    <row r="24" spans="1:2">
      <c r="A24" s="217" t="s">
        <v>375</v>
      </c>
      <c r="B24" s="307">
        <f>B17/(B15-0.3*B13)</f>
        <v>923.61111111111109</v>
      </c>
    </row>
    <row r="25" spans="1:2">
      <c r="A25" s="217" t="s">
        <v>376</v>
      </c>
      <c r="B25" s="307">
        <v>924</v>
      </c>
    </row>
    <row r="26" spans="1:2">
      <c r="A26" s="288" t="s">
        <v>376</v>
      </c>
      <c r="B26" s="289">
        <f>B25*B11</f>
        <v>184800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workbookViewId="0">
      <selection activeCell="F33" sqref="F33"/>
    </sheetView>
  </sheetViews>
  <sheetFormatPr defaultColWidth="8.81640625" defaultRowHeight="13.5"/>
  <cols>
    <col min="1" max="1" width="32.1796875" style="11" bestFit="1" customWidth="1"/>
    <col min="2" max="2" width="14.36328125" style="11" bestFit="1" customWidth="1"/>
    <col min="3" max="16384" width="8.81640625" style="11"/>
  </cols>
  <sheetData>
    <row r="1" spans="1:3">
      <c r="A1" s="11" t="s">
        <v>377</v>
      </c>
    </row>
    <row r="2" spans="1:3">
      <c r="A2" s="215" t="s">
        <v>378</v>
      </c>
      <c r="B2" s="286">
        <v>150</v>
      </c>
    </row>
    <row r="3" spans="1:3">
      <c r="A3" s="217" t="s">
        <v>379</v>
      </c>
      <c r="B3" s="287">
        <v>90</v>
      </c>
    </row>
    <row r="4" spans="1:3">
      <c r="A4" s="217" t="s">
        <v>268</v>
      </c>
      <c r="B4" s="308">
        <v>0.1</v>
      </c>
    </row>
    <row r="5" spans="1:3">
      <c r="A5" s="217" t="s">
        <v>270</v>
      </c>
      <c r="B5" s="287">
        <v>480000</v>
      </c>
    </row>
    <row r="6" spans="1:3">
      <c r="A6" s="288" t="s">
        <v>380</v>
      </c>
      <c r="B6" s="289">
        <v>60000</v>
      </c>
    </row>
    <row r="8" spans="1:3">
      <c r="A8" s="214" t="s">
        <v>381</v>
      </c>
      <c r="B8" s="289">
        <f>B2-B3-B4*B2</f>
        <v>45</v>
      </c>
    </row>
    <row r="10" spans="1:3">
      <c r="A10" s="214" t="s">
        <v>382</v>
      </c>
      <c r="B10" s="214">
        <f>(B5+B6)/B8</f>
        <v>12000</v>
      </c>
      <c r="C10" s="11" t="s">
        <v>383</v>
      </c>
    </row>
    <row r="11" spans="1:3">
      <c r="A11" s="214"/>
      <c r="B11" s="309">
        <f>B10*B2</f>
        <v>1800000</v>
      </c>
    </row>
    <row r="13" spans="1:3">
      <c r="A13" s="11" t="s">
        <v>384</v>
      </c>
      <c r="B13" s="11">
        <v>36500</v>
      </c>
      <c r="C13" s="11" t="s">
        <v>383</v>
      </c>
    </row>
    <row r="15" spans="1:3">
      <c r="A15" s="11" t="s">
        <v>385</v>
      </c>
      <c r="B15" s="11">
        <f>B13*0.8</f>
        <v>29200</v>
      </c>
      <c r="C15" s="11" t="s">
        <v>383</v>
      </c>
    </row>
    <row r="16" spans="1:3">
      <c r="A16" s="11" t="s">
        <v>386</v>
      </c>
      <c r="B16" s="11">
        <f>B15-B10</f>
        <v>17200</v>
      </c>
      <c r="C16" s="11" t="s">
        <v>383</v>
      </c>
    </row>
    <row r="18" spans="1:3">
      <c r="A18" s="11" t="s">
        <v>387</v>
      </c>
      <c r="B18" s="308">
        <v>0.2</v>
      </c>
    </row>
    <row r="20" spans="1:3">
      <c r="A20" s="214" t="s">
        <v>388</v>
      </c>
      <c r="B20" s="214">
        <f>(B5+B6)/(B8-0.2*B2)</f>
        <v>36000</v>
      </c>
      <c r="C20" s="11" t="s">
        <v>383</v>
      </c>
    </row>
    <row r="21" spans="1:3">
      <c r="A21" s="214"/>
      <c r="B21" s="309">
        <f>B20*B2</f>
        <v>5400000</v>
      </c>
    </row>
    <row r="23" spans="1:3">
      <c r="A23" s="11" t="s">
        <v>389</v>
      </c>
      <c r="B23" s="310">
        <f>B10/B13</f>
        <v>0.32876712328767121</v>
      </c>
    </row>
    <row r="25" spans="1:3">
      <c r="A25" s="11" t="s">
        <v>390</v>
      </c>
      <c r="B25" s="310">
        <f>B20/B13</f>
        <v>0.98630136986301364</v>
      </c>
    </row>
    <row r="27" spans="1:3">
      <c r="A27" s="11" t="s">
        <v>6</v>
      </c>
    </row>
    <row r="28" spans="1:3">
      <c r="A28" s="11" t="s">
        <v>0</v>
      </c>
      <c r="B28" s="285">
        <f>B2*B15</f>
        <v>4380000</v>
      </c>
    </row>
    <row r="29" spans="1:3">
      <c r="A29" s="11" t="s">
        <v>379</v>
      </c>
      <c r="B29" s="285">
        <f>90*B15</f>
        <v>2628000</v>
      </c>
    </row>
    <row r="30" spans="1:3">
      <c r="A30" s="11" t="s">
        <v>270</v>
      </c>
      <c r="B30" s="285">
        <f>B5</f>
        <v>480000</v>
      </c>
    </row>
    <row r="31" spans="1:3">
      <c r="A31" s="11" t="s">
        <v>2</v>
      </c>
      <c r="B31" s="285">
        <f>B28-B29-B30</f>
        <v>1272000</v>
      </c>
    </row>
    <row r="32" spans="1:3">
      <c r="A32" s="11" t="s">
        <v>278</v>
      </c>
      <c r="B32" s="285">
        <f>B6</f>
        <v>60000</v>
      </c>
    </row>
    <row r="33" spans="1:2">
      <c r="A33" s="11" t="s">
        <v>391</v>
      </c>
      <c r="B33" s="285">
        <f>0.1*B28</f>
        <v>438000</v>
      </c>
    </row>
    <row r="34" spans="1:2">
      <c r="A34" s="11" t="s">
        <v>11</v>
      </c>
      <c r="B34" s="285">
        <f>B31-B32-B33</f>
        <v>774000</v>
      </c>
    </row>
  </sheetData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sqref="A1:D12"/>
    </sheetView>
  </sheetViews>
  <sheetFormatPr defaultColWidth="8.81640625" defaultRowHeight="13.5"/>
  <cols>
    <col min="1" max="1" width="8.81640625" style="11"/>
    <col min="2" max="4" width="16.36328125" style="11" bestFit="1" customWidth="1"/>
    <col min="5" max="16384" width="8.81640625" style="11"/>
  </cols>
  <sheetData>
    <row r="1" spans="1:4">
      <c r="B1" s="11" t="s">
        <v>392</v>
      </c>
    </row>
    <row r="2" spans="1:4">
      <c r="A2" s="311"/>
      <c r="B2" s="312" t="s">
        <v>393</v>
      </c>
      <c r="C2" s="312" t="s">
        <v>394</v>
      </c>
      <c r="D2" s="313" t="s">
        <v>19</v>
      </c>
    </row>
    <row r="3" spans="1:4">
      <c r="A3" s="11" t="s">
        <v>395</v>
      </c>
      <c r="B3" s="314">
        <v>120</v>
      </c>
      <c r="C3" s="314">
        <v>180</v>
      </c>
    </row>
    <row r="4" spans="1:4">
      <c r="A4" s="11" t="s">
        <v>396</v>
      </c>
      <c r="B4" s="314">
        <f>-2*8</f>
        <v>-16</v>
      </c>
      <c r="C4" s="314">
        <f>-1*8</f>
        <v>-8</v>
      </c>
    </row>
    <row r="5" spans="1:4">
      <c r="A5" s="11" t="s">
        <v>88</v>
      </c>
      <c r="B5" s="314">
        <f>-2.5*20</f>
        <v>-50</v>
      </c>
      <c r="C5" s="314">
        <f>-1.5*20</f>
        <v>-30</v>
      </c>
    </row>
    <row r="6" spans="1:4">
      <c r="A6" s="11" t="s">
        <v>397</v>
      </c>
      <c r="B6" s="314">
        <f>-0.05*B3</f>
        <v>-6</v>
      </c>
      <c r="C6" s="314">
        <f>-0.05*C3</f>
        <v>-9</v>
      </c>
    </row>
    <row r="7" spans="1:4">
      <c r="A7" s="11" t="s">
        <v>346</v>
      </c>
      <c r="B7" s="314">
        <f>SUM(B3:B6)</f>
        <v>48</v>
      </c>
      <c r="C7" s="314">
        <f>SUM(C3:C6)</f>
        <v>133</v>
      </c>
    </row>
    <row r="8" spans="1:4">
      <c r="B8" s="315"/>
      <c r="C8" s="315"/>
    </row>
    <row r="9" spans="1:4">
      <c r="A9" s="11" t="s">
        <v>398</v>
      </c>
      <c r="B9" s="314">
        <f>50000/2</f>
        <v>25000</v>
      </c>
      <c r="C9" s="314">
        <f>50000/2</f>
        <v>25000</v>
      </c>
    </row>
    <row r="10" spans="1:4">
      <c r="A10" s="11" t="s">
        <v>399</v>
      </c>
      <c r="B10" s="273">
        <f>B9/B7</f>
        <v>520.83333333333337</v>
      </c>
      <c r="C10" s="273">
        <f>C9/C7</f>
        <v>187.96992481203009</v>
      </c>
    </row>
    <row r="11" spans="1:4">
      <c r="A11" s="11" t="s">
        <v>399</v>
      </c>
      <c r="B11" s="316">
        <v>521</v>
      </c>
      <c r="C11" s="316">
        <v>188</v>
      </c>
    </row>
    <row r="12" spans="1:4">
      <c r="A12" s="317" t="s">
        <v>373</v>
      </c>
      <c r="B12" s="318">
        <f>B11*B3</f>
        <v>62520</v>
      </c>
      <c r="C12" s="318">
        <f>C11*C3</f>
        <v>33840</v>
      </c>
      <c r="D12" s="318">
        <f>B12+C12</f>
        <v>96360</v>
      </c>
    </row>
  </sheetData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1"/>
  <sheetViews>
    <sheetView workbookViewId="0">
      <selection activeCell="E11" sqref="E11"/>
    </sheetView>
  </sheetViews>
  <sheetFormatPr defaultColWidth="8.81640625" defaultRowHeight="13.5"/>
  <cols>
    <col min="1" max="1" width="27.1796875" style="11" customWidth="1"/>
    <col min="2" max="3" width="11.453125" style="11" bestFit="1" customWidth="1"/>
    <col min="4" max="16384" width="8.81640625" style="11"/>
  </cols>
  <sheetData>
    <row r="2" spans="1:3" ht="14">
      <c r="A2" s="225"/>
      <c r="B2" s="225" t="s">
        <v>407</v>
      </c>
      <c r="C2" s="225" t="s">
        <v>408</v>
      </c>
    </row>
    <row r="3" spans="1:3" ht="14">
      <c r="A3" s="225" t="s">
        <v>409</v>
      </c>
      <c r="B3" s="320">
        <v>150</v>
      </c>
      <c r="C3" s="320">
        <v>200</v>
      </c>
    </row>
    <row r="4" spans="1:3" ht="14">
      <c r="A4" s="225" t="s">
        <v>410</v>
      </c>
      <c r="B4" s="320">
        <v>80</v>
      </c>
      <c r="C4" s="320">
        <v>110</v>
      </c>
    </row>
    <row r="5" spans="1:3" ht="28">
      <c r="A5" s="225" t="s">
        <v>411</v>
      </c>
      <c r="B5" s="320">
        <v>182000</v>
      </c>
      <c r="C5" s="320">
        <v>378000</v>
      </c>
    </row>
    <row r="6" spans="1:3" ht="28">
      <c r="A6" s="225" t="s">
        <v>412</v>
      </c>
      <c r="B6" s="374">
        <v>119000</v>
      </c>
      <c r="C6" s="374"/>
    </row>
    <row r="7" spans="1:3" ht="14">
      <c r="A7" s="321" t="s">
        <v>346</v>
      </c>
      <c r="B7" s="315">
        <f>B3-B4</f>
        <v>70</v>
      </c>
      <c r="C7" s="315">
        <f>C3-C4</f>
        <v>90</v>
      </c>
    </row>
    <row r="8" spans="1:3" ht="14">
      <c r="A8" s="321" t="s">
        <v>413</v>
      </c>
      <c r="B8" s="316">
        <f>B5/B7</f>
        <v>2600</v>
      </c>
      <c r="C8" s="316">
        <f>C5/C7</f>
        <v>4200</v>
      </c>
    </row>
    <row r="9" spans="1:3" ht="14">
      <c r="A9" s="321" t="s">
        <v>414</v>
      </c>
      <c r="B9" s="322">
        <f>C7/(C7-B7)</f>
        <v>4.5</v>
      </c>
      <c r="C9" s="316"/>
    </row>
    <row r="10" spans="1:3">
      <c r="B10" s="316"/>
      <c r="C10" s="316"/>
    </row>
    <row r="11" spans="1:3" ht="14">
      <c r="A11" s="321" t="s">
        <v>415</v>
      </c>
      <c r="B11" s="316">
        <f>(B5+B6)/B7</f>
        <v>4300</v>
      </c>
      <c r="C11" s="316">
        <f>(C5+B6)/C7</f>
        <v>5522.2222222222226</v>
      </c>
    </row>
  </sheetData>
  <mergeCells count="1">
    <mergeCell ref="B6:C6"/>
  </mergeCells>
  <pageMargins left="0.511811024" right="0.511811024" top="0.78740157499999996" bottom="0.78740157499999996" header="0.31496062000000002" footer="0.3149606200000000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9"/>
  <sheetViews>
    <sheetView workbookViewId="0">
      <selection activeCell="E16" sqref="E16"/>
    </sheetView>
  </sheetViews>
  <sheetFormatPr defaultColWidth="8.81640625" defaultRowHeight="13.5"/>
  <cols>
    <col min="1" max="1" width="25.6328125" style="11" bestFit="1" customWidth="1"/>
    <col min="2" max="2" width="14.1796875" style="11" bestFit="1" customWidth="1"/>
    <col min="3" max="16384" width="8.81640625" style="11"/>
  </cols>
  <sheetData>
    <row r="2" spans="1:2">
      <c r="A2" s="11" t="s">
        <v>368</v>
      </c>
      <c r="B2" s="315">
        <v>1200</v>
      </c>
    </row>
    <row r="3" spans="1:2">
      <c r="A3" s="11" t="s">
        <v>167</v>
      </c>
      <c r="B3" s="315">
        <v>320</v>
      </c>
    </row>
    <row r="4" spans="1:2">
      <c r="A4" s="11" t="s">
        <v>400</v>
      </c>
      <c r="B4" s="315">
        <v>150</v>
      </c>
    </row>
    <row r="5" spans="1:2">
      <c r="A5" s="11" t="s">
        <v>150</v>
      </c>
      <c r="B5" s="315">
        <v>70</v>
      </c>
    </row>
    <row r="6" spans="1:2">
      <c r="A6" s="11" t="s">
        <v>401</v>
      </c>
      <c r="B6" s="315">
        <v>10</v>
      </c>
    </row>
    <row r="7" spans="1:2">
      <c r="A7" s="11" t="s">
        <v>294</v>
      </c>
      <c r="B7" s="315">
        <v>20</v>
      </c>
    </row>
    <row r="8" spans="1:2">
      <c r="A8" s="11" t="s">
        <v>346</v>
      </c>
      <c r="B8" s="315">
        <f>B2-SUM(B3:B7)</f>
        <v>630</v>
      </c>
    </row>
    <row r="10" spans="1:2">
      <c r="A10" s="11" t="s">
        <v>402</v>
      </c>
    </row>
    <row r="11" spans="1:2">
      <c r="A11" s="11" t="s">
        <v>30</v>
      </c>
      <c r="B11" s="315">
        <v>75000</v>
      </c>
    </row>
    <row r="12" spans="1:2">
      <c r="A12" s="11" t="s">
        <v>403</v>
      </c>
      <c r="B12" s="315">
        <v>400000</v>
      </c>
    </row>
    <row r="13" spans="1:2">
      <c r="A13" s="11" t="s">
        <v>404</v>
      </c>
      <c r="B13" s="315">
        <v>50000</v>
      </c>
    </row>
    <row r="14" spans="1:2">
      <c r="A14" s="11" t="s">
        <v>405</v>
      </c>
      <c r="B14" s="315">
        <v>150000</v>
      </c>
    </row>
    <row r="15" spans="1:2">
      <c r="A15" s="11" t="s">
        <v>54</v>
      </c>
      <c r="B15" s="315">
        <f>SUM(B11:B14)</f>
        <v>675000</v>
      </c>
    </row>
    <row r="17" spans="1:2">
      <c r="A17" s="11" t="s">
        <v>399</v>
      </c>
      <c r="B17" s="319">
        <f>B15/B8</f>
        <v>1071.4285714285713</v>
      </c>
    </row>
    <row r="18" spans="1:2">
      <c r="B18" s="11">
        <v>1072</v>
      </c>
    </row>
    <row r="19" spans="1:2">
      <c r="A19" s="11" t="s">
        <v>406</v>
      </c>
      <c r="B19" s="315">
        <f>B18*B2</f>
        <v>1286400</v>
      </c>
    </row>
  </sheetData>
  <pageMargins left="0.511811024" right="0.511811024" top="0.78740157499999996" bottom="0.78740157499999996" header="0.31496062000000002" footer="0.3149606200000000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1640625" defaultRowHeight="12.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showGridLines="0" workbookViewId="0">
      <selection activeCell="D31" sqref="D31"/>
    </sheetView>
  </sheetViews>
  <sheetFormatPr defaultColWidth="8.81640625" defaultRowHeight="13.5"/>
  <cols>
    <col min="1" max="1" width="39" style="11" bestFit="1" customWidth="1"/>
    <col min="2" max="2" width="17.1796875" style="11" bestFit="1" customWidth="1"/>
    <col min="3" max="3" width="8.81640625" style="11"/>
    <col min="4" max="4" width="27.36328125" style="11" bestFit="1" customWidth="1"/>
    <col min="5" max="5" width="16.1796875" style="11" bestFit="1" customWidth="1"/>
    <col min="6" max="6" width="22.1796875" style="11" bestFit="1" customWidth="1"/>
    <col min="7" max="7" width="18.81640625" style="11" bestFit="1" customWidth="1"/>
    <col min="8" max="16384" width="8.81640625" style="11"/>
  </cols>
  <sheetData>
    <row r="1" spans="1:7" ht="14" thickBot="1"/>
    <row r="2" spans="1:7">
      <c r="A2" s="9" t="s">
        <v>72</v>
      </c>
      <c r="B2" s="45">
        <v>540000</v>
      </c>
      <c r="D2" s="46" t="s">
        <v>7</v>
      </c>
      <c r="E2" s="46" t="s">
        <v>57</v>
      </c>
      <c r="F2" s="46" t="s">
        <v>73</v>
      </c>
      <c r="G2" s="46" t="s">
        <v>74</v>
      </c>
    </row>
    <row r="3" spans="1:7">
      <c r="A3" s="12" t="s">
        <v>75</v>
      </c>
      <c r="B3" s="47">
        <v>15000</v>
      </c>
      <c r="D3" s="11" t="s">
        <v>76</v>
      </c>
      <c r="E3" s="48">
        <f>B16</f>
        <v>60000</v>
      </c>
      <c r="F3" s="48">
        <f>B17</f>
        <v>36000</v>
      </c>
      <c r="G3" s="48">
        <f>B18</f>
        <v>36000</v>
      </c>
    </row>
    <row r="4" spans="1:7">
      <c r="A4" s="12" t="s">
        <v>77</v>
      </c>
      <c r="B4" s="47">
        <v>1111000</v>
      </c>
      <c r="D4" s="49" t="s">
        <v>78</v>
      </c>
      <c r="E4" s="50">
        <f>C16</f>
        <v>48000</v>
      </c>
      <c r="F4" s="50">
        <f>C17</f>
        <v>48000</v>
      </c>
      <c r="G4" s="50">
        <f>C18</f>
        <v>48000</v>
      </c>
    </row>
    <row r="5" spans="1:7">
      <c r="A5" s="12" t="s">
        <v>79</v>
      </c>
      <c r="B5" s="47">
        <v>18000</v>
      </c>
      <c r="D5" s="11" t="s">
        <v>80</v>
      </c>
      <c r="E5" s="48">
        <f>B10</f>
        <v>2400</v>
      </c>
      <c r="F5" s="48">
        <f>E13</f>
        <v>14400</v>
      </c>
      <c r="G5" s="48">
        <f>F13</f>
        <v>762600</v>
      </c>
    </row>
    <row r="6" spans="1:7">
      <c r="A6" s="12" t="s">
        <v>81</v>
      </c>
      <c r="B6" s="47">
        <v>12000</v>
      </c>
      <c r="D6" s="11" t="s">
        <v>82</v>
      </c>
      <c r="E6" s="48"/>
      <c r="F6" s="48">
        <f>B2</f>
        <v>540000</v>
      </c>
      <c r="G6" s="48"/>
    </row>
    <row r="7" spans="1:7">
      <c r="A7" s="12" t="s">
        <v>83</v>
      </c>
      <c r="B7" s="47">
        <v>65400</v>
      </c>
      <c r="E7" s="48"/>
      <c r="F7" s="48">
        <f>B5</f>
        <v>18000</v>
      </c>
      <c r="G7" s="48"/>
    </row>
    <row r="8" spans="1:7">
      <c r="A8" s="12" t="s">
        <v>84</v>
      </c>
      <c r="B8" s="47">
        <v>1200</v>
      </c>
      <c r="E8" s="48"/>
      <c r="F8" s="48">
        <f>B8</f>
        <v>1200</v>
      </c>
      <c r="G8" s="48"/>
    </row>
    <row r="9" spans="1:7">
      <c r="A9" s="12" t="s">
        <v>85</v>
      </c>
      <c r="B9" s="47">
        <v>600</v>
      </c>
      <c r="E9" s="48"/>
      <c r="F9" s="48">
        <f>B11</f>
        <v>120000</v>
      </c>
      <c r="G9" s="48"/>
    </row>
    <row r="10" spans="1:7">
      <c r="A10" s="12" t="s">
        <v>86</v>
      </c>
      <c r="B10" s="47">
        <v>2400</v>
      </c>
      <c r="E10" s="48"/>
      <c r="F10" s="48">
        <f>B12</f>
        <v>6000</v>
      </c>
      <c r="G10" s="48"/>
    </row>
    <row r="11" spans="1:7">
      <c r="A11" s="12" t="s">
        <v>87</v>
      </c>
      <c r="B11" s="47">
        <v>120000</v>
      </c>
      <c r="E11" s="48"/>
      <c r="F11" s="48">
        <f>B13</f>
        <v>75000</v>
      </c>
      <c r="G11" s="48"/>
    </row>
    <row r="12" spans="1:7">
      <c r="A12" s="12" t="s">
        <v>88</v>
      </c>
      <c r="B12" s="47">
        <v>6000</v>
      </c>
      <c r="E12" s="48"/>
      <c r="F12" s="48"/>
      <c r="G12" s="48"/>
    </row>
    <row r="13" spans="1:7" ht="14" thickBot="1">
      <c r="A13" s="14" t="s">
        <v>1</v>
      </c>
      <c r="B13" s="51">
        <v>75000</v>
      </c>
      <c r="D13" s="49" t="s">
        <v>89</v>
      </c>
      <c r="E13" s="50">
        <f>E3+E5-E4</f>
        <v>14400</v>
      </c>
      <c r="F13" s="50">
        <f>F3+F5-F4+SUM(F6:F11)</f>
        <v>762600</v>
      </c>
      <c r="G13" s="50">
        <f>G3+G5-G4</f>
        <v>750600</v>
      </c>
    </row>
    <row r="15" spans="1:7">
      <c r="A15" s="11" t="s">
        <v>7</v>
      </c>
      <c r="B15" s="11" t="s">
        <v>90</v>
      </c>
      <c r="C15" s="11" t="s">
        <v>91</v>
      </c>
    </row>
    <row r="16" spans="1:7">
      <c r="A16" s="11" t="s">
        <v>92</v>
      </c>
      <c r="B16" s="41">
        <v>60000</v>
      </c>
      <c r="C16" s="11">
        <v>48000</v>
      </c>
    </row>
    <row r="17" spans="1:3">
      <c r="A17" s="11" t="s">
        <v>73</v>
      </c>
      <c r="B17" s="41">
        <v>36000</v>
      </c>
      <c r="C17" s="11">
        <v>48000</v>
      </c>
    </row>
    <row r="18" spans="1:3">
      <c r="A18" s="11" t="s">
        <v>74</v>
      </c>
      <c r="B18" s="41">
        <v>36000</v>
      </c>
      <c r="C18" s="11">
        <v>48000</v>
      </c>
    </row>
    <row r="20" spans="1:3">
      <c r="A20" s="46" t="s">
        <v>6</v>
      </c>
    </row>
    <row r="21" spans="1:3">
      <c r="A21" s="11" t="s">
        <v>0</v>
      </c>
      <c r="B21" s="52">
        <f>B4</f>
        <v>1111000</v>
      </c>
    </row>
    <row r="22" spans="1:3">
      <c r="A22" s="11" t="s">
        <v>15</v>
      </c>
      <c r="B22" s="52">
        <f>-G13</f>
        <v>-750600</v>
      </c>
    </row>
    <row r="23" spans="1:3">
      <c r="A23" s="11" t="s">
        <v>2</v>
      </c>
      <c r="B23" s="52">
        <f>B21+B22</f>
        <v>360400</v>
      </c>
    </row>
    <row r="24" spans="1:3">
      <c r="A24" s="11" t="s">
        <v>4</v>
      </c>
      <c r="B24" s="52">
        <f>-SUM(B25:B27)</f>
        <v>-27600</v>
      </c>
    </row>
    <row r="25" spans="1:3">
      <c r="A25" s="18" t="s">
        <v>93</v>
      </c>
      <c r="B25" s="53">
        <f>B9</f>
        <v>600</v>
      </c>
    </row>
    <row r="26" spans="1:3">
      <c r="A26" s="18" t="s">
        <v>94</v>
      </c>
      <c r="B26" s="53">
        <f>B6</f>
        <v>12000</v>
      </c>
    </row>
    <row r="27" spans="1:3">
      <c r="A27" s="18" t="s">
        <v>30</v>
      </c>
      <c r="B27" s="53">
        <f>B3</f>
        <v>15000</v>
      </c>
    </row>
    <row r="28" spans="1:3">
      <c r="A28" s="40" t="s">
        <v>3</v>
      </c>
      <c r="B28" s="52">
        <f>B23+B24</f>
        <v>332800</v>
      </c>
    </row>
  </sheetData>
  <pageMargins left="0.511811024" right="0.511811024" top="0.78740157499999996" bottom="0.78740157499999996" header="0.31496062000000002" footer="0.31496062000000002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showGridLines="0" workbookViewId="0">
      <selection activeCell="E17" sqref="E17"/>
    </sheetView>
  </sheetViews>
  <sheetFormatPr defaultColWidth="8.81640625" defaultRowHeight="13.5"/>
  <cols>
    <col min="1" max="1" width="41.453125" style="11" bestFit="1" customWidth="1"/>
    <col min="2" max="2" width="15.1796875" style="11" bestFit="1" customWidth="1"/>
    <col min="3" max="3" width="13.81640625" style="11" bestFit="1" customWidth="1"/>
    <col min="4" max="4" width="8.81640625" style="11"/>
    <col min="5" max="5" width="27.36328125" style="11" bestFit="1" customWidth="1"/>
    <col min="6" max="6" width="16.1796875" style="11" bestFit="1" customWidth="1"/>
    <col min="7" max="7" width="22.1796875" style="11" bestFit="1" customWidth="1"/>
    <col min="8" max="8" width="18.81640625" style="11" bestFit="1" customWidth="1"/>
    <col min="9" max="16384" width="8.81640625" style="11"/>
  </cols>
  <sheetData>
    <row r="1" spans="1:8" ht="14" thickBot="1"/>
    <row r="2" spans="1:8">
      <c r="A2" s="54" t="s">
        <v>7</v>
      </c>
      <c r="B2" s="55">
        <v>39294</v>
      </c>
      <c r="C2" s="56">
        <v>39323</v>
      </c>
      <c r="E2" s="11" t="s">
        <v>7</v>
      </c>
      <c r="F2" s="11" t="s">
        <v>57</v>
      </c>
      <c r="G2" s="11" t="s">
        <v>73</v>
      </c>
      <c r="H2" s="11" t="s">
        <v>74</v>
      </c>
    </row>
    <row r="3" spans="1:8">
      <c r="A3" s="57" t="s">
        <v>33</v>
      </c>
      <c r="B3" s="58">
        <v>20000</v>
      </c>
      <c r="C3" s="47">
        <v>16000</v>
      </c>
      <c r="E3" s="11" t="s">
        <v>76</v>
      </c>
      <c r="F3" s="48">
        <f>B3</f>
        <v>20000</v>
      </c>
      <c r="G3" s="48">
        <f>B4</f>
        <v>12000</v>
      </c>
      <c r="H3" s="48">
        <f>B5</f>
        <v>12000</v>
      </c>
    </row>
    <row r="4" spans="1:8">
      <c r="A4" s="57" t="s">
        <v>95</v>
      </c>
      <c r="B4" s="58">
        <v>12000</v>
      </c>
      <c r="C4" s="47">
        <v>16000</v>
      </c>
      <c r="E4" s="11" t="s">
        <v>78</v>
      </c>
      <c r="F4" s="48">
        <f>C3</f>
        <v>16000</v>
      </c>
      <c r="G4" s="48">
        <f>C4</f>
        <v>16000</v>
      </c>
      <c r="H4" s="48">
        <f>C5</f>
        <v>10000</v>
      </c>
    </row>
    <row r="5" spans="1:8" ht="14" thickBot="1">
      <c r="A5" s="59" t="s">
        <v>74</v>
      </c>
      <c r="B5" s="60">
        <v>12000</v>
      </c>
      <c r="C5" s="51">
        <v>10000</v>
      </c>
      <c r="E5" s="11" t="s">
        <v>80</v>
      </c>
      <c r="F5" s="61">
        <f>F11-F10</f>
        <v>54000</v>
      </c>
      <c r="G5" s="48">
        <f>G11-G10</f>
        <v>58000</v>
      </c>
      <c r="H5" s="48">
        <f>H3-H4+H11</f>
        <v>143400</v>
      </c>
    </row>
    <row r="6" spans="1:8" ht="14" thickBot="1">
      <c r="E6" s="11" t="s">
        <v>82</v>
      </c>
      <c r="F6" s="48"/>
      <c r="G6" s="48">
        <f>B8</f>
        <v>50000</v>
      </c>
      <c r="H6" s="48"/>
    </row>
    <row r="7" spans="1:8">
      <c r="A7" s="54" t="s">
        <v>96</v>
      </c>
      <c r="B7" s="62"/>
      <c r="F7" s="48"/>
      <c r="G7" s="48">
        <f>B9</f>
        <v>37000</v>
      </c>
      <c r="H7" s="48"/>
    </row>
    <row r="8" spans="1:8">
      <c r="A8" s="57" t="s">
        <v>97</v>
      </c>
      <c r="B8" s="47">
        <v>50000</v>
      </c>
      <c r="F8" s="48"/>
      <c r="G8" s="48">
        <f>B13</f>
        <v>400</v>
      </c>
      <c r="H8" s="48"/>
    </row>
    <row r="9" spans="1:8">
      <c r="A9" s="57" t="s">
        <v>98</v>
      </c>
      <c r="B9" s="47">
        <v>37000</v>
      </c>
      <c r="F9" s="48"/>
      <c r="G9" s="48">
        <f>B15</f>
        <v>2000</v>
      </c>
      <c r="H9" s="48"/>
    </row>
    <row r="10" spans="1:8">
      <c r="A10" s="57" t="s">
        <v>81</v>
      </c>
      <c r="B10" s="47">
        <v>6000</v>
      </c>
      <c r="F10" s="63">
        <f>F3-F4</f>
        <v>4000</v>
      </c>
      <c r="G10" s="63">
        <f>G3-G4+SUM(G6:G9)</f>
        <v>85400</v>
      </c>
      <c r="H10" s="48"/>
    </row>
    <row r="11" spans="1:8">
      <c r="A11" s="57" t="s">
        <v>99</v>
      </c>
      <c r="B11" s="47">
        <v>4000</v>
      </c>
      <c r="E11" s="11" t="s">
        <v>89</v>
      </c>
      <c r="F11" s="48">
        <f>G5</f>
        <v>58000</v>
      </c>
      <c r="G11" s="64">
        <f>H5</f>
        <v>143400</v>
      </c>
      <c r="H11" s="48">
        <f>B19</f>
        <v>141400</v>
      </c>
    </row>
    <row r="12" spans="1:8">
      <c r="A12" s="57" t="s">
        <v>14</v>
      </c>
      <c r="B12" s="47">
        <v>10000</v>
      </c>
    </row>
    <row r="13" spans="1:8">
      <c r="A13" s="57" t="s">
        <v>100</v>
      </c>
      <c r="B13" s="47">
        <v>400</v>
      </c>
    </row>
    <row r="14" spans="1:8">
      <c r="A14" s="57" t="s">
        <v>101</v>
      </c>
      <c r="B14" s="47">
        <v>200</v>
      </c>
    </row>
    <row r="15" spans="1:8" ht="14" thickBot="1">
      <c r="A15" s="59" t="s">
        <v>102</v>
      </c>
      <c r="B15" s="51">
        <v>2000</v>
      </c>
    </row>
    <row r="17" spans="1:2">
      <c r="A17" s="40" t="s">
        <v>6</v>
      </c>
    </row>
    <row r="18" spans="1:2">
      <c r="A18" s="40" t="s">
        <v>103</v>
      </c>
      <c r="B18" s="48">
        <v>180000</v>
      </c>
    </row>
    <row r="19" spans="1:2">
      <c r="A19" s="40" t="s">
        <v>104</v>
      </c>
      <c r="B19" s="52">
        <f>B18-B20</f>
        <v>141400</v>
      </c>
    </row>
    <row r="20" spans="1:2">
      <c r="A20" s="40" t="s">
        <v>2</v>
      </c>
      <c r="B20" s="52">
        <v>38600</v>
      </c>
    </row>
    <row r="21" spans="1:2">
      <c r="A21" s="40" t="s">
        <v>105</v>
      </c>
      <c r="B21" s="52">
        <f>-(B11+B14)</f>
        <v>-4200</v>
      </c>
    </row>
    <row r="22" spans="1:2">
      <c r="A22" s="40" t="s">
        <v>106</v>
      </c>
      <c r="B22" s="52">
        <f>-B10</f>
        <v>-6000</v>
      </c>
    </row>
    <row r="23" spans="1:2">
      <c r="A23" s="40" t="s">
        <v>17</v>
      </c>
      <c r="B23" s="52">
        <f>B20+B21+B22</f>
        <v>28400</v>
      </c>
    </row>
    <row r="24" spans="1:2">
      <c r="A24" s="40" t="s">
        <v>18</v>
      </c>
      <c r="B24" s="52">
        <f>-B12</f>
        <v>-10000</v>
      </c>
    </row>
    <row r="25" spans="1:2">
      <c r="A25" s="40" t="s">
        <v>20</v>
      </c>
      <c r="B25" s="52">
        <f>B23+B24</f>
        <v>18400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9"/>
  <sheetViews>
    <sheetView showGridLines="0" topLeftCell="A19" workbookViewId="0">
      <selection activeCell="B33" sqref="B33:D33"/>
    </sheetView>
  </sheetViews>
  <sheetFormatPr defaultColWidth="8.81640625" defaultRowHeight="13.5"/>
  <cols>
    <col min="1" max="1" width="21.81640625" style="11" customWidth="1"/>
    <col min="2" max="4" width="14.1796875" style="11" bestFit="1" customWidth="1"/>
    <col min="5" max="5" width="17" style="11" customWidth="1"/>
    <col min="6" max="16384" width="8.81640625" style="11"/>
  </cols>
  <sheetData>
    <row r="2" spans="1:4">
      <c r="A2" s="65"/>
      <c r="B2" s="66" t="s">
        <v>107</v>
      </c>
      <c r="C2" s="66" t="s">
        <v>108</v>
      </c>
      <c r="D2" s="66" t="s">
        <v>109</v>
      </c>
    </row>
    <row r="3" spans="1:4">
      <c r="A3" s="67" t="s">
        <v>110</v>
      </c>
      <c r="B3" s="68">
        <v>4950</v>
      </c>
      <c r="C3" s="68">
        <v>2375</v>
      </c>
      <c r="D3" s="68">
        <v>1764</v>
      </c>
    </row>
    <row r="4" spans="1:4">
      <c r="A4" s="67" t="s">
        <v>111</v>
      </c>
      <c r="B4" s="68">
        <v>1.4</v>
      </c>
      <c r="C4" s="68">
        <v>1</v>
      </c>
      <c r="D4" s="68">
        <v>1</v>
      </c>
    </row>
    <row r="5" spans="1:4">
      <c r="A5" s="67" t="s">
        <v>112</v>
      </c>
      <c r="B5" s="68">
        <v>1.8</v>
      </c>
      <c r="C5" s="68">
        <v>1.4</v>
      </c>
      <c r="D5" s="68">
        <v>1.9</v>
      </c>
    </row>
    <row r="6" spans="1:4">
      <c r="A6" s="69"/>
      <c r="B6" s="69"/>
      <c r="C6" s="69"/>
      <c r="D6" s="69"/>
    </row>
    <row r="7" spans="1:4">
      <c r="A7" s="65" t="s">
        <v>10</v>
      </c>
      <c r="B7" s="66" t="s">
        <v>113</v>
      </c>
      <c r="C7" s="66" t="s">
        <v>114</v>
      </c>
      <c r="D7" s="69"/>
    </row>
    <row r="8" spans="1:4">
      <c r="A8" s="67" t="s">
        <v>115</v>
      </c>
      <c r="B8" s="70">
        <v>2250</v>
      </c>
      <c r="C8" s="68"/>
      <c r="D8" s="69"/>
    </row>
    <row r="9" spans="1:4">
      <c r="A9" s="67" t="s">
        <v>116</v>
      </c>
      <c r="B9" s="70">
        <v>1600</v>
      </c>
      <c r="C9" s="68"/>
      <c r="D9" s="69"/>
    </row>
    <row r="10" spans="1:4">
      <c r="A10" s="67" t="s">
        <v>117</v>
      </c>
      <c r="B10" s="68"/>
      <c r="C10" s="68">
        <v>2</v>
      </c>
      <c r="D10" s="69"/>
    </row>
    <row r="11" spans="1:4">
      <c r="A11" s="67" t="s">
        <v>118</v>
      </c>
      <c r="B11" s="68"/>
      <c r="C11" s="68">
        <v>10</v>
      </c>
      <c r="D11" s="69"/>
    </row>
    <row r="12" spans="1:4">
      <c r="A12" s="67" t="s">
        <v>119</v>
      </c>
      <c r="B12" s="70">
        <v>14150</v>
      </c>
      <c r="C12" s="68">
        <v>8</v>
      </c>
      <c r="D12" s="69"/>
    </row>
    <row r="13" spans="1:4">
      <c r="A13" s="69"/>
      <c r="B13" s="69"/>
      <c r="C13" s="69"/>
      <c r="D13" s="69"/>
    </row>
    <row r="14" spans="1:4" ht="15.5">
      <c r="A14" s="71" t="s">
        <v>120</v>
      </c>
      <c r="B14" s="72" t="s">
        <v>107</v>
      </c>
      <c r="C14" s="72" t="s">
        <v>108</v>
      </c>
      <c r="D14" s="72" t="s">
        <v>109</v>
      </c>
    </row>
    <row r="15" spans="1:4">
      <c r="A15" s="73" t="s">
        <v>121</v>
      </c>
      <c r="B15" s="11">
        <v>165</v>
      </c>
      <c r="C15" s="73">
        <v>95</v>
      </c>
      <c r="D15" s="11">
        <v>98</v>
      </c>
    </row>
    <row r="16" spans="1:4">
      <c r="A16" s="73" t="s">
        <v>122</v>
      </c>
      <c r="B16" s="11">
        <v>160</v>
      </c>
      <c r="C16" s="73">
        <v>92</v>
      </c>
      <c r="D16" s="11">
        <v>95</v>
      </c>
    </row>
    <row r="17" spans="1:5">
      <c r="A17" s="73" t="s">
        <v>123</v>
      </c>
      <c r="B17" s="11">
        <f>B15*B4</f>
        <v>230.99999999999997</v>
      </c>
      <c r="C17" s="11">
        <f>C15*C4</f>
        <v>95</v>
      </c>
      <c r="D17" s="11">
        <f>D15*D4</f>
        <v>98</v>
      </c>
      <c r="E17" s="11">
        <f>SUM(B17:D17)</f>
        <v>424</v>
      </c>
    </row>
    <row r="18" spans="1:5">
      <c r="A18" s="73" t="s">
        <v>124</v>
      </c>
      <c r="B18" s="11">
        <f>B15*B5</f>
        <v>297</v>
      </c>
      <c r="C18" s="11">
        <f>C15*C5</f>
        <v>133</v>
      </c>
      <c r="D18" s="11">
        <f>D15*D5</f>
        <v>186.2</v>
      </c>
      <c r="E18" s="11">
        <f>SUM(B18:D18)</f>
        <v>616.20000000000005</v>
      </c>
    </row>
    <row r="20" spans="1:5">
      <c r="A20" s="74" t="s">
        <v>125</v>
      </c>
      <c r="B20" s="75" t="s">
        <v>107</v>
      </c>
      <c r="C20" s="75" t="s">
        <v>108</v>
      </c>
      <c r="D20" s="76" t="s">
        <v>109</v>
      </c>
    </row>
    <row r="21" spans="1:5">
      <c r="A21" s="77" t="s">
        <v>126</v>
      </c>
      <c r="B21" s="78">
        <f>B3*B15</f>
        <v>816750</v>
      </c>
      <c r="C21" s="78">
        <f>C3*C15</f>
        <v>225625</v>
      </c>
      <c r="D21" s="79">
        <f>D3*D15</f>
        <v>172872</v>
      </c>
    </row>
    <row r="22" spans="1:5">
      <c r="A22" s="77" t="s">
        <v>97</v>
      </c>
      <c r="B22" s="78">
        <f>B17*C11</f>
        <v>2309.9999999999995</v>
      </c>
      <c r="C22" s="78">
        <f>C17*C11</f>
        <v>950</v>
      </c>
      <c r="D22" s="79">
        <f>D17*C11</f>
        <v>980</v>
      </c>
    </row>
    <row r="23" spans="1:5">
      <c r="A23" s="77" t="s">
        <v>127</v>
      </c>
      <c r="B23" s="78">
        <f>B18*C10</f>
        <v>594</v>
      </c>
      <c r="C23" s="78">
        <f>C18*C10</f>
        <v>266</v>
      </c>
      <c r="D23" s="79">
        <f>D18*C10</f>
        <v>372.4</v>
      </c>
    </row>
    <row r="24" spans="1:5">
      <c r="A24" s="77" t="s">
        <v>128</v>
      </c>
      <c r="B24" s="78">
        <f>B18*C12</f>
        <v>2376</v>
      </c>
      <c r="C24" s="78">
        <f>C18*C12</f>
        <v>1064</v>
      </c>
      <c r="D24" s="79">
        <f>D18*C12</f>
        <v>1489.6</v>
      </c>
    </row>
    <row r="25" spans="1:5">
      <c r="A25" s="80" t="s">
        <v>129</v>
      </c>
      <c r="B25" s="81">
        <f>B21+B22+B23+B24</f>
        <v>822030</v>
      </c>
      <c r="C25" s="81">
        <f>C21+C22+C23+C24</f>
        <v>227905</v>
      </c>
      <c r="D25" s="82">
        <f>D21+D22+D23+D24</f>
        <v>175714</v>
      </c>
    </row>
    <row r="26" spans="1:5">
      <c r="A26" s="83" t="s">
        <v>130</v>
      </c>
      <c r="B26" s="84">
        <f>B25*0.02</f>
        <v>16440.599999999999</v>
      </c>
      <c r="C26" s="84">
        <f>C25*0.02</f>
        <v>4558.1000000000004</v>
      </c>
      <c r="D26" s="84">
        <f>D25*0.02</f>
        <v>3514.28</v>
      </c>
    </row>
    <row r="27" spans="1:5">
      <c r="A27" s="85" t="s">
        <v>131</v>
      </c>
      <c r="B27" s="78">
        <f>B25+B26</f>
        <v>838470.6</v>
      </c>
      <c r="C27" s="78">
        <f>C25+C26</f>
        <v>232463.1</v>
      </c>
      <c r="D27" s="78">
        <f>D25+D26</f>
        <v>179228.28</v>
      </c>
    </row>
    <row r="28" spans="1:5">
      <c r="A28" s="83" t="s">
        <v>132</v>
      </c>
      <c r="B28" s="84">
        <f>B27/B16</f>
        <v>5240.4412499999999</v>
      </c>
      <c r="C28" s="84">
        <f>C27/C16</f>
        <v>2526.7728260869567</v>
      </c>
      <c r="D28" s="84">
        <f>D27/D16</f>
        <v>1886.6134736842105</v>
      </c>
    </row>
    <row r="29" spans="1:5">
      <c r="A29" s="85"/>
      <c r="B29" s="78"/>
      <c r="C29" s="78"/>
      <c r="D29" s="78"/>
    </row>
    <row r="30" spans="1:5">
      <c r="A30" s="73" t="s">
        <v>133</v>
      </c>
    </row>
    <row r="31" spans="1:5">
      <c r="A31" s="86" t="s">
        <v>134</v>
      </c>
      <c r="B31" s="87" t="s">
        <v>107</v>
      </c>
      <c r="C31" s="87" t="s">
        <v>108</v>
      </c>
      <c r="D31" s="88" t="s">
        <v>109</v>
      </c>
    </row>
    <row r="32" spans="1:5">
      <c r="A32" s="77" t="s">
        <v>135</v>
      </c>
      <c r="B32" s="78">
        <f>E32*B18/E18</f>
        <v>8675.7546251217136</v>
      </c>
      <c r="C32" s="78">
        <f>E32*C18/E18</f>
        <v>3885.102239532619</v>
      </c>
      <c r="D32" s="79">
        <f>E32*D18/E18</f>
        <v>5439.1431353456665</v>
      </c>
      <c r="E32" s="89">
        <f>B8+B9+B12</f>
        <v>18000</v>
      </c>
    </row>
    <row r="33" spans="1:5">
      <c r="A33" s="77" t="s">
        <v>136</v>
      </c>
      <c r="B33" s="78">
        <f>B32-B26</f>
        <v>-7764.8453748782849</v>
      </c>
      <c r="C33" s="78">
        <f>C32-C26</f>
        <v>-672.99776046738134</v>
      </c>
      <c r="D33" s="78">
        <f>D32-D26</f>
        <v>1924.8631353456663</v>
      </c>
    </row>
    <row r="34" spans="1:5">
      <c r="A34" s="90" t="s">
        <v>131</v>
      </c>
      <c r="B34" s="91">
        <f>B27+B33</f>
        <v>830705.75462512171</v>
      </c>
      <c r="C34" s="91">
        <f>C27+C33</f>
        <v>231790.10223953263</v>
      </c>
      <c r="D34" s="91">
        <f>D27+D33</f>
        <v>181153.14313534566</v>
      </c>
    </row>
    <row r="35" spans="1:5">
      <c r="A35" s="92" t="s">
        <v>132</v>
      </c>
      <c r="B35" s="93">
        <f>B34/B15</f>
        <v>5034.5803310613437</v>
      </c>
      <c r="C35" s="93">
        <f>C34/C15</f>
        <v>2439.8958130477117</v>
      </c>
      <c r="D35" s="93">
        <f>D34/D15</f>
        <v>1848.5014605647516</v>
      </c>
    </row>
    <row r="36" spans="1:5">
      <c r="A36" s="94"/>
      <c r="B36" s="95"/>
      <c r="C36" s="95"/>
      <c r="D36" s="95"/>
    </row>
    <row r="37" spans="1:5">
      <c r="A37" s="96"/>
      <c r="B37" s="97"/>
      <c r="C37" s="97"/>
      <c r="D37" s="97"/>
      <c r="E37" s="89"/>
    </row>
    <row r="38" spans="1:5">
      <c r="A38" s="96"/>
      <c r="B38" s="97"/>
      <c r="C38" s="97"/>
      <c r="D38" s="97"/>
    </row>
    <row r="39" spans="1:5">
      <c r="A39" s="94"/>
      <c r="B39" s="97"/>
      <c r="C39" s="97"/>
      <c r="D39" s="97"/>
    </row>
  </sheetData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4"/>
  <sheetViews>
    <sheetView showGridLines="0" workbookViewId="0">
      <selection activeCell="A32" sqref="A32"/>
    </sheetView>
  </sheetViews>
  <sheetFormatPr defaultColWidth="8.81640625" defaultRowHeight="13.5"/>
  <cols>
    <col min="1" max="1" width="33.1796875" style="11" customWidth="1"/>
    <col min="2" max="2" width="13.81640625" style="11" bestFit="1" customWidth="1"/>
    <col min="3" max="3" width="14.6328125" style="11" bestFit="1" customWidth="1"/>
    <col min="4" max="4" width="11.453125" style="11" bestFit="1" customWidth="1"/>
    <col min="5" max="5" width="13.81640625" style="11" bestFit="1" customWidth="1"/>
    <col min="6" max="16384" width="8.81640625" style="11"/>
  </cols>
  <sheetData>
    <row r="2" spans="1:5" ht="15.5">
      <c r="A2" s="98" t="s">
        <v>137</v>
      </c>
      <c r="B2" s="99">
        <v>3</v>
      </c>
      <c r="C2" s="100"/>
      <c r="D2" s="101"/>
      <c r="E2" s="101"/>
    </row>
    <row r="3" spans="1:5" ht="15.5">
      <c r="A3" s="102" t="s">
        <v>138</v>
      </c>
      <c r="B3" s="103">
        <v>29</v>
      </c>
      <c r="C3" s="100"/>
      <c r="D3" s="101"/>
      <c r="E3" s="101"/>
    </row>
    <row r="4" spans="1:5" ht="15.5">
      <c r="A4" s="102" t="s">
        <v>139</v>
      </c>
      <c r="B4" s="103">
        <v>2.5</v>
      </c>
      <c r="C4" s="100"/>
      <c r="D4" s="101"/>
      <c r="E4" s="101"/>
    </row>
    <row r="5" spans="1:5" ht="15.5">
      <c r="A5" s="102" t="s">
        <v>140</v>
      </c>
      <c r="B5" s="103">
        <v>5.6</v>
      </c>
      <c r="C5" s="100"/>
      <c r="D5" s="101"/>
      <c r="E5" s="101"/>
    </row>
    <row r="6" spans="1:5" ht="15.5">
      <c r="A6" s="102" t="s">
        <v>141</v>
      </c>
      <c r="B6" s="103">
        <v>6</v>
      </c>
      <c r="C6" s="100"/>
      <c r="D6" s="101"/>
      <c r="E6" s="101"/>
    </row>
    <row r="7" spans="1:5" ht="15.5">
      <c r="A7" s="102" t="s">
        <v>142</v>
      </c>
      <c r="B7" s="103">
        <v>3</v>
      </c>
      <c r="C7" s="100"/>
      <c r="D7" s="101"/>
      <c r="E7" s="101"/>
    </row>
    <row r="8" spans="1:5" ht="15.5">
      <c r="A8" s="102" t="s">
        <v>30</v>
      </c>
      <c r="B8" s="103">
        <v>5000</v>
      </c>
      <c r="C8" s="100"/>
      <c r="D8" s="101"/>
      <c r="E8" s="101"/>
    </row>
    <row r="9" spans="1:5">
      <c r="A9" s="101"/>
      <c r="B9" s="101"/>
      <c r="C9" s="101"/>
      <c r="D9" s="101"/>
      <c r="E9" s="101"/>
    </row>
    <row r="10" spans="1:5" ht="15.5">
      <c r="A10" s="104"/>
      <c r="B10" s="105" t="s">
        <v>143</v>
      </c>
      <c r="C10" s="106"/>
      <c r="D10" s="107" t="s">
        <v>144</v>
      </c>
      <c r="E10" s="108"/>
    </row>
    <row r="11" spans="1:5" ht="15.5">
      <c r="A11" s="109" t="s">
        <v>145</v>
      </c>
      <c r="B11" s="110">
        <v>500</v>
      </c>
      <c r="C11" s="111"/>
      <c r="D11" s="110">
        <v>60</v>
      </c>
      <c r="E11" s="111"/>
    </row>
    <row r="12" spans="1:5" ht="15.5">
      <c r="A12" s="109"/>
      <c r="B12" s="110"/>
      <c r="C12" s="111"/>
      <c r="D12" s="110"/>
      <c r="E12" s="111"/>
    </row>
    <row r="13" spans="1:5" ht="15.5">
      <c r="A13" s="104" t="s">
        <v>146</v>
      </c>
      <c r="B13" s="112"/>
      <c r="C13" s="108" t="s">
        <v>147</v>
      </c>
      <c r="D13" s="112"/>
      <c r="E13" s="108"/>
    </row>
    <row r="14" spans="1:5" ht="15.5">
      <c r="A14" s="109" t="s">
        <v>148</v>
      </c>
      <c r="B14" s="113">
        <f>B11*B2*B3</f>
        <v>43500</v>
      </c>
      <c r="C14" s="114">
        <f>B14*0.2</f>
        <v>8700</v>
      </c>
      <c r="D14" s="113">
        <f>D11*B2*B3</f>
        <v>5220</v>
      </c>
      <c r="E14" s="114">
        <f>D14*0.2</f>
        <v>1044</v>
      </c>
    </row>
    <row r="15" spans="1:5" ht="15.5">
      <c r="A15" s="109" t="s">
        <v>97</v>
      </c>
      <c r="B15" s="113">
        <f>B11*B4*B6</f>
        <v>7500</v>
      </c>
      <c r="C15" s="114"/>
      <c r="D15" s="113">
        <f>D11*0.1*B4*0.5*B6</f>
        <v>45</v>
      </c>
      <c r="E15" s="114"/>
    </row>
    <row r="16" spans="1:5" ht="15.5">
      <c r="A16" s="109" t="s">
        <v>149</v>
      </c>
      <c r="B16" s="113">
        <f>B15</f>
        <v>7500</v>
      </c>
      <c r="C16" s="114"/>
      <c r="D16" s="113">
        <f>D15</f>
        <v>45</v>
      </c>
      <c r="E16" s="114"/>
    </row>
    <row r="17" spans="1:5" ht="15.5">
      <c r="A17" s="109" t="s">
        <v>150</v>
      </c>
      <c r="B17" s="113">
        <f>B11*B5</f>
        <v>2800</v>
      </c>
      <c r="C17" s="114">
        <f>B17*0.2</f>
        <v>560</v>
      </c>
      <c r="D17" s="113">
        <f>D11*B5</f>
        <v>336</v>
      </c>
      <c r="E17" s="114">
        <f>D17*0.2</f>
        <v>67.2</v>
      </c>
    </row>
    <row r="18" spans="1:5" ht="15.5">
      <c r="A18" s="109" t="s">
        <v>151</v>
      </c>
      <c r="B18" s="113">
        <f>B11*B7</f>
        <v>1500</v>
      </c>
      <c r="C18" s="114"/>
      <c r="D18" s="113">
        <f>D11*B7</f>
        <v>180</v>
      </c>
      <c r="E18" s="114"/>
    </row>
    <row r="19" spans="1:5" ht="16" thickBot="1">
      <c r="A19" s="115" t="s">
        <v>125</v>
      </c>
      <c r="B19" s="116">
        <f>SUM(B14:B18)</f>
        <v>62800</v>
      </c>
      <c r="C19" s="117"/>
      <c r="D19" s="116">
        <f>SUM(D14:D18)</f>
        <v>5826</v>
      </c>
      <c r="E19" s="117"/>
    </row>
    <row r="20" spans="1:5" ht="15.5">
      <c r="A20" s="109"/>
      <c r="B20" s="111"/>
      <c r="C20" s="111"/>
      <c r="D20" s="111"/>
      <c r="E20" s="111"/>
    </row>
    <row r="21" spans="1:5" ht="15.5">
      <c r="A21" s="104" t="s">
        <v>152</v>
      </c>
      <c r="B21" s="112"/>
      <c r="C21" s="108"/>
      <c r="D21" s="112"/>
      <c r="E21" s="108"/>
    </row>
    <row r="22" spans="1:5" ht="15.5">
      <c r="A22" s="109" t="s">
        <v>153</v>
      </c>
      <c r="B22" s="113">
        <f>B8*B11/(B11+D11)</f>
        <v>4464.2857142857147</v>
      </c>
      <c r="C22" s="114"/>
      <c r="D22" s="113">
        <f>B8*D11/(B11+D11)</f>
        <v>535.71428571428567</v>
      </c>
      <c r="E22" s="111"/>
    </row>
    <row r="23" spans="1:5" ht="15.5">
      <c r="A23" s="101"/>
      <c r="B23" s="113"/>
      <c r="C23" s="114"/>
      <c r="D23" s="113"/>
      <c r="E23" s="111"/>
    </row>
    <row r="24" spans="1:5" ht="16" thickBot="1">
      <c r="A24" s="115" t="s">
        <v>154</v>
      </c>
      <c r="B24" s="116">
        <f>B19+B22</f>
        <v>67264.28571428571</v>
      </c>
      <c r="C24" s="117"/>
      <c r="D24" s="116">
        <f>D19+D22</f>
        <v>6361.7142857142853</v>
      </c>
      <c r="E24" s="118"/>
    </row>
    <row r="25" spans="1:5" ht="15.5">
      <c r="A25" s="101"/>
      <c r="B25" s="111"/>
      <c r="C25" s="111"/>
      <c r="D25" s="111"/>
      <c r="E25" s="111"/>
    </row>
    <row r="26" spans="1:5" ht="15.5">
      <c r="A26" s="101"/>
      <c r="B26" s="111"/>
      <c r="C26" s="111"/>
      <c r="D26" s="111"/>
      <c r="E26" s="111"/>
    </row>
    <row r="27" spans="1:5" ht="15.5">
      <c r="A27" s="119" t="s">
        <v>13</v>
      </c>
      <c r="B27" s="120">
        <f>B11*250</f>
        <v>125000</v>
      </c>
      <c r="C27" s="119"/>
      <c r="D27" s="120">
        <v>6000</v>
      </c>
      <c r="E27" s="119">
        <f>B27+D27</f>
        <v>131000</v>
      </c>
    </row>
    <row r="28" spans="1:5" ht="15.5">
      <c r="A28" s="121" t="s">
        <v>155</v>
      </c>
      <c r="B28" s="113">
        <f>B27*0.25</f>
        <v>31250</v>
      </c>
      <c r="C28" s="121"/>
      <c r="D28" s="113">
        <f>D27*0.25</f>
        <v>1500</v>
      </c>
      <c r="E28" s="121">
        <f t="shared" ref="E28:E34" si="0">B28+D28</f>
        <v>32750</v>
      </c>
    </row>
    <row r="29" spans="1:5" ht="15.5">
      <c r="A29" s="121" t="s">
        <v>5</v>
      </c>
      <c r="B29" s="113">
        <f>B27-B28</f>
        <v>93750</v>
      </c>
      <c r="C29" s="121"/>
      <c r="D29" s="113">
        <f>+D27-D28</f>
        <v>4500</v>
      </c>
      <c r="E29" s="121">
        <f t="shared" si="0"/>
        <v>98250</v>
      </c>
    </row>
    <row r="30" spans="1:5" ht="15.5">
      <c r="A30" s="121" t="s">
        <v>104</v>
      </c>
      <c r="B30" s="113">
        <f>B24</f>
        <v>67264.28571428571</v>
      </c>
      <c r="C30" s="121"/>
      <c r="D30" s="113">
        <v>0</v>
      </c>
      <c r="E30" s="121">
        <f t="shared" si="0"/>
        <v>67264.28571428571</v>
      </c>
    </row>
    <row r="31" spans="1:5" ht="15.5">
      <c r="A31" s="121" t="s">
        <v>2</v>
      </c>
      <c r="B31" s="113">
        <f>B29-B30</f>
        <v>26485.71428571429</v>
      </c>
      <c r="C31" s="121"/>
      <c r="D31" s="113">
        <f>D29-D30</f>
        <v>4500</v>
      </c>
      <c r="E31" s="121">
        <f t="shared" si="0"/>
        <v>30985.71428571429</v>
      </c>
    </row>
    <row r="32" spans="1:5" ht="15.5">
      <c r="A32" s="121" t="s">
        <v>156</v>
      </c>
      <c r="B32" s="113">
        <f>C14+C17</f>
        <v>9260</v>
      </c>
      <c r="C32" s="121"/>
      <c r="D32" s="113">
        <f>E14+E17</f>
        <v>1111.2</v>
      </c>
      <c r="E32" s="121">
        <f t="shared" si="0"/>
        <v>10371.200000000001</v>
      </c>
    </row>
    <row r="33" spans="1:5" ht="15.5">
      <c r="A33" s="121" t="s">
        <v>157</v>
      </c>
      <c r="B33" s="113"/>
      <c r="C33" s="121"/>
      <c r="D33" s="113">
        <f>D24</f>
        <v>6361.7142857142853</v>
      </c>
      <c r="E33" s="121">
        <f t="shared" si="0"/>
        <v>6361.7142857142853</v>
      </c>
    </row>
    <row r="34" spans="1:5" ht="16" thickBot="1">
      <c r="A34" s="122" t="s">
        <v>158</v>
      </c>
      <c r="B34" s="123">
        <f>B31+B32</f>
        <v>35745.71428571429</v>
      </c>
      <c r="C34" s="122"/>
      <c r="D34" s="123">
        <f>D31+D32-D33</f>
        <v>-750.51428571428551</v>
      </c>
      <c r="E34" s="122">
        <f t="shared" si="0"/>
        <v>34995.200000000004</v>
      </c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7"/>
  <sheetViews>
    <sheetView showGridLines="0" topLeftCell="B1" workbookViewId="0">
      <selection activeCell="G31" sqref="G31"/>
    </sheetView>
  </sheetViews>
  <sheetFormatPr defaultColWidth="8.81640625" defaultRowHeight="13.5"/>
  <cols>
    <col min="1" max="1" width="8.81640625" style="11"/>
    <col min="2" max="2" width="18.81640625" style="11" bestFit="1" customWidth="1"/>
    <col min="3" max="3" width="13.81640625" style="11" bestFit="1" customWidth="1"/>
    <col min="4" max="4" width="12.6328125" style="11" bestFit="1" customWidth="1"/>
    <col min="5" max="5" width="13.81640625" style="11" bestFit="1" customWidth="1"/>
    <col min="6" max="6" width="10.81640625" style="11" bestFit="1" customWidth="1"/>
    <col min="7" max="8" width="8.81640625" style="11"/>
    <col min="9" max="9" width="10.81640625" style="11" bestFit="1" customWidth="1"/>
    <col min="10" max="16384" width="8.81640625" style="11"/>
  </cols>
  <sheetData>
    <row r="2" spans="1:9">
      <c r="A2" s="11" t="s">
        <v>159</v>
      </c>
      <c r="B2" s="124" t="s">
        <v>160</v>
      </c>
      <c r="C2" s="125" t="s">
        <v>161</v>
      </c>
      <c r="D2" s="125" t="s">
        <v>162</v>
      </c>
      <c r="E2" s="125" t="s">
        <v>163</v>
      </c>
      <c r="F2" s="125" t="s">
        <v>164</v>
      </c>
      <c r="G2" s="125" t="s">
        <v>165</v>
      </c>
      <c r="H2" s="125" t="s">
        <v>166</v>
      </c>
    </row>
    <row r="3" spans="1:9">
      <c r="B3" s="11" t="s">
        <v>167</v>
      </c>
      <c r="C3" s="48"/>
      <c r="D3" s="48">
        <v>4500</v>
      </c>
      <c r="E3" s="48"/>
      <c r="G3" s="48"/>
    </row>
    <row r="4" spans="1:9">
      <c r="B4" s="11" t="s">
        <v>88</v>
      </c>
      <c r="C4" s="48"/>
      <c r="D4" s="48">
        <v>1500</v>
      </c>
      <c r="E4" s="48"/>
      <c r="G4" s="48"/>
    </row>
    <row r="5" spans="1:9">
      <c r="B5" s="11" t="s">
        <v>168</v>
      </c>
      <c r="C5" s="48"/>
      <c r="D5" s="48">
        <v>3750</v>
      </c>
      <c r="E5" s="48"/>
      <c r="G5" s="48"/>
    </row>
    <row r="6" spans="1:9">
      <c r="A6" s="126">
        <v>39325</v>
      </c>
      <c r="B6" s="127" t="s">
        <v>19</v>
      </c>
      <c r="C6" s="128">
        <v>12450</v>
      </c>
      <c r="D6" s="128">
        <f>SUM(D3:D5)</f>
        <v>9750</v>
      </c>
      <c r="E6" s="128">
        <v>10050</v>
      </c>
      <c r="F6" s="128">
        <v>300</v>
      </c>
      <c r="G6" s="128">
        <v>0</v>
      </c>
      <c r="H6" s="128">
        <v>0</v>
      </c>
    </row>
    <row r="7" spans="1:9">
      <c r="A7" s="40" t="s">
        <v>169</v>
      </c>
      <c r="B7" s="11" t="s">
        <v>167</v>
      </c>
      <c r="C7" s="48">
        <v>450</v>
      </c>
      <c r="D7" s="48">
        <v>2250</v>
      </c>
      <c r="E7" s="48">
        <v>1800</v>
      </c>
      <c r="F7" s="48">
        <v>2700</v>
      </c>
      <c r="G7" s="48">
        <v>450</v>
      </c>
      <c r="H7" s="48">
        <v>150</v>
      </c>
    </row>
    <row r="8" spans="1:9">
      <c r="A8" s="40" t="s">
        <v>169</v>
      </c>
      <c r="B8" s="11" t="s">
        <v>88</v>
      </c>
      <c r="C8" s="48">
        <v>300</v>
      </c>
      <c r="D8" s="48">
        <v>1800</v>
      </c>
      <c r="E8" s="48">
        <v>1050</v>
      </c>
      <c r="F8" s="48">
        <v>1500</v>
      </c>
      <c r="G8" s="48">
        <v>150</v>
      </c>
      <c r="H8" s="48">
        <v>0</v>
      </c>
    </row>
    <row r="9" spans="1:9">
      <c r="B9" s="40" t="s">
        <v>170</v>
      </c>
      <c r="C9" s="52">
        <f t="shared" ref="C9:H9" si="0">3.5*C8</f>
        <v>1050</v>
      </c>
      <c r="D9" s="52">
        <f t="shared" si="0"/>
        <v>6300</v>
      </c>
      <c r="E9" s="52">
        <f t="shared" si="0"/>
        <v>3675</v>
      </c>
      <c r="F9" s="52">
        <f t="shared" si="0"/>
        <v>5250</v>
      </c>
      <c r="G9" s="52">
        <f t="shared" si="0"/>
        <v>525</v>
      </c>
      <c r="H9" s="52">
        <f t="shared" si="0"/>
        <v>0</v>
      </c>
      <c r="I9" s="52">
        <f>SUM(C9:H9)</f>
        <v>16800</v>
      </c>
    </row>
    <row r="10" spans="1:9">
      <c r="B10" s="129" t="s">
        <v>19</v>
      </c>
      <c r="C10" s="130">
        <f t="shared" ref="C10:H10" si="1">SUM(C6:C9)</f>
        <v>14250</v>
      </c>
      <c r="D10" s="130">
        <f t="shared" si="1"/>
        <v>20100</v>
      </c>
      <c r="E10" s="130">
        <f t="shared" si="1"/>
        <v>16575</v>
      </c>
      <c r="F10" s="130">
        <f t="shared" si="1"/>
        <v>9750</v>
      </c>
      <c r="G10" s="130">
        <f t="shared" si="1"/>
        <v>1125</v>
      </c>
      <c r="H10" s="130">
        <f t="shared" si="1"/>
        <v>150</v>
      </c>
    </row>
    <row r="11" spans="1:9">
      <c r="B11" s="40" t="s">
        <v>171</v>
      </c>
      <c r="C11" s="52">
        <f t="shared" ref="C11:H11" si="2">C9/$I$9*($I$11-$I$9)</f>
        <v>-206.25</v>
      </c>
      <c r="D11" s="52">
        <f t="shared" si="2"/>
        <v>-1237.5</v>
      </c>
      <c r="E11" s="52">
        <f t="shared" si="2"/>
        <v>-721.875</v>
      </c>
      <c r="F11" s="52">
        <f t="shared" si="2"/>
        <v>-1031.25</v>
      </c>
      <c r="G11" s="52">
        <f t="shared" si="2"/>
        <v>-103.125</v>
      </c>
      <c r="H11" s="52">
        <f t="shared" si="2"/>
        <v>0</v>
      </c>
      <c r="I11" s="52">
        <v>13500</v>
      </c>
    </row>
    <row r="12" spans="1:9">
      <c r="B12" s="129" t="s">
        <v>172</v>
      </c>
      <c r="C12" s="130">
        <f t="shared" ref="C12:H12" si="3">C10+C11</f>
        <v>14043.75</v>
      </c>
      <c r="D12" s="130">
        <f t="shared" si="3"/>
        <v>18862.5</v>
      </c>
      <c r="E12" s="130">
        <f t="shared" si="3"/>
        <v>15853.125</v>
      </c>
      <c r="F12" s="130">
        <f t="shared" si="3"/>
        <v>8718.75</v>
      </c>
      <c r="G12" s="130">
        <f t="shared" si="3"/>
        <v>1021.875</v>
      </c>
      <c r="H12" s="130">
        <f t="shared" si="3"/>
        <v>150</v>
      </c>
    </row>
    <row r="14" spans="1:9">
      <c r="B14" s="131" t="s">
        <v>6</v>
      </c>
      <c r="C14" s="132"/>
      <c r="D14" s="132"/>
      <c r="E14" s="133"/>
    </row>
    <row r="15" spans="1:9">
      <c r="B15" s="134" t="s">
        <v>5</v>
      </c>
      <c r="C15" s="135">
        <v>18450</v>
      </c>
      <c r="D15" s="135">
        <v>18700</v>
      </c>
      <c r="E15" s="136">
        <v>16000</v>
      </c>
    </row>
    <row r="16" spans="1:9">
      <c r="B16" s="134" t="s">
        <v>104</v>
      </c>
      <c r="C16" s="135">
        <f>-C12</f>
        <v>-14043.75</v>
      </c>
      <c r="D16" s="135">
        <f>-D12</f>
        <v>-18862.5</v>
      </c>
      <c r="E16" s="136">
        <f>-E12</f>
        <v>-15853.125</v>
      </c>
    </row>
    <row r="17" spans="2:5">
      <c r="B17" s="137" t="s">
        <v>2</v>
      </c>
      <c r="C17" s="138">
        <f>C15+C16</f>
        <v>4406.25</v>
      </c>
      <c r="D17" s="138">
        <f>D15+D16</f>
        <v>-162.5</v>
      </c>
      <c r="E17" s="139">
        <f>E15+E16</f>
        <v>146.875</v>
      </c>
    </row>
  </sheetData>
  <pageMargins left="0.511811024" right="0.511811024" top="0.78740157499999996" bottom="0.78740157499999996" header="0.31496062000000002" footer="0.31496062000000002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6"/>
  <sheetViews>
    <sheetView showGridLines="0" workbookViewId="0">
      <selection activeCell="H10" sqref="H10"/>
    </sheetView>
  </sheetViews>
  <sheetFormatPr defaultColWidth="8.81640625" defaultRowHeight="13.5"/>
  <cols>
    <col min="1" max="1" width="22.81640625" style="11" bestFit="1" customWidth="1"/>
    <col min="2" max="2" width="12.6328125" style="11" bestFit="1" customWidth="1"/>
    <col min="3" max="5" width="12.81640625" style="11" bestFit="1" customWidth="1"/>
    <col min="6" max="6" width="13.81640625" style="11" bestFit="1" customWidth="1"/>
    <col min="7" max="16384" width="8.81640625" style="11"/>
  </cols>
  <sheetData>
    <row r="2" spans="1:6">
      <c r="A2" s="124"/>
      <c r="B2" s="140" t="s">
        <v>173</v>
      </c>
      <c r="C2" s="140" t="s">
        <v>174</v>
      </c>
      <c r="D2" s="124"/>
      <c r="E2" s="124"/>
    </row>
    <row r="3" spans="1:6">
      <c r="C3" s="40" t="s">
        <v>175</v>
      </c>
      <c r="D3" s="40" t="s">
        <v>97</v>
      </c>
      <c r="E3" s="40" t="s">
        <v>168</v>
      </c>
    </row>
    <row r="4" spans="1:6">
      <c r="A4" s="40" t="s">
        <v>76</v>
      </c>
      <c r="C4" s="11">
        <v>0</v>
      </c>
      <c r="D4" s="11">
        <v>0</v>
      </c>
      <c r="E4" s="11">
        <v>0</v>
      </c>
    </row>
    <row r="5" spans="1:6">
      <c r="A5" s="40" t="s">
        <v>176</v>
      </c>
      <c r="C5" s="41">
        <v>10000</v>
      </c>
      <c r="D5" s="41">
        <v>10000</v>
      </c>
      <c r="E5" s="41">
        <v>10000</v>
      </c>
    </row>
    <row r="6" spans="1:6">
      <c r="A6" s="40" t="s">
        <v>177</v>
      </c>
      <c r="C6" s="41">
        <f>C5*0.05</f>
        <v>500</v>
      </c>
      <c r="D6" s="41">
        <f>D5*0.05</f>
        <v>500</v>
      </c>
      <c r="E6" s="41">
        <f>E5*0.05</f>
        <v>500</v>
      </c>
    </row>
    <row r="7" spans="1:6">
      <c r="A7" s="141" t="s">
        <v>178</v>
      </c>
      <c r="C7" s="41">
        <v>8000</v>
      </c>
      <c r="D7" s="41">
        <v>8000</v>
      </c>
      <c r="E7" s="41">
        <v>8000</v>
      </c>
    </row>
    <row r="8" spans="1:6">
      <c r="A8" s="142" t="s">
        <v>179</v>
      </c>
      <c r="C8" s="41">
        <v>1500</v>
      </c>
      <c r="D8" s="41">
        <v>1500</v>
      </c>
      <c r="E8" s="41">
        <v>1500</v>
      </c>
    </row>
    <row r="9" spans="1:6">
      <c r="A9" s="142" t="s">
        <v>180</v>
      </c>
      <c r="C9" s="143">
        <v>1</v>
      </c>
      <c r="D9" s="143">
        <f>2/3</f>
        <v>0.66666666666666663</v>
      </c>
      <c r="E9" s="143">
        <f>2/3</f>
        <v>0.66666666666666663</v>
      </c>
    </row>
    <row r="10" spans="1:6">
      <c r="A10" s="144" t="s">
        <v>174</v>
      </c>
      <c r="C10" s="41">
        <f>C7+C9*C8</f>
        <v>9500</v>
      </c>
      <c r="D10" s="41">
        <f>D7+D9*D8</f>
        <v>9000</v>
      </c>
      <c r="E10" s="41">
        <f>E7+E9*E8</f>
        <v>9000</v>
      </c>
    </row>
    <row r="12" spans="1:6">
      <c r="A12" s="40" t="s">
        <v>181</v>
      </c>
      <c r="C12" s="11">
        <v>0</v>
      </c>
      <c r="D12" s="11">
        <v>0</v>
      </c>
    </row>
    <row r="13" spans="1:6">
      <c r="A13" s="40" t="s">
        <v>182</v>
      </c>
      <c r="B13" s="145"/>
      <c r="C13" s="145">
        <v>9500</v>
      </c>
      <c r="D13" s="145">
        <v>7200</v>
      </c>
      <c r="E13" s="145">
        <v>4500</v>
      </c>
      <c r="F13" s="145"/>
    </row>
    <row r="14" spans="1:6">
      <c r="A14" s="140" t="s">
        <v>132</v>
      </c>
      <c r="B14" s="146"/>
      <c r="C14" s="146">
        <f>C13/C10</f>
        <v>1</v>
      </c>
      <c r="D14" s="146">
        <f>D13/D10</f>
        <v>0.8</v>
      </c>
      <c r="E14" s="146">
        <f>E13/E10</f>
        <v>0.5</v>
      </c>
      <c r="F14" s="146">
        <f>C14+D14+E14</f>
        <v>2.2999999999999998</v>
      </c>
    </row>
    <row r="15" spans="1:6">
      <c r="A15" s="40" t="s">
        <v>183</v>
      </c>
      <c r="B15" s="145">
        <v>8000</v>
      </c>
      <c r="C15" s="145">
        <f>B15*C14</f>
        <v>8000</v>
      </c>
      <c r="D15" s="145">
        <f>B15*D14</f>
        <v>6400</v>
      </c>
      <c r="E15" s="145">
        <f>B15*E14</f>
        <v>4000</v>
      </c>
      <c r="F15" s="145">
        <f>C15+D15+E15</f>
        <v>18400</v>
      </c>
    </row>
    <row r="16" spans="1:6">
      <c r="A16" s="140" t="s">
        <v>184</v>
      </c>
      <c r="B16" s="146"/>
      <c r="C16" s="146">
        <f>C13-C15</f>
        <v>1500</v>
      </c>
      <c r="D16" s="146">
        <f>D13-D15</f>
        <v>800</v>
      </c>
      <c r="E16" s="146">
        <f>E13-E15</f>
        <v>500</v>
      </c>
      <c r="F16" s="146">
        <f>C16+D16+E16</f>
        <v>2800</v>
      </c>
    </row>
  </sheetData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topLeftCell="A4" workbookViewId="0">
      <selection activeCell="I12" sqref="I12"/>
    </sheetView>
  </sheetViews>
  <sheetFormatPr defaultColWidth="8.81640625" defaultRowHeight="13.5"/>
  <cols>
    <col min="1" max="1" width="24.36328125" style="11" bestFit="1" customWidth="1"/>
    <col min="2" max="2" width="8.81640625" style="11"/>
    <col min="3" max="3" width="12.1796875" style="11" bestFit="1" customWidth="1"/>
    <col min="4" max="4" width="9.6328125" style="11" bestFit="1" customWidth="1"/>
    <col min="5" max="5" width="10.81640625" style="11" bestFit="1" customWidth="1"/>
    <col min="6" max="6" width="8.81640625" style="11"/>
    <col min="7" max="7" width="10.36328125" style="11" bestFit="1" customWidth="1"/>
    <col min="8" max="8" width="12.1796875" style="11" bestFit="1" customWidth="1"/>
    <col min="9" max="9" width="17.1796875" style="11" bestFit="1" customWidth="1"/>
    <col min="10" max="10" width="12.1796875" style="11" bestFit="1" customWidth="1"/>
    <col min="11" max="16384" width="8.81640625" style="11"/>
  </cols>
  <sheetData>
    <row r="1" spans="1:10">
      <c r="B1" s="40" t="s">
        <v>185</v>
      </c>
      <c r="C1" s="40"/>
      <c r="I1" s="147" t="s">
        <v>186</v>
      </c>
      <c r="J1" s="147"/>
    </row>
    <row r="2" spans="1:10">
      <c r="A2" s="40"/>
      <c r="B2" s="148" t="s">
        <v>175</v>
      </c>
      <c r="C2" s="148"/>
      <c r="D2" s="148" t="s">
        <v>97</v>
      </c>
      <c r="E2" s="148"/>
      <c r="F2" s="148" t="s">
        <v>168</v>
      </c>
      <c r="G2" s="148"/>
      <c r="H2" s="149" t="s">
        <v>54</v>
      </c>
    </row>
    <row r="3" spans="1:10">
      <c r="A3" s="40"/>
      <c r="B3" s="40" t="s">
        <v>173</v>
      </c>
      <c r="C3" s="40" t="s">
        <v>187</v>
      </c>
      <c r="D3" s="40" t="s">
        <v>173</v>
      </c>
      <c r="E3" s="40" t="s">
        <v>41</v>
      </c>
      <c r="F3" s="40" t="s">
        <v>173</v>
      </c>
      <c r="G3" s="40" t="s">
        <v>41</v>
      </c>
    </row>
    <row r="4" spans="1:10">
      <c r="A4" s="40" t="s">
        <v>181</v>
      </c>
      <c r="B4" s="40">
        <v>0</v>
      </c>
      <c r="C4" s="40"/>
      <c r="D4" s="40">
        <v>0</v>
      </c>
      <c r="E4" s="40"/>
      <c r="F4" s="40">
        <v>0</v>
      </c>
      <c r="G4" s="40"/>
    </row>
    <row r="5" spans="1:10">
      <c r="A5" s="40" t="s">
        <v>182</v>
      </c>
      <c r="B5" s="40">
        <v>10000</v>
      </c>
      <c r="C5" s="147">
        <v>100000</v>
      </c>
      <c r="D5" s="40">
        <v>10000</v>
      </c>
      <c r="E5" s="147">
        <v>46000</v>
      </c>
      <c r="F5" s="40">
        <v>10000</v>
      </c>
      <c r="G5" s="40">
        <v>73600</v>
      </c>
      <c r="H5" s="147">
        <f>C5+E5+G5</f>
        <v>219600</v>
      </c>
      <c r="I5" s="11">
        <v>9000</v>
      </c>
      <c r="J5" s="147">
        <f>I5*H10</f>
        <v>207000</v>
      </c>
    </row>
    <row r="6" spans="1:10">
      <c r="A6" s="141" t="s">
        <v>178</v>
      </c>
      <c r="B6" s="150">
        <v>9000</v>
      </c>
      <c r="C6" s="150"/>
      <c r="D6" s="150">
        <v>9000</v>
      </c>
      <c r="E6" s="150"/>
      <c r="F6" s="151">
        <v>9000</v>
      </c>
      <c r="G6" s="152"/>
      <c r="H6" s="147"/>
      <c r="J6" s="147"/>
    </row>
    <row r="7" spans="1:10">
      <c r="A7" s="142" t="s">
        <v>179</v>
      </c>
      <c r="B7" s="152">
        <f>B4+B5-B6</f>
        <v>1000</v>
      </c>
      <c r="C7" s="152"/>
      <c r="D7" s="152">
        <v>1000</v>
      </c>
      <c r="E7" s="152"/>
      <c r="F7" s="153">
        <v>1000</v>
      </c>
      <c r="G7" s="152"/>
      <c r="H7" s="147"/>
      <c r="J7" s="147"/>
    </row>
    <row r="8" spans="1:10">
      <c r="A8" s="142" t="s">
        <v>180</v>
      </c>
      <c r="B8" s="152">
        <v>1</v>
      </c>
      <c r="C8" s="152"/>
      <c r="D8" s="152">
        <v>0.2</v>
      </c>
      <c r="E8" s="152"/>
      <c r="F8" s="153">
        <v>0.2</v>
      </c>
      <c r="G8" s="152"/>
      <c r="H8" s="147"/>
      <c r="J8" s="147"/>
    </row>
    <row r="9" spans="1:10">
      <c r="A9" s="144" t="s">
        <v>174</v>
      </c>
      <c r="B9" s="154">
        <f>B6+B8*B7</f>
        <v>10000</v>
      </c>
      <c r="C9" s="154"/>
      <c r="D9" s="154">
        <f>D6+D8*D7</f>
        <v>9200</v>
      </c>
      <c r="E9" s="154">
        <f>E6+E8*E7</f>
        <v>0</v>
      </c>
      <c r="F9" s="155">
        <f>F6+F8*F7</f>
        <v>9200</v>
      </c>
      <c r="G9" s="152"/>
      <c r="H9" s="147"/>
      <c r="J9" s="147"/>
    </row>
    <row r="10" spans="1:10">
      <c r="A10" s="40" t="s">
        <v>132</v>
      </c>
      <c r="C10" s="147">
        <f>C5/B9</f>
        <v>10</v>
      </c>
      <c r="E10" s="147">
        <f>(E4+E5)/D9</f>
        <v>5</v>
      </c>
      <c r="G10" s="147">
        <f>(F4+G5)/F9</f>
        <v>8</v>
      </c>
      <c r="H10" s="147">
        <f>SUM(B10:G10)</f>
        <v>23</v>
      </c>
      <c r="I10" s="11">
        <v>23</v>
      </c>
      <c r="J10" s="147"/>
    </row>
    <row r="11" spans="1:10">
      <c r="A11" s="40" t="s">
        <v>183</v>
      </c>
      <c r="B11" s="11">
        <v>9000</v>
      </c>
      <c r="C11" s="147">
        <f>B11*C10</f>
        <v>90000</v>
      </c>
      <c r="D11" s="40">
        <v>9000</v>
      </c>
      <c r="E11" s="147">
        <f>D11*E10</f>
        <v>45000</v>
      </c>
      <c r="F11" s="40">
        <v>9000</v>
      </c>
      <c r="G11" s="147">
        <f>F11*G10</f>
        <v>72000</v>
      </c>
      <c r="H11" s="147">
        <f>C11+E11+G11</f>
        <v>207000</v>
      </c>
      <c r="I11" s="11">
        <v>9000</v>
      </c>
      <c r="J11" s="147">
        <f>J5</f>
        <v>207000</v>
      </c>
    </row>
    <row r="12" spans="1:10">
      <c r="A12" s="140" t="s">
        <v>184</v>
      </c>
      <c r="B12" s="124">
        <f>B4+B5-B11</f>
        <v>1000</v>
      </c>
      <c r="C12" s="156">
        <f>B12*C10</f>
        <v>10000</v>
      </c>
      <c r="D12" s="157">
        <f>B12*D8</f>
        <v>200</v>
      </c>
      <c r="E12" s="156">
        <f>E5-E11</f>
        <v>1000</v>
      </c>
      <c r="F12" s="157">
        <f>B12*F8</f>
        <v>200</v>
      </c>
      <c r="G12" s="156">
        <f>G5-G11</f>
        <v>1600</v>
      </c>
      <c r="H12" s="156">
        <f>C12+E12+G12</f>
        <v>12600</v>
      </c>
      <c r="I12" s="124">
        <f>I5-I11</f>
        <v>0</v>
      </c>
      <c r="J12" s="156"/>
    </row>
    <row r="13" spans="1:10">
      <c r="C13" s="147"/>
      <c r="E13" s="147"/>
      <c r="G13" s="147"/>
      <c r="H13" s="147"/>
      <c r="J13" s="147"/>
    </row>
    <row r="14" spans="1:10">
      <c r="A14" s="40" t="s">
        <v>182</v>
      </c>
      <c r="B14" s="11">
        <v>10000</v>
      </c>
      <c r="C14" s="147">
        <v>110000</v>
      </c>
      <c r="D14" s="11">
        <f>B14</f>
        <v>10000</v>
      </c>
      <c r="E14" s="147">
        <v>51700</v>
      </c>
      <c r="F14" s="11">
        <f>B14</f>
        <v>10000</v>
      </c>
      <c r="G14" s="147">
        <v>82720</v>
      </c>
      <c r="H14" s="147"/>
      <c r="I14" s="11">
        <v>9000</v>
      </c>
      <c r="J14" s="147">
        <f>H20</f>
        <v>226638.06818181818</v>
      </c>
    </row>
    <row r="15" spans="1:10">
      <c r="A15" s="141" t="s">
        <v>178</v>
      </c>
      <c r="B15" s="150">
        <v>9000</v>
      </c>
      <c r="C15" s="150"/>
      <c r="D15" s="150">
        <f>B15</f>
        <v>9000</v>
      </c>
      <c r="E15" s="150"/>
      <c r="F15" s="151">
        <f>B15</f>
        <v>9000</v>
      </c>
      <c r="G15" s="158"/>
      <c r="H15" s="147"/>
      <c r="J15" s="147"/>
    </row>
    <row r="16" spans="1:10">
      <c r="A16" s="142" t="s">
        <v>179</v>
      </c>
      <c r="B16" s="152">
        <f>B12+B14-B15</f>
        <v>2000</v>
      </c>
      <c r="C16" s="152"/>
      <c r="D16" s="152">
        <f>B16</f>
        <v>2000</v>
      </c>
      <c r="E16" s="152"/>
      <c r="F16" s="153">
        <f>B16</f>
        <v>2000</v>
      </c>
      <c r="G16" s="158"/>
      <c r="H16" s="147"/>
      <c r="J16" s="147"/>
    </row>
    <row r="17" spans="1:10">
      <c r="A17" s="142" t="s">
        <v>180</v>
      </c>
      <c r="B17" s="152">
        <v>1</v>
      </c>
      <c r="C17" s="152"/>
      <c r="D17" s="152">
        <v>0.3</v>
      </c>
      <c r="E17" s="152"/>
      <c r="F17" s="153">
        <v>0.3</v>
      </c>
      <c r="G17" s="158"/>
      <c r="H17" s="147"/>
      <c r="J17" s="147"/>
    </row>
    <row r="18" spans="1:10">
      <c r="A18" s="144" t="s">
        <v>174</v>
      </c>
      <c r="B18" s="154">
        <f>B15+B17*B16</f>
        <v>11000</v>
      </c>
      <c r="C18" s="154"/>
      <c r="D18" s="154">
        <f>D15+D17*D16</f>
        <v>9600</v>
      </c>
      <c r="E18" s="154"/>
      <c r="F18" s="155">
        <f>F15+F17*F16</f>
        <v>9600</v>
      </c>
      <c r="G18" s="158"/>
      <c r="H18" s="147"/>
      <c r="J18" s="147"/>
    </row>
    <row r="19" spans="1:10">
      <c r="A19" s="140" t="s">
        <v>132</v>
      </c>
      <c r="B19" s="124"/>
      <c r="C19" s="156">
        <f>(C12+C14)/B18</f>
        <v>10.909090909090908</v>
      </c>
      <c r="D19" s="124"/>
      <c r="E19" s="156">
        <f>(E12+E14)/D18</f>
        <v>5.489583333333333</v>
      </c>
      <c r="F19" s="124"/>
      <c r="G19" s="156">
        <f>(G12+G14)/F18</f>
        <v>8.7833333333333332</v>
      </c>
      <c r="H19" s="156">
        <f>C19+E19+G19</f>
        <v>25.182007575757574</v>
      </c>
      <c r="I19" s="124"/>
      <c r="J19" s="156">
        <f>H19</f>
        <v>25.182007575757574</v>
      </c>
    </row>
    <row r="20" spans="1:10">
      <c r="A20" s="40" t="s">
        <v>183</v>
      </c>
      <c r="B20" s="11">
        <v>9000</v>
      </c>
      <c r="C20" s="147">
        <f>B20*C19</f>
        <v>98181.818181818177</v>
      </c>
      <c r="D20" s="11">
        <v>9000</v>
      </c>
      <c r="E20" s="147">
        <f>D20*E19</f>
        <v>49406.25</v>
      </c>
      <c r="F20" s="11">
        <v>9000</v>
      </c>
      <c r="G20" s="147">
        <f>F20*G19</f>
        <v>79050</v>
      </c>
      <c r="H20" s="147">
        <f>C20+E20+G20</f>
        <v>226638.06818181818</v>
      </c>
      <c r="I20" s="11">
        <v>6000</v>
      </c>
      <c r="J20" s="147">
        <f>I20*J19</f>
        <v>151092.04545454544</v>
      </c>
    </row>
    <row r="21" spans="1:10">
      <c r="A21" s="140" t="s">
        <v>184</v>
      </c>
      <c r="B21" s="124">
        <f>B12+B14-B20</f>
        <v>2000</v>
      </c>
      <c r="C21" s="156">
        <f>C12+C14-C20</f>
        <v>21818.181818181823</v>
      </c>
      <c r="D21" s="124"/>
      <c r="E21" s="156">
        <f>E12+E14-E20</f>
        <v>3293.75</v>
      </c>
      <c r="F21" s="124"/>
      <c r="G21" s="156">
        <f>G12+G14-G20</f>
        <v>5270</v>
      </c>
      <c r="H21" s="156">
        <f>C21+E21+G21</f>
        <v>30381.931818181823</v>
      </c>
      <c r="I21" s="124">
        <f>I12+I14-I20</f>
        <v>3000</v>
      </c>
      <c r="J21" s="156">
        <f>J12+J14-J20</f>
        <v>75546.022727272735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25</vt:i4>
      </vt:variant>
    </vt:vector>
  </HeadingPairs>
  <TitlesOfParts>
    <vt:vector size="25" baseType="lpstr">
      <vt:lpstr>Ex16</vt:lpstr>
      <vt:lpstr>Ex17</vt:lpstr>
      <vt:lpstr>Ex18</vt:lpstr>
      <vt:lpstr>Ex19</vt:lpstr>
      <vt:lpstr>Ex20</vt:lpstr>
      <vt:lpstr>Ex21</vt:lpstr>
      <vt:lpstr>Ex22</vt:lpstr>
      <vt:lpstr>Ex23</vt:lpstr>
      <vt:lpstr>Ex24</vt:lpstr>
      <vt:lpstr>Ex25</vt:lpstr>
      <vt:lpstr>Ex26</vt:lpstr>
      <vt:lpstr>Ex27</vt:lpstr>
      <vt:lpstr>Ex28</vt:lpstr>
      <vt:lpstr>Ex29</vt:lpstr>
      <vt:lpstr>Ex30</vt:lpstr>
      <vt:lpstr>Ex31</vt:lpstr>
      <vt:lpstr>Ex32</vt:lpstr>
      <vt:lpstr>Ex33</vt:lpstr>
      <vt:lpstr>Ex34</vt:lpstr>
      <vt:lpstr>Ex35</vt:lpstr>
      <vt:lpstr>Ex36</vt:lpstr>
      <vt:lpstr>Ex37</vt:lpstr>
      <vt:lpstr>Ex38</vt:lpstr>
      <vt:lpstr>Ex39</vt:lpstr>
      <vt:lpstr>Plan11</vt:lpstr>
    </vt:vector>
  </TitlesOfParts>
  <Company>FUNDAÇÃO VANZOLINI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prof.pta</dc:creator>
  <cp:lastModifiedBy>Davi Nakano</cp:lastModifiedBy>
  <dcterms:created xsi:type="dcterms:W3CDTF">2009-05-23T12:48:11Z</dcterms:created>
  <dcterms:modified xsi:type="dcterms:W3CDTF">2020-10-28T12:49:18Z</dcterms:modified>
</cp:coreProperties>
</file>