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9635310fe207ff/Documentos/_USP_ENSINO_PESQ_GESTAO/_GRADUAÇÃO/Disciplinas 2020_2s/Aula/"/>
    </mc:Choice>
  </mc:AlternateContent>
  <xr:revisionPtr revIDLastSave="168" documentId="14_{ABA91FB9-325D-44C7-9F6B-5DB4889FB550}" xr6:coauthVersionLast="45" xr6:coauthVersionMax="45" xr10:uidLastSave="{FDB46CB4-FC2D-4BB5-BF39-9810BBCC8BFF}"/>
  <bookViews>
    <workbookView xWindow="-108" yWindow="-108" windowWidth="23256" windowHeight="12576" activeTab="3" xr2:uid="{BE021265-4043-403C-91F8-2E18EC624711}"/>
  </bookViews>
  <sheets>
    <sheet name="Horas Extras" sheetId="2" r:id="rId1"/>
    <sheet name="Faltas e Atrasos" sheetId="3" r:id="rId2"/>
    <sheet name="Exerc Joao Miguel" sheetId="5" r:id="rId3"/>
    <sheet name="Rescisã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5" l="1"/>
  <c r="G48" i="5"/>
  <c r="G47" i="5"/>
  <c r="G44" i="5"/>
  <c r="G43" i="5"/>
  <c r="G39" i="5"/>
  <c r="G38" i="5"/>
  <c r="G36" i="5"/>
  <c r="G21" i="5"/>
  <c r="P13" i="5"/>
  <c r="P12" i="5"/>
  <c r="P11" i="5"/>
  <c r="O12" i="5"/>
  <c r="O10" i="5"/>
  <c r="G8" i="5"/>
  <c r="G6" i="5"/>
  <c r="G5" i="5"/>
  <c r="C37" i="5"/>
  <c r="C34" i="5"/>
  <c r="C29" i="5"/>
  <c r="C28" i="5"/>
  <c r="G4" i="5"/>
  <c r="J62" i="6"/>
  <c r="J63" i="6" s="1"/>
  <c r="G60" i="6"/>
  <c r="J61" i="6"/>
  <c r="K59" i="6"/>
  <c r="J59" i="6"/>
  <c r="H59" i="6"/>
  <c r="G59" i="6"/>
  <c r="F59" i="6"/>
  <c r="C59" i="6"/>
  <c r="G1" i="6"/>
  <c r="D6" i="6"/>
  <c r="H1" i="6" s="1"/>
  <c r="H6" i="6"/>
  <c r="F6" i="6"/>
  <c r="J6" i="6"/>
  <c r="G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H2" i="6" l="1"/>
  <c r="H3" i="6" s="1"/>
  <c r="G3" i="6" s="1"/>
  <c r="D29" i="6"/>
  <c r="D58" i="6"/>
  <c r="C40" i="6"/>
  <c r="E40" i="6" s="1"/>
  <c r="E39" i="6"/>
  <c r="K39" i="6" s="1"/>
  <c r="E38" i="6"/>
  <c r="K38" i="6" s="1"/>
  <c r="E37" i="6"/>
  <c r="K37" i="6" s="1"/>
  <c r="K36" i="6"/>
  <c r="E36" i="6"/>
  <c r="E35" i="6"/>
  <c r="S20" i="6"/>
  <c r="U20" i="6" s="1"/>
  <c r="Z19" i="6"/>
  <c r="Y19" i="6"/>
  <c r="W19" i="6"/>
  <c r="V19" i="6"/>
  <c r="U19" i="6"/>
  <c r="C11" i="6"/>
  <c r="G11" i="6" s="1"/>
  <c r="K10" i="6"/>
  <c r="J10" i="6"/>
  <c r="H10" i="6"/>
  <c r="G10" i="6"/>
  <c r="F10" i="6"/>
  <c r="K9" i="6"/>
  <c r="J9" i="6"/>
  <c r="H9" i="6"/>
  <c r="G9" i="6"/>
  <c r="F9" i="6"/>
  <c r="K8" i="6"/>
  <c r="J8" i="6"/>
  <c r="H8" i="6"/>
  <c r="G8" i="6"/>
  <c r="F8" i="6"/>
  <c r="S7" i="6"/>
  <c r="U7" i="6" s="1"/>
  <c r="K7" i="6"/>
  <c r="J7" i="6"/>
  <c r="H7" i="6"/>
  <c r="G7" i="6"/>
  <c r="F7" i="6"/>
  <c r="Z6" i="6"/>
  <c r="Y6" i="6"/>
  <c r="W6" i="6"/>
  <c r="V6" i="6"/>
  <c r="U6" i="6"/>
  <c r="K6" i="6"/>
  <c r="P2" i="6"/>
  <c r="C14" i="5"/>
  <c r="G2" i="5" s="1"/>
  <c r="G19" i="5"/>
  <c r="G17" i="5"/>
  <c r="G15" i="5"/>
  <c r="G12" i="5"/>
  <c r="M6" i="5"/>
  <c r="C33" i="5"/>
  <c r="G10" i="3"/>
  <c r="G11" i="2"/>
  <c r="K40" i="6" l="1"/>
  <c r="J40" i="6"/>
  <c r="G40" i="6"/>
  <c r="Y7" i="6"/>
  <c r="K11" i="6"/>
  <c r="S21" i="6"/>
  <c r="Z21" i="6" s="1"/>
  <c r="F38" i="6"/>
  <c r="M38" i="6" s="1"/>
  <c r="H35" i="6"/>
  <c r="G35" i="6"/>
  <c r="F35" i="6"/>
  <c r="H38" i="6"/>
  <c r="H36" i="6"/>
  <c r="F36" i="6"/>
  <c r="M36" i="6" s="1"/>
  <c r="Y20" i="6"/>
  <c r="G39" i="6"/>
  <c r="J36" i="6"/>
  <c r="J39" i="6"/>
  <c r="D30" i="6"/>
  <c r="V7" i="6"/>
  <c r="H11" i="6"/>
  <c r="V20" i="6"/>
  <c r="J35" i="6"/>
  <c r="W7" i="6"/>
  <c r="S8" i="6"/>
  <c r="J11" i="6"/>
  <c r="C12" i="6"/>
  <c r="W20" i="6"/>
  <c r="K35" i="6"/>
  <c r="F39" i="6"/>
  <c r="M39" i="6" s="1"/>
  <c r="F40" i="6"/>
  <c r="M40" i="6" s="1"/>
  <c r="Z7" i="6"/>
  <c r="Z20" i="6"/>
  <c r="F37" i="6"/>
  <c r="M37" i="6" s="1"/>
  <c r="G38" i="6"/>
  <c r="H39" i="6"/>
  <c r="H40" i="6"/>
  <c r="G37" i="6"/>
  <c r="W21" i="6"/>
  <c r="G36" i="6"/>
  <c r="H37" i="6"/>
  <c r="J38" i="6"/>
  <c r="F11" i="6"/>
  <c r="J37" i="6"/>
  <c r="V21" i="6"/>
  <c r="C41" i="6"/>
  <c r="G9" i="3"/>
  <c r="Y21" i="6" l="1"/>
  <c r="S22" i="6"/>
  <c r="U21" i="6"/>
  <c r="C42" i="6"/>
  <c r="E41" i="6"/>
  <c r="H12" i="6"/>
  <c r="K12" i="6"/>
  <c r="F12" i="6"/>
  <c r="C13" i="6"/>
  <c r="J12" i="6"/>
  <c r="G12" i="6"/>
  <c r="M35" i="6"/>
  <c r="S9" i="6"/>
  <c r="Z8" i="6"/>
  <c r="Y8" i="6"/>
  <c r="V8" i="6"/>
  <c r="W8" i="6"/>
  <c r="U8" i="6"/>
  <c r="U22" i="6"/>
  <c r="S23" i="6"/>
  <c r="Y22" i="6"/>
  <c r="Z22" i="6"/>
  <c r="W22" i="6"/>
  <c r="V22" i="6"/>
  <c r="G31" i="5"/>
  <c r="K41" i="6" l="1"/>
  <c r="H41" i="6"/>
  <c r="G41" i="6"/>
  <c r="F41" i="6"/>
  <c r="J41" i="6"/>
  <c r="C43" i="6"/>
  <c r="E42" i="6"/>
  <c r="G13" i="6"/>
  <c r="F13" i="6"/>
  <c r="C14" i="6"/>
  <c r="J13" i="6"/>
  <c r="H13" i="6"/>
  <c r="K13" i="6"/>
  <c r="Z23" i="6"/>
  <c r="V23" i="6"/>
  <c r="S24" i="6"/>
  <c r="Y23" i="6"/>
  <c r="W23" i="6"/>
  <c r="U23" i="6"/>
  <c r="S10" i="6"/>
  <c r="W9" i="6"/>
  <c r="V9" i="6"/>
  <c r="U9" i="6"/>
  <c r="Z9" i="6"/>
  <c r="Y9" i="6"/>
  <c r="G26" i="5"/>
  <c r="M41" i="6" l="1"/>
  <c r="Z10" i="6"/>
  <c r="S11" i="6"/>
  <c r="Y10" i="6"/>
  <c r="V10" i="6"/>
  <c r="W10" i="6"/>
  <c r="U10" i="6"/>
  <c r="J42" i="6"/>
  <c r="K42" i="6"/>
  <c r="H42" i="6"/>
  <c r="G42" i="6"/>
  <c r="F42" i="6"/>
  <c r="M42" i="6" s="1"/>
  <c r="U24" i="6"/>
  <c r="Z24" i="6"/>
  <c r="W24" i="6"/>
  <c r="Y24" i="6"/>
  <c r="V24" i="6"/>
  <c r="S25" i="6"/>
  <c r="C44" i="6"/>
  <c r="E43" i="6"/>
  <c r="H14" i="6"/>
  <c r="K14" i="6"/>
  <c r="F14" i="6"/>
  <c r="C15" i="6"/>
  <c r="J14" i="6"/>
  <c r="G14" i="6"/>
  <c r="F7" i="5"/>
  <c r="F6" i="5"/>
  <c r="C23" i="2"/>
  <c r="B37" i="5"/>
  <c r="C11" i="5"/>
  <c r="C12" i="5" s="1"/>
  <c r="B19" i="5"/>
  <c r="C18" i="5"/>
  <c r="B14" i="5"/>
  <c r="F2" i="5" s="1"/>
  <c r="F3" i="5"/>
  <c r="C13" i="3"/>
  <c r="C15" i="3" s="1"/>
  <c r="C18" i="3" s="1"/>
  <c r="C19" i="3" s="1"/>
  <c r="G4" i="3" s="1"/>
  <c r="F5" i="2"/>
  <c r="F4" i="2"/>
  <c r="G3" i="2"/>
  <c r="F3" i="2"/>
  <c r="G2" i="2"/>
  <c r="C10" i="2"/>
  <c r="C12" i="2" s="1"/>
  <c r="C21" i="3"/>
  <c r="C17" i="3"/>
  <c r="B18" i="3"/>
  <c r="F4" i="3"/>
  <c r="B13" i="3"/>
  <c r="F3" i="3" s="1"/>
  <c r="S12" i="6" l="1"/>
  <c r="Y11" i="6"/>
  <c r="W11" i="6"/>
  <c r="V11" i="6"/>
  <c r="Z11" i="6"/>
  <c r="U11" i="6"/>
  <c r="G15" i="6"/>
  <c r="F15" i="6"/>
  <c r="K15" i="6"/>
  <c r="C16" i="6"/>
  <c r="J15" i="6"/>
  <c r="H15" i="6"/>
  <c r="Z25" i="6"/>
  <c r="V25" i="6"/>
  <c r="S26" i="6"/>
  <c r="Y25" i="6"/>
  <c r="W25" i="6"/>
  <c r="U25" i="6"/>
  <c r="K43" i="6"/>
  <c r="H43" i="6"/>
  <c r="G43" i="6"/>
  <c r="F43" i="6"/>
  <c r="M43" i="6" s="1"/>
  <c r="J43" i="6"/>
  <c r="C45" i="6"/>
  <c r="E44" i="6"/>
  <c r="C16" i="5"/>
  <c r="C22" i="5"/>
  <c r="C24" i="5" s="1"/>
  <c r="B22" i="5"/>
  <c r="G3" i="3"/>
  <c r="C23" i="3"/>
  <c r="G5" i="3" s="1"/>
  <c r="B21" i="3"/>
  <c r="J44" i="6" l="1"/>
  <c r="K44" i="6"/>
  <c r="H44" i="6"/>
  <c r="G44" i="6"/>
  <c r="F44" i="6"/>
  <c r="C46" i="6"/>
  <c r="E45" i="6"/>
  <c r="F16" i="6"/>
  <c r="K16" i="6"/>
  <c r="H16" i="6"/>
  <c r="C17" i="6"/>
  <c r="J16" i="6"/>
  <c r="G16" i="6"/>
  <c r="U26" i="6"/>
  <c r="Z26" i="6"/>
  <c r="Y26" i="6"/>
  <c r="W26" i="6"/>
  <c r="S27" i="6"/>
  <c r="V26" i="6"/>
  <c r="Z12" i="6"/>
  <c r="S13" i="6"/>
  <c r="Y12" i="6"/>
  <c r="V12" i="6"/>
  <c r="W12" i="6"/>
  <c r="U12" i="6"/>
  <c r="C19" i="5"/>
  <c r="C20" i="5" s="1"/>
  <c r="G3" i="5" s="1"/>
  <c r="G6" i="3"/>
  <c r="G8" i="3" s="1"/>
  <c r="G11" i="3" s="1"/>
  <c r="B10" i="2"/>
  <c r="C16" i="2"/>
  <c r="C17" i="2" s="1"/>
  <c r="C20" i="2" s="1"/>
  <c r="C47" i="6" l="1"/>
  <c r="E46" i="6"/>
  <c r="M44" i="6"/>
  <c r="Z27" i="6"/>
  <c r="V27" i="6"/>
  <c r="Y27" i="6"/>
  <c r="W27" i="6"/>
  <c r="U27" i="6"/>
  <c r="K45" i="6"/>
  <c r="H45" i="6"/>
  <c r="G45" i="6"/>
  <c r="F45" i="6"/>
  <c r="M45" i="6" s="1"/>
  <c r="J45" i="6"/>
  <c r="G17" i="6"/>
  <c r="F17" i="6"/>
  <c r="K17" i="6"/>
  <c r="C18" i="6"/>
  <c r="J17" i="6"/>
  <c r="H17" i="6"/>
  <c r="S14" i="6"/>
  <c r="Y13" i="6"/>
  <c r="W13" i="6"/>
  <c r="U13" i="6"/>
  <c r="V13" i="6"/>
  <c r="Z13" i="6"/>
  <c r="C39" i="5"/>
  <c r="C41" i="5" s="1"/>
  <c r="G7" i="5" s="1"/>
  <c r="G4" i="2"/>
  <c r="C22" i="2"/>
  <c r="S15" i="6" l="1"/>
  <c r="Y14" i="6"/>
  <c r="V14" i="6"/>
  <c r="W14" i="6"/>
  <c r="U14" i="6"/>
  <c r="Z14" i="6"/>
  <c r="J46" i="6"/>
  <c r="K46" i="6"/>
  <c r="H46" i="6"/>
  <c r="G46" i="6"/>
  <c r="F46" i="6"/>
  <c r="M46" i="6" s="1"/>
  <c r="K18" i="6"/>
  <c r="H18" i="6"/>
  <c r="C19" i="6"/>
  <c r="J18" i="6"/>
  <c r="G18" i="6"/>
  <c r="F18" i="6"/>
  <c r="C48" i="6"/>
  <c r="E47" i="6"/>
  <c r="G10" i="5"/>
  <c r="G13" i="5" s="1"/>
  <c r="G16" i="5" s="1"/>
  <c r="G18" i="5" s="1"/>
  <c r="G20" i="5" s="1"/>
  <c r="C24" i="2"/>
  <c r="G5" i="2" s="1"/>
  <c r="G6" i="2" s="1"/>
  <c r="G9" i="2" s="1"/>
  <c r="G12" i="2" s="1"/>
  <c r="G19" i="6" l="1"/>
  <c r="F19" i="6"/>
  <c r="J19" i="6"/>
  <c r="K19" i="6"/>
  <c r="C20" i="6"/>
  <c r="H19" i="6"/>
  <c r="S16" i="6"/>
  <c r="Y15" i="6"/>
  <c r="W15" i="6"/>
  <c r="V15" i="6"/>
  <c r="U15" i="6"/>
  <c r="Z15" i="6"/>
  <c r="K47" i="6"/>
  <c r="H47" i="6"/>
  <c r="G47" i="6"/>
  <c r="F47" i="6"/>
  <c r="M47" i="6" s="1"/>
  <c r="J47" i="6"/>
  <c r="C49" i="6"/>
  <c r="E48" i="6"/>
  <c r="G25" i="5"/>
  <c r="G27" i="5" s="1"/>
  <c r="K37" i="5" s="1"/>
  <c r="K38" i="5" s="1"/>
  <c r="G35" i="5"/>
  <c r="G42" i="5"/>
  <c r="K29" i="5"/>
  <c r="G30" i="5"/>
  <c r="G32" i="5" s="1"/>
  <c r="K28" i="5"/>
  <c r="J48" i="6" l="1"/>
  <c r="K48" i="6"/>
  <c r="H48" i="6"/>
  <c r="G48" i="6"/>
  <c r="F48" i="6"/>
  <c r="M48" i="6" s="1"/>
  <c r="Z16" i="6"/>
  <c r="S17" i="6"/>
  <c r="Y16" i="6"/>
  <c r="V16" i="6"/>
  <c r="U16" i="6"/>
  <c r="W16" i="6"/>
  <c r="C50" i="6"/>
  <c r="E49" i="6"/>
  <c r="C21" i="6"/>
  <c r="G20" i="6"/>
  <c r="K20" i="6"/>
  <c r="J20" i="6"/>
  <c r="H20" i="6"/>
  <c r="F20" i="6"/>
  <c r="K35" i="5"/>
  <c r="K30" i="5"/>
  <c r="K31" i="5" s="1"/>
  <c r="H21" i="6" l="1"/>
  <c r="G21" i="6"/>
  <c r="F21" i="6"/>
  <c r="K21" i="6"/>
  <c r="C22" i="6"/>
  <c r="J21" i="6"/>
  <c r="S18" i="6"/>
  <c r="Y17" i="6"/>
  <c r="W17" i="6"/>
  <c r="V17" i="6"/>
  <c r="U17" i="6"/>
  <c r="Z17" i="6"/>
  <c r="K49" i="6"/>
  <c r="H49" i="6"/>
  <c r="G49" i="6"/>
  <c r="F49" i="6"/>
  <c r="M49" i="6" s="1"/>
  <c r="J49" i="6"/>
  <c r="C51" i="6"/>
  <c r="E50" i="6"/>
  <c r="G45" i="5"/>
  <c r="K52" i="5" s="1"/>
  <c r="K54" i="5" s="1"/>
  <c r="K44" i="5"/>
  <c r="K46" i="5" s="1"/>
  <c r="K43" i="5"/>
  <c r="K45" i="5" s="1"/>
  <c r="K40" i="5"/>
  <c r="K41" i="5" s="1"/>
  <c r="K48" i="5"/>
  <c r="K49" i="5" s="1"/>
  <c r="K51" i="5" l="1"/>
  <c r="K53" i="5" s="1"/>
  <c r="C23" i="6"/>
  <c r="K22" i="6"/>
  <c r="J22" i="6"/>
  <c r="H22" i="6"/>
  <c r="F22" i="6"/>
  <c r="G22" i="6"/>
  <c r="U29" i="6"/>
  <c r="W18" i="6"/>
  <c r="W29" i="6" s="1"/>
  <c r="Y18" i="6"/>
  <c r="Y29" i="6" s="1"/>
  <c r="V18" i="6"/>
  <c r="V29" i="6" s="1"/>
  <c r="U18" i="6"/>
  <c r="Z18" i="6"/>
  <c r="Z29" i="6" s="1"/>
  <c r="S29" i="6"/>
  <c r="J50" i="6"/>
  <c r="K50" i="6"/>
  <c r="H50" i="6"/>
  <c r="G50" i="6"/>
  <c r="F50" i="6"/>
  <c r="M50" i="6" s="1"/>
  <c r="C52" i="6"/>
  <c r="E51" i="6"/>
  <c r="K51" i="6" l="1"/>
  <c r="H51" i="6"/>
  <c r="G51" i="6"/>
  <c r="F51" i="6"/>
  <c r="M51" i="6" s="1"/>
  <c r="J51" i="6"/>
  <c r="C53" i="6"/>
  <c r="E52" i="6"/>
  <c r="H23" i="6"/>
  <c r="G23" i="6"/>
  <c r="F23" i="6"/>
  <c r="K23" i="6"/>
  <c r="C24" i="6"/>
  <c r="J23" i="6"/>
  <c r="J52" i="6" l="1"/>
  <c r="K52" i="6"/>
  <c r="H52" i="6"/>
  <c r="G52" i="6"/>
  <c r="F52" i="6"/>
  <c r="M52" i="6" s="1"/>
  <c r="J24" i="6"/>
  <c r="C25" i="6"/>
  <c r="K24" i="6"/>
  <c r="H24" i="6"/>
  <c r="G24" i="6"/>
  <c r="F24" i="6"/>
  <c r="C54" i="6"/>
  <c r="E53" i="6"/>
  <c r="H25" i="6" l="1"/>
  <c r="G25" i="6"/>
  <c r="F25" i="6"/>
  <c r="K25" i="6"/>
  <c r="C26" i="6"/>
  <c r="J25" i="6"/>
  <c r="C55" i="6"/>
  <c r="E54" i="6"/>
  <c r="K53" i="6"/>
  <c r="H53" i="6"/>
  <c r="G53" i="6"/>
  <c r="F53" i="6"/>
  <c r="M53" i="6" s="1"/>
  <c r="J53" i="6"/>
  <c r="K54" i="6" l="1"/>
  <c r="H54" i="6"/>
  <c r="G54" i="6"/>
  <c r="F54" i="6"/>
  <c r="M54" i="6" s="1"/>
  <c r="J54" i="6"/>
  <c r="C56" i="6"/>
  <c r="E55" i="6"/>
  <c r="C27" i="6"/>
  <c r="G26" i="6"/>
  <c r="K26" i="6"/>
  <c r="J26" i="6"/>
  <c r="H26" i="6"/>
  <c r="F26" i="6"/>
  <c r="E56" i="6" l="1"/>
  <c r="C58" i="6"/>
  <c r="K55" i="6"/>
  <c r="H55" i="6"/>
  <c r="G55" i="6"/>
  <c r="F55" i="6"/>
  <c r="M55" i="6" s="1"/>
  <c r="J55" i="6"/>
  <c r="H27" i="6"/>
  <c r="H29" i="6" s="1"/>
  <c r="W30" i="6" s="1"/>
  <c r="G27" i="6"/>
  <c r="G29" i="6" s="1"/>
  <c r="V30" i="6" s="1"/>
  <c r="F27" i="6"/>
  <c r="F29" i="6" s="1"/>
  <c r="U30" i="6" s="1"/>
  <c r="K27" i="6"/>
  <c r="K29" i="6" s="1"/>
  <c r="Z30" i="6" s="1"/>
  <c r="J27" i="6"/>
  <c r="J29" i="6" s="1"/>
  <c r="Y30" i="6" s="1"/>
  <c r="C29" i="6"/>
  <c r="S30" i="6" s="1"/>
  <c r="R30" i="6" l="1"/>
  <c r="J56" i="6"/>
  <c r="J58" i="6" s="1"/>
  <c r="K56" i="6"/>
  <c r="K58" i="6" s="1"/>
  <c r="H56" i="6"/>
  <c r="H58" i="6" s="1"/>
  <c r="G56" i="6"/>
  <c r="G58" i="6" s="1"/>
  <c r="F56" i="6"/>
  <c r="E58" i="6"/>
  <c r="M56" i="6" l="1"/>
  <c r="F58" i="6"/>
  <c r="E62" i="6"/>
</calcChain>
</file>

<file path=xl/sharedStrings.xml><?xml version="1.0" encoding="utf-8"?>
<sst xmlns="http://schemas.openxmlformats.org/spreadsheetml/2006/main" count="328" uniqueCount="158">
  <si>
    <t>N. Horas Mensais:</t>
  </si>
  <si>
    <t>Horas Extras (mês)</t>
  </si>
  <si>
    <t>Fator de Acrêscimo</t>
  </si>
  <si>
    <t>Total de Horas Extras</t>
  </si>
  <si>
    <t>Valor da Hora Mensal</t>
  </si>
  <si>
    <t xml:space="preserve">Total de Rendimetnos </t>
  </si>
  <si>
    <t>Funcionário:</t>
  </si>
  <si>
    <t>Salário (mês)</t>
  </si>
  <si>
    <t>Grau de insalubridade</t>
  </si>
  <si>
    <t>Valor do Adicional de Insalubridade</t>
  </si>
  <si>
    <t>Total da Remuneração</t>
  </si>
  <si>
    <t>Valor da H.E x Vr$ Hora</t>
  </si>
  <si>
    <t>N. de Dias Úteis</t>
  </si>
  <si>
    <t>Valor das H.E. / Núm. de dias úteis</t>
  </si>
  <si>
    <t>Base INSS</t>
  </si>
  <si>
    <t>Salário Família</t>
  </si>
  <si>
    <t>Aliquota INSS</t>
  </si>
  <si>
    <t>Valor INSS</t>
  </si>
  <si>
    <t>Salario a Pagar</t>
  </si>
  <si>
    <t>Manoel</t>
  </si>
  <si>
    <t>Dias (Mês)</t>
  </si>
  <si>
    <t>(-)</t>
  </si>
  <si>
    <t>DSR (Dia)</t>
  </si>
  <si>
    <t>Alíquota INSS</t>
  </si>
  <si>
    <t>N. Dias Úteis</t>
  </si>
  <si>
    <t>N. Dias não Úteis</t>
  </si>
  <si>
    <t xml:space="preserve">Total </t>
  </si>
  <si>
    <t>SALÁRIO DE CONTRIBUIÇÃO (R$)</t>
  </si>
  <si>
    <t>ALÍQUOTA INSS</t>
  </si>
  <si>
    <t>até 1.045,00</t>
  </si>
  <si>
    <t>Salário</t>
  </si>
  <si>
    <t>José</t>
  </si>
  <si>
    <r>
      <t>de 1.045,01 até </t>
    </r>
    <r>
      <rPr>
        <sz val="8"/>
        <color rgb="FF000000"/>
        <rFont val="Times New Roman"/>
        <family val="1"/>
      </rPr>
      <t>2.089,60</t>
    </r>
  </si>
  <si>
    <r>
      <t>de </t>
    </r>
    <r>
      <rPr>
        <sz val="8"/>
        <color rgb="FF000000"/>
        <rFont val="Times New Roman"/>
        <family val="1"/>
      </rPr>
      <t>2.089,61</t>
    </r>
    <r>
      <rPr>
        <sz val="8"/>
        <color rgb="FF000000"/>
        <rFont val="Calibri"/>
        <family val="2"/>
      </rPr>
      <t> até </t>
    </r>
    <r>
      <rPr>
        <sz val="8"/>
        <color rgb="FF000000"/>
        <rFont val="Times New Roman"/>
        <family val="1"/>
      </rPr>
      <t>3.134,40</t>
    </r>
  </si>
  <si>
    <r>
      <t>de </t>
    </r>
    <r>
      <rPr>
        <sz val="8"/>
        <color rgb="FF000000"/>
        <rFont val="Times New Roman"/>
        <family val="1"/>
      </rPr>
      <t>3.134,41</t>
    </r>
    <r>
      <rPr>
        <sz val="8"/>
        <color rgb="FF000000"/>
        <rFont val="Calibri"/>
        <family val="2"/>
      </rPr>
      <t> até </t>
    </r>
    <r>
      <rPr>
        <sz val="8"/>
        <color rgb="FF000000"/>
        <rFont val="Times New Roman"/>
        <family val="1"/>
      </rPr>
      <t>6.101,06</t>
    </r>
  </si>
  <si>
    <t>Valor dos Descontos pelos Atrasos</t>
  </si>
  <si>
    <t xml:space="preserve">Valor por Dia </t>
  </si>
  <si>
    <t>N. Dias Úteis (mês)</t>
  </si>
  <si>
    <t>N. Dias não Úteis (mês)</t>
  </si>
  <si>
    <t xml:space="preserve">Mês </t>
  </si>
  <si>
    <t>220 Horas</t>
  </si>
  <si>
    <t>Semanas</t>
  </si>
  <si>
    <t>Jornada (horas) Semanal</t>
  </si>
  <si>
    <t>44 horas</t>
  </si>
  <si>
    <t xml:space="preserve">Num Dias (Mês)  </t>
  </si>
  <si>
    <t>30 Dias</t>
  </si>
  <si>
    <t>Domingos e Feriados</t>
  </si>
  <si>
    <t>Dias úteis</t>
  </si>
  <si>
    <t>dias</t>
  </si>
  <si>
    <t>(+)</t>
  </si>
  <si>
    <r>
      <t>de </t>
    </r>
    <r>
      <rPr>
        <sz val="9"/>
        <color rgb="FF000000"/>
        <rFont val="Calibri"/>
        <family val="2"/>
        <scheme val="minor"/>
      </rPr>
      <t>2.089,61 até 3.134,40</t>
    </r>
  </si>
  <si>
    <r>
      <t>de </t>
    </r>
    <r>
      <rPr>
        <sz val="9"/>
        <color rgb="FF000000"/>
        <rFont val="Calibri"/>
        <family val="2"/>
        <scheme val="minor"/>
      </rPr>
      <t>3.134,41 até 6.101,06</t>
    </r>
  </si>
  <si>
    <t>de 1.045,01 até 2.089,60</t>
  </si>
  <si>
    <t xml:space="preserve">Núm. de horas em atraso (Hora/dia): </t>
  </si>
  <si>
    <t>Num Horas em atraso</t>
  </si>
  <si>
    <t>João</t>
  </si>
  <si>
    <t>Salário Mínimo</t>
  </si>
  <si>
    <t>Validade</t>
  </si>
  <si>
    <t>Base de Cálculo (R$)</t>
  </si>
  <si>
    <t>Alíquota (%)</t>
  </si>
  <si>
    <t xml:space="preserve">Parcela a Deduzir </t>
  </si>
  <si>
    <t>do IR (R$)</t>
  </si>
  <si>
    <t>Até 1.903,98</t>
  </si>
  <si>
    <t>-</t>
  </si>
  <si>
    <t>De 1.903,99 até 2.826,65</t>
  </si>
  <si>
    <t>De 2.826,66 até 3.751,05</t>
  </si>
  <si>
    <t>De 3.751,06 até 4.664,68</t>
  </si>
  <si>
    <t>Acima de 4.664,68</t>
  </si>
  <si>
    <t>Dependente</t>
  </si>
  <si>
    <t xml:space="preserve"> (-) Valor por Dependente</t>
  </si>
  <si>
    <t>Base IR (1)</t>
  </si>
  <si>
    <t>IRPF potencial (Total x Alíquota Tabela IRPF)</t>
  </si>
  <si>
    <t>Total de Rendimentos Base para IRPF Potencial</t>
  </si>
  <si>
    <t>Parcela a Deduzir (Tabela IRPF)</t>
  </si>
  <si>
    <t>IRPF a recolher</t>
  </si>
  <si>
    <t xml:space="preserve"> Alíquota Tabela IRPF)</t>
  </si>
  <si>
    <t>Núm de DSR</t>
  </si>
  <si>
    <t>Descanso Semanal Remunerado - DSR</t>
  </si>
  <si>
    <t>Valor do Reflexo H.E. s/ o DSR</t>
  </si>
  <si>
    <t xml:space="preserve"> Desc. Falta (Dia)</t>
  </si>
  <si>
    <t>Desc. DSR (Dia)</t>
  </si>
  <si>
    <t>Obs. A base de cálculo do valor da Insalubridade é o Salário Mínimo</t>
  </si>
  <si>
    <t>Provisão de 13 Salário</t>
  </si>
  <si>
    <t>Total de Rendimentos (Mês)</t>
  </si>
  <si>
    <t>FGTS s/ Prov. 13 Salario</t>
  </si>
  <si>
    <t>CPP (INSS)</t>
  </si>
  <si>
    <t>Alíquota FGTS</t>
  </si>
  <si>
    <t>Parcela da Provisão Mensal</t>
  </si>
  <si>
    <t xml:space="preserve">Provisão de Férias + 1/3 </t>
  </si>
  <si>
    <t>Parcela da Provisão Mensal - Férias</t>
  </si>
  <si>
    <t>Parcela da Provisão Mensal -1/3 de Férias</t>
  </si>
  <si>
    <t>Total</t>
  </si>
  <si>
    <t xml:space="preserve">Aliq. CPP (INSS)  </t>
  </si>
  <si>
    <t>Núm. de Faltas (semana)</t>
  </si>
  <si>
    <t>Contribuição Previdenciária Patronal (INSS)</t>
  </si>
  <si>
    <t>Fator de Acréscimo</t>
  </si>
  <si>
    <r>
      <t>de 1.045,01 até </t>
    </r>
    <r>
      <rPr>
        <sz val="11"/>
        <color rgb="FF000000"/>
        <rFont val="Calibri"/>
        <family val="2"/>
        <scheme val="minor"/>
      </rPr>
      <t>2.089,60</t>
    </r>
  </si>
  <si>
    <r>
      <t>de </t>
    </r>
    <r>
      <rPr>
        <sz val="11"/>
        <color rgb="FF000000"/>
        <rFont val="Calibri"/>
        <family val="2"/>
        <scheme val="minor"/>
      </rPr>
      <t>2.089,61 até 3.134,40</t>
    </r>
  </si>
  <si>
    <r>
      <t>de </t>
    </r>
    <r>
      <rPr>
        <sz val="11"/>
        <color rgb="FF000000"/>
        <rFont val="Calibri"/>
        <family val="2"/>
        <scheme val="minor"/>
      </rPr>
      <t>3.134,41 até 6.101,06</t>
    </r>
  </si>
  <si>
    <r>
      <t>Dedução por dependente:</t>
    </r>
    <r>
      <rPr>
        <b/>
        <i/>
        <sz val="11"/>
        <color rgb="FF000000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R$ 189,59 (cento e oitenta e nove reais e cinquenta e nove centavos).</t>
    </r>
  </si>
  <si>
    <t>Núm. de DSR (Dias)</t>
  </si>
  <si>
    <t>Valor das H.E. / Núm. de dias Úteis</t>
  </si>
  <si>
    <t>Contabilização</t>
  </si>
  <si>
    <t>D</t>
  </si>
  <si>
    <t>Folha de Salário</t>
  </si>
  <si>
    <t>Encargos Sociais</t>
  </si>
  <si>
    <t>D: Despesa FGTS s/ Salário</t>
  </si>
  <si>
    <t>Fundo de Garantia por Tempo de Serviço (FGTS)</t>
  </si>
  <si>
    <t>Aliq. FGTS</t>
  </si>
  <si>
    <t>FGTS a Recolher</t>
  </si>
  <si>
    <t>CPP (INSS) a Recolher</t>
  </si>
  <si>
    <t>C:</t>
  </si>
  <si>
    <t>D:</t>
  </si>
  <si>
    <t>Desp. de Salário (Mês)</t>
  </si>
  <si>
    <t>INSS a recolher</t>
  </si>
  <si>
    <t>IRPF a pagar</t>
  </si>
  <si>
    <t>Salário a pagar</t>
  </si>
  <si>
    <t>Despesa Contribuição Previdência Patronal (CPP)</t>
  </si>
  <si>
    <t>Contribuição Previdência Patronal (CPP) a Recolher</t>
  </si>
  <si>
    <t>Despesa 13 Salário</t>
  </si>
  <si>
    <t>Prov. 13 Salário</t>
  </si>
  <si>
    <t>Despesa FGTS s/ 13 Salário</t>
  </si>
  <si>
    <t>Despesa INSS (CPP) s/ 13 Salário</t>
  </si>
  <si>
    <t>VIGÊNCIA A PARTIR DE 01.04.2015</t>
  </si>
  <si>
    <t>C</t>
  </si>
  <si>
    <t>Prov. FGTS s/ 13 Salário</t>
  </si>
  <si>
    <t>Prov. CPP s/ 13 Salário</t>
  </si>
  <si>
    <t xml:space="preserve">Despesa Férias + 1/3 </t>
  </si>
  <si>
    <t>Prov. Férias  + 1/3</t>
  </si>
  <si>
    <t>Despesa FGTS s/ Férias + 1/3</t>
  </si>
  <si>
    <t>Despesa INSS (CPP) s/ Férias + 1/3</t>
  </si>
  <si>
    <t>Prov. CPP  s/ Férias + 1/3</t>
  </si>
  <si>
    <t>Prov. FGTS  s/ Férias + 1/3</t>
  </si>
  <si>
    <t>Categoria Vendas</t>
  </si>
  <si>
    <t>Pleno</t>
  </si>
  <si>
    <t>Sênior</t>
  </si>
  <si>
    <t>Func.</t>
  </si>
  <si>
    <t>Isabelle</t>
  </si>
  <si>
    <t>Tributos</t>
  </si>
  <si>
    <t>Rem. Fixa</t>
  </si>
  <si>
    <t>Rem. Var.</t>
  </si>
  <si>
    <t>INSS</t>
  </si>
  <si>
    <t>FGTS</t>
  </si>
  <si>
    <t>CPP</t>
  </si>
  <si>
    <t>13. Sal</t>
  </si>
  <si>
    <t>Férias</t>
  </si>
  <si>
    <t>FTGS</t>
  </si>
  <si>
    <t>Desligado</t>
  </si>
  <si>
    <t>Base</t>
  </si>
  <si>
    <t>André uis</t>
  </si>
  <si>
    <t>Prov. 13 Sal</t>
  </si>
  <si>
    <t>Prov. Férias+1/3</t>
  </si>
  <si>
    <t>FGTS+CPP</t>
  </si>
  <si>
    <t>Gov</t>
  </si>
  <si>
    <t>André</t>
  </si>
  <si>
    <t>FGTS s/ Prov. Férias+1/3</t>
  </si>
  <si>
    <t>DRE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</si>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</sst>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[$$-409]* #,##0.00_ ;_-[$$-409]* \-#,##0.00\ ;_-[$$-409]* &quot;-&quot;??_ ;_-@_ "/>
    <numFmt numFmtId="165" formatCode="_-* #,##0_-;\-* #,##0_-;_-* &quot;-&quot;??_-;_-@_-"/>
    <numFmt numFmtId="166" formatCode="_-[$R$-416]\ * #,##0.00_-;\-[$R$-416]\ * #,##0.00_-;_-[$R$-416]\ * &quot;-&quot;??_-;_-@_-"/>
    <numFmt numFmtId="167" formatCode="0.0%"/>
    <numFmt numFmtId="168" formatCode="_-* #,##0.0_-;\-* #,##0.0_-;_-* &quot;-&quot;??_-;_-@_-"/>
    <numFmt numFmtId="17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b/>
      <sz val="8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247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43" fontId="0" fillId="0" borderId="0" xfId="1" applyFont="1"/>
    <xf numFmtId="0" fontId="0" fillId="0" borderId="0" xfId="0" applyFont="1"/>
    <xf numFmtId="164" fontId="6" fillId="0" borderId="0" xfId="1" applyNumberFormat="1" applyFont="1" applyBorder="1"/>
    <xf numFmtId="0" fontId="0" fillId="0" borderId="0" xfId="0" applyFont="1" applyBorder="1"/>
    <xf numFmtId="43" fontId="6" fillId="0" borderId="0" xfId="1" applyFont="1" applyBorder="1"/>
    <xf numFmtId="165" fontId="6" fillId="0" borderId="0" xfId="1" applyNumberFormat="1" applyFont="1" applyBorder="1"/>
    <xf numFmtId="164" fontId="5" fillId="0" borderId="0" xfId="1" applyNumberFormat="1" applyFont="1" applyBorder="1"/>
    <xf numFmtId="0" fontId="0" fillId="0" borderId="0" xfId="0" applyFont="1" applyAlignment="1">
      <alignment horizontal="right"/>
    </xf>
    <xf numFmtId="167" fontId="0" fillId="0" borderId="0" xfId="2" applyNumberFormat="1" applyFont="1"/>
    <xf numFmtId="0" fontId="4" fillId="0" borderId="0" xfId="0" applyFont="1" applyAlignment="1">
      <alignment horizontal="right"/>
    </xf>
    <xf numFmtId="43" fontId="4" fillId="0" borderId="0" xfId="1" applyFont="1"/>
    <xf numFmtId="43" fontId="4" fillId="0" borderId="0" xfId="1" applyFont="1" applyAlignment="1">
      <alignment horizontal="right"/>
    </xf>
    <xf numFmtId="43" fontId="3" fillId="0" borderId="0" xfId="1" applyFont="1"/>
    <xf numFmtId="43" fontId="7" fillId="0" borderId="0" xfId="1" applyFont="1" applyAlignment="1">
      <alignment horizontal="right"/>
    </xf>
    <xf numFmtId="40" fontId="3" fillId="0" borderId="0" xfId="1" applyNumberFormat="1" applyFont="1"/>
    <xf numFmtId="43" fontId="4" fillId="0" borderId="1" xfId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3" fontId="0" fillId="0" borderId="0" xfId="1" applyFont="1" applyBorder="1"/>
    <xf numFmtId="9" fontId="0" fillId="0" borderId="0" xfId="2" applyFont="1" applyBorder="1"/>
    <xf numFmtId="165" fontId="0" fillId="0" borderId="0" xfId="1" applyNumberFormat="1" applyFont="1" applyBorder="1"/>
    <xf numFmtId="43" fontId="4" fillId="0" borderId="1" xfId="1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/>
    <xf numFmtId="167" fontId="0" fillId="0" borderId="0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/>
    </xf>
    <xf numFmtId="43" fontId="2" fillId="3" borderId="2" xfId="1" applyFont="1" applyFill="1" applyBorder="1"/>
    <xf numFmtId="167" fontId="2" fillId="3" borderId="2" xfId="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/>
    <xf numFmtId="0" fontId="5" fillId="0" borderId="1" xfId="0" applyFont="1" applyBorder="1" applyAlignment="1">
      <alignment horizontal="right"/>
    </xf>
    <xf numFmtId="165" fontId="6" fillId="0" borderId="1" xfId="1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9" fontId="6" fillId="0" borderId="0" xfId="2" applyFont="1" applyBorder="1"/>
    <xf numFmtId="43" fontId="5" fillId="0" borderId="1" xfId="1" applyFont="1" applyBorder="1"/>
    <xf numFmtId="0" fontId="12" fillId="0" borderId="0" xfId="0" applyFont="1" applyBorder="1" applyAlignment="1">
      <alignment horizontal="right"/>
    </xf>
    <xf numFmtId="43" fontId="13" fillId="0" borderId="0" xfId="1" applyFont="1" applyBorder="1"/>
    <xf numFmtId="43" fontId="5" fillId="0" borderId="0" xfId="1" applyFont="1" applyBorder="1"/>
    <xf numFmtId="0" fontId="10" fillId="0" borderId="1" xfId="0" applyFont="1" applyBorder="1" applyAlignment="1">
      <alignment horizontal="right"/>
    </xf>
    <xf numFmtId="43" fontId="10" fillId="0" borderId="1" xfId="1" applyFont="1" applyBorder="1"/>
    <xf numFmtId="0" fontId="6" fillId="0" borderId="0" xfId="0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8" fontId="6" fillId="0" borderId="0" xfId="1" applyNumberFormat="1" applyFont="1" applyBorder="1"/>
    <xf numFmtId="9" fontId="5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horizontal="right"/>
    </xf>
    <xf numFmtId="166" fontId="6" fillId="0" borderId="0" xfId="1" applyNumberFormat="1" applyFont="1" applyBorder="1"/>
    <xf numFmtId="9" fontId="13" fillId="0" borderId="0" xfId="2" applyNumberFormat="1" applyFont="1" applyBorder="1"/>
    <xf numFmtId="43" fontId="14" fillId="0" borderId="0" xfId="1" applyFont="1" applyBorder="1" applyAlignment="1">
      <alignment horizontal="center" vertical="center"/>
    </xf>
    <xf numFmtId="167" fontId="14" fillId="0" borderId="0" xfId="2" applyNumberFormat="1" applyFont="1" applyBorder="1" applyAlignment="1">
      <alignment horizontal="center"/>
    </xf>
    <xf numFmtId="43" fontId="14" fillId="0" borderId="1" xfId="1" applyFont="1" applyBorder="1" applyAlignment="1">
      <alignment horizontal="center" vertical="center"/>
    </xf>
    <xf numFmtId="167" fontId="14" fillId="0" borderId="1" xfId="2" applyNumberFormat="1" applyFont="1" applyBorder="1" applyAlignment="1">
      <alignment horizontal="center"/>
    </xf>
    <xf numFmtId="43" fontId="16" fillId="0" borderId="0" xfId="1" applyFont="1" applyBorder="1" applyAlignment="1">
      <alignment horizontal="center" vertical="center"/>
    </xf>
    <xf numFmtId="167" fontId="16" fillId="0" borderId="0" xfId="2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/>
    <xf numFmtId="43" fontId="4" fillId="4" borderId="1" xfId="1" applyFont="1" applyFill="1" applyBorder="1" applyAlignment="1">
      <alignment horizontal="right"/>
    </xf>
    <xf numFmtId="43" fontId="4" fillId="4" borderId="1" xfId="1" applyFont="1" applyFill="1" applyBorder="1"/>
    <xf numFmtId="0" fontId="17" fillId="0" borderId="0" xfId="0" applyFont="1" applyAlignment="1">
      <alignment horizontal="right"/>
    </xf>
    <xf numFmtId="43" fontId="17" fillId="0" borderId="0" xfId="1" applyFont="1" applyAlignment="1">
      <alignment horizontal="right"/>
    </xf>
    <xf numFmtId="0" fontId="7" fillId="0" borderId="0" xfId="0" applyFont="1" applyAlignment="1">
      <alignment horizontal="right"/>
    </xf>
    <xf numFmtId="43" fontId="3" fillId="0" borderId="0" xfId="0" applyNumberFormat="1" applyFont="1"/>
    <xf numFmtId="43" fontId="0" fillId="0" borderId="0" xfId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18" fillId="0" borderId="0" xfId="0" applyFont="1" applyBorder="1" applyAlignment="1">
      <alignment horizontal="left"/>
    </xf>
    <xf numFmtId="10" fontId="0" fillId="0" borderId="0" xfId="0" applyNumberFormat="1" applyFont="1"/>
    <xf numFmtId="43" fontId="7" fillId="0" borderId="0" xfId="0" applyNumberFormat="1" applyFont="1"/>
    <xf numFmtId="0" fontId="23" fillId="0" borderId="0" xfId="0" applyFont="1" applyBorder="1" applyAlignment="1">
      <alignment horizontal="right"/>
    </xf>
    <xf numFmtId="165" fontId="24" fillId="0" borderId="0" xfId="1" applyNumberFormat="1" applyFont="1" applyBorder="1"/>
    <xf numFmtId="9" fontId="24" fillId="0" borderId="0" xfId="2" applyFont="1" applyBorder="1"/>
    <xf numFmtId="168" fontId="24" fillId="0" borderId="0" xfId="1" applyNumberFormat="1" applyFont="1" applyBorder="1"/>
    <xf numFmtId="0" fontId="25" fillId="0" borderId="1" xfId="0" applyFont="1" applyBorder="1" applyAlignment="1">
      <alignment horizontal="right"/>
    </xf>
    <xf numFmtId="43" fontId="25" fillId="0" borderId="1" xfId="1" applyFont="1" applyBorder="1"/>
    <xf numFmtId="0" fontId="24" fillId="0" borderId="0" xfId="0" applyFont="1" applyBorder="1" applyAlignment="1">
      <alignment horizontal="right"/>
    </xf>
    <xf numFmtId="43" fontId="24" fillId="0" borderId="0" xfId="1" applyFont="1" applyBorder="1"/>
    <xf numFmtId="166" fontId="24" fillId="0" borderId="0" xfId="1" applyNumberFormat="1" applyFont="1" applyBorder="1"/>
    <xf numFmtId="165" fontId="24" fillId="0" borderId="0" xfId="1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right"/>
    </xf>
    <xf numFmtId="43" fontId="24" fillId="0" borderId="5" xfId="1" applyFont="1" applyBorder="1" applyAlignment="1">
      <alignment horizontal="center" vertical="center"/>
    </xf>
    <xf numFmtId="0" fontId="23" fillId="0" borderId="6" xfId="0" applyFont="1" applyBorder="1" applyAlignment="1">
      <alignment horizontal="right"/>
    </xf>
    <xf numFmtId="0" fontId="24" fillId="0" borderId="7" xfId="1" applyNumberFormat="1" applyFont="1" applyBorder="1" applyAlignment="1">
      <alignment horizontal="center" vertical="center"/>
    </xf>
    <xf numFmtId="43" fontId="24" fillId="0" borderId="7" xfId="1" applyFont="1" applyBorder="1" applyAlignment="1">
      <alignment horizontal="center" vertical="center"/>
    </xf>
    <xf numFmtId="0" fontId="23" fillId="0" borderId="8" xfId="0" applyFont="1" applyBorder="1" applyAlignment="1">
      <alignment horizontal="right"/>
    </xf>
    <xf numFmtId="43" fontId="24" fillId="0" borderId="9" xfId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right"/>
    </xf>
    <xf numFmtId="10" fontId="0" fillId="0" borderId="5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right"/>
    </xf>
    <xf numFmtId="10" fontId="0" fillId="0" borderId="9" xfId="0" applyNumberFormat="1" applyFont="1" applyBorder="1" applyAlignment="1">
      <alignment horizontal="center" vertical="center"/>
    </xf>
    <xf numFmtId="43" fontId="4" fillId="0" borderId="0" xfId="1" applyFont="1" applyBorder="1"/>
    <xf numFmtId="43" fontId="4" fillId="4" borderId="0" xfId="1" applyFont="1" applyFill="1" applyBorder="1"/>
    <xf numFmtId="0" fontId="26" fillId="0" borderId="0" xfId="0" applyFont="1"/>
    <xf numFmtId="0" fontId="27" fillId="0" borderId="0" xfId="0" applyFont="1"/>
    <xf numFmtId="43" fontId="28" fillId="0" borderId="1" xfId="0" applyNumberFormat="1" applyFont="1" applyBorder="1"/>
    <xf numFmtId="43" fontId="28" fillId="0" borderId="1" xfId="0" applyNumberFormat="1" applyFont="1" applyBorder="1" applyAlignment="1">
      <alignment horizontal="right"/>
    </xf>
    <xf numFmtId="43" fontId="14" fillId="0" borderId="0" xfId="0" applyNumberFormat="1" applyFont="1"/>
    <xf numFmtId="43" fontId="14" fillId="0" borderId="1" xfId="0" applyNumberFormat="1" applyFont="1" applyBorder="1"/>
    <xf numFmtId="43" fontId="28" fillId="0" borderId="0" xfId="0" applyNumberFormat="1" applyFont="1"/>
    <xf numFmtId="0" fontId="20" fillId="2" borderId="3" xfId="0" applyFont="1" applyFill="1" applyBorder="1" applyAlignment="1">
      <alignment horizontal="center" vertical="center" wrapText="1" readingOrder="1"/>
    </xf>
    <xf numFmtId="0" fontId="19" fillId="0" borderId="3" xfId="0" applyFont="1" applyBorder="1" applyAlignment="1">
      <alignment horizontal="center" vertical="center" wrapText="1" readingOrder="1"/>
    </xf>
    <xf numFmtId="43" fontId="2" fillId="3" borderId="10" xfId="1" applyFont="1" applyFill="1" applyBorder="1"/>
    <xf numFmtId="167" fontId="2" fillId="3" borderId="11" xfId="2" applyNumberFormat="1" applyFont="1" applyFill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167" fontId="0" fillId="0" borderId="7" xfId="2" applyNumberFormat="1" applyFont="1" applyBorder="1" applyAlignment="1">
      <alignment horizontal="center"/>
    </xf>
    <xf numFmtId="43" fontId="0" fillId="0" borderId="8" xfId="1" applyFont="1" applyBorder="1" applyAlignment="1">
      <alignment horizontal="center" vertical="center"/>
    </xf>
    <xf numFmtId="167" fontId="0" fillId="0" borderId="9" xfId="2" applyNumberFormat="1" applyFont="1" applyBorder="1" applyAlignment="1">
      <alignment horizontal="center"/>
    </xf>
    <xf numFmtId="43" fontId="29" fillId="3" borderId="2" xfId="1" applyFont="1" applyFill="1" applyBorder="1"/>
    <xf numFmtId="167" fontId="29" fillId="3" borderId="2" xfId="2" applyNumberFormat="1" applyFont="1" applyFill="1" applyBorder="1" applyAlignment="1">
      <alignment horizontal="center"/>
    </xf>
    <xf numFmtId="4" fontId="0" fillId="0" borderId="0" xfId="0" applyNumberFormat="1" applyFont="1"/>
    <xf numFmtId="0" fontId="0" fillId="5" borderId="0" xfId="0" applyFont="1" applyFill="1"/>
    <xf numFmtId="0" fontId="17" fillId="0" borderId="3" xfId="0" applyFont="1" applyBorder="1" applyAlignment="1">
      <alignment horizontal="center" vertical="center" wrapText="1" readingOrder="1"/>
    </xf>
    <xf numFmtId="43" fontId="30" fillId="0" borderId="0" xfId="0" applyNumberFormat="1" applyFont="1"/>
    <xf numFmtId="43" fontId="17" fillId="0" borderId="0" xfId="0" applyNumberFormat="1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7" fontId="0" fillId="0" borderId="0" xfId="0" applyNumberFormat="1"/>
    <xf numFmtId="43" fontId="0" fillId="0" borderId="0" xfId="0" applyNumberFormat="1" applyAlignment="1">
      <alignment horizontal="center" vertical="center"/>
    </xf>
    <xf numFmtId="43" fontId="0" fillId="0" borderId="0" xfId="0" applyNumberFormat="1"/>
    <xf numFmtId="43" fontId="0" fillId="0" borderId="0" xfId="1" applyFont="1" applyFill="1" applyBorder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17" fontId="4" fillId="0" borderId="0" xfId="0" applyNumberFormat="1" applyFont="1"/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/>
    <xf numFmtId="10" fontId="0" fillId="0" borderId="5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9" fontId="0" fillId="0" borderId="0" xfId="2" applyFont="1"/>
    <xf numFmtId="0" fontId="21" fillId="0" borderId="3" xfId="0" applyFont="1" applyBorder="1" applyAlignment="1">
      <alignment horizontal="center" vertical="center" wrapText="1" readingOrder="1"/>
    </xf>
    <xf numFmtId="0" fontId="21" fillId="0" borderId="3" xfId="0" applyFont="1" applyBorder="1" applyAlignment="1">
      <alignment horizontal="center" vertical="center" readingOrder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7" fontId="31" fillId="0" borderId="0" xfId="0" applyNumberFormat="1" applyFont="1"/>
    <xf numFmtId="0" fontId="31" fillId="0" borderId="0" xfId="0" applyFont="1"/>
    <xf numFmtId="43" fontId="31" fillId="0" borderId="0" xfId="0" applyNumberFormat="1" applyFont="1" applyAlignment="1">
      <alignment horizontal="center" vertical="center"/>
    </xf>
    <xf numFmtId="43" fontId="31" fillId="0" borderId="0" xfId="0" applyNumberFormat="1" applyFont="1"/>
    <xf numFmtId="43" fontId="29" fillId="3" borderId="10" xfId="1" applyFont="1" applyFill="1" applyBorder="1" applyAlignment="1">
      <alignment horizontal="center" vertical="center"/>
    </xf>
    <xf numFmtId="167" fontId="29" fillId="3" borderId="11" xfId="2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readingOrder="1"/>
    </xf>
    <xf numFmtId="43" fontId="25" fillId="0" borderId="0" xfId="1" applyFont="1"/>
    <xf numFmtId="43" fontId="17" fillId="0" borderId="0" xfId="1" applyFont="1"/>
    <xf numFmtId="43" fontId="17" fillId="6" borderId="0" xfId="1" applyFont="1" applyFill="1"/>
    <xf numFmtId="43" fontId="32" fillId="6" borderId="0" xfId="1" applyFont="1" applyFill="1"/>
    <xf numFmtId="43" fontId="25" fillId="6" borderId="0" xfId="1" applyFont="1" applyFill="1"/>
    <xf numFmtId="43" fontId="17" fillId="7" borderId="6" xfId="1" applyFont="1" applyFill="1" applyBorder="1" applyAlignment="1">
      <alignment horizontal="center" vertical="center"/>
    </xf>
    <xf numFmtId="167" fontId="17" fillId="7" borderId="7" xfId="2" applyNumberFormat="1" applyFont="1" applyFill="1" applyBorder="1" applyAlignment="1">
      <alignment horizontal="center"/>
    </xf>
    <xf numFmtId="0" fontId="7" fillId="0" borderId="0" xfId="0" applyFont="1"/>
    <xf numFmtId="17" fontId="7" fillId="0" borderId="0" xfId="0" applyNumberFormat="1" applyFo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43" fontId="31" fillId="0" borderId="14" xfId="0" applyNumberFormat="1" applyFont="1" applyBorder="1" applyAlignment="1">
      <alignment horizontal="center" vertical="center"/>
    </xf>
    <xf numFmtId="43" fontId="31" fillId="0" borderId="15" xfId="0" applyNumberFormat="1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43" fontId="0" fillId="0" borderId="18" xfId="1" applyFont="1" applyBorder="1"/>
    <xf numFmtId="0" fontId="0" fillId="0" borderId="18" xfId="0" applyBorder="1"/>
    <xf numFmtId="43" fontId="4" fillId="0" borderId="18" xfId="0" applyNumberFormat="1" applyFont="1" applyBorder="1" applyAlignment="1">
      <alignment horizontal="center" vertical="center"/>
    </xf>
    <xf numFmtId="43" fontId="4" fillId="0" borderId="18" xfId="0" applyNumberFormat="1" applyFont="1" applyBorder="1"/>
    <xf numFmtId="0" fontId="4" fillId="4" borderId="3" xfId="0" applyFont="1" applyFill="1" applyBorder="1"/>
    <xf numFmtId="0" fontId="0" fillId="4" borderId="3" xfId="0" applyFill="1" applyBorder="1"/>
    <xf numFmtId="43" fontId="7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left" vertical="center" indent="5"/>
    </xf>
    <xf numFmtId="4" fontId="19" fillId="0" borderId="3" xfId="0" applyNumberFormat="1" applyFont="1" applyBorder="1" applyAlignment="1">
      <alignment horizontal="center" vertical="center" wrapText="1" readingOrder="1"/>
    </xf>
    <xf numFmtId="174" fontId="0" fillId="0" borderId="0" xfId="0" applyNumberFormat="1" applyFont="1"/>
    <xf numFmtId="43" fontId="25" fillId="0" borderId="0" xfId="1" applyFont="1" applyAlignment="1">
      <alignment horizontal="right"/>
    </xf>
    <xf numFmtId="43" fontId="33" fillId="0" borderId="0" xfId="0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597647</xdr:colOff>
      <xdr:row>11</xdr:row>
      <xdr:rowOff>181185</xdr:rowOff>
    </xdr:from>
    <xdr:to>
      <xdr:col>12</xdr:col>
      <xdr:colOff>224116</xdr:colOff>
      <xdr:row>27</xdr:row>
      <xdr:rowOff>18335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F9C073B-1C73-4315-BD94-D5026241DE83}"/>
            </a:ext>
          </a:extLst>
        </xdr:cNvPr>
        <xdr:cNvSpPr txBox="1"/>
      </xdr:nvSpPr>
      <xdr:spPr>
        <a:xfrm>
          <a:off x="7478059" y="2235597"/>
          <a:ext cx="5617881" cy="28253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Quanto às faltas</a:t>
          </a:r>
          <a:endParaRPr lang="pt-BR" sz="1100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ponto de partida é o mesmo: acha-se o valor da hora de trabalho multiplica-se pelo número de horas de atraso achando-se o valor das "faltas e atrasos". </a:t>
          </a:r>
        </a:p>
        <a:p>
          <a:pPr rtl="0" eaLnBrk="1" latinLnBrk="0" hangingPunct="1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Desconta-se o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em virtude das faltas e/ou atrasos.</a:t>
          </a:r>
          <a:endParaRPr lang="pt-BR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DSR é descontado de acordo com a Lei n. 605 de 05/01/1949, artigo 6. que diz:</a:t>
          </a:r>
          <a:endParaRPr lang="pt-BR">
            <a:effectLst/>
          </a:endParaRPr>
        </a:p>
        <a:p>
          <a:pPr rtl="0" eaLnBrk="1" latinLnBrk="0" hangingPunct="1"/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"Não será devido a remuneração( do DSR) quando, sem motivo justificado, o empregado não tiver </a:t>
          </a:r>
          <a:r>
            <a:rPr lang="pt-BR" sz="1100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trabalhado durante toda a semana anterior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cumprindo integralmente o seu horário de trabalho.“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seja falta ou atrasa numa semana perde o DSR da semana. Se as faltas e atrasos forem em duas semanas diferentes do mês, perde dois DSRs e assim por diante.</a:t>
          </a:r>
          <a:endParaRPr lang="pt-BR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 regra não faz distinção entre </a:t>
          </a:r>
          <a:r>
            <a:rPr lang="pt-BR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horista e mensalista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 eaLnBrk="1" latinLnBrk="0" hangingPunct="1"/>
          <a:endParaRPr lang="pt-BR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do Operário Manoel o atraso se deu numa única semana, </a:t>
          </a:r>
          <a:r>
            <a:rPr lang="pt-BR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portanto perdeu um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sendo o valor do DSR 1/30 do salário mais o adicional, ou seja: total [1.149,50] / 30 dias = 38,32 reais de desconto.</a:t>
          </a:r>
          <a:endParaRPr lang="pt-BR">
            <a:effectLst/>
          </a:endParaRP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339913</xdr:colOff>
      <xdr:row>20</xdr:row>
      <xdr:rowOff>12792</xdr:rowOff>
    </xdr:from>
    <xdr:to>
      <xdr:col>22</xdr:col>
      <xdr:colOff>94326</xdr:colOff>
      <xdr:row>35</xdr:row>
      <xdr:rowOff>6086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D76E4FE-9A8F-4C72-A631-662CF3CBCC2F}"/>
            </a:ext>
          </a:extLst>
        </xdr:cNvPr>
        <xdr:cNvSpPr txBox="1"/>
      </xdr:nvSpPr>
      <xdr:spPr>
        <a:xfrm>
          <a:off x="15974520" y="3550649"/>
          <a:ext cx="5142842" cy="27555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Quanto às faltas</a:t>
          </a:r>
          <a:endParaRPr lang="pt-BR" sz="1100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ponto de partida é o mesmo: acha-se o valor da hora de trabalho multiplica-se pelo número de horas de atraso achando-se o valor das "faltas e atrasos". </a:t>
          </a:r>
        </a:p>
        <a:p>
          <a:pPr rtl="0" eaLnBrk="1" latinLnBrk="0" hangingPunct="1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Desconta-se o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em virtude das faltas e/ou atrasos.</a:t>
          </a:r>
          <a:endParaRPr lang="pt-BR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DSR é descontado de acordo com a Lei n. 605 de 05/01/1949, artigo 6. que diz:</a:t>
          </a:r>
          <a:endParaRPr lang="pt-BR">
            <a:effectLst/>
          </a:endParaRPr>
        </a:p>
        <a:p>
          <a:pPr rtl="0" eaLnBrk="1" latinLnBrk="0" hangingPunct="1"/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"Não será devido a remuneração( do DSR) quando, sem motivo justificado, o empregado não tiver </a:t>
          </a:r>
          <a:r>
            <a:rPr lang="pt-BR" sz="1100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trabalhado durante toda a semana anterior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cumprindo integralmente o seu horário de trabalho.“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seja falta ou atrasa numa semana perde o DSR da semana. Se as faltas e atrasos forem em duas semanas diferentes do mês, perde dois DSRs e assim por diante.</a:t>
          </a:r>
          <a:endParaRPr lang="pt-BR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 regra não faz distinção entre </a:t>
          </a:r>
          <a:r>
            <a:rPr lang="pt-BR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horista e mensalista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 eaLnBrk="1" latinLnBrk="0" hangingPunct="1"/>
          <a:endParaRPr lang="pt-BR">
            <a:effectLst/>
          </a:endParaRPr>
        </a:p>
        <a:p>
          <a:pPr rtl="0" eaLnBrk="1" latinLnBrk="0" hangingPunct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do Operário Manoel o atraso se deu numa única semana, </a:t>
          </a:r>
          <a:r>
            <a:rPr lang="pt-BR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portanto perdeu um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sendo o valor do DSR 1/30 do salário mais o adicional, ou seja: total [1.149,50] / 30 dias = 38,32 reais de desconto.</a:t>
          </a:r>
          <a:endParaRPr lang="pt-BR">
            <a:effectLst/>
          </a:endParaRPr>
        </a:p>
        <a:p>
          <a:endParaRPr lang="pt-BR" sz="1100"/>
        </a:p>
      </xdr:txBody>
    </xdr:sp>
    <xdr:clientData/>
  </xdr:twoCellAnchor>
  <xdr:twoCellAnchor>
    <xdr:from>
      <xdr:col>13</xdr:col>
      <xdr:colOff>144659</xdr:colOff>
      <xdr:row>37</xdr:row>
      <xdr:rowOff>22412</xdr:rowOff>
    </xdr:from>
    <xdr:to>
      <xdr:col>19</xdr:col>
      <xdr:colOff>213798</xdr:colOff>
      <xdr:row>51</xdr:row>
      <xdr:rowOff>38977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BF820FC-F52E-4FB1-88EF-14538C3CEE47}"/>
            </a:ext>
          </a:extLst>
        </xdr:cNvPr>
        <xdr:cNvSpPr txBox="1"/>
      </xdr:nvSpPr>
      <xdr:spPr>
        <a:xfrm>
          <a:off x="15754453" y="6745941"/>
          <a:ext cx="6691816" cy="2526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funcionário João Miguel ocupa o cargo gerente com registro em carteira, de acordo com DECRETO-LEI N.º 5.452, DE 1º DE MAIO DE 1943 – Consolidação das Leis do Trabalho: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Salário mensal: R$ 8.358,00</a:t>
          </a: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 dependente menor de 21 anos;</a:t>
          </a: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 dependente menor de 18 anos;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Outras Informações: </a:t>
          </a: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Horas extras: 20 horas; sendo 15 horas com fator de acréscimo de 50% e 5 horas com 100%.</a:t>
          </a: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 horas de atraso (1ª semana) </a:t>
          </a: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 faltas (na 3ª. semana, na mesma semana do feriado); </a:t>
          </a:r>
        </a:p>
        <a:p>
          <a:pPr lvl="1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mês teve 25 dias úteis (4 domingos + 1 feriado); </a:t>
          </a:r>
        </a:p>
        <a:p>
          <a:endParaRPr lang="pt-BR" sz="1100"/>
        </a:p>
      </xdr:txBody>
    </xdr:sp>
    <xdr:clientData/>
  </xdr:twoCellAnchor>
  <xdr:twoCellAnchor>
    <xdr:from>
      <xdr:col>6</xdr:col>
      <xdr:colOff>929640</xdr:colOff>
      <xdr:row>6</xdr:row>
      <xdr:rowOff>0</xdr:rowOff>
    </xdr:from>
    <xdr:to>
      <xdr:col>9</xdr:col>
      <xdr:colOff>1630680</xdr:colOff>
      <xdr:row>9</xdr:row>
      <xdr:rowOff>83820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ECA290FE-0A83-464B-BC0E-3D294C65A2F8}"/>
            </a:ext>
          </a:extLst>
        </xdr:cNvPr>
        <xdr:cNvCxnSpPr/>
      </xdr:nvCxnSpPr>
      <xdr:spPr>
        <a:xfrm flipV="1">
          <a:off x="8077200" y="1097280"/>
          <a:ext cx="1958340" cy="632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</xdr:colOff>
      <xdr:row>6</xdr:row>
      <xdr:rowOff>152400</xdr:rowOff>
    </xdr:from>
    <xdr:to>
      <xdr:col>9</xdr:col>
      <xdr:colOff>1783080</xdr:colOff>
      <xdr:row>10</xdr:row>
      <xdr:rowOff>53340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FDA75BBD-DAAC-4142-AC7D-C6620D21954B}"/>
            </a:ext>
          </a:extLst>
        </xdr:cNvPr>
        <xdr:cNvCxnSpPr/>
      </xdr:nvCxnSpPr>
      <xdr:spPr>
        <a:xfrm flipV="1">
          <a:off x="8229600" y="1249680"/>
          <a:ext cx="1958340" cy="632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922020</xdr:colOff>
      <xdr:row>13</xdr:row>
      <xdr:rowOff>106680</xdr:rowOff>
    </xdr:from>
    <xdr:to>
      <xdr:col>10</xdr:col>
      <xdr:colOff>281940</xdr:colOff>
      <xdr:row>15</xdr:row>
      <xdr:rowOff>45720</xdr:rowOff>
    </xdr:to>
    <xdr:cxnSp macro="">
      <xdr:nvCxnSpPr>
        <xdr:cNvPr id="7" name="Conector de Seta Reta 6">
          <a:extLst>
            <a:ext uri="{FF2B5EF4-FFF2-40B4-BE49-F238E27FC236}">
              <a16:creationId xmlns:a16="http://schemas.microsoft.com/office/drawing/2014/main" id="{5840043B-20D5-453B-A82E-A38A06B9CC1F}"/>
            </a:ext>
          </a:extLst>
        </xdr:cNvPr>
        <xdr:cNvCxnSpPr/>
      </xdr:nvCxnSpPr>
      <xdr:spPr>
        <a:xfrm flipV="1">
          <a:off x="8069580" y="2484120"/>
          <a:ext cx="303276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16CF7-DFDD-43A5-91C0-28CB2ADD0E2A}">
  <dimension ref="B1:G35"/>
  <sheetViews>
    <sheetView showGridLines="0" zoomScale="115" zoomScaleNormal="115" workbookViewId="0">
      <selection activeCell="I14" sqref="I14"/>
    </sheetView>
  </sheetViews>
  <sheetFormatPr defaultColWidth="8.77734375" defaultRowHeight="10.199999999999999" x14ac:dyDescent="0.2"/>
  <cols>
    <col min="1" max="1" width="8.77734375" style="35"/>
    <col min="2" max="2" width="23" style="33" customWidth="1"/>
    <col min="3" max="3" width="8.33203125" style="5" customWidth="1"/>
    <col min="4" max="4" width="3.33203125" style="5" customWidth="1"/>
    <col min="5" max="5" width="2.44140625" style="5" bestFit="1" customWidth="1"/>
    <col min="6" max="6" width="22.33203125" style="33" bestFit="1" customWidth="1"/>
    <col min="7" max="7" width="10.109375" style="5" bestFit="1" customWidth="1"/>
    <col min="8" max="8" width="4.77734375" style="35" customWidth="1"/>
    <col min="9" max="9" width="24.77734375" style="35" bestFit="1" customWidth="1"/>
    <col min="10" max="10" width="11.6640625" style="35" bestFit="1" customWidth="1"/>
    <col min="11" max="16384" width="8.77734375" style="35"/>
  </cols>
  <sheetData>
    <row r="1" spans="2:7" x14ac:dyDescent="0.2">
      <c r="B1" s="33" t="s">
        <v>6</v>
      </c>
      <c r="C1" s="34" t="s">
        <v>31</v>
      </c>
    </row>
    <row r="2" spans="2:7" x14ac:dyDescent="0.2">
      <c r="B2" s="33" t="s">
        <v>37</v>
      </c>
      <c r="C2" s="34">
        <v>27</v>
      </c>
      <c r="D2" s="6"/>
      <c r="E2" s="6"/>
      <c r="F2" s="33" t="s">
        <v>30</v>
      </c>
      <c r="G2" s="5">
        <f>C5</f>
        <v>1045</v>
      </c>
    </row>
    <row r="3" spans="2:7" x14ac:dyDescent="0.2">
      <c r="B3" s="36" t="s">
        <v>38</v>
      </c>
      <c r="C3" s="37">
        <v>4</v>
      </c>
      <c r="D3" s="6"/>
      <c r="E3" s="6"/>
      <c r="F3" s="38" t="str">
        <f>B7</f>
        <v>Valor do Adicional de Insalubridade</v>
      </c>
      <c r="G3" s="39">
        <f>C7</f>
        <v>104.5</v>
      </c>
    </row>
    <row r="4" spans="2:7" x14ac:dyDescent="0.2">
      <c r="C4" s="5">
        <v>31</v>
      </c>
      <c r="D4" s="5" t="s">
        <v>48</v>
      </c>
      <c r="F4" s="40" t="str">
        <f>B17</f>
        <v>Valor da H.E x Vr$ Hora</v>
      </c>
      <c r="G4" s="52">
        <f>C17</f>
        <v>167.2</v>
      </c>
    </row>
    <row r="5" spans="2:7" x14ac:dyDescent="0.2">
      <c r="B5" s="33" t="s">
        <v>7</v>
      </c>
      <c r="C5" s="5">
        <v>1045</v>
      </c>
      <c r="D5" s="3"/>
      <c r="F5" s="38" t="str">
        <f>B24</f>
        <v>Valor do Reflexo H.E. s/ o DSR</v>
      </c>
      <c r="G5" s="39">
        <f>C24</f>
        <v>24.770370370370369</v>
      </c>
    </row>
    <row r="6" spans="2:7" x14ac:dyDescent="0.2">
      <c r="B6" s="43" t="s">
        <v>8</v>
      </c>
      <c r="C6" s="54">
        <v>0.1</v>
      </c>
      <c r="D6" s="41"/>
      <c r="F6" s="36" t="s">
        <v>5</v>
      </c>
      <c r="G6" s="42">
        <f>SUM(G2:G5)</f>
        <v>1341.4703703703703</v>
      </c>
    </row>
    <row r="7" spans="2:7" x14ac:dyDescent="0.2">
      <c r="B7" s="33" t="s">
        <v>9</v>
      </c>
      <c r="C7" s="5">
        <v>104.5</v>
      </c>
      <c r="D7" s="3"/>
    </row>
    <row r="8" spans="2:7" x14ac:dyDescent="0.2">
      <c r="B8" s="36" t="s">
        <v>10</v>
      </c>
      <c r="C8" s="42">
        <v>1149.5</v>
      </c>
      <c r="D8" s="7"/>
      <c r="E8" s="41" t="s">
        <v>49</v>
      </c>
      <c r="F8" s="33" t="s">
        <v>15</v>
      </c>
      <c r="G8" s="5">
        <v>0</v>
      </c>
    </row>
    <row r="9" spans="2:7" x14ac:dyDescent="0.2">
      <c r="F9" s="33" t="s">
        <v>14</v>
      </c>
      <c r="G9" s="5">
        <f>G6+G8</f>
        <v>1341.4703703703703</v>
      </c>
    </row>
    <row r="10" spans="2:7" x14ac:dyDescent="0.2">
      <c r="B10" s="33" t="str">
        <f>B5</f>
        <v>Salário (mês)</v>
      </c>
      <c r="C10" s="5">
        <f>C8</f>
        <v>1149.5</v>
      </c>
      <c r="F10" s="33" t="s">
        <v>16</v>
      </c>
      <c r="G10" s="41">
        <v>0.09</v>
      </c>
    </row>
    <row r="11" spans="2:7" x14ac:dyDescent="0.2">
      <c r="B11" s="33" t="s">
        <v>0</v>
      </c>
      <c r="C11" s="6">
        <v>220</v>
      </c>
      <c r="D11" s="3"/>
      <c r="E11" s="41" t="s">
        <v>21</v>
      </c>
      <c r="F11" s="43" t="s">
        <v>17</v>
      </c>
      <c r="G11" s="44">
        <f>G9*G10</f>
        <v>120.73233333333333</v>
      </c>
    </row>
    <row r="12" spans="2:7" x14ac:dyDescent="0.2">
      <c r="B12" s="36" t="s">
        <v>4</v>
      </c>
      <c r="C12" s="42">
        <f>C10/C11</f>
        <v>5.2249999999999996</v>
      </c>
      <c r="D12" s="6"/>
      <c r="F12" s="36" t="s">
        <v>18</v>
      </c>
      <c r="G12" s="42">
        <f>G9-G11</f>
        <v>1220.738037037037</v>
      </c>
    </row>
    <row r="13" spans="2:7" x14ac:dyDescent="0.2">
      <c r="D13" s="7"/>
    </row>
    <row r="14" spans="2:7" x14ac:dyDescent="0.2">
      <c r="B14" s="33" t="s">
        <v>1</v>
      </c>
      <c r="C14" s="6">
        <v>16</v>
      </c>
      <c r="E14" s="35"/>
    </row>
    <row r="15" spans="2:7" x14ac:dyDescent="0.2">
      <c r="B15" s="33" t="s">
        <v>2</v>
      </c>
      <c r="C15" s="41">
        <v>1</v>
      </c>
      <c r="D15" s="6"/>
      <c r="E15" s="35"/>
    </row>
    <row r="16" spans="2:7" x14ac:dyDescent="0.2">
      <c r="B16" s="33" t="s">
        <v>3</v>
      </c>
      <c r="C16" s="6">
        <f>C14*2</f>
        <v>32</v>
      </c>
      <c r="D16" s="41"/>
      <c r="E16" s="35"/>
      <c r="F16" s="115" t="s">
        <v>27</v>
      </c>
      <c r="G16" s="116" t="s">
        <v>28</v>
      </c>
    </row>
    <row r="17" spans="2:7" ht="12" x14ac:dyDescent="0.25">
      <c r="B17" s="46" t="s">
        <v>11</v>
      </c>
      <c r="C17" s="47">
        <f>C12*C16</f>
        <v>167.2</v>
      </c>
      <c r="D17" s="6"/>
      <c r="E17" s="35"/>
      <c r="F17" s="55" t="s">
        <v>29</v>
      </c>
      <c r="G17" s="56">
        <v>7.4999999999999997E-2</v>
      </c>
    </row>
    <row r="18" spans="2:7" ht="12" x14ac:dyDescent="0.25">
      <c r="B18" s="48"/>
      <c r="D18" s="7"/>
      <c r="E18" s="35"/>
      <c r="F18" s="59" t="s">
        <v>52</v>
      </c>
      <c r="G18" s="60">
        <v>0.09</v>
      </c>
    </row>
    <row r="19" spans="2:7" ht="12" x14ac:dyDescent="0.25">
      <c r="B19" s="33" t="s">
        <v>77</v>
      </c>
      <c r="F19" s="55" t="s">
        <v>50</v>
      </c>
      <c r="G19" s="56">
        <v>0.12</v>
      </c>
    </row>
    <row r="20" spans="2:7" ht="12" x14ac:dyDescent="0.25">
      <c r="B20" s="33" t="s">
        <v>11</v>
      </c>
      <c r="C20" s="5">
        <f>C17</f>
        <v>167.2</v>
      </c>
      <c r="F20" s="57" t="s">
        <v>51</v>
      </c>
      <c r="G20" s="58">
        <v>0.14000000000000001</v>
      </c>
    </row>
    <row r="21" spans="2:7" x14ac:dyDescent="0.2">
      <c r="B21" s="33" t="s">
        <v>12</v>
      </c>
      <c r="C21" s="6">
        <v>27</v>
      </c>
      <c r="D21" s="3"/>
    </row>
    <row r="22" spans="2:7" x14ac:dyDescent="0.2">
      <c r="B22" s="33" t="s">
        <v>13</v>
      </c>
      <c r="C22" s="53">
        <f>C20/C21</f>
        <v>6.1925925925925922</v>
      </c>
      <c r="D22" s="6"/>
    </row>
    <row r="23" spans="2:7" x14ac:dyDescent="0.2">
      <c r="B23" s="33" t="s">
        <v>76</v>
      </c>
      <c r="C23" s="49">
        <f>C3</f>
        <v>4</v>
      </c>
      <c r="D23" s="3"/>
    </row>
    <row r="24" spans="2:7" x14ac:dyDescent="0.2">
      <c r="B24" s="46" t="s">
        <v>78</v>
      </c>
      <c r="C24" s="47">
        <f>C22*C23</f>
        <v>24.770370370370369</v>
      </c>
      <c r="D24" s="48"/>
    </row>
    <row r="25" spans="2:7" x14ac:dyDescent="0.2">
      <c r="D25" s="7"/>
    </row>
    <row r="26" spans="2:7" x14ac:dyDescent="0.2">
      <c r="C26" s="45"/>
    </row>
    <row r="27" spans="2:7" x14ac:dyDescent="0.2">
      <c r="D27" s="7"/>
      <c r="E27" s="35"/>
    </row>
    <row r="28" spans="2:7" x14ac:dyDescent="0.2">
      <c r="B28" s="73" t="s">
        <v>81</v>
      </c>
    </row>
    <row r="29" spans="2:7" x14ac:dyDescent="0.2">
      <c r="B29" s="33" t="s">
        <v>39</v>
      </c>
      <c r="C29" s="5" t="s">
        <v>40</v>
      </c>
    </row>
    <row r="30" spans="2:7" x14ac:dyDescent="0.2">
      <c r="B30" s="33" t="s">
        <v>41</v>
      </c>
      <c r="C30" s="50">
        <v>5.5</v>
      </c>
    </row>
    <row r="31" spans="2:7" x14ac:dyDescent="0.2">
      <c r="B31" s="33" t="s">
        <v>42</v>
      </c>
      <c r="C31" s="5" t="s">
        <v>43</v>
      </c>
    </row>
    <row r="32" spans="2:7" x14ac:dyDescent="0.2">
      <c r="B32" s="33" t="s">
        <v>44</v>
      </c>
      <c r="C32" s="5" t="s">
        <v>45</v>
      </c>
    </row>
    <row r="34" spans="2:3" x14ac:dyDescent="0.2">
      <c r="B34" s="51">
        <v>1</v>
      </c>
      <c r="C34" s="5" t="s">
        <v>46</v>
      </c>
    </row>
    <row r="35" spans="2:3" x14ac:dyDescent="0.2">
      <c r="B35" s="51">
        <v>0.5</v>
      </c>
      <c r="C35" s="5" t="s">
        <v>47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4BB50-D719-43ED-9F95-41BD745970B2}">
  <dimension ref="B3:J34"/>
  <sheetViews>
    <sheetView showGridLines="0" zoomScale="85" zoomScaleNormal="85" workbookViewId="0">
      <selection activeCell="I3" sqref="I3:J7"/>
    </sheetView>
  </sheetViews>
  <sheetFormatPr defaultColWidth="8.77734375" defaultRowHeight="14.4" x14ac:dyDescent="0.3"/>
  <cols>
    <col min="1" max="1" width="8.77734375" style="2"/>
    <col min="2" max="2" width="30.88671875" style="8" bestFit="1" customWidth="1"/>
    <col min="3" max="3" width="9.77734375" style="2" bestFit="1" customWidth="1"/>
    <col min="4" max="4" width="3.6640625" style="2" customWidth="1"/>
    <col min="5" max="5" width="4.33203125" style="2" bestFit="1" customWidth="1"/>
    <col min="6" max="6" width="31.33203125" style="2" bestFit="1" customWidth="1"/>
    <col min="7" max="7" width="9.77734375" style="2" bestFit="1" customWidth="1"/>
    <col min="8" max="8" width="8.77734375" style="2"/>
    <col min="9" max="9" width="28.77734375" style="2" bestFit="1" customWidth="1"/>
    <col min="10" max="10" width="15.44140625" style="2" bestFit="1" customWidth="1"/>
    <col min="11" max="11" width="23.88671875" style="2" customWidth="1"/>
    <col min="12" max="16384" width="8.77734375" style="2"/>
  </cols>
  <sheetData>
    <row r="3" spans="2:10" x14ac:dyDescent="0.3">
      <c r="B3" s="17" t="s">
        <v>6</v>
      </c>
      <c r="C3" s="23" t="s">
        <v>19</v>
      </c>
      <c r="E3" s="1"/>
      <c r="F3" s="12" t="str">
        <f>B13</f>
        <v>Salário (mês)</v>
      </c>
      <c r="G3" s="11">
        <f>C13</f>
        <v>1149.5</v>
      </c>
      <c r="I3" s="31" t="s">
        <v>27</v>
      </c>
      <c r="J3" s="32" t="s">
        <v>28</v>
      </c>
    </row>
    <row r="4" spans="2:10" x14ac:dyDescent="0.3">
      <c r="B4" s="17" t="s">
        <v>24</v>
      </c>
      <c r="C4" s="23">
        <v>27</v>
      </c>
      <c r="E4" s="13" t="s">
        <v>21</v>
      </c>
      <c r="F4" s="14" t="str">
        <f>B19</f>
        <v>Valor dos Descontos pelos Atrasos</v>
      </c>
      <c r="G4" s="15">
        <f>-C19</f>
        <v>-10.45</v>
      </c>
      <c r="I4" s="28" t="s">
        <v>29</v>
      </c>
      <c r="J4" s="27">
        <v>7.4999999999999997E-2</v>
      </c>
    </row>
    <row r="5" spans="2:10" x14ac:dyDescent="0.3">
      <c r="B5" s="62" t="s">
        <v>25</v>
      </c>
      <c r="C5" s="63">
        <v>4</v>
      </c>
      <c r="E5" s="13" t="s">
        <v>21</v>
      </c>
      <c r="F5" s="14" t="s">
        <v>22</v>
      </c>
      <c r="G5" s="15">
        <f>-C23</f>
        <v>-38.31666666666667</v>
      </c>
      <c r="I5" s="28" t="s">
        <v>32</v>
      </c>
      <c r="J5" s="27">
        <v>0.09</v>
      </c>
    </row>
    <row r="6" spans="2:10" x14ac:dyDescent="0.3">
      <c r="B6" s="18" t="s">
        <v>53</v>
      </c>
      <c r="C6" s="24">
        <v>2</v>
      </c>
      <c r="E6" s="1"/>
      <c r="F6" s="16" t="s">
        <v>26</v>
      </c>
      <c r="G6" s="22">
        <f>SUM(G3:G5)</f>
        <v>1100.7333333333333</v>
      </c>
      <c r="I6" s="28" t="s">
        <v>33</v>
      </c>
      <c r="J6" s="27">
        <v>0.12</v>
      </c>
    </row>
    <row r="7" spans="2:10" x14ac:dyDescent="0.3">
      <c r="B7" s="10"/>
      <c r="E7" s="1" t="s">
        <v>49</v>
      </c>
      <c r="F7" s="12" t="s">
        <v>15</v>
      </c>
      <c r="G7" s="1">
        <v>0</v>
      </c>
      <c r="I7" s="29" t="s">
        <v>34</v>
      </c>
      <c r="J7" s="30">
        <v>0.14000000000000001</v>
      </c>
    </row>
    <row r="8" spans="2:10" x14ac:dyDescent="0.3">
      <c r="B8" s="17" t="s">
        <v>7</v>
      </c>
      <c r="C8" s="19">
        <v>1045</v>
      </c>
      <c r="E8" s="1"/>
      <c r="F8" s="12" t="s">
        <v>14</v>
      </c>
      <c r="G8" s="1">
        <f>G6+G7</f>
        <v>1100.7333333333333</v>
      </c>
      <c r="I8" s="19"/>
      <c r="J8" s="19"/>
    </row>
    <row r="9" spans="2:10" x14ac:dyDescent="0.3">
      <c r="B9" s="17" t="s">
        <v>8</v>
      </c>
      <c r="C9" s="20">
        <v>0.1</v>
      </c>
      <c r="E9" s="1"/>
      <c r="F9" s="12" t="s">
        <v>23</v>
      </c>
      <c r="G9" s="9">
        <f>J5</f>
        <v>0.09</v>
      </c>
    </row>
    <row r="10" spans="2:10" x14ac:dyDescent="0.3">
      <c r="B10" s="17" t="s">
        <v>9</v>
      </c>
      <c r="C10" s="19">
        <v>104.5</v>
      </c>
      <c r="E10" s="1" t="s">
        <v>21</v>
      </c>
      <c r="F10" s="14" t="s">
        <v>17</v>
      </c>
      <c r="G10" s="13">
        <f>-G8*G9</f>
        <v>-99.066000000000003</v>
      </c>
    </row>
    <row r="11" spans="2:10" x14ac:dyDescent="0.3">
      <c r="B11" s="18" t="s">
        <v>10</v>
      </c>
      <c r="C11" s="22">
        <v>1149.5</v>
      </c>
      <c r="E11" s="1"/>
      <c r="F11" s="16" t="s">
        <v>18</v>
      </c>
      <c r="G11" s="22">
        <f>G8+G10</f>
        <v>1001.6673333333333</v>
      </c>
    </row>
    <row r="12" spans="2:10" x14ac:dyDescent="0.3">
      <c r="B12" s="10"/>
      <c r="C12" s="1"/>
    </row>
    <row r="13" spans="2:10" x14ac:dyDescent="0.3">
      <c r="B13" s="17" t="str">
        <f>B8</f>
        <v>Salário (mês)</v>
      </c>
      <c r="C13" s="19">
        <f>C11</f>
        <v>1149.5</v>
      </c>
    </row>
    <row r="14" spans="2:10" x14ac:dyDescent="0.3">
      <c r="B14" s="17" t="s">
        <v>0</v>
      </c>
      <c r="C14" s="21">
        <v>220</v>
      </c>
    </row>
    <row r="15" spans="2:10" x14ac:dyDescent="0.3">
      <c r="B15" s="18" t="s">
        <v>4</v>
      </c>
      <c r="C15" s="22">
        <f>C13/C14</f>
        <v>5.2249999999999996</v>
      </c>
    </row>
    <row r="16" spans="2:10" x14ac:dyDescent="0.3">
      <c r="B16" s="10"/>
      <c r="C16" s="1"/>
    </row>
    <row r="17" spans="2:7" x14ac:dyDescent="0.3">
      <c r="B17" s="17" t="s">
        <v>54</v>
      </c>
      <c r="C17" s="21">
        <f>C6</f>
        <v>2</v>
      </c>
    </row>
    <row r="18" spans="2:7" x14ac:dyDescent="0.3">
      <c r="B18" s="17" t="str">
        <f>B15</f>
        <v>Valor da Hora Mensal</v>
      </c>
      <c r="C18" s="19">
        <f>C15</f>
        <v>5.2249999999999996</v>
      </c>
    </row>
    <row r="19" spans="2:7" x14ac:dyDescent="0.3">
      <c r="B19" s="25" t="s">
        <v>35</v>
      </c>
      <c r="C19" s="26">
        <f>C17*C18</f>
        <v>10.45</v>
      </c>
    </row>
    <row r="20" spans="2:7" x14ac:dyDescent="0.3">
      <c r="B20" s="10"/>
      <c r="C20" s="1"/>
      <c r="F20" s="33"/>
      <c r="G20" s="5"/>
    </row>
    <row r="21" spans="2:7" x14ac:dyDescent="0.3">
      <c r="B21" s="17" t="str">
        <f>B13</f>
        <v>Salário (mês)</v>
      </c>
      <c r="C21" s="19">
        <f>C11</f>
        <v>1149.5</v>
      </c>
      <c r="F21" s="51"/>
      <c r="G21" s="5"/>
    </row>
    <row r="22" spans="2:7" x14ac:dyDescent="0.3">
      <c r="B22" s="17" t="s">
        <v>20</v>
      </c>
      <c r="C22" s="21">
        <v>30</v>
      </c>
      <c r="F22" s="51"/>
      <c r="G22" s="5"/>
    </row>
    <row r="23" spans="2:7" x14ac:dyDescent="0.3">
      <c r="B23" s="25" t="s">
        <v>36</v>
      </c>
      <c r="C23" s="26">
        <f>C21/C22</f>
        <v>38.31666666666667</v>
      </c>
    </row>
    <row r="26" spans="2:7" x14ac:dyDescent="0.3">
      <c r="B26" s="33" t="s">
        <v>39</v>
      </c>
      <c r="C26" s="5" t="s">
        <v>40</v>
      </c>
    </row>
    <row r="27" spans="2:7" x14ac:dyDescent="0.3">
      <c r="B27" s="33" t="s">
        <v>41</v>
      </c>
      <c r="C27" s="50">
        <v>5.5</v>
      </c>
    </row>
    <row r="28" spans="2:7" x14ac:dyDescent="0.3">
      <c r="B28" s="33" t="s">
        <v>42</v>
      </c>
      <c r="C28" s="5" t="s">
        <v>43</v>
      </c>
    </row>
    <row r="29" spans="2:7" x14ac:dyDescent="0.3">
      <c r="B29" s="33" t="s">
        <v>44</v>
      </c>
      <c r="C29" s="5" t="s">
        <v>45</v>
      </c>
    </row>
    <row r="33" spans="3:3" x14ac:dyDescent="0.3">
      <c r="C33" s="1"/>
    </row>
    <row r="34" spans="3:3" x14ac:dyDescent="0.3">
      <c r="C34" s="1"/>
    </row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B843-1897-43E2-B579-519E96FC9AC2}">
  <dimension ref="B1:Q54"/>
  <sheetViews>
    <sheetView showGridLines="0" topLeftCell="A25" zoomScaleNormal="100" workbookViewId="0">
      <selection activeCell="A13" sqref="A13"/>
    </sheetView>
  </sheetViews>
  <sheetFormatPr defaultColWidth="8.77734375" defaultRowHeight="14.4" x14ac:dyDescent="0.3"/>
  <cols>
    <col min="1" max="1" width="5.44140625" style="2" customWidth="1"/>
    <col min="2" max="2" width="33.21875" style="8" bestFit="1" customWidth="1"/>
    <col min="3" max="3" width="14.77734375" style="2" bestFit="1" customWidth="1"/>
    <col min="4" max="4" width="3.6640625" style="2" customWidth="1"/>
    <col min="5" max="5" width="4.88671875" style="2" customWidth="1"/>
    <col min="6" max="6" width="42.21875" style="2" bestFit="1" customWidth="1"/>
    <col min="7" max="7" width="14" style="2" bestFit="1" customWidth="1"/>
    <col min="8" max="8" width="1.44140625" style="2" customWidth="1"/>
    <col min="9" max="9" width="2.88671875" style="2" bestFit="1" customWidth="1"/>
    <col min="10" max="10" width="35.21875" style="2" customWidth="1"/>
    <col min="11" max="11" width="25.109375" style="2" customWidth="1"/>
    <col min="12" max="12" width="11.6640625" style="2" customWidth="1"/>
    <col min="13" max="13" width="17" style="2" customWidth="1"/>
    <col min="14" max="15" width="8.77734375" style="2"/>
    <col min="16" max="16" width="41.6640625" style="2" bestFit="1" customWidth="1"/>
    <col min="17" max="17" width="19.5546875" style="2" bestFit="1" customWidth="1"/>
    <col min="18" max="16384" width="8.77734375" style="2"/>
  </cols>
  <sheetData>
    <row r="1" spans="2:17" x14ac:dyDescent="0.3">
      <c r="B1" s="17" t="s">
        <v>6</v>
      </c>
      <c r="C1" s="23" t="s">
        <v>55</v>
      </c>
    </row>
    <row r="2" spans="2:17" x14ac:dyDescent="0.3">
      <c r="B2" s="17" t="s">
        <v>68</v>
      </c>
      <c r="C2" s="4">
        <v>2</v>
      </c>
      <c r="E2" s="1"/>
      <c r="F2" s="12" t="str">
        <f>B14</f>
        <v>Salário (mês)</v>
      </c>
      <c r="G2" s="11">
        <f>C14</f>
        <v>8358</v>
      </c>
      <c r="H2" s="11"/>
      <c r="J2" s="109" t="s">
        <v>27</v>
      </c>
      <c r="K2" s="110" t="s">
        <v>28</v>
      </c>
    </row>
    <row r="3" spans="2:17" x14ac:dyDescent="0.3">
      <c r="B3" s="17" t="s">
        <v>24</v>
      </c>
      <c r="C3" s="23">
        <v>25</v>
      </c>
      <c r="E3" s="13" t="s">
        <v>21</v>
      </c>
      <c r="F3" s="14" t="str">
        <f>B20</f>
        <v>Valor dos Descontos pelos Atrasos</v>
      </c>
      <c r="G3" s="15">
        <f>-C20</f>
        <v>-113.97272727272727</v>
      </c>
      <c r="H3" s="15"/>
      <c r="J3" s="111" t="s">
        <v>29</v>
      </c>
      <c r="K3" s="112">
        <v>7.4999999999999997E-2</v>
      </c>
      <c r="P3" s="31" t="s">
        <v>27</v>
      </c>
      <c r="Q3" s="32" t="s">
        <v>28</v>
      </c>
    </row>
    <row r="4" spans="2:17" x14ac:dyDescent="0.3">
      <c r="B4" s="62" t="s">
        <v>25</v>
      </c>
      <c r="C4" s="63">
        <v>5</v>
      </c>
      <c r="E4" s="13" t="s">
        <v>21</v>
      </c>
      <c r="F4" s="69" t="s">
        <v>79</v>
      </c>
      <c r="G4" s="70">
        <f>-C24*C6</f>
        <v>-557.20000000000005</v>
      </c>
      <c r="H4" s="70"/>
      <c r="J4" s="111" t="s">
        <v>96</v>
      </c>
      <c r="K4" s="112">
        <v>0.09</v>
      </c>
      <c r="P4" s="28" t="s">
        <v>29</v>
      </c>
      <c r="Q4" s="27">
        <v>7.4999999999999997E-2</v>
      </c>
    </row>
    <row r="5" spans="2:17" x14ac:dyDescent="0.3">
      <c r="B5" s="62" t="s">
        <v>53</v>
      </c>
      <c r="C5" s="63">
        <v>3</v>
      </c>
      <c r="E5" s="1"/>
      <c r="F5" s="14" t="s">
        <v>80</v>
      </c>
      <c r="G5" s="15">
        <f>-C24*3</f>
        <v>-835.80000000000007</v>
      </c>
      <c r="H5" s="15"/>
      <c r="J5" s="111" t="s">
        <v>97</v>
      </c>
      <c r="K5" s="112">
        <v>0.12</v>
      </c>
      <c r="P5" s="28" t="s">
        <v>32</v>
      </c>
      <c r="Q5" s="27">
        <v>0.09</v>
      </c>
    </row>
    <row r="6" spans="2:17" x14ac:dyDescent="0.3">
      <c r="B6" s="18" t="s">
        <v>93</v>
      </c>
      <c r="C6" s="24">
        <v>2</v>
      </c>
      <c r="E6" s="1" t="s">
        <v>49</v>
      </c>
      <c r="F6" s="67" t="str">
        <f>B29</f>
        <v>Valor da H.E x Vr$ Hora</v>
      </c>
      <c r="G6" s="68">
        <f>C29+C34</f>
        <v>1234.7045454545455</v>
      </c>
      <c r="H6" s="68"/>
      <c r="J6" s="113" t="s">
        <v>98</v>
      </c>
      <c r="K6" s="114">
        <v>0.14000000000000001</v>
      </c>
      <c r="L6" s="117">
        <v>6101.06</v>
      </c>
      <c r="M6" s="118">
        <f>K6*L6</f>
        <v>854.14840000000015</v>
      </c>
      <c r="P6" s="28" t="s">
        <v>33</v>
      </c>
      <c r="Q6" s="27">
        <v>0.12</v>
      </c>
    </row>
    <row r="7" spans="2:17" x14ac:dyDescent="0.3">
      <c r="E7" s="1"/>
      <c r="F7" s="67" t="str">
        <f>B41</f>
        <v>Valor do Reflexo H.E. s/ o DSR</v>
      </c>
      <c r="G7" s="68">
        <f>C41</f>
        <v>98.776363636363641</v>
      </c>
      <c r="H7" s="68"/>
      <c r="J7" s="19"/>
      <c r="K7" s="19"/>
      <c r="P7" s="29" t="s">
        <v>34</v>
      </c>
      <c r="Q7" s="30">
        <v>0.14000000000000001</v>
      </c>
    </row>
    <row r="8" spans="2:17" x14ac:dyDescent="0.3">
      <c r="B8" s="61" t="s">
        <v>7</v>
      </c>
      <c r="C8" s="176">
        <v>8358</v>
      </c>
      <c r="E8" s="1"/>
      <c r="F8" s="16" t="s">
        <v>26</v>
      </c>
      <c r="G8" s="22">
        <f>SUM(G2:G7)</f>
        <v>8184.5081818181825</v>
      </c>
      <c r="H8" s="98"/>
      <c r="J8" s="107" t="s">
        <v>57</v>
      </c>
      <c r="K8" s="107" t="s">
        <v>58</v>
      </c>
      <c r="L8" s="107" t="s">
        <v>59</v>
      </c>
      <c r="M8" s="107" t="s">
        <v>60</v>
      </c>
    </row>
    <row r="9" spans="2:17" x14ac:dyDescent="0.3">
      <c r="B9" s="17" t="s">
        <v>56</v>
      </c>
      <c r="C9" s="19">
        <v>1045</v>
      </c>
      <c r="E9" s="1" t="s">
        <v>21</v>
      </c>
      <c r="F9" s="12" t="s">
        <v>15</v>
      </c>
      <c r="G9" s="1">
        <v>0</v>
      </c>
      <c r="H9" s="1"/>
      <c r="J9" s="107"/>
      <c r="K9" s="107"/>
      <c r="L9" s="107"/>
      <c r="M9" s="107" t="s">
        <v>61</v>
      </c>
    </row>
    <row r="10" spans="2:17" x14ac:dyDescent="0.3">
      <c r="B10" s="17" t="s">
        <v>8</v>
      </c>
      <c r="C10" s="20">
        <v>0</v>
      </c>
      <c r="E10" s="1"/>
      <c r="F10" s="12" t="s">
        <v>14</v>
      </c>
      <c r="G10" s="1">
        <f>G8+G9</f>
        <v>8184.5081818181825</v>
      </c>
      <c r="H10" s="1"/>
      <c r="J10" s="137" t="s">
        <v>123</v>
      </c>
      <c r="K10" s="177">
        <v>1903.98</v>
      </c>
      <c r="L10" s="108" t="s">
        <v>63</v>
      </c>
      <c r="M10" s="108" t="s">
        <v>63</v>
      </c>
      <c r="O10" s="117">
        <f>K10</f>
        <v>1903.98</v>
      </c>
      <c r="P10" s="2">
        <v>-142.80000000000001</v>
      </c>
    </row>
    <row r="11" spans="2:17" x14ac:dyDescent="0.3">
      <c r="B11" s="17" t="s">
        <v>9</v>
      </c>
      <c r="C11" s="19">
        <f>C9*C10</f>
        <v>0</v>
      </c>
      <c r="F11" s="12" t="s">
        <v>23</v>
      </c>
      <c r="G11" s="9">
        <v>0.14000000000000001</v>
      </c>
      <c r="H11" s="9"/>
      <c r="J11" s="137"/>
      <c r="K11" s="108" t="s">
        <v>64</v>
      </c>
      <c r="L11" s="108">
        <v>7.5</v>
      </c>
      <c r="M11" s="108">
        <v>142.80000000000001</v>
      </c>
      <c r="N11" s="178"/>
      <c r="O11" s="2">
        <v>1910</v>
      </c>
      <c r="P11" s="2">
        <f>L11/100*O11</f>
        <v>143.25</v>
      </c>
    </row>
    <row r="12" spans="2:17" x14ac:dyDescent="0.3">
      <c r="B12" s="18" t="s">
        <v>10</v>
      </c>
      <c r="C12" s="22">
        <f>C8+C11</f>
        <v>8358</v>
      </c>
      <c r="F12" s="14" t="s">
        <v>17</v>
      </c>
      <c r="G12" s="13">
        <f>-L6*G11</f>
        <v>-854.14840000000015</v>
      </c>
      <c r="H12" s="13"/>
      <c r="J12" s="137"/>
      <c r="K12" s="108" t="s">
        <v>65</v>
      </c>
      <c r="L12" s="108">
        <v>15</v>
      </c>
      <c r="M12" s="108">
        <v>354.8</v>
      </c>
      <c r="O12" s="117">
        <f>O11-O10</f>
        <v>6.0199999999999818</v>
      </c>
      <c r="P12" s="2">
        <f>P11+P10</f>
        <v>0.44999999999998863</v>
      </c>
    </row>
    <row r="13" spans="2:17" x14ac:dyDescent="0.3">
      <c r="B13" s="10"/>
      <c r="C13" s="1"/>
      <c r="F13" s="16" t="s">
        <v>70</v>
      </c>
      <c r="G13" s="22">
        <f>G10+G12</f>
        <v>7330.3597818181825</v>
      </c>
      <c r="H13" s="98"/>
      <c r="J13" s="137"/>
      <c r="K13" s="108" t="s">
        <v>66</v>
      </c>
      <c r="L13" s="108">
        <v>22.5</v>
      </c>
      <c r="M13" s="108">
        <v>636.13</v>
      </c>
      <c r="P13" s="2">
        <f>O12*0.075</f>
        <v>0.45149999999999862</v>
      </c>
    </row>
    <row r="14" spans="2:17" x14ac:dyDescent="0.3">
      <c r="B14" s="17" t="str">
        <f>B8</f>
        <v>Salário (mês)</v>
      </c>
      <c r="C14" s="19">
        <f>C8</f>
        <v>8358</v>
      </c>
      <c r="J14" s="137"/>
      <c r="K14" s="119" t="s">
        <v>67</v>
      </c>
      <c r="L14" s="119">
        <v>27.5</v>
      </c>
      <c r="M14" s="119">
        <v>869.36</v>
      </c>
    </row>
    <row r="15" spans="2:17" x14ac:dyDescent="0.3">
      <c r="B15" s="17" t="s">
        <v>0</v>
      </c>
      <c r="C15" s="21">
        <v>220</v>
      </c>
      <c r="E15" s="1" t="s">
        <v>21</v>
      </c>
      <c r="F15" s="12" t="s">
        <v>69</v>
      </c>
      <c r="G15" s="71">
        <f>C6*189.59</f>
        <v>379.18</v>
      </c>
      <c r="H15" s="12"/>
      <c r="J15" s="138" t="s">
        <v>99</v>
      </c>
      <c r="K15" s="138"/>
      <c r="L15" s="138"/>
      <c r="M15" s="138"/>
    </row>
    <row r="16" spans="2:17" x14ac:dyDescent="0.3">
      <c r="B16" s="18" t="s">
        <v>4</v>
      </c>
      <c r="C16" s="22">
        <f>C14/C15</f>
        <v>37.990909090909092</v>
      </c>
      <c r="F16" s="12" t="s">
        <v>72</v>
      </c>
      <c r="G16" s="12">
        <f>G13-G15</f>
        <v>6951.1797818181822</v>
      </c>
    </row>
    <row r="17" spans="2:12" x14ac:dyDescent="0.3">
      <c r="B17" s="10"/>
      <c r="C17" s="1"/>
      <c r="F17" s="12" t="s">
        <v>75</v>
      </c>
      <c r="G17" s="72">
        <f>L14/100</f>
        <v>0.27500000000000002</v>
      </c>
      <c r="H17" s="72"/>
      <c r="J17" s="87" t="s">
        <v>39</v>
      </c>
      <c r="K17" s="88" t="s">
        <v>40</v>
      </c>
    </row>
    <row r="18" spans="2:12" x14ac:dyDescent="0.3">
      <c r="B18" s="17" t="s">
        <v>54</v>
      </c>
      <c r="C18" s="21">
        <f>C5</f>
        <v>3</v>
      </c>
      <c r="F18" s="12" t="s">
        <v>71</v>
      </c>
      <c r="G18" s="64">
        <f>G16*G17</f>
        <v>1911.5744400000003</v>
      </c>
      <c r="H18" s="64"/>
      <c r="J18" s="89" t="s">
        <v>41</v>
      </c>
      <c r="K18" s="90">
        <v>5.5</v>
      </c>
    </row>
    <row r="19" spans="2:12" x14ac:dyDescent="0.3">
      <c r="B19" s="17" t="str">
        <f>B16</f>
        <v>Valor da Hora Mensal</v>
      </c>
      <c r="C19" s="19">
        <f>C16</f>
        <v>37.990909090909092</v>
      </c>
      <c r="E19" s="1" t="s">
        <v>21</v>
      </c>
      <c r="F19" s="179" t="s">
        <v>73</v>
      </c>
      <c r="G19" s="179">
        <f>-M14</f>
        <v>-869.36</v>
      </c>
      <c r="H19" s="12"/>
      <c r="J19" s="89" t="s">
        <v>42</v>
      </c>
      <c r="K19" s="91" t="s">
        <v>43</v>
      </c>
    </row>
    <row r="20" spans="2:12" x14ac:dyDescent="0.3">
      <c r="B20" s="25" t="s">
        <v>35</v>
      </c>
      <c r="C20" s="26">
        <f>C18*C19</f>
        <v>113.97272727272727</v>
      </c>
      <c r="F20" s="14" t="s">
        <v>74</v>
      </c>
      <c r="G20" s="14">
        <f>SUM(G18:G19)</f>
        <v>1042.2144400000002</v>
      </c>
      <c r="H20" s="12"/>
      <c r="J20" s="92" t="s">
        <v>44</v>
      </c>
      <c r="K20" s="93" t="s">
        <v>45</v>
      </c>
    </row>
    <row r="21" spans="2:12" x14ac:dyDescent="0.3">
      <c r="B21" s="10"/>
      <c r="C21" s="1"/>
      <c r="F21" s="65" t="s">
        <v>18</v>
      </c>
      <c r="G21" s="66">
        <f>G13-G20</f>
        <v>6288.1453418181827</v>
      </c>
      <c r="H21" s="99"/>
      <c r="K21" s="86"/>
    </row>
    <row r="22" spans="2:12" x14ac:dyDescent="0.3">
      <c r="B22" s="17" t="str">
        <f>B14</f>
        <v>Salário (mês)</v>
      </c>
      <c r="C22" s="19">
        <f>C12</f>
        <v>8358</v>
      </c>
      <c r="J22" s="94" t="s">
        <v>86</v>
      </c>
      <c r="K22" s="95">
        <v>0.08</v>
      </c>
    </row>
    <row r="23" spans="2:12" x14ac:dyDescent="0.3">
      <c r="B23" s="17" t="s">
        <v>20</v>
      </c>
      <c r="C23" s="21">
        <v>30</v>
      </c>
      <c r="J23" s="96" t="s">
        <v>85</v>
      </c>
      <c r="K23" s="97">
        <v>0.27200000000000002</v>
      </c>
    </row>
    <row r="24" spans="2:12" ht="18" x14ac:dyDescent="0.35">
      <c r="B24" s="25" t="s">
        <v>36</v>
      </c>
      <c r="C24" s="26">
        <f>C22/C23</f>
        <v>278.60000000000002</v>
      </c>
      <c r="F24" s="18" t="s">
        <v>94</v>
      </c>
      <c r="J24" s="100"/>
      <c r="K24" s="100"/>
    </row>
    <row r="25" spans="2:12" ht="18" x14ac:dyDescent="0.35">
      <c r="F25" s="10" t="s">
        <v>83</v>
      </c>
      <c r="G25" s="64">
        <f>G8</f>
        <v>8184.5081818181825</v>
      </c>
      <c r="H25" s="64"/>
      <c r="J25" s="101" t="s">
        <v>102</v>
      </c>
      <c r="K25" s="100"/>
    </row>
    <row r="26" spans="2:12" x14ac:dyDescent="0.3">
      <c r="B26" s="76" t="s">
        <v>1</v>
      </c>
      <c r="C26" s="77">
        <v>15</v>
      </c>
      <c r="F26" s="10" t="s">
        <v>92</v>
      </c>
      <c r="G26" s="74">
        <f>K23</f>
        <v>0.27200000000000002</v>
      </c>
      <c r="H26" s="74"/>
      <c r="J26" s="4"/>
      <c r="K26" s="4"/>
    </row>
    <row r="27" spans="2:12" x14ac:dyDescent="0.3">
      <c r="B27" s="76" t="s">
        <v>95</v>
      </c>
      <c r="C27" s="78">
        <v>0.5</v>
      </c>
      <c r="F27" s="69" t="s">
        <v>110</v>
      </c>
      <c r="G27" s="75">
        <f>G25*G26</f>
        <v>2226.1862254545458</v>
      </c>
      <c r="H27" s="75"/>
      <c r="J27" s="102" t="s">
        <v>104</v>
      </c>
      <c r="K27" s="103"/>
    </row>
    <row r="28" spans="2:12" x14ac:dyDescent="0.3">
      <c r="B28" s="76" t="s">
        <v>3</v>
      </c>
      <c r="C28" s="79">
        <f>C26*1.5</f>
        <v>22.5</v>
      </c>
      <c r="I28" s="2" t="s">
        <v>112</v>
      </c>
      <c r="J28" s="104" t="s">
        <v>113</v>
      </c>
      <c r="K28" s="104">
        <f>G8</f>
        <v>8184.5081818181825</v>
      </c>
      <c r="L28" s="2" t="s">
        <v>156</v>
      </c>
    </row>
    <row r="29" spans="2:12" x14ac:dyDescent="0.3">
      <c r="B29" s="80" t="s">
        <v>11</v>
      </c>
      <c r="C29" s="81">
        <f>C16*C28</f>
        <v>854.79545454545462</v>
      </c>
      <c r="F29" s="18" t="s">
        <v>107</v>
      </c>
      <c r="I29" s="2" t="s">
        <v>111</v>
      </c>
      <c r="J29" s="180" t="s">
        <v>114</v>
      </c>
      <c r="K29" s="180">
        <f>-G12</f>
        <v>854.14840000000015</v>
      </c>
      <c r="L29" s="155" t="s">
        <v>157</v>
      </c>
    </row>
    <row r="30" spans="2:12" x14ac:dyDescent="0.3">
      <c r="B30" s="82"/>
      <c r="C30" s="83"/>
      <c r="F30" s="10" t="s">
        <v>83</v>
      </c>
      <c r="G30" s="64">
        <f>G8</f>
        <v>8184.5081818181825</v>
      </c>
      <c r="H30" s="64"/>
      <c r="I30" s="2" t="s">
        <v>111</v>
      </c>
      <c r="J30" s="180" t="s">
        <v>115</v>
      </c>
      <c r="K30" s="180">
        <f>G20</f>
        <v>1042.2144400000002</v>
      </c>
      <c r="L30" s="155" t="s">
        <v>157</v>
      </c>
    </row>
    <row r="31" spans="2:12" x14ac:dyDescent="0.3">
      <c r="B31" s="76" t="s">
        <v>1</v>
      </c>
      <c r="C31" s="77">
        <v>5</v>
      </c>
      <c r="F31" s="10" t="s">
        <v>108</v>
      </c>
      <c r="G31" s="74">
        <f>K22</f>
        <v>0.08</v>
      </c>
      <c r="H31" s="75"/>
      <c r="I31" s="2" t="s">
        <v>111</v>
      </c>
      <c r="J31" s="104" t="s">
        <v>116</v>
      </c>
      <c r="K31" s="104">
        <f>K28-K29-K30</f>
        <v>6288.1453418181827</v>
      </c>
      <c r="L31" s="2" t="s">
        <v>157</v>
      </c>
    </row>
    <row r="32" spans="2:12" x14ac:dyDescent="0.3">
      <c r="B32" s="76" t="s">
        <v>95</v>
      </c>
      <c r="C32" s="78">
        <v>1</v>
      </c>
      <c r="F32" s="69" t="s">
        <v>109</v>
      </c>
      <c r="G32" s="75">
        <f>G30*G31</f>
        <v>654.7606545454546</v>
      </c>
      <c r="J32" s="104"/>
      <c r="K32" s="104"/>
    </row>
    <row r="33" spans="2:12" x14ac:dyDescent="0.3">
      <c r="B33" s="76" t="s">
        <v>3</v>
      </c>
      <c r="C33" s="79">
        <f>C31*2</f>
        <v>10</v>
      </c>
      <c r="F33" s="69"/>
      <c r="G33" s="75"/>
      <c r="H33" s="75"/>
      <c r="J33" s="102" t="s">
        <v>105</v>
      </c>
      <c r="K33" s="105"/>
    </row>
    <row r="34" spans="2:12" x14ac:dyDescent="0.3">
      <c r="B34" s="80" t="s">
        <v>11</v>
      </c>
      <c r="C34" s="81">
        <f>C33*C16</f>
        <v>379.90909090909093</v>
      </c>
      <c r="F34" s="18" t="s">
        <v>82</v>
      </c>
      <c r="I34" s="2" t="s">
        <v>112</v>
      </c>
      <c r="J34" s="106" t="s">
        <v>106</v>
      </c>
      <c r="K34" s="104">
        <f>G32</f>
        <v>654.7606545454546</v>
      </c>
      <c r="L34" s="2" t="s">
        <v>156</v>
      </c>
    </row>
    <row r="35" spans="2:12" x14ac:dyDescent="0.3">
      <c r="C35" s="64"/>
      <c r="F35" s="10" t="s">
        <v>83</v>
      </c>
      <c r="G35" s="64">
        <f>G8</f>
        <v>8184.5081818181825</v>
      </c>
      <c r="I35" s="2" t="s">
        <v>111</v>
      </c>
      <c r="J35" s="104" t="s">
        <v>109</v>
      </c>
      <c r="K35" s="104">
        <f>G32</f>
        <v>654.7606545454546</v>
      </c>
      <c r="L35" s="2" t="s">
        <v>157</v>
      </c>
    </row>
    <row r="36" spans="2:12" x14ac:dyDescent="0.3">
      <c r="B36" s="76" t="s">
        <v>77</v>
      </c>
      <c r="C36" s="83"/>
      <c r="F36" s="69" t="s">
        <v>87</v>
      </c>
      <c r="G36" s="75">
        <f>G35/12</f>
        <v>682.0423484848485</v>
      </c>
      <c r="J36" s="104"/>
      <c r="K36" s="104"/>
    </row>
    <row r="37" spans="2:12" x14ac:dyDescent="0.3">
      <c r="B37" s="76" t="str">
        <f>B29</f>
        <v>Valor da H.E x Vr$ Hora</v>
      </c>
      <c r="C37" s="83">
        <f>C29+C34</f>
        <v>1234.7045454545455</v>
      </c>
      <c r="F37" s="10"/>
      <c r="I37" s="2" t="s">
        <v>112</v>
      </c>
      <c r="J37" s="106" t="s">
        <v>117</v>
      </c>
      <c r="K37" s="104">
        <f>G27</f>
        <v>2226.1862254545458</v>
      </c>
      <c r="L37" s="2" t="s">
        <v>156</v>
      </c>
    </row>
    <row r="38" spans="2:12" x14ac:dyDescent="0.3">
      <c r="B38" s="76" t="s">
        <v>12</v>
      </c>
      <c r="C38" s="77">
        <v>25</v>
      </c>
      <c r="F38" s="69" t="s">
        <v>84</v>
      </c>
      <c r="G38" s="75">
        <f>G36*K22</f>
        <v>54.563387878787879</v>
      </c>
      <c r="I38" s="2" t="s">
        <v>111</v>
      </c>
      <c r="J38" s="104" t="s">
        <v>118</v>
      </c>
      <c r="K38" s="104">
        <f>K37</f>
        <v>2226.1862254545458</v>
      </c>
      <c r="L38" s="2" t="s">
        <v>157</v>
      </c>
    </row>
    <row r="39" spans="2:12" x14ac:dyDescent="0.3">
      <c r="B39" s="76" t="s">
        <v>101</v>
      </c>
      <c r="C39" s="84">
        <f>C37/C38</f>
        <v>49.38818181818182</v>
      </c>
      <c r="F39" s="69" t="s">
        <v>85</v>
      </c>
      <c r="G39" s="75">
        <f>G36*K23</f>
        <v>185.51551878787882</v>
      </c>
      <c r="J39" s="104"/>
      <c r="K39" s="104"/>
    </row>
    <row r="40" spans="2:12" x14ac:dyDescent="0.3">
      <c r="B40" s="76" t="s">
        <v>100</v>
      </c>
      <c r="C40" s="85">
        <v>2</v>
      </c>
      <c r="H40" s="75"/>
      <c r="I40" s="2" t="s">
        <v>112</v>
      </c>
      <c r="J40" s="106" t="s">
        <v>119</v>
      </c>
      <c r="K40" s="104">
        <f>G36</f>
        <v>682.0423484848485</v>
      </c>
      <c r="L40" s="2" t="s">
        <v>156</v>
      </c>
    </row>
    <row r="41" spans="2:12" x14ac:dyDescent="0.3">
      <c r="B41" s="80" t="s">
        <v>78</v>
      </c>
      <c r="C41" s="81">
        <f>C39*C40</f>
        <v>98.776363636363641</v>
      </c>
      <c r="F41" s="18" t="s">
        <v>88</v>
      </c>
      <c r="I41" s="2" t="s">
        <v>111</v>
      </c>
      <c r="J41" s="104" t="s">
        <v>120</v>
      </c>
      <c r="K41" s="64">
        <f>K40</f>
        <v>682.0423484848485</v>
      </c>
      <c r="L41" s="2" t="s">
        <v>157</v>
      </c>
    </row>
    <row r="42" spans="2:12" x14ac:dyDescent="0.3">
      <c r="F42" s="10" t="s">
        <v>83</v>
      </c>
      <c r="G42" s="64">
        <f>G8</f>
        <v>8184.5081818181825</v>
      </c>
      <c r="H42" s="75"/>
    </row>
    <row r="43" spans="2:12" x14ac:dyDescent="0.3">
      <c r="C43" s="64"/>
      <c r="F43" s="10" t="s">
        <v>89</v>
      </c>
      <c r="G43" s="64">
        <f>G42/12</f>
        <v>682.0423484848485</v>
      </c>
      <c r="H43" s="75"/>
      <c r="I43" s="2" t="s">
        <v>103</v>
      </c>
      <c r="J43" s="106" t="s">
        <v>121</v>
      </c>
      <c r="K43" s="104">
        <f>G38</f>
        <v>54.563387878787879</v>
      </c>
      <c r="L43" s="2" t="s">
        <v>156</v>
      </c>
    </row>
    <row r="44" spans="2:12" x14ac:dyDescent="0.3">
      <c r="C44" s="64"/>
      <c r="F44" s="10" t="s">
        <v>90</v>
      </c>
      <c r="G44" s="64">
        <f>G42/3/12</f>
        <v>227.3474494949495</v>
      </c>
      <c r="I44" s="2" t="s">
        <v>103</v>
      </c>
      <c r="J44" s="106" t="s">
        <v>122</v>
      </c>
      <c r="K44" s="104">
        <f>G39</f>
        <v>185.51551878787882</v>
      </c>
      <c r="L44" s="2" t="s">
        <v>156</v>
      </c>
    </row>
    <row r="45" spans="2:12" x14ac:dyDescent="0.3">
      <c r="F45" s="69" t="s">
        <v>91</v>
      </c>
      <c r="G45" s="75">
        <f>SUM(G43:G44)</f>
        <v>909.389797979798</v>
      </c>
      <c r="I45" s="2" t="s">
        <v>124</v>
      </c>
      <c r="J45" s="120" t="s">
        <v>125</v>
      </c>
      <c r="K45" s="121">
        <f>K43</f>
        <v>54.563387878787879</v>
      </c>
      <c r="L45" s="2" t="s">
        <v>157</v>
      </c>
    </row>
    <row r="46" spans="2:12" x14ac:dyDescent="0.3">
      <c r="I46" s="2" t="s">
        <v>124</v>
      </c>
      <c r="J46" s="120" t="s">
        <v>126</v>
      </c>
      <c r="K46" s="121">
        <f>K44</f>
        <v>185.51551878787882</v>
      </c>
      <c r="L46" s="2" t="s">
        <v>157</v>
      </c>
    </row>
    <row r="47" spans="2:12" x14ac:dyDescent="0.3">
      <c r="F47" s="69" t="s">
        <v>155</v>
      </c>
      <c r="G47" s="75">
        <f>G45*K22</f>
        <v>72.751183838383838</v>
      </c>
    </row>
    <row r="48" spans="2:12" x14ac:dyDescent="0.3">
      <c r="F48" s="69" t="s">
        <v>85</v>
      </c>
      <c r="G48" s="75">
        <f>G45*K23</f>
        <v>247.35402505050507</v>
      </c>
      <c r="I48" s="2" t="s">
        <v>112</v>
      </c>
      <c r="J48" s="106" t="s">
        <v>127</v>
      </c>
      <c r="K48" s="104">
        <f>G45</f>
        <v>909.389797979798</v>
      </c>
    </row>
    <row r="49" spans="7:12" x14ac:dyDescent="0.3">
      <c r="I49" s="2" t="s">
        <v>111</v>
      </c>
      <c r="J49" s="104" t="s">
        <v>128</v>
      </c>
      <c r="K49" s="64">
        <f>K48</f>
        <v>909.389797979798</v>
      </c>
    </row>
    <row r="51" spans="7:12" x14ac:dyDescent="0.3">
      <c r="G51" s="64"/>
      <c r="I51" s="2" t="s">
        <v>103</v>
      </c>
      <c r="J51" s="106" t="s">
        <v>129</v>
      </c>
      <c r="K51" s="104">
        <f>G47</f>
        <v>72.751183838383838</v>
      </c>
      <c r="L51" s="2" t="s">
        <v>156</v>
      </c>
    </row>
    <row r="52" spans="7:12" x14ac:dyDescent="0.3">
      <c r="I52" s="2" t="s">
        <v>103</v>
      </c>
      <c r="J52" s="106" t="s">
        <v>130</v>
      </c>
      <c r="K52" s="104">
        <f>G48</f>
        <v>247.35402505050507</v>
      </c>
      <c r="L52" s="2" t="s">
        <v>156</v>
      </c>
    </row>
    <row r="53" spans="7:12" x14ac:dyDescent="0.3">
      <c r="I53" s="2" t="s">
        <v>124</v>
      </c>
      <c r="J53" s="120" t="s">
        <v>132</v>
      </c>
      <c r="K53" s="121">
        <f>K51</f>
        <v>72.751183838383838</v>
      </c>
      <c r="L53" s="2" t="s">
        <v>157</v>
      </c>
    </row>
    <row r="54" spans="7:12" x14ac:dyDescent="0.3">
      <c r="I54" s="2" t="s">
        <v>124</v>
      </c>
      <c r="J54" s="120" t="s">
        <v>131</v>
      </c>
      <c r="K54" s="121">
        <f>K52</f>
        <v>247.35402505050507</v>
      </c>
      <c r="L54" s="2" t="s">
        <v>157</v>
      </c>
    </row>
  </sheetData>
  <mergeCells count="2">
    <mergeCell ref="J10:J14"/>
    <mergeCell ref="J15:M15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60B5-FB03-4A31-9925-B8571D37399B}">
  <dimension ref="A1:AA63"/>
  <sheetViews>
    <sheetView tabSelected="1" topLeftCell="A34" zoomScaleNormal="100" workbookViewId="0">
      <selection activeCell="N49" sqref="N49"/>
    </sheetView>
  </sheetViews>
  <sheetFormatPr defaultRowHeight="14.4" x14ac:dyDescent="0.3"/>
  <cols>
    <col min="1" max="1" width="9.77734375" bestFit="1" customWidth="1"/>
    <col min="2" max="2" width="16.109375" bestFit="1" customWidth="1"/>
    <col min="3" max="3" width="10.77734375" style="1" bestFit="1" customWidth="1"/>
    <col min="4" max="4" width="11.109375" bestFit="1" customWidth="1"/>
    <col min="5" max="5" width="10.77734375" bestFit="1" customWidth="1"/>
    <col min="6" max="7" width="9.88671875" style="122" bestFit="1" customWidth="1"/>
    <col min="8" max="8" width="11" style="122" bestFit="1" customWidth="1"/>
    <col min="9" max="9" width="5" bestFit="1" customWidth="1"/>
    <col min="10" max="10" width="11.33203125" bestFit="1" customWidth="1"/>
    <col min="11" max="11" width="15.33203125" bestFit="1" customWidth="1"/>
    <col min="12" max="12" width="3.33203125" customWidth="1"/>
    <col min="13" max="13" width="31.33203125" bestFit="1" customWidth="1"/>
    <col min="14" max="14" width="18.33203125" bestFit="1" customWidth="1"/>
    <col min="15" max="15" width="11.5546875" bestFit="1" customWidth="1"/>
    <col min="16" max="16" width="16" bestFit="1" customWidth="1"/>
    <col min="17" max="17" width="6.88671875" customWidth="1"/>
    <col min="18" max="18" width="16.109375" bestFit="1" customWidth="1"/>
    <col min="19" max="19" width="14.88671875" bestFit="1" customWidth="1"/>
    <col min="20" max="20" width="12.44140625" bestFit="1" customWidth="1"/>
    <col min="21" max="22" width="14" bestFit="1" customWidth="1"/>
    <col min="23" max="23" width="15" bestFit="1" customWidth="1"/>
    <col min="24" max="24" width="4.109375" customWidth="1"/>
    <col min="25" max="25" width="13.5546875" bestFit="1" customWidth="1"/>
    <col min="26" max="26" width="13.5546875" customWidth="1"/>
    <col min="27" max="27" width="9.33203125" bestFit="1" customWidth="1"/>
  </cols>
  <sheetData>
    <row r="1" spans="2:26" x14ac:dyDescent="0.3">
      <c r="D1" s="127"/>
      <c r="F1" s="122" t="s">
        <v>152</v>
      </c>
      <c r="G1" s="167">
        <f>8%+0.272</f>
        <v>0.35200000000000004</v>
      </c>
      <c r="H1" s="126">
        <f ca="1">D6*G1</f>
        <v>280.54400000000004</v>
      </c>
      <c r="M1" t="s">
        <v>133</v>
      </c>
      <c r="N1" t="s">
        <v>134</v>
      </c>
      <c r="O1">
        <v>1400</v>
      </c>
    </row>
    <row r="2" spans="2:26" x14ac:dyDescent="0.3">
      <c r="D2" s="127"/>
      <c r="H2" s="126">
        <f ca="1">D6/12+D6/9</f>
        <v>154.97222222222223</v>
      </c>
      <c r="N2" t="s">
        <v>135</v>
      </c>
      <c r="O2">
        <v>2100</v>
      </c>
      <c r="P2">
        <f>O2-O1</f>
        <v>700</v>
      </c>
    </row>
    <row r="3" spans="2:26" x14ac:dyDescent="0.3">
      <c r="B3" s="123" t="s">
        <v>136</v>
      </c>
      <c r="C3" s="11" t="s">
        <v>149</v>
      </c>
      <c r="D3" s="127"/>
      <c r="G3" s="168">
        <f ca="1">H3/D6</f>
        <v>0.54644444444444451</v>
      </c>
      <c r="H3" s="126">
        <f ca="1">H2+H1</f>
        <v>435.51622222222227</v>
      </c>
    </row>
    <row r="4" spans="2:26" ht="15" thickBot="1" x14ac:dyDescent="0.35">
      <c r="B4" s="123" t="s">
        <v>133</v>
      </c>
      <c r="C4" s="1" t="s">
        <v>134</v>
      </c>
      <c r="D4" s="127"/>
      <c r="F4" s="139" t="s">
        <v>138</v>
      </c>
      <c r="G4" s="139"/>
      <c r="H4" s="139"/>
      <c r="J4" s="140" t="s">
        <v>105</v>
      </c>
      <c r="K4" s="140"/>
      <c r="R4" s="123" t="s">
        <v>133</v>
      </c>
      <c r="S4" s="1" t="s">
        <v>134</v>
      </c>
      <c r="U4" s="139" t="s">
        <v>138</v>
      </c>
      <c r="V4" s="139"/>
      <c r="W4" s="139"/>
      <c r="Y4" s="140" t="s">
        <v>105</v>
      </c>
      <c r="Z4" s="140"/>
    </row>
    <row r="5" spans="2:26" x14ac:dyDescent="0.3">
      <c r="C5" s="148" t="s">
        <v>139</v>
      </c>
      <c r="D5" s="173" t="s">
        <v>140</v>
      </c>
      <c r="E5" s="123"/>
      <c r="F5" s="124" t="s">
        <v>141</v>
      </c>
      <c r="G5" s="157" t="s">
        <v>142</v>
      </c>
      <c r="H5" s="158" t="s">
        <v>143</v>
      </c>
      <c r="I5" s="123"/>
      <c r="J5" t="s">
        <v>150</v>
      </c>
      <c r="K5" s="124" t="s">
        <v>151</v>
      </c>
      <c r="M5" s="145" t="s">
        <v>27</v>
      </c>
      <c r="N5" s="146" t="s">
        <v>28</v>
      </c>
      <c r="S5" s="11" t="s">
        <v>139</v>
      </c>
      <c r="T5" s="123" t="s">
        <v>140</v>
      </c>
      <c r="U5" s="124" t="s">
        <v>141</v>
      </c>
      <c r="V5" s="124" t="s">
        <v>142</v>
      </c>
      <c r="W5" s="124" t="s">
        <v>143</v>
      </c>
      <c r="X5" s="123"/>
      <c r="Y5" t="s">
        <v>144</v>
      </c>
      <c r="Z5" s="124" t="s">
        <v>145</v>
      </c>
    </row>
    <row r="6" spans="2:26" x14ac:dyDescent="0.3">
      <c r="B6" s="125">
        <v>43466</v>
      </c>
      <c r="C6" s="149">
        <v>1400</v>
      </c>
      <c r="D6" s="174">
        <f ca="1">RANDBETWEEN(500,850)</f>
        <v>797</v>
      </c>
      <c r="F6" s="126">
        <f>C6*$N$7</f>
        <v>126</v>
      </c>
      <c r="G6" s="159">
        <f>C6*0.08</f>
        <v>112</v>
      </c>
      <c r="H6" s="160">
        <f>C6*0.272</f>
        <v>380.8</v>
      </c>
      <c r="I6" s="127"/>
      <c r="J6" s="127">
        <f>C6/12</f>
        <v>116.66666666666667</v>
      </c>
      <c r="K6" s="127">
        <f>C6/9</f>
        <v>155.55555555555554</v>
      </c>
      <c r="M6" s="111" t="s">
        <v>29</v>
      </c>
      <c r="N6" s="112">
        <v>7.4999999999999997E-2</v>
      </c>
      <c r="R6" s="125">
        <v>43466</v>
      </c>
      <c r="S6" s="1">
        <v>1400</v>
      </c>
      <c r="T6">
        <v>755</v>
      </c>
      <c r="U6" s="126">
        <f>S6*$N$7</f>
        <v>126</v>
      </c>
      <c r="V6" s="126">
        <f>S6*0.08</f>
        <v>112</v>
      </c>
      <c r="W6" s="126">
        <f>S6*0.272</f>
        <v>380.8</v>
      </c>
      <c r="X6" s="127"/>
      <c r="Y6" s="127">
        <f>S6/12</f>
        <v>116.66666666666667</v>
      </c>
      <c r="Z6" s="127">
        <f>S6/9</f>
        <v>155.55555555555554</v>
      </c>
    </row>
    <row r="7" spans="2:26" x14ac:dyDescent="0.3">
      <c r="B7" s="125">
        <v>43497</v>
      </c>
      <c r="C7" s="149">
        <v>1400</v>
      </c>
      <c r="D7" s="174">
        <f t="shared" ref="D7:D27" ca="1" si="0">RANDBETWEEN(500,850)</f>
        <v>720</v>
      </c>
      <c r="F7" s="126">
        <f t="shared" ref="F7:F27" si="1">C7*$N$7</f>
        <v>126</v>
      </c>
      <c r="G7" s="159">
        <f t="shared" ref="G7:G27" si="2">C7*0.08</f>
        <v>112</v>
      </c>
      <c r="H7" s="160">
        <f t="shared" ref="H7:H27" si="3">C7*0.272</f>
        <v>380.8</v>
      </c>
      <c r="I7" s="127"/>
      <c r="J7" s="127">
        <f t="shared" ref="J7:J27" si="4">C7/12</f>
        <v>116.66666666666667</v>
      </c>
      <c r="K7" s="127">
        <f t="shared" ref="K7:K27" si="5">C7/9</f>
        <v>155.55555555555554</v>
      </c>
      <c r="M7" s="153" t="s">
        <v>52</v>
      </c>
      <c r="N7" s="154">
        <v>0.09</v>
      </c>
      <c r="R7" s="125">
        <v>43497</v>
      </c>
      <c r="S7" s="1">
        <f>S6</f>
        <v>1400</v>
      </c>
      <c r="T7">
        <v>223</v>
      </c>
      <c r="U7" s="126">
        <f t="shared" ref="U7:U18" si="6">S7*$N$7</f>
        <v>126</v>
      </c>
      <c r="V7" s="126">
        <f t="shared" ref="V7:V27" si="7">S7*0.08</f>
        <v>112</v>
      </c>
      <c r="W7" s="126">
        <f t="shared" ref="W7:W27" si="8">S7*0.272</f>
        <v>380.8</v>
      </c>
      <c r="X7" s="127"/>
      <c r="Y7" s="127">
        <f t="shared" ref="Y7:Y27" si="9">S7/12</f>
        <v>116.66666666666667</v>
      </c>
      <c r="Z7" s="127">
        <f t="shared" ref="Z7:Z27" si="10">S7/9</f>
        <v>155.55555555555554</v>
      </c>
    </row>
    <row r="8" spans="2:26" x14ac:dyDescent="0.3">
      <c r="B8" s="125">
        <v>43525</v>
      </c>
      <c r="C8" s="149">
        <v>1400</v>
      </c>
      <c r="D8" s="174">
        <f t="shared" ca="1" si="0"/>
        <v>692</v>
      </c>
      <c r="F8" s="126">
        <f t="shared" si="1"/>
        <v>126</v>
      </c>
      <c r="G8" s="159">
        <f t="shared" si="2"/>
        <v>112</v>
      </c>
      <c r="H8" s="160">
        <f t="shared" si="3"/>
        <v>380.8</v>
      </c>
      <c r="I8" s="127"/>
      <c r="J8" s="127">
        <f t="shared" si="4"/>
        <v>116.66666666666667</v>
      </c>
      <c r="K8" s="127">
        <f t="shared" si="5"/>
        <v>155.55555555555554</v>
      </c>
      <c r="M8" s="111" t="s">
        <v>97</v>
      </c>
      <c r="N8" s="112">
        <v>0.12</v>
      </c>
      <c r="R8" s="125">
        <v>43525</v>
      </c>
      <c r="S8" s="1">
        <f t="shared" ref="S8:S10" si="11">S7</f>
        <v>1400</v>
      </c>
      <c r="T8">
        <v>718</v>
      </c>
      <c r="U8" s="126">
        <f t="shared" si="6"/>
        <v>126</v>
      </c>
      <c r="V8" s="126">
        <f t="shared" si="7"/>
        <v>112</v>
      </c>
      <c r="W8" s="126">
        <f t="shared" si="8"/>
        <v>380.8</v>
      </c>
      <c r="X8" s="127"/>
      <c r="Y8" s="127">
        <f t="shared" si="9"/>
        <v>116.66666666666667</v>
      </c>
      <c r="Z8" s="127">
        <f t="shared" si="10"/>
        <v>155.55555555555554</v>
      </c>
    </row>
    <row r="9" spans="2:26" x14ac:dyDescent="0.3">
      <c r="B9" s="125">
        <v>43556</v>
      </c>
      <c r="C9" s="149">
        <v>1400</v>
      </c>
      <c r="D9" s="174">
        <f t="shared" ca="1" si="0"/>
        <v>661</v>
      </c>
      <c r="F9" s="126">
        <f t="shared" si="1"/>
        <v>126</v>
      </c>
      <c r="G9" s="159">
        <f t="shared" si="2"/>
        <v>112</v>
      </c>
      <c r="H9" s="160">
        <f t="shared" si="3"/>
        <v>380.8</v>
      </c>
      <c r="I9" s="127"/>
      <c r="J9" s="127">
        <f t="shared" si="4"/>
        <v>116.66666666666667</v>
      </c>
      <c r="K9" s="127">
        <f t="shared" si="5"/>
        <v>155.55555555555554</v>
      </c>
      <c r="M9" s="113" t="s">
        <v>98</v>
      </c>
      <c r="N9" s="114">
        <v>0.14000000000000001</v>
      </c>
      <c r="R9" s="125">
        <v>43556</v>
      </c>
      <c r="S9" s="1">
        <f t="shared" si="11"/>
        <v>1400</v>
      </c>
      <c r="T9">
        <v>927</v>
      </c>
      <c r="U9" s="126">
        <f t="shared" si="6"/>
        <v>126</v>
      </c>
      <c r="V9" s="126">
        <f t="shared" si="7"/>
        <v>112</v>
      </c>
      <c r="W9" s="126">
        <f t="shared" si="8"/>
        <v>380.8</v>
      </c>
      <c r="X9" s="127"/>
      <c r="Y9" s="127">
        <f t="shared" si="9"/>
        <v>116.66666666666667</v>
      </c>
      <c r="Z9" s="127">
        <f t="shared" si="10"/>
        <v>155.55555555555554</v>
      </c>
    </row>
    <row r="10" spans="2:26" x14ac:dyDescent="0.3">
      <c r="B10" s="125">
        <v>43586</v>
      </c>
      <c r="C10" s="150">
        <v>1400</v>
      </c>
      <c r="D10" s="174">
        <f t="shared" ca="1" si="0"/>
        <v>521</v>
      </c>
      <c r="F10" s="126">
        <f t="shared" si="1"/>
        <v>126</v>
      </c>
      <c r="G10" s="159">
        <f t="shared" si="2"/>
        <v>112</v>
      </c>
      <c r="H10" s="160">
        <f t="shared" si="3"/>
        <v>380.8</v>
      </c>
      <c r="I10" s="127"/>
      <c r="J10" s="127">
        <f t="shared" si="4"/>
        <v>116.66666666666667</v>
      </c>
      <c r="K10" s="127">
        <f t="shared" si="5"/>
        <v>155.55555555555554</v>
      </c>
      <c r="R10" s="125">
        <v>43586</v>
      </c>
      <c r="S10" s="1">
        <f t="shared" si="11"/>
        <v>1400</v>
      </c>
      <c r="T10">
        <v>321</v>
      </c>
      <c r="U10" s="126">
        <f t="shared" si="6"/>
        <v>126</v>
      </c>
      <c r="V10" s="126">
        <f t="shared" si="7"/>
        <v>112</v>
      </c>
      <c r="W10" s="126">
        <f t="shared" si="8"/>
        <v>380.8</v>
      </c>
      <c r="X10" s="127"/>
      <c r="Y10" s="127">
        <f t="shared" si="9"/>
        <v>116.66666666666667</v>
      </c>
      <c r="Z10" s="127">
        <f t="shared" si="10"/>
        <v>155.55555555555554</v>
      </c>
    </row>
    <row r="11" spans="2:26" x14ac:dyDescent="0.3">
      <c r="B11" s="141">
        <v>43617</v>
      </c>
      <c r="C11" s="151">
        <f>C10*1.032</f>
        <v>1444.8</v>
      </c>
      <c r="D11" s="174">
        <f t="shared" ca="1" si="0"/>
        <v>763</v>
      </c>
      <c r="E11" s="142"/>
      <c r="F11" s="143">
        <f t="shared" si="1"/>
        <v>130.03199999999998</v>
      </c>
      <c r="G11" s="161">
        <f t="shared" si="2"/>
        <v>115.584</v>
      </c>
      <c r="H11" s="162">
        <f t="shared" si="3"/>
        <v>392.98560000000003</v>
      </c>
      <c r="I11" s="144"/>
      <c r="J11" s="144">
        <f t="shared" si="4"/>
        <v>120.39999999999999</v>
      </c>
      <c r="K11" s="144">
        <f t="shared" si="5"/>
        <v>160.53333333333333</v>
      </c>
      <c r="M11" s="128" t="s">
        <v>146</v>
      </c>
      <c r="N11" s="129">
        <v>0.08</v>
      </c>
      <c r="R11" s="125">
        <v>43617</v>
      </c>
      <c r="S11" s="1">
        <f>S10*1.032</f>
        <v>1444.8</v>
      </c>
      <c r="T11">
        <v>753</v>
      </c>
      <c r="U11" s="126">
        <f t="shared" si="6"/>
        <v>130.03199999999998</v>
      </c>
      <c r="V11" s="126">
        <f t="shared" si="7"/>
        <v>115.584</v>
      </c>
      <c r="W11" s="126">
        <f t="shared" si="8"/>
        <v>392.98560000000003</v>
      </c>
      <c r="X11" s="127"/>
      <c r="Y11" s="127">
        <f t="shared" si="9"/>
        <v>120.39999999999999</v>
      </c>
      <c r="Z11" s="127">
        <f t="shared" si="10"/>
        <v>160.53333333333333</v>
      </c>
    </row>
    <row r="12" spans="2:26" x14ac:dyDescent="0.3">
      <c r="B12" s="125">
        <v>43647</v>
      </c>
      <c r="C12" s="150">
        <f>C11</f>
        <v>1444.8</v>
      </c>
      <c r="D12" s="174">
        <f t="shared" ca="1" si="0"/>
        <v>659</v>
      </c>
      <c r="F12" s="126">
        <f t="shared" si="1"/>
        <v>130.03199999999998</v>
      </c>
      <c r="G12" s="159">
        <f t="shared" si="2"/>
        <v>115.584</v>
      </c>
      <c r="H12" s="160">
        <f t="shared" si="3"/>
        <v>392.98560000000003</v>
      </c>
      <c r="I12" s="127"/>
      <c r="J12" s="127">
        <f t="shared" si="4"/>
        <v>120.39999999999999</v>
      </c>
      <c r="K12" s="127">
        <f t="shared" si="5"/>
        <v>160.53333333333333</v>
      </c>
      <c r="M12" s="128" t="s">
        <v>143</v>
      </c>
      <c r="N12" s="130">
        <v>0.27200000000000002</v>
      </c>
      <c r="R12" s="125">
        <v>43647</v>
      </c>
      <c r="S12" s="1">
        <f>S11</f>
        <v>1444.8</v>
      </c>
      <c r="T12">
        <v>181</v>
      </c>
      <c r="U12" s="126">
        <f t="shared" si="6"/>
        <v>130.03199999999998</v>
      </c>
      <c r="V12" s="126">
        <f t="shared" si="7"/>
        <v>115.584</v>
      </c>
      <c r="W12" s="126">
        <f t="shared" si="8"/>
        <v>392.98560000000003</v>
      </c>
      <c r="X12" s="127"/>
      <c r="Y12" s="127">
        <f t="shared" si="9"/>
        <v>120.39999999999999</v>
      </c>
      <c r="Z12" s="127">
        <f t="shared" si="10"/>
        <v>160.53333333333333</v>
      </c>
    </row>
    <row r="13" spans="2:26" x14ac:dyDescent="0.3">
      <c r="B13" s="125">
        <v>43678</v>
      </c>
      <c r="C13" s="150">
        <f t="shared" ref="C13:C22" si="12">C12</f>
        <v>1444.8</v>
      </c>
      <c r="D13" s="174">
        <f t="shared" ca="1" si="0"/>
        <v>825</v>
      </c>
      <c r="F13" s="126">
        <f t="shared" si="1"/>
        <v>130.03199999999998</v>
      </c>
      <c r="G13" s="159">
        <f t="shared" si="2"/>
        <v>115.584</v>
      </c>
      <c r="H13" s="160">
        <f t="shared" si="3"/>
        <v>392.98560000000003</v>
      </c>
      <c r="I13" s="127"/>
      <c r="J13" s="127">
        <f t="shared" si="4"/>
        <v>120.39999999999999</v>
      </c>
      <c r="K13" s="127">
        <f t="shared" si="5"/>
        <v>160.53333333333333</v>
      </c>
      <c r="R13" s="125">
        <v>43678</v>
      </c>
      <c r="S13" s="1">
        <f t="shared" ref="S13:S22" si="13">S12</f>
        <v>1444.8</v>
      </c>
      <c r="T13">
        <v>820</v>
      </c>
      <c r="U13" s="126">
        <f t="shared" si="6"/>
        <v>130.03199999999998</v>
      </c>
      <c r="V13" s="126">
        <f t="shared" si="7"/>
        <v>115.584</v>
      </c>
      <c r="W13" s="126">
        <f t="shared" si="8"/>
        <v>392.98560000000003</v>
      </c>
      <c r="X13" s="127"/>
      <c r="Y13" s="127">
        <f t="shared" si="9"/>
        <v>120.39999999999999</v>
      </c>
      <c r="Z13" s="127">
        <f t="shared" si="10"/>
        <v>160.53333333333333</v>
      </c>
    </row>
    <row r="14" spans="2:26" x14ac:dyDescent="0.3">
      <c r="B14" s="125">
        <v>43709</v>
      </c>
      <c r="C14" s="150">
        <f t="shared" si="12"/>
        <v>1444.8</v>
      </c>
      <c r="D14" s="174">
        <f t="shared" ca="1" si="0"/>
        <v>701</v>
      </c>
      <c r="F14" s="126">
        <f t="shared" si="1"/>
        <v>130.03199999999998</v>
      </c>
      <c r="G14" s="159">
        <f t="shared" si="2"/>
        <v>115.584</v>
      </c>
      <c r="H14" s="160">
        <f t="shared" si="3"/>
        <v>392.98560000000003</v>
      </c>
      <c r="I14" s="127"/>
      <c r="J14" s="127">
        <f t="shared" si="4"/>
        <v>120.39999999999999</v>
      </c>
      <c r="K14" s="127">
        <f t="shared" si="5"/>
        <v>160.53333333333333</v>
      </c>
      <c r="M14" s="107" t="s">
        <v>57</v>
      </c>
      <c r="N14" s="107" t="s">
        <v>58</v>
      </c>
      <c r="O14" s="107" t="s">
        <v>59</v>
      </c>
      <c r="P14" s="107" t="s">
        <v>60</v>
      </c>
      <c r="R14" s="125">
        <v>43709</v>
      </c>
      <c r="S14" s="1">
        <f t="shared" si="13"/>
        <v>1444.8</v>
      </c>
      <c r="T14">
        <v>521</v>
      </c>
      <c r="U14" s="126">
        <f t="shared" si="6"/>
        <v>130.03199999999998</v>
      </c>
      <c r="V14" s="126">
        <f t="shared" si="7"/>
        <v>115.584</v>
      </c>
      <c r="W14" s="126">
        <f t="shared" si="8"/>
        <v>392.98560000000003</v>
      </c>
      <c r="X14" s="127"/>
      <c r="Y14" s="127">
        <f t="shared" si="9"/>
        <v>120.39999999999999</v>
      </c>
      <c r="Z14" s="127">
        <f t="shared" si="10"/>
        <v>160.53333333333333</v>
      </c>
    </row>
    <row r="15" spans="2:26" x14ac:dyDescent="0.3">
      <c r="B15" s="125">
        <v>43739</v>
      </c>
      <c r="C15" s="150">
        <f t="shared" si="12"/>
        <v>1444.8</v>
      </c>
      <c r="D15" s="174">
        <f t="shared" ca="1" si="0"/>
        <v>711</v>
      </c>
      <c r="F15" s="126">
        <f t="shared" si="1"/>
        <v>130.03199999999998</v>
      </c>
      <c r="G15" s="159">
        <f t="shared" si="2"/>
        <v>115.584</v>
      </c>
      <c r="H15" s="160">
        <f t="shared" si="3"/>
        <v>392.98560000000003</v>
      </c>
      <c r="I15" s="127"/>
      <c r="J15" s="127">
        <f t="shared" si="4"/>
        <v>120.39999999999999</v>
      </c>
      <c r="K15" s="127">
        <f t="shared" si="5"/>
        <v>160.53333333333333</v>
      </c>
      <c r="M15" s="107"/>
      <c r="N15" s="107"/>
      <c r="O15" s="107"/>
      <c r="P15" s="107" t="s">
        <v>61</v>
      </c>
      <c r="R15" s="125">
        <v>43739</v>
      </c>
      <c r="S15" s="1">
        <f t="shared" si="13"/>
        <v>1444.8</v>
      </c>
      <c r="T15">
        <v>571</v>
      </c>
      <c r="U15" s="126">
        <f t="shared" si="6"/>
        <v>130.03199999999998</v>
      </c>
      <c r="V15" s="126">
        <f t="shared" si="7"/>
        <v>115.584</v>
      </c>
      <c r="W15" s="126">
        <f t="shared" si="8"/>
        <v>392.98560000000003</v>
      </c>
      <c r="X15" s="127"/>
      <c r="Y15" s="127">
        <f t="shared" si="9"/>
        <v>120.39999999999999</v>
      </c>
      <c r="Z15" s="127">
        <f t="shared" si="10"/>
        <v>160.53333333333333</v>
      </c>
    </row>
    <row r="16" spans="2:26" x14ac:dyDescent="0.3">
      <c r="B16" s="125">
        <v>43770</v>
      </c>
      <c r="C16" s="150">
        <f t="shared" si="12"/>
        <v>1444.8</v>
      </c>
      <c r="D16" s="174">
        <f t="shared" ca="1" si="0"/>
        <v>545</v>
      </c>
      <c r="F16" s="126">
        <f t="shared" si="1"/>
        <v>130.03199999999998</v>
      </c>
      <c r="G16" s="159">
        <f t="shared" si="2"/>
        <v>115.584</v>
      </c>
      <c r="H16" s="160">
        <f t="shared" si="3"/>
        <v>392.98560000000003</v>
      </c>
      <c r="I16" s="127"/>
      <c r="J16" s="127">
        <f t="shared" si="4"/>
        <v>120.39999999999999</v>
      </c>
      <c r="K16" s="127">
        <f t="shared" si="5"/>
        <v>160.53333333333333</v>
      </c>
      <c r="M16" s="137" t="s">
        <v>123</v>
      </c>
      <c r="N16" s="108" t="s">
        <v>62</v>
      </c>
      <c r="O16" s="108" t="s">
        <v>63</v>
      </c>
      <c r="P16" s="108" t="s">
        <v>63</v>
      </c>
      <c r="R16" s="125">
        <v>43770</v>
      </c>
      <c r="S16" s="1">
        <f t="shared" si="13"/>
        <v>1444.8</v>
      </c>
      <c r="T16">
        <v>661</v>
      </c>
      <c r="U16" s="126">
        <f t="shared" si="6"/>
        <v>130.03199999999998</v>
      </c>
      <c r="V16" s="126">
        <f t="shared" si="7"/>
        <v>115.584</v>
      </c>
      <c r="W16" s="126">
        <f t="shared" si="8"/>
        <v>392.98560000000003</v>
      </c>
      <c r="X16" s="127"/>
      <c r="Y16" s="127">
        <f t="shared" si="9"/>
        <v>120.39999999999999</v>
      </c>
      <c r="Z16" s="127">
        <f t="shared" si="10"/>
        <v>160.53333333333333</v>
      </c>
    </row>
    <row r="17" spans="1:27" ht="13.2" customHeight="1" x14ac:dyDescent="0.3">
      <c r="B17" s="131">
        <v>43800</v>
      </c>
      <c r="C17" s="152">
        <f t="shared" si="12"/>
        <v>1444.8</v>
      </c>
      <c r="D17" s="174">
        <f t="shared" ca="1" si="0"/>
        <v>594</v>
      </c>
      <c r="E17" s="123"/>
      <c r="F17" s="132">
        <f t="shared" si="1"/>
        <v>130.03199999999998</v>
      </c>
      <c r="G17" s="163">
        <f t="shared" si="2"/>
        <v>115.584</v>
      </c>
      <c r="H17" s="164">
        <f t="shared" si="3"/>
        <v>392.98560000000003</v>
      </c>
      <c r="I17" s="133"/>
      <c r="J17" s="133">
        <f t="shared" si="4"/>
        <v>120.39999999999999</v>
      </c>
      <c r="K17" s="133">
        <f t="shared" si="5"/>
        <v>160.53333333333333</v>
      </c>
      <c r="M17" s="137"/>
      <c r="N17" s="108" t="s">
        <v>64</v>
      </c>
      <c r="O17" s="108">
        <v>7.5</v>
      </c>
      <c r="P17" s="108">
        <v>142.80000000000001</v>
      </c>
      <c r="R17" s="131">
        <v>43800</v>
      </c>
      <c r="S17" s="11">
        <f t="shared" si="13"/>
        <v>1444.8</v>
      </c>
      <c r="T17" s="123">
        <v>577</v>
      </c>
      <c r="U17" s="126">
        <f t="shared" si="6"/>
        <v>130.03199999999998</v>
      </c>
      <c r="V17" s="132">
        <f t="shared" si="7"/>
        <v>115.584</v>
      </c>
      <c r="W17" s="132">
        <f t="shared" si="8"/>
        <v>392.98560000000003</v>
      </c>
      <c r="X17" s="133"/>
      <c r="Y17" s="133">
        <f t="shared" si="9"/>
        <v>120.39999999999999</v>
      </c>
      <c r="Z17" s="133">
        <f t="shared" si="10"/>
        <v>160.53333333333333</v>
      </c>
    </row>
    <row r="18" spans="1:27" ht="13.2" customHeight="1" x14ac:dyDescent="0.3">
      <c r="B18" s="131">
        <v>43831</v>
      </c>
      <c r="C18" s="152">
        <f t="shared" si="12"/>
        <v>1444.8</v>
      </c>
      <c r="D18" s="174">
        <f t="shared" ca="1" si="0"/>
        <v>678</v>
      </c>
      <c r="E18" s="123"/>
      <c r="F18" s="132">
        <f t="shared" si="1"/>
        <v>130.03199999999998</v>
      </c>
      <c r="G18" s="163">
        <f t="shared" si="2"/>
        <v>115.584</v>
      </c>
      <c r="H18" s="164">
        <f t="shared" si="3"/>
        <v>392.98560000000003</v>
      </c>
      <c r="I18" s="133"/>
      <c r="J18" s="133">
        <f t="shared" si="4"/>
        <v>120.39999999999999</v>
      </c>
      <c r="K18" s="133">
        <f t="shared" si="5"/>
        <v>160.53333333333333</v>
      </c>
      <c r="L18" s="127"/>
      <c r="M18" s="137"/>
      <c r="N18" s="108" t="s">
        <v>65</v>
      </c>
      <c r="O18" s="108">
        <v>15</v>
      </c>
      <c r="P18" s="108">
        <v>354.8</v>
      </c>
      <c r="R18" s="131">
        <v>43831</v>
      </c>
      <c r="S18" s="11">
        <f t="shared" si="13"/>
        <v>1444.8</v>
      </c>
      <c r="T18" s="123">
        <v>285</v>
      </c>
      <c r="U18" s="126">
        <f t="shared" si="6"/>
        <v>130.03199999999998</v>
      </c>
      <c r="V18" s="132">
        <f t="shared" si="7"/>
        <v>115.584</v>
      </c>
      <c r="W18" s="132">
        <f t="shared" si="8"/>
        <v>392.98560000000003</v>
      </c>
      <c r="X18" s="133"/>
      <c r="Y18" s="133">
        <f t="shared" si="9"/>
        <v>120.39999999999999</v>
      </c>
      <c r="Z18" s="133">
        <f t="shared" si="10"/>
        <v>160.53333333333333</v>
      </c>
    </row>
    <row r="19" spans="1:27" ht="13.2" customHeight="1" x14ac:dyDescent="0.3">
      <c r="B19" s="125">
        <v>43862</v>
      </c>
      <c r="C19" s="150">
        <f t="shared" si="12"/>
        <v>1444.8</v>
      </c>
      <c r="D19" s="174">
        <f t="shared" ca="1" si="0"/>
        <v>587</v>
      </c>
      <c r="F19" s="126">
        <f t="shared" si="1"/>
        <v>130.03199999999998</v>
      </c>
      <c r="G19" s="159">
        <f t="shared" si="2"/>
        <v>115.584</v>
      </c>
      <c r="H19" s="160">
        <f t="shared" si="3"/>
        <v>392.98560000000003</v>
      </c>
      <c r="I19" s="127"/>
      <c r="J19" s="127">
        <f t="shared" si="4"/>
        <v>120.39999999999999</v>
      </c>
      <c r="K19" s="127">
        <f t="shared" si="5"/>
        <v>160.53333333333333</v>
      </c>
      <c r="M19" s="137"/>
      <c r="N19" s="108" t="s">
        <v>66</v>
      </c>
      <c r="O19" s="108">
        <v>22.5</v>
      </c>
      <c r="P19" s="108">
        <v>636.13</v>
      </c>
      <c r="R19" s="125">
        <v>43862</v>
      </c>
      <c r="S19" s="1">
        <v>2100</v>
      </c>
      <c r="T19">
        <v>388</v>
      </c>
      <c r="U19" s="126">
        <f>S19*$N$8</f>
        <v>252</v>
      </c>
      <c r="V19" s="126">
        <f t="shared" si="7"/>
        <v>168</v>
      </c>
      <c r="W19" s="126">
        <f t="shared" si="8"/>
        <v>571.20000000000005</v>
      </c>
      <c r="X19" s="127"/>
      <c r="Y19" s="127">
        <f t="shared" si="9"/>
        <v>175</v>
      </c>
      <c r="Z19" s="127">
        <f t="shared" si="10"/>
        <v>233.33333333333334</v>
      </c>
    </row>
    <row r="20" spans="1:27" x14ac:dyDescent="0.3">
      <c r="B20" s="125">
        <v>43891</v>
      </c>
      <c r="C20" s="150">
        <f t="shared" si="12"/>
        <v>1444.8</v>
      </c>
      <c r="D20" s="174">
        <f t="shared" ca="1" si="0"/>
        <v>690</v>
      </c>
      <c r="F20" s="126">
        <f t="shared" si="1"/>
        <v>130.03199999999998</v>
      </c>
      <c r="G20" s="159">
        <f t="shared" si="2"/>
        <v>115.584</v>
      </c>
      <c r="H20" s="160">
        <f t="shared" si="3"/>
        <v>392.98560000000003</v>
      </c>
      <c r="I20" s="127"/>
      <c r="J20" s="127">
        <f t="shared" si="4"/>
        <v>120.39999999999999</v>
      </c>
      <c r="K20" s="127">
        <f t="shared" si="5"/>
        <v>160.53333333333333</v>
      </c>
      <c r="M20" s="137"/>
      <c r="N20" s="108" t="s">
        <v>67</v>
      </c>
      <c r="O20" s="108">
        <v>27.5</v>
      </c>
      <c r="P20" s="108">
        <v>869.36</v>
      </c>
      <c r="R20" s="125">
        <v>43891</v>
      </c>
      <c r="S20" s="1">
        <f t="shared" si="13"/>
        <v>2100</v>
      </c>
      <c r="T20">
        <v>329</v>
      </c>
      <c r="U20" s="126">
        <f t="shared" ref="U20:U27" si="14">S20*$N$8</f>
        <v>252</v>
      </c>
      <c r="V20" s="126">
        <f t="shared" si="7"/>
        <v>168</v>
      </c>
      <c r="W20" s="126">
        <f t="shared" si="8"/>
        <v>571.20000000000005</v>
      </c>
      <c r="X20" s="127"/>
      <c r="Y20" s="127">
        <f t="shared" si="9"/>
        <v>175</v>
      </c>
      <c r="Z20" s="127">
        <f t="shared" si="10"/>
        <v>233.33333333333334</v>
      </c>
    </row>
    <row r="21" spans="1:27" x14ac:dyDescent="0.3">
      <c r="B21" s="125">
        <v>43922</v>
      </c>
      <c r="C21" s="150">
        <f t="shared" si="12"/>
        <v>1444.8</v>
      </c>
      <c r="D21" s="174">
        <f t="shared" ca="1" si="0"/>
        <v>590</v>
      </c>
      <c r="F21" s="126">
        <f t="shared" si="1"/>
        <v>130.03199999999998</v>
      </c>
      <c r="G21" s="159">
        <f t="shared" si="2"/>
        <v>115.584</v>
      </c>
      <c r="H21" s="160">
        <f t="shared" si="3"/>
        <v>392.98560000000003</v>
      </c>
      <c r="I21" s="127"/>
      <c r="J21" s="127">
        <f t="shared" si="4"/>
        <v>120.39999999999999</v>
      </c>
      <c r="K21" s="127">
        <f t="shared" si="5"/>
        <v>160.53333333333333</v>
      </c>
      <c r="M21" s="147" t="s">
        <v>99</v>
      </c>
      <c r="N21" s="147"/>
      <c r="O21" s="147"/>
      <c r="P21" s="147"/>
      <c r="R21" s="125">
        <v>43922</v>
      </c>
      <c r="S21" s="1">
        <f t="shared" si="13"/>
        <v>2100</v>
      </c>
      <c r="T21">
        <v>309</v>
      </c>
      <c r="U21" s="126">
        <f t="shared" si="14"/>
        <v>252</v>
      </c>
      <c r="V21" s="126">
        <f t="shared" si="7"/>
        <v>168</v>
      </c>
      <c r="W21" s="126">
        <f t="shared" si="8"/>
        <v>571.20000000000005</v>
      </c>
      <c r="X21" s="127"/>
      <c r="Y21" s="127">
        <f t="shared" si="9"/>
        <v>175</v>
      </c>
      <c r="Z21" s="127">
        <f t="shared" si="10"/>
        <v>233.33333333333334</v>
      </c>
    </row>
    <row r="22" spans="1:27" x14ac:dyDescent="0.3">
      <c r="B22" s="125">
        <v>43952</v>
      </c>
      <c r="C22" s="150">
        <f t="shared" si="12"/>
        <v>1444.8</v>
      </c>
      <c r="D22" s="174">
        <f t="shared" ca="1" si="0"/>
        <v>740</v>
      </c>
      <c r="F22" s="126">
        <f t="shared" si="1"/>
        <v>130.03199999999998</v>
      </c>
      <c r="G22" s="159">
        <f t="shared" si="2"/>
        <v>115.584</v>
      </c>
      <c r="H22" s="160">
        <f t="shared" si="3"/>
        <v>392.98560000000003</v>
      </c>
      <c r="I22" s="127"/>
      <c r="J22" s="127">
        <f t="shared" si="4"/>
        <v>120.39999999999999</v>
      </c>
      <c r="K22" s="127">
        <f t="shared" si="5"/>
        <v>160.53333333333333</v>
      </c>
      <c r="R22" s="125">
        <v>43952</v>
      </c>
      <c r="S22" s="1">
        <f t="shared" si="13"/>
        <v>2100</v>
      </c>
      <c r="T22">
        <v>372</v>
      </c>
      <c r="U22" s="126">
        <f t="shared" si="14"/>
        <v>252</v>
      </c>
      <c r="V22" s="126">
        <f t="shared" si="7"/>
        <v>168</v>
      </c>
      <c r="W22" s="126">
        <f t="shared" si="8"/>
        <v>571.20000000000005</v>
      </c>
      <c r="X22" s="127"/>
      <c r="Y22" s="127">
        <f t="shared" si="9"/>
        <v>175</v>
      </c>
      <c r="Z22" s="127">
        <f t="shared" si="10"/>
        <v>233.33333333333334</v>
      </c>
    </row>
    <row r="23" spans="1:27" x14ac:dyDescent="0.3">
      <c r="B23" s="141">
        <v>43983</v>
      </c>
      <c r="C23" s="151">
        <f>C22*1.012</f>
        <v>1462.1376</v>
      </c>
      <c r="D23" s="174">
        <f t="shared" ca="1" si="0"/>
        <v>793</v>
      </c>
      <c r="E23" s="142"/>
      <c r="F23" s="143">
        <f t="shared" si="1"/>
        <v>131.59238400000001</v>
      </c>
      <c r="G23" s="161">
        <f t="shared" si="2"/>
        <v>116.971008</v>
      </c>
      <c r="H23" s="162">
        <f t="shared" si="3"/>
        <v>397.70142720000001</v>
      </c>
      <c r="I23" s="144"/>
      <c r="J23" s="144">
        <f t="shared" si="4"/>
        <v>121.84480000000001</v>
      </c>
      <c r="K23" s="144">
        <f t="shared" si="5"/>
        <v>162.45973333333333</v>
      </c>
      <c r="M23" s="87" t="s">
        <v>39</v>
      </c>
      <c r="N23" s="88" t="s">
        <v>40</v>
      </c>
      <c r="R23" s="125">
        <v>43983</v>
      </c>
      <c r="S23" s="1">
        <f>S22*1.012</f>
        <v>2125.1999999999998</v>
      </c>
      <c r="T23">
        <v>390</v>
      </c>
      <c r="U23" s="126">
        <f t="shared" si="14"/>
        <v>255.02399999999997</v>
      </c>
      <c r="V23" s="126">
        <f t="shared" si="7"/>
        <v>170.01599999999999</v>
      </c>
      <c r="W23" s="126">
        <f t="shared" si="8"/>
        <v>578.05439999999999</v>
      </c>
      <c r="X23" s="127"/>
      <c r="Y23" s="127">
        <f t="shared" si="9"/>
        <v>177.1</v>
      </c>
      <c r="Z23" s="127">
        <f t="shared" si="10"/>
        <v>236.13333333333333</v>
      </c>
    </row>
    <row r="24" spans="1:27" x14ac:dyDescent="0.3">
      <c r="B24" s="125">
        <v>44013</v>
      </c>
      <c r="C24" s="150">
        <f>C23</f>
        <v>1462.1376</v>
      </c>
      <c r="D24" s="174">
        <f t="shared" ca="1" si="0"/>
        <v>500</v>
      </c>
      <c r="F24" s="126">
        <f t="shared" si="1"/>
        <v>131.59238400000001</v>
      </c>
      <c r="G24" s="159">
        <f t="shared" si="2"/>
        <v>116.971008</v>
      </c>
      <c r="H24" s="160">
        <f t="shared" si="3"/>
        <v>397.70142720000001</v>
      </c>
      <c r="I24" s="127"/>
      <c r="J24" s="127">
        <f t="shared" si="4"/>
        <v>121.84480000000001</v>
      </c>
      <c r="K24" s="127">
        <f t="shared" si="5"/>
        <v>162.45973333333333</v>
      </c>
      <c r="M24" s="89" t="s">
        <v>41</v>
      </c>
      <c r="N24" s="90">
        <v>5.5</v>
      </c>
      <c r="R24" s="125">
        <v>44013</v>
      </c>
      <c r="S24" s="1">
        <f>S23</f>
        <v>2125.1999999999998</v>
      </c>
      <c r="T24">
        <v>242</v>
      </c>
      <c r="U24" s="126">
        <f t="shared" si="14"/>
        <v>255.02399999999997</v>
      </c>
      <c r="V24" s="126">
        <f t="shared" si="7"/>
        <v>170.01599999999999</v>
      </c>
      <c r="W24" s="126">
        <f t="shared" si="8"/>
        <v>578.05439999999999</v>
      </c>
      <c r="X24" s="127"/>
      <c r="Y24" s="127">
        <f t="shared" si="9"/>
        <v>177.1</v>
      </c>
      <c r="Z24" s="127">
        <f t="shared" si="10"/>
        <v>236.13333333333333</v>
      </c>
    </row>
    <row r="25" spans="1:27" x14ac:dyDescent="0.3">
      <c r="B25" s="125">
        <v>44044</v>
      </c>
      <c r="C25" s="150">
        <f t="shared" ref="C25:C27" si="15">C24</f>
        <v>1462.1376</v>
      </c>
      <c r="D25" s="174">
        <f t="shared" ca="1" si="0"/>
        <v>541</v>
      </c>
      <c r="F25" s="126">
        <f t="shared" si="1"/>
        <v>131.59238400000001</v>
      </c>
      <c r="G25" s="159">
        <f t="shared" si="2"/>
        <v>116.971008</v>
      </c>
      <c r="H25" s="160">
        <f t="shared" si="3"/>
        <v>397.70142720000001</v>
      </c>
      <c r="I25" s="127"/>
      <c r="J25" s="127">
        <f t="shared" si="4"/>
        <v>121.84480000000001</v>
      </c>
      <c r="K25" s="127">
        <f t="shared" si="5"/>
        <v>162.45973333333333</v>
      </c>
      <c r="M25" s="89" t="s">
        <v>42</v>
      </c>
      <c r="N25" s="91" t="s">
        <v>43</v>
      </c>
      <c r="R25" s="125">
        <v>44044</v>
      </c>
      <c r="S25" s="1">
        <f t="shared" ref="S25:S27" si="16">S24</f>
        <v>2125.1999999999998</v>
      </c>
      <c r="T25">
        <v>348</v>
      </c>
      <c r="U25" s="126">
        <f t="shared" si="14"/>
        <v>255.02399999999997</v>
      </c>
      <c r="V25" s="126">
        <f t="shared" si="7"/>
        <v>170.01599999999999</v>
      </c>
      <c r="W25" s="126">
        <f t="shared" si="8"/>
        <v>578.05439999999999</v>
      </c>
      <c r="X25" s="127"/>
      <c r="Y25" s="127">
        <f t="shared" si="9"/>
        <v>177.1</v>
      </c>
      <c r="Z25" s="127">
        <f t="shared" si="10"/>
        <v>236.13333333333333</v>
      </c>
    </row>
    <row r="26" spans="1:27" x14ac:dyDescent="0.3">
      <c r="B26" s="125">
        <v>44075</v>
      </c>
      <c r="C26" s="149">
        <f t="shared" si="15"/>
        <v>1462.1376</v>
      </c>
      <c r="D26" s="174">
        <f t="shared" ca="1" si="0"/>
        <v>661</v>
      </c>
      <c r="F26" s="126">
        <f t="shared" si="1"/>
        <v>131.59238400000001</v>
      </c>
      <c r="G26" s="159">
        <f t="shared" si="2"/>
        <v>116.971008</v>
      </c>
      <c r="H26" s="160">
        <f t="shared" si="3"/>
        <v>397.70142720000001</v>
      </c>
      <c r="I26" s="127"/>
      <c r="J26" s="127">
        <f t="shared" si="4"/>
        <v>121.84480000000001</v>
      </c>
      <c r="K26" s="127">
        <f t="shared" si="5"/>
        <v>162.45973333333333</v>
      </c>
      <c r="M26" s="92" t="s">
        <v>44</v>
      </c>
      <c r="N26" s="93" t="s">
        <v>45</v>
      </c>
      <c r="R26" s="125">
        <v>44075</v>
      </c>
      <c r="S26" s="1">
        <f t="shared" si="16"/>
        <v>2125.1999999999998</v>
      </c>
      <c r="T26">
        <v>651</v>
      </c>
      <c r="U26" s="126">
        <f t="shared" si="14"/>
        <v>255.02399999999997</v>
      </c>
      <c r="V26" s="126">
        <f t="shared" si="7"/>
        <v>170.01599999999999</v>
      </c>
      <c r="W26" s="126">
        <f t="shared" si="8"/>
        <v>578.05439999999999</v>
      </c>
      <c r="X26" s="127"/>
      <c r="Y26" s="127">
        <f t="shared" si="9"/>
        <v>177.1</v>
      </c>
      <c r="Z26" s="127">
        <f t="shared" si="10"/>
        <v>236.13333333333333</v>
      </c>
    </row>
    <row r="27" spans="1:27" ht="15" thickBot="1" x14ac:dyDescent="0.35">
      <c r="A27" s="155" t="s">
        <v>147</v>
      </c>
      <c r="B27" s="156">
        <v>44105</v>
      </c>
      <c r="C27" s="149">
        <f t="shared" si="15"/>
        <v>1462.1376</v>
      </c>
      <c r="D27" s="174">
        <f t="shared" ca="1" si="0"/>
        <v>609</v>
      </c>
      <c r="F27" s="126">
        <f t="shared" si="1"/>
        <v>131.59238400000001</v>
      </c>
      <c r="G27" s="165">
        <f t="shared" si="2"/>
        <v>116.971008</v>
      </c>
      <c r="H27" s="166">
        <f t="shared" si="3"/>
        <v>397.70142720000001</v>
      </c>
      <c r="I27" s="127"/>
      <c r="J27" s="127">
        <f t="shared" si="4"/>
        <v>121.84480000000001</v>
      </c>
      <c r="K27" s="127">
        <f t="shared" si="5"/>
        <v>162.45973333333333</v>
      </c>
      <c r="N27" s="122"/>
      <c r="R27" s="125">
        <v>44105</v>
      </c>
      <c r="S27" s="1">
        <f t="shared" si="16"/>
        <v>2125.1999999999998</v>
      </c>
      <c r="T27">
        <v>735</v>
      </c>
      <c r="U27" s="126">
        <f t="shared" si="14"/>
        <v>255.02399999999997</v>
      </c>
      <c r="V27" s="126">
        <f t="shared" si="7"/>
        <v>170.01599999999999</v>
      </c>
      <c r="W27" s="126">
        <f t="shared" si="8"/>
        <v>578.05439999999999</v>
      </c>
      <c r="X27" s="127"/>
      <c r="Y27" s="127">
        <f t="shared" si="9"/>
        <v>177.1</v>
      </c>
      <c r="Z27" s="127">
        <f t="shared" si="10"/>
        <v>236.13333333333333</v>
      </c>
    </row>
    <row r="28" spans="1:27" x14ac:dyDescent="0.3">
      <c r="M28" s="87" t="s">
        <v>86</v>
      </c>
      <c r="N28" s="134">
        <v>0.08</v>
      </c>
      <c r="S28" s="1"/>
      <c r="U28" s="122"/>
      <c r="V28" s="122"/>
      <c r="W28" s="122"/>
    </row>
    <row r="29" spans="1:27" ht="15" thickBot="1" x14ac:dyDescent="0.35">
      <c r="C29" s="169">
        <f>SUM(C6:C27)</f>
        <v>31648.288</v>
      </c>
      <c r="D29" s="169">
        <f ca="1">SUM(D6:D27)</f>
        <v>14578</v>
      </c>
      <c r="E29" s="170"/>
      <c r="F29" s="171">
        <f>SUM(F6:F27)</f>
        <v>2848.3459199999998</v>
      </c>
      <c r="G29" s="171">
        <f t="shared" ref="G29:H29" si="17">SUM(G6:G27)</f>
        <v>2531.8630400000006</v>
      </c>
      <c r="H29" s="171">
        <f t="shared" si="17"/>
        <v>8608.3343359999981</v>
      </c>
      <c r="I29" s="172"/>
      <c r="J29" s="172">
        <f>SUM(J6:J27)</f>
        <v>2637.3573333333334</v>
      </c>
      <c r="K29" s="172">
        <f>SUM(K6:K27)</f>
        <v>3516.4764444444431</v>
      </c>
      <c r="M29" s="92" t="s">
        <v>85</v>
      </c>
      <c r="N29" s="135">
        <v>0.27200000000000002</v>
      </c>
      <c r="S29" s="1">
        <f>SUM(S6:S27)</f>
        <v>37584.399999999987</v>
      </c>
      <c r="U29" s="132">
        <f>SUM(U6:U27)</f>
        <v>3953.3759999999988</v>
      </c>
      <c r="V29" s="132">
        <f>SUM(V6:V27)</f>
        <v>3006.7520000000009</v>
      </c>
      <c r="W29" s="132">
        <f>SUM(W6:W27)</f>
        <v>10222.9568</v>
      </c>
      <c r="X29" s="133"/>
      <c r="Y29" s="133">
        <f>SUM(Y6:Y27)</f>
        <v>3132.0333333333333</v>
      </c>
      <c r="Z29" s="133">
        <f>SUM(Z6:Z27)</f>
        <v>4176.0444444444447</v>
      </c>
    </row>
    <row r="30" spans="1:27" x14ac:dyDescent="0.3">
      <c r="D30" s="127">
        <f ca="1">D29*G3</f>
        <v>7966.0671111111124</v>
      </c>
      <c r="R30" s="127">
        <f>SUM(S30:Z30)</f>
        <v>10284.897503999988</v>
      </c>
      <c r="S30" s="127">
        <f>S29-C29</f>
        <v>5936.1119999999864</v>
      </c>
      <c r="U30" s="127">
        <f>U29-F29</f>
        <v>1105.0300799999991</v>
      </c>
      <c r="V30" s="127">
        <f>(V29-G29)</f>
        <v>474.88896000000022</v>
      </c>
      <c r="W30" s="127">
        <f>(W29-H29)</f>
        <v>1614.6224640000019</v>
      </c>
      <c r="Y30" s="127">
        <f>Y29-J29</f>
        <v>494.67599999999993</v>
      </c>
      <c r="Z30" s="127">
        <f>Z29-K29</f>
        <v>659.56800000000158</v>
      </c>
      <c r="AA30" s="127"/>
    </row>
    <row r="32" spans="1:27" x14ac:dyDescent="0.3">
      <c r="B32" s="123" t="s">
        <v>136</v>
      </c>
      <c r="C32" s="1" t="s">
        <v>137</v>
      </c>
    </row>
    <row r="33" spans="2:13" x14ac:dyDescent="0.3">
      <c r="B33" s="123" t="s">
        <v>133</v>
      </c>
      <c r="C33" s="1" t="s">
        <v>134</v>
      </c>
      <c r="E33" t="s">
        <v>148</v>
      </c>
      <c r="F33" s="139" t="s">
        <v>138</v>
      </c>
      <c r="G33" s="139"/>
      <c r="H33" s="139"/>
      <c r="J33" s="140" t="s">
        <v>105</v>
      </c>
      <c r="K33" s="140"/>
    </row>
    <row r="34" spans="2:13" x14ac:dyDescent="0.3">
      <c r="C34" s="11" t="s">
        <v>139</v>
      </c>
      <c r="D34" s="123" t="s">
        <v>140</v>
      </c>
      <c r="E34" s="123"/>
      <c r="F34" s="124" t="s">
        <v>141</v>
      </c>
      <c r="G34" s="124" t="s">
        <v>142</v>
      </c>
      <c r="H34" s="124" t="s">
        <v>143</v>
      </c>
      <c r="I34" s="123"/>
      <c r="J34" t="s">
        <v>150</v>
      </c>
      <c r="K34" s="124" t="s">
        <v>151</v>
      </c>
    </row>
    <row r="35" spans="2:13" x14ac:dyDescent="0.3">
      <c r="B35" s="125">
        <v>43466</v>
      </c>
      <c r="C35" s="1">
        <v>2100</v>
      </c>
      <c r="D35">
        <v>755</v>
      </c>
      <c r="E35" s="127">
        <f>C35+D35</f>
        <v>2855</v>
      </c>
      <c r="F35" s="126">
        <f>IF(E35&lt;=1045,E35*0.075,IF(E35&lt;=2089.6,E35*0.09,IF(E35&lt;=3134.4,E35*0.12,IF(E35&lt;6101.06,6101.06*0.14))))</f>
        <v>342.59999999999997</v>
      </c>
      <c r="G35" s="126">
        <f>E35*0.08</f>
        <v>228.4</v>
      </c>
      <c r="H35" s="126">
        <f>E35*0.272</f>
        <v>776.56000000000006</v>
      </c>
      <c r="I35" s="127"/>
      <c r="J35" s="127">
        <f>E35/12</f>
        <v>237.91666666666666</v>
      </c>
      <c r="K35" s="127">
        <f>E35/9</f>
        <v>317.22222222222223</v>
      </c>
      <c r="M35" s="136">
        <f>F35/E35</f>
        <v>0.11999999999999998</v>
      </c>
    </row>
    <row r="36" spans="2:13" x14ac:dyDescent="0.3">
      <c r="B36" s="125">
        <v>43497</v>
      </c>
      <c r="C36" s="1">
        <v>2100</v>
      </c>
      <c r="D36">
        <v>223</v>
      </c>
      <c r="E36" s="127">
        <f t="shared" ref="E36:E56" si="18">C36+D36</f>
        <v>2323</v>
      </c>
      <c r="F36" s="126">
        <f>IF(E36&lt;=1045,E36*0.075,IF(E36&lt;=2089.6,E36*0.09,IF(E36&lt;=3134.4,E36*0.12,IF(E36&lt;6101.06,6101.06*0.14))))</f>
        <v>278.76</v>
      </c>
      <c r="G36" s="126">
        <f t="shared" ref="G36:G56" si="19">E36*0.08</f>
        <v>185.84</v>
      </c>
      <c r="H36" s="126">
        <f t="shared" ref="H36:H56" si="20">E36*0.272</f>
        <v>631.85599999999999</v>
      </c>
      <c r="I36" s="127"/>
      <c r="J36" s="127">
        <f t="shared" ref="J36:J56" si="21">E36/12</f>
        <v>193.58333333333334</v>
      </c>
      <c r="K36" s="127">
        <f t="shared" ref="K36:K56" si="22">E36/9</f>
        <v>258.11111111111109</v>
      </c>
      <c r="M36" s="136">
        <f>F36/E36</f>
        <v>0.12</v>
      </c>
    </row>
    <row r="37" spans="2:13" x14ac:dyDescent="0.3">
      <c r="B37" s="125">
        <v>43525</v>
      </c>
      <c r="C37" s="1">
        <v>2100</v>
      </c>
      <c r="D37">
        <v>718</v>
      </c>
      <c r="E37" s="127">
        <f t="shared" si="18"/>
        <v>2818</v>
      </c>
      <c r="F37" s="126">
        <f t="shared" ref="F37:F56" si="23">IF(E37&lt;=1045,E37*0.075,IF(E37&lt;=2089.6,E37*0.09,IF(E37&lt;=3134.4,E37*0.12,IF(E37&lt;6101.06,6101.06*0.14))))</f>
        <v>338.15999999999997</v>
      </c>
      <c r="G37" s="126">
        <f t="shared" si="19"/>
        <v>225.44</v>
      </c>
      <c r="H37" s="126">
        <f t="shared" si="20"/>
        <v>766.49600000000009</v>
      </c>
      <c r="I37" s="127"/>
      <c r="J37" s="127">
        <f t="shared" si="21"/>
        <v>234.83333333333334</v>
      </c>
      <c r="K37" s="127">
        <f t="shared" si="22"/>
        <v>313.11111111111109</v>
      </c>
      <c r="M37" s="136">
        <f t="shared" ref="M37:M56" si="24">F37/E37</f>
        <v>0.12</v>
      </c>
    </row>
    <row r="38" spans="2:13" x14ac:dyDescent="0.3">
      <c r="B38" s="125">
        <v>43556</v>
      </c>
      <c r="C38" s="1">
        <v>2100</v>
      </c>
      <c r="D38">
        <v>927</v>
      </c>
      <c r="E38" s="127">
        <f t="shared" si="18"/>
        <v>3027</v>
      </c>
      <c r="F38" s="126">
        <f t="shared" si="23"/>
        <v>363.24</v>
      </c>
      <c r="G38" s="126">
        <f t="shared" si="19"/>
        <v>242.16</v>
      </c>
      <c r="H38" s="126">
        <f t="shared" si="20"/>
        <v>823.34400000000005</v>
      </c>
      <c r="I38" s="127"/>
      <c r="J38" s="127">
        <f t="shared" si="21"/>
        <v>252.25</v>
      </c>
      <c r="K38" s="127">
        <f t="shared" si="22"/>
        <v>336.33333333333331</v>
      </c>
      <c r="M38" s="136">
        <f t="shared" si="24"/>
        <v>0.12000000000000001</v>
      </c>
    </row>
    <row r="39" spans="2:13" x14ac:dyDescent="0.3">
      <c r="B39" s="125">
        <v>43586</v>
      </c>
      <c r="C39" s="1">
        <v>2100</v>
      </c>
      <c r="D39">
        <v>321</v>
      </c>
      <c r="E39" s="127">
        <f t="shared" si="18"/>
        <v>2421</v>
      </c>
      <c r="F39" s="126">
        <f t="shared" si="23"/>
        <v>290.52</v>
      </c>
      <c r="G39" s="126">
        <f t="shared" si="19"/>
        <v>193.68</v>
      </c>
      <c r="H39" s="126">
        <f t="shared" si="20"/>
        <v>658.51200000000006</v>
      </c>
      <c r="I39" s="127"/>
      <c r="J39" s="127">
        <f t="shared" si="21"/>
        <v>201.75</v>
      </c>
      <c r="K39" s="127">
        <f t="shared" si="22"/>
        <v>269</v>
      </c>
      <c r="M39" s="136">
        <f t="shared" si="24"/>
        <v>0.12</v>
      </c>
    </row>
    <row r="40" spans="2:13" x14ac:dyDescent="0.3">
      <c r="B40" s="125">
        <v>43617</v>
      </c>
      <c r="C40" s="1">
        <f>C39*1.032</f>
        <v>2167.2000000000003</v>
      </c>
      <c r="D40">
        <v>753</v>
      </c>
      <c r="E40" s="127">
        <f t="shared" si="18"/>
        <v>2920.2000000000003</v>
      </c>
      <c r="F40" s="126">
        <f t="shared" si="23"/>
        <v>350.42400000000004</v>
      </c>
      <c r="G40" s="126">
        <f t="shared" si="19"/>
        <v>233.61600000000001</v>
      </c>
      <c r="H40" s="126">
        <f t="shared" si="20"/>
        <v>794.29440000000011</v>
      </c>
      <c r="I40" s="127"/>
      <c r="J40" s="127">
        <f t="shared" si="21"/>
        <v>243.35000000000002</v>
      </c>
      <c r="K40" s="127">
        <f t="shared" si="22"/>
        <v>324.4666666666667</v>
      </c>
      <c r="M40" s="136">
        <f t="shared" si="24"/>
        <v>0.12</v>
      </c>
    </row>
    <row r="41" spans="2:13" x14ac:dyDescent="0.3">
      <c r="B41" s="125">
        <v>43647</v>
      </c>
      <c r="C41" s="1">
        <f>C40</f>
        <v>2167.2000000000003</v>
      </c>
      <c r="D41">
        <v>181</v>
      </c>
      <c r="E41" s="127">
        <f t="shared" si="18"/>
        <v>2348.2000000000003</v>
      </c>
      <c r="F41" s="126">
        <f t="shared" si="23"/>
        <v>281.78400000000005</v>
      </c>
      <c r="G41" s="126">
        <f t="shared" si="19"/>
        <v>187.85600000000002</v>
      </c>
      <c r="H41" s="126">
        <f t="shared" si="20"/>
        <v>638.71040000000016</v>
      </c>
      <c r="I41" s="127"/>
      <c r="J41" s="127">
        <f t="shared" si="21"/>
        <v>195.68333333333337</v>
      </c>
      <c r="K41" s="127">
        <f t="shared" si="22"/>
        <v>260.91111111111115</v>
      </c>
      <c r="M41" s="136">
        <f t="shared" si="24"/>
        <v>0.12000000000000001</v>
      </c>
    </row>
    <row r="42" spans="2:13" x14ac:dyDescent="0.3">
      <c r="B42" s="125">
        <v>43678</v>
      </c>
      <c r="C42" s="1">
        <f t="shared" ref="C42:C51" si="25">C41</f>
        <v>2167.2000000000003</v>
      </c>
      <c r="D42">
        <v>820</v>
      </c>
      <c r="E42" s="127">
        <f t="shared" si="18"/>
        <v>2987.2000000000003</v>
      </c>
      <c r="F42" s="126">
        <f t="shared" si="23"/>
        <v>358.464</v>
      </c>
      <c r="G42" s="126">
        <f t="shared" si="19"/>
        <v>238.97600000000003</v>
      </c>
      <c r="H42" s="126">
        <f t="shared" si="20"/>
        <v>812.51840000000016</v>
      </c>
      <c r="I42" s="127"/>
      <c r="J42" s="127">
        <f t="shared" si="21"/>
        <v>248.93333333333337</v>
      </c>
      <c r="K42" s="127">
        <f t="shared" si="22"/>
        <v>331.91111111111115</v>
      </c>
      <c r="M42" s="136">
        <f t="shared" si="24"/>
        <v>0.11999999999999998</v>
      </c>
    </row>
    <row r="43" spans="2:13" x14ac:dyDescent="0.3">
      <c r="B43" s="125">
        <v>43709</v>
      </c>
      <c r="C43" s="1">
        <f t="shared" si="25"/>
        <v>2167.2000000000003</v>
      </c>
      <c r="D43">
        <v>521</v>
      </c>
      <c r="E43" s="127">
        <f t="shared" si="18"/>
        <v>2688.2000000000003</v>
      </c>
      <c r="F43" s="126">
        <f t="shared" si="23"/>
        <v>322.584</v>
      </c>
      <c r="G43" s="126">
        <f t="shared" si="19"/>
        <v>215.05600000000004</v>
      </c>
      <c r="H43" s="126">
        <f t="shared" si="20"/>
        <v>731.19040000000018</v>
      </c>
      <c r="I43" s="127"/>
      <c r="J43" s="127">
        <f t="shared" si="21"/>
        <v>224.01666666666668</v>
      </c>
      <c r="K43" s="127">
        <f t="shared" si="22"/>
        <v>298.68888888888893</v>
      </c>
      <c r="M43" s="136">
        <f t="shared" si="24"/>
        <v>0.12</v>
      </c>
    </row>
    <row r="44" spans="2:13" x14ac:dyDescent="0.3">
      <c r="B44" s="125">
        <v>43739</v>
      </c>
      <c r="C44" s="1">
        <f t="shared" si="25"/>
        <v>2167.2000000000003</v>
      </c>
      <c r="D44">
        <v>571</v>
      </c>
      <c r="E44" s="127">
        <f t="shared" si="18"/>
        <v>2738.2000000000003</v>
      </c>
      <c r="F44" s="126">
        <f t="shared" si="23"/>
        <v>328.584</v>
      </c>
      <c r="G44" s="126">
        <f t="shared" si="19"/>
        <v>219.05600000000004</v>
      </c>
      <c r="H44" s="126">
        <f t="shared" si="20"/>
        <v>744.79040000000009</v>
      </c>
      <c r="I44" s="127"/>
      <c r="J44" s="127">
        <f t="shared" si="21"/>
        <v>228.18333333333337</v>
      </c>
      <c r="K44" s="127">
        <f t="shared" si="22"/>
        <v>304.24444444444447</v>
      </c>
      <c r="M44" s="136">
        <f t="shared" si="24"/>
        <v>0.12</v>
      </c>
    </row>
    <row r="45" spans="2:13" x14ac:dyDescent="0.3">
      <c r="B45" s="125">
        <v>43770</v>
      </c>
      <c r="C45" s="1">
        <f t="shared" si="25"/>
        <v>2167.2000000000003</v>
      </c>
      <c r="D45">
        <v>661</v>
      </c>
      <c r="E45" s="127">
        <f t="shared" si="18"/>
        <v>2828.2000000000003</v>
      </c>
      <c r="F45" s="126">
        <f t="shared" si="23"/>
        <v>339.38400000000001</v>
      </c>
      <c r="G45" s="126">
        <f t="shared" si="19"/>
        <v>226.25600000000003</v>
      </c>
      <c r="H45" s="126">
        <f t="shared" si="20"/>
        <v>769.27040000000011</v>
      </c>
      <c r="I45" s="127"/>
      <c r="J45" s="127">
        <f t="shared" si="21"/>
        <v>235.68333333333337</v>
      </c>
      <c r="K45" s="127">
        <f t="shared" si="22"/>
        <v>314.24444444444447</v>
      </c>
      <c r="M45" s="136">
        <f t="shared" si="24"/>
        <v>0.12</v>
      </c>
    </row>
    <row r="46" spans="2:13" x14ac:dyDescent="0.3">
      <c r="B46" s="131">
        <v>43800</v>
      </c>
      <c r="C46" s="11">
        <f t="shared" si="25"/>
        <v>2167.2000000000003</v>
      </c>
      <c r="D46" s="123">
        <v>577</v>
      </c>
      <c r="E46" s="127">
        <f t="shared" si="18"/>
        <v>2744.2000000000003</v>
      </c>
      <c r="F46" s="126">
        <f t="shared" si="23"/>
        <v>329.30400000000003</v>
      </c>
      <c r="G46" s="126">
        <f t="shared" si="19"/>
        <v>219.53600000000003</v>
      </c>
      <c r="H46" s="126">
        <f t="shared" si="20"/>
        <v>746.42240000000015</v>
      </c>
      <c r="I46" s="133"/>
      <c r="J46" s="127">
        <f t="shared" si="21"/>
        <v>228.68333333333337</v>
      </c>
      <c r="K46" s="127">
        <f t="shared" si="22"/>
        <v>304.91111111111115</v>
      </c>
      <c r="M46" s="136">
        <f t="shared" si="24"/>
        <v>0.12</v>
      </c>
    </row>
    <row r="47" spans="2:13" x14ac:dyDescent="0.3">
      <c r="B47" s="131">
        <v>43831</v>
      </c>
      <c r="C47" s="11">
        <f>C46</f>
        <v>2167.2000000000003</v>
      </c>
      <c r="D47" s="123">
        <v>285</v>
      </c>
      <c r="E47" s="127">
        <f t="shared" si="18"/>
        <v>2452.2000000000003</v>
      </c>
      <c r="F47" s="126">
        <f t="shared" si="23"/>
        <v>294.26400000000001</v>
      </c>
      <c r="G47" s="126">
        <f t="shared" si="19"/>
        <v>196.17600000000002</v>
      </c>
      <c r="H47" s="126">
        <f t="shared" si="20"/>
        <v>666.99840000000017</v>
      </c>
      <c r="I47" s="133"/>
      <c r="J47" s="127">
        <f t="shared" si="21"/>
        <v>204.35000000000002</v>
      </c>
      <c r="K47" s="127">
        <f t="shared" si="22"/>
        <v>272.4666666666667</v>
      </c>
      <c r="M47" s="136">
        <f t="shared" si="24"/>
        <v>0.12</v>
      </c>
    </row>
    <row r="48" spans="2:13" x14ac:dyDescent="0.3">
      <c r="B48" s="125">
        <v>43862</v>
      </c>
      <c r="C48" s="1">
        <f t="shared" si="25"/>
        <v>2167.2000000000003</v>
      </c>
      <c r="D48">
        <v>388</v>
      </c>
      <c r="E48" s="127">
        <f t="shared" si="18"/>
        <v>2555.2000000000003</v>
      </c>
      <c r="F48" s="126">
        <f t="shared" si="23"/>
        <v>306.62400000000002</v>
      </c>
      <c r="G48" s="126">
        <f t="shared" si="19"/>
        <v>204.41600000000003</v>
      </c>
      <c r="H48" s="126">
        <f t="shared" si="20"/>
        <v>695.01440000000014</v>
      </c>
      <c r="I48" s="127"/>
      <c r="J48" s="127">
        <f t="shared" si="21"/>
        <v>212.93333333333337</v>
      </c>
      <c r="K48" s="127">
        <f t="shared" si="22"/>
        <v>283.91111111111115</v>
      </c>
      <c r="M48" s="136">
        <f t="shared" si="24"/>
        <v>0.12</v>
      </c>
    </row>
    <row r="49" spans="2:13" x14ac:dyDescent="0.3">
      <c r="B49" s="125">
        <v>43891</v>
      </c>
      <c r="C49" s="1">
        <f t="shared" si="25"/>
        <v>2167.2000000000003</v>
      </c>
      <c r="D49">
        <v>329</v>
      </c>
      <c r="E49" s="127">
        <f t="shared" si="18"/>
        <v>2496.2000000000003</v>
      </c>
      <c r="F49" s="126">
        <f t="shared" si="23"/>
        <v>299.54400000000004</v>
      </c>
      <c r="G49" s="126">
        <f t="shared" si="19"/>
        <v>199.69600000000003</v>
      </c>
      <c r="H49" s="126">
        <f t="shared" si="20"/>
        <v>678.96640000000014</v>
      </c>
      <c r="I49" s="127"/>
      <c r="J49" s="127">
        <f t="shared" si="21"/>
        <v>208.01666666666668</v>
      </c>
      <c r="K49" s="127">
        <f t="shared" si="22"/>
        <v>277.35555555555561</v>
      </c>
      <c r="M49" s="136">
        <f t="shared" si="24"/>
        <v>0.12000000000000001</v>
      </c>
    </row>
    <row r="50" spans="2:13" x14ac:dyDescent="0.3">
      <c r="B50" s="125">
        <v>43922</v>
      </c>
      <c r="C50" s="1">
        <f t="shared" si="25"/>
        <v>2167.2000000000003</v>
      </c>
      <c r="D50">
        <v>309</v>
      </c>
      <c r="E50" s="127">
        <f t="shared" si="18"/>
        <v>2476.2000000000003</v>
      </c>
      <c r="F50" s="126">
        <f t="shared" si="23"/>
        <v>297.14400000000001</v>
      </c>
      <c r="G50" s="126">
        <f t="shared" si="19"/>
        <v>198.09600000000003</v>
      </c>
      <c r="H50" s="126">
        <f t="shared" si="20"/>
        <v>673.52640000000008</v>
      </c>
      <c r="I50" s="127"/>
      <c r="J50" s="127">
        <f t="shared" si="21"/>
        <v>206.35000000000002</v>
      </c>
      <c r="K50" s="127">
        <f t="shared" si="22"/>
        <v>275.13333333333338</v>
      </c>
      <c r="M50" s="136">
        <f t="shared" si="24"/>
        <v>0.12</v>
      </c>
    </row>
    <row r="51" spans="2:13" x14ac:dyDescent="0.3">
      <c r="B51" s="125">
        <v>43952</v>
      </c>
      <c r="C51" s="1">
        <f t="shared" si="25"/>
        <v>2167.2000000000003</v>
      </c>
      <c r="D51">
        <v>372</v>
      </c>
      <c r="E51" s="127">
        <f t="shared" si="18"/>
        <v>2539.2000000000003</v>
      </c>
      <c r="F51" s="126">
        <f t="shared" si="23"/>
        <v>304.70400000000001</v>
      </c>
      <c r="G51" s="126">
        <f t="shared" si="19"/>
        <v>203.13600000000002</v>
      </c>
      <c r="H51" s="126">
        <f t="shared" si="20"/>
        <v>690.66240000000016</v>
      </c>
      <c r="I51" s="127"/>
      <c r="J51" s="127">
        <f t="shared" si="21"/>
        <v>211.60000000000002</v>
      </c>
      <c r="K51" s="127">
        <f t="shared" si="22"/>
        <v>282.13333333333338</v>
      </c>
      <c r="M51" s="136">
        <f t="shared" si="24"/>
        <v>0.12</v>
      </c>
    </row>
    <row r="52" spans="2:13" x14ac:dyDescent="0.3">
      <c r="B52" s="125">
        <v>43983</v>
      </c>
      <c r="C52" s="1">
        <f>C51*1.012</f>
        <v>2193.2064000000005</v>
      </c>
      <c r="D52">
        <v>390</v>
      </c>
      <c r="E52" s="127">
        <f t="shared" si="18"/>
        <v>2583.2064000000005</v>
      </c>
      <c r="F52" s="126">
        <f t="shared" si="23"/>
        <v>309.98476800000003</v>
      </c>
      <c r="G52" s="126">
        <f t="shared" si="19"/>
        <v>206.65651200000005</v>
      </c>
      <c r="H52" s="126">
        <f t="shared" si="20"/>
        <v>702.63214080000023</v>
      </c>
      <c r="I52" s="127"/>
      <c r="J52" s="127">
        <f t="shared" si="21"/>
        <v>215.26720000000003</v>
      </c>
      <c r="K52" s="127">
        <f t="shared" si="22"/>
        <v>287.02293333333341</v>
      </c>
      <c r="M52" s="136">
        <f t="shared" si="24"/>
        <v>0.12</v>
      </c>
    </row>
    <row r="53" spans="2:13" x14ac:dyDescent="0.3">
      <c r="B53" s="125">
        <v>44013</v>
      </c>
      <c r="C53" s="1">
        <f>C52</f>
        <v>2193.2064000000005</v>
      </c>
      <c r="D53">
        <v>242</v>
      </c>
      <c r="E53" s="127">
        <f t="shared" si="18"/>
        <v>2435.2064000000005</v>
      </c>
      <c r="F53" s="126">
        <f t="shared" si="23"/>
        <v>292.22476800000004</v>
      </c>
      <c r="G53" s="126">
        <f t="shared" si="19"/>
        <v>194.81651200000005</v>
      </c>
      <c r="H53" s="126">
        <f t="shared" si="20"/>
        <v>662.37614080000014</v>
      </c>
      <c r="I53" s="127"/>
      <c r="J53" s="127">
        <f t="shared" si="21"/>
        <v>202.93386666666672</v>
      </c>
      <c r="K53" s="127">
        <f t="shared" si="22"/>
        <v>270.57848888888896</v>
      </c>
      <c r="M53" s="136">
        <f t="shared" si="24"/>
        <v>0.12</v>
      </c>
    </row>
    <row r="54" spans="2:13" x14ac:dyDescent="0.3">
      <c r="B54" s="125">
        <v>44044</v>
      </c>
      <c r="C54" s="1">
        <f t="shared" ref="C54:C56" si="26">C53</f>
        <v>2193.2064000000005</v>
      </c>
      <c r="D54">
        <v>348</v>
      </c>
      <c r="E54" s="127">
        <f t="shared" si="18"/>
        <v>2541.2064000000005</v>
      </c>
      <c r="F54" s="126">
        <f t="shared" si="23"/>
        <v>304.94476800000007</v>
      </c>
      <c r="G54" s="126">
        <f t="shared" si="19"/>
        <v>203.29651200000004</v>
      </c>
      <c r="H54" s="126">
        <f t="shared" si="20"/>
        <v>691.20814080000014</v>
      </c>
      <c r="I54" s="127"/>
      <c r="J54" s="127">
        <f t="shared" si="21"/>
        <v>211.76720000000003</v>
      </c>
      <c r="K54" s="127">
        <f t="shared" si="22"/>
        <v>282.35626666666673</v>
      </c>
      <c r="M54" s="136">
        <f t="shared" si="24"/>
        <v>0.12000000000000001</v>
      </c>
    </row>
    <row r="55" spans="2:13" x14ac:dyDescent="0.3">
      <c r="B55" s="125">
        <v>44075</v>
      </c>
      <c r="C55" s="1">
        <f t="shared" si="26"/>
        <v>2193.2064000000005</v>
      </c>
      <c r="D55">
        <v>651</v>
      </c>
      <c r="E55" s="127">
        <f t="shared" si="18"/>
        <v>2844.2064000000005</v>
      </c>
      <c r="F55" s="126">
        <f t="shared" si="23"/>
        <v>341.30476800000002</v>
      </c>
      <c r="G55" s="126">
        <f t="shared" si="19"/>
        <v>227.53651200000004</v>
      </c>
      <c r="H55" s="126">
        <f t="shared" si="20"/>
        <v>773.62414080000019</v>
      </c>
      <c r="I55" s="127"/>
      <c r="J55" s="127">
        <f t="shared" si="21"/>
        <v>237.01720000000003</v>
      </c>
      <c r="K55" s="127">
        <f t="shared" si="22"/>
        <v>316.02293333333341</v>
      </c>
      <c r="M55" s="136">
        <f t="shared" si="24"/>
        <v>0.11999999999999998</v>
      </c>
    </row>
    <row r="56" spans="2:13" x14ac:dyDescent="0.3">
      <c r="B56" s="125">
        <v>44105</v>
      </c>
      <c r="C56" s="1">
        <f t="shared" si="26"/>
        <v>2193.2064000000005</v>
      </c>
      <c r="D56">
        <v>735</v>
      </c>
      <c r="E56" s="127">
        <f t="shared" si="18"/>
        <v>2928.2064000000005</v>
      </c>
      <c r="F56" s="126">
        <f t="shared" si="23"/>
        <v>351.38476800000007</v>
      </c>
      <c r="G56" s="126">
        <f t="shared" si="19"/>
        <v>234.25651200000004</v>
      </c>
      <c r="H56" s="126">
        <f t="shared" si="20"/>
        <v>796.47214080000015</v>
      </c>
      <c r="I56" s="127"/>
      <c r="J56" s="127">
        <f t="shared" si="21"/>
        <v>244.01720000000003</v>
      </c>
      <c r="K56" s="127">
        <f t="shared" si="22"/>
        <v>325.35626666666673</v>
      </c>
      <c r="M56" s="136">
        <f t="shared" si="24"/>
        <v>0.12</v>
      </c>
    </row>
    <row r="58" spans="2:13" x14ac:dyDescent="0.3">
      <c r="C58" s="11">
        <f t="shared" ref="C58:H58" si="27">SUM(C35:C56)</f>
        <v>47472.432000000015</v>
      </c>
      <c r="D58" s="1">
        <f t="shared" si="27"/>
        <v>11077</v>
      </c>
      <c r="E58" s="11">
        <f t="shared" si="27"/>
        <v>58549.432000000008</v>
      </c>
      <c r="F58" s="132">
        <f t="shared" si="27"/>
        <v>7025.9318399999993</v>
      </c>
      <c r="G58" s="132">
        <f t="shared" si="27"/>
        <v>4683.9545599999992</v>
      </c>
      <c r="H58" s="132">
        <f t="shared" si="27"/>
        <v>15925.445504000005</v>
      </c>
      <c r="I58" s="133"/>
      <c r="J58" s="133">
        <f>SUM(J35:J56)</f>
        <v>4879.119333333334</v>
      </c>
      <c r="K58" s="133">
        <f>SUM(K35:K56)</f>
        <v>6505.4924444444459</v>
      </c>
    </row>
    <row r="59" spans="2:13" x14ac:dyDescent="0.3">
      <c r="C59" s="149">
        <f>C58-C29</f>
        <v>15824.144000000015</v>
      </c>
      <c r="E59" s="127"/>
      <c r="F59" s="175">
        <f>F58-F29</f>
        <v>4177.5859199999995</v>
      </c>
      <c r="G59" s="149">
        <f>G58-G29</f>
        <v>2152.0915199999986</v>
      </c>
      <c r="H59" s="175">
        <f>H58-H29</f>
        <v>7317.1111680000067</v>
      </c>
      <c r="I59" s="126"/>
      <c r="J59" s="149">
        <f>J58-J29</f>
        <v>2241.7620000000006</v>
      </c>
      <c r="K59" s="149">
        <f>K58-K29</f>
        <v>2989.0160000000028</v>
      </c>
      <c r="L59" s="126"/>
    </row>
    <row r="60" spans="2:13" x14ac:dyDescent="0.3">
      <c r="E60" s="1"/>
      <c r="G60" s="126">
        <f>G59*1.4</f>
        <v>3012.9281279999977</v>
      </c>
    </row>
    <row r="61" spans="2:13" x14ac:dyDescent="0.3">
      <c r="E61" s="127"/>
      <c r="H61" s="122" t="s">
        <v>153</v>
      </c>
      <c r="J61" s="127">
        <f>H59+F59</f>
        <v>11494.697088000006</v>
      </c>
    </row>
    <row r="62" spans="2:13" x14ac:dyDescent="0.3">
      <c r="E62">
        <f>E61/E58</f>
        <v>0</v>
      </c>
      <c r="H62" s="122" t="s">
        <v>154</v>
      </c>
      <c r="J62" s="127">
        <f>J59+K59+G60+C59</f>
        <v>24067.850128000016</v>
      </c>
    </row>
    <row r="63" spans="2:13" x14ac:dyDescent="0.3">
      <c r="J63" s="133">
        <f>SUM(J61:J62)</f>
        <v>35562.547216000021</v>
      </c>
    </row>
  </sheetData>
  <mergeCells count="8">
    <mergeCell ref="Y4:Z4"/>
    <mergeCell ref="M16:M20"/>
    <mergeCell ref="M21:P21"/>
    <mergeCell ref="F33:H33"/>
    <mergeCell ref="J33:K33"/>
    <mergeCell ref="F4:H4"/>
    <mergeCell ref="J4:K4"/>
    <mergeCell ref="U4:W4"/>
  </mergeCells>
  <pageMargins left="0.511811024" right="0.511811024" top="0.78740157499999996" bottom="0.78740157499999996" header="0.31496062000000002" footer="0.31496062000000002"/>
  <ignoredErrors>
    <ignoredError sqref="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Horas Extras</vt:lpstr>
      <vt:lpstr>Faltas e Atrasos</vt:lpstr>
      <vt:lpstr>Exerc Joao Miguel</vt:lpstr>
      <vt:lpstr>Rescisão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ajrezende</dc:creator>
  <cp:lastModifiedBy>Amaury Rezende</cp:lastModifiedBy>
  <dcterms:created xsi:type="dcterms:W3CDTF">2020-04-19T23:01:14Z</dcterms:created>
  <dcterms:modified xsi:type="dcterms:W3CDTF">2020-10-21T23:23:19Z</dcterms:modified>
</cp:coreProperties>
</file>