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8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anapaulaleme/Documents/2020/Academico/Aulas PRO/PRO3213/Ana Paula/[III] Módulo Contabilidade de Custos/CUSTO ABC/"/>
    </mc:Choice>
  </mc:AlternateContent>
  <xr:revisionPtr revIDLastSave="0" documentId="8_{98DBAD7D-3F11-584A-8BA3-9259AEC6CD80}" xr6:coauthVersionLast="45" xr6:coauthVersionMax="45" xr10:uidLastSave="{00000000-0000-0000-0000-000000000000}"/>
  <bookViews>
    <workbookView xWindow="0" yWindow="460" windowWidth="28800" windowHeight="16500" xr2:uid="{D60C54FD-EB75-1A4F-A553-F3C48239317B}"/>
  </bookViews>
  <sheets>
    <sheet name="IDENTIFICANDO O CUSTO" sheetId="1" r:id="rId1"/>
    <sheet name="DRE" sheetId="2" r:id="rId2"/>
    <sheet name="absorção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21" i="3" l="1"/>
  <c r="B24" i="2"/>
  <c r="D25" i="2"/>
  <c r="C25" i="2"/>
  <c r="B25" i="2"/>
  <c r="I23" i="3"/>
  <c r="D24" i="2"/>
  <c r="C24" i="2"/>
  <c r="I9" i="3"/>
  <c r="I3" i="3"/>
  <c r="B19" i="2"/>
  <c r="O13" i="1"/>
  <c r="O3" i="1"/>
  <c r="I13" i="1"/>
  <c r="H3" i="1"/>
  <c r="I3" i="1"/>
  <c r="L19" i="3" l="1"/>
  <c r="K19" i="3" l="1"/>
  <c r="J19" i="3"/>
  <c r="I19" i="3"/>
  <c r="F9" i="3"/>
  <c r="F8" i="3"/>
  <c r="F2" i="3"/>
  <c r="E14" i="3"/>
  <c r="K14" i="3" s="1"/>
  <c r="D14" i="3"/>
  <c r="J14" i="3" s="1"/>
  <c r="C14" i="3"/>
  <c r="I14" i="3" s="1"/>
  <c r="L4" i="3"/>
  <c r="K3" i="3"/>
  <c r="J3" i="3"/>
  <c r="E21" i="2"/>
  <c r="D7" i="2"/>
  <c r="D6" i="2"/>
  <c r="C6" i="2"/>
  <c r="B6" i="2"/>
  <c r="E6" i="2" s="1"/>
  <c r="D5" i="2"/>
  <c r="C5" i="2"/>
  <c r="B5" i="2"/>
  <c r="E5" i="2" s="1"/>
  <c r="D4" i="2"/>
  <c r="C4" i="2"/>
  <c r="C7" i="2" s="1"/>
  <c r="B4" i="2"/>
  <c r="B7" i="2" s="1"/>
  <c r="E7" i="2" s="1"/>
  <c r="D2" i="2"/>
  <c r="C2" i="2"/>
  <c r="B2" i="2"/>
  <c r="I12" i="1"/>
  <c r="B17" i="2" s="1"/>
  <c r="K10" i="1"/>
  <c r="D15" i="2" s="1"/>
  <c r="K9" i="1"/>
  <c r="D14" i="2" s="1"/>
  <c r="J9" i="1"/>
  <c r="C14" i="2" s="1"/>
  <c r="I9" i="1"/>
  <c r="B14" i="2" s="1"/>
  <c r="I8" i="1"/>
  <c r="B13" i="2" s="1"/>
  <c r="K6" i="1"/>
  <c r="D11" i="2" s="1"/>
  <c r="K5" i="1"/>
  <c r="D10" i="2" s="1"/>
  <c r="J5" i="1"/>
  <c r="C10" i="2" s="1"/>
  <c r="E10" i="2" s="1"/>
  <c r="I5" i="1"/>
  <c r="B10" i="2" s="1"/>
  <c r="I4" i="1"/>
  <c r="B9" i="2" s="1"/>
  <c r="G12" i="1"/>
  <c r="H12" i="1" s="1"/>
  <c r="O12" i="1" s="1"/>
  <c r="G11" i="1"/>
  <c r="H11" i="1" s="1"/>
  <c r="O11" i="1" s="1"/>
  <c r="G10" i="1"/>
  <c r="H10" i="1" s="1"/>
  <c r="P10" i="1" s="1"/>
  <c r="G9" i="1"/>
  <c r="H9" i="1" s="1"/>
  <c r="P9" i="1" s="1"/>
  <c r="G8" i="1"/>
  <c r="H8" i="1" s="1"/>
  <c r="P8" i="1" s="1"/>
  <c r="G7" i="1"/>
  <c r="H7" i="1" s="1"/>
  <c r="P7" i="1" s="1"/>
  <c r="G6" i="1"/>
  <c r="H6" i="1" s="1"/>
  <c r="J6" i="1" s="1"/>
  <c r="C11" i="2" s="1"/>
  <c r="G5" i="1"/>
  <c r="H5" i="1" s="1"/>
  <c r="G4" i="1"/>
  <c r="H4" i="1" s="1"/>
  <c r="O4" i="1" s="1"/>
  <c r="G3" i="1"/>
  <c r="K3" i="1" s="1"/>
  <c r="E14" i="2" l="1"/>
  <c r="D8" i="2"/>
  <c r="E9" i="2"/>
  <c r="J4" i="1"/>
  <c r="C9" i="2" s="1"/>
  <c r="I7" i="1"/>
  <c r="B12" i="2" s="1"/>
  <c r="J8" i="1"/>
  <c r="C13" i="2" s="1"/>
  <c r="E13" i="2" s="1"/>
  <c r="J3" i="1"/>
  <c r="K4" i="1"/>
  <c r="D9" i="2" s="1"/>
  <c r="I6" i="1"/>
  <c r="B11" i="2" s="1"/>
  <c r="E11" i="2" s="1"/>
  <c r="J7" i="1"/>
  <c r="C12" i="2" s="1"/>
  <c r="K8" i="1"/>
  <c r="D13" i="2" s="1"/>
  <c r="I10" i="1"/>
  <c r="B15" i="2" s="1"/>
  <c r="J11" i="1"/>
  <c r="C16" i="2" s="1"/>
  <c r="K12" i="1"/>
  <c r="D17" i="2" s="1"/>
  <c r="E17" i="2" s="1"/>
  <c r="E2" i="2"/>
  <c r="E4" i="2"/>
  <c r="I11" i="1"/>
  <c r="B16" i="2" s="1"/>
  <c r="E16" i="2" s="1"/>
  <c r="J12" i="1"/>
  <c r="C17" i="2" s="1"/>
  <c r="K7" i="1"/>
  <c r="D12" i="2" s="1"/>
  <c r="J10" i="1"/>
  <c r="C15" i="2" s="1"/>
  <c r="K11" i="1"/>
  <c r="D16" i="2" s="1"/>
  <c r="L3" i="3"/>
  <c r="Q9" i="1"/>
  <c r="Q11" i="1"/>
  <c r="Q4" i="1"/>
  <c r="Q7" i="1"/>
  <c r="Q12" i="1"/>
  <c r="O8" i="1"/>
  <c r="O7" i="1"/>
  <c r="P3" i="1"/>
  <c r="Q3" i="1"/>
  <c r="Q6" i="1"/>
  <c r="O6" i="1"/>
  <c r="P6" i="1"/>
  <c r="O10" i="1"/>
  <c r="P11" i="1"/>
  <c r="Q8" i="1"/>
  <c r="Q10" i="1"/>
  <c r="P12" i="1"/>
  <c r="O9" i="1"/>
  <c r="P4" i="1"/>
  <c r="O5" i="1"/>
  <c r="P5" i="1"/>
  <c r="Q5" i="1"/>
  <c r="I6" i="3" l="1"/>
  <c r="I8" i="3" s="1"/>
  <c r="E12" i="2"/>
  <c r="E15" i="2"/>
  <c r="K13" i="1"/>
  <c r="B8" i="2"/>
  <c r="C8" i="2"/>
  <c r="C18" i="2" s="1"/>
  <c r="C19" i="2" s="1"/>
  <c r="J13" i="1"/>
  <c r="D18" i="2"/>
  <c r="D19" i="2" s="1"/>
  <c r="K6" i="3"/>
  <c r="J6" i="3"/>
  <c r="J8" i="3" s="1"/>
  <c r="J15" i="3" s="1"/>
  <c r="J17" i="3" s="1"/>
  <c r="J21" i="3" s="1"/>
  <c r="J23" i="3" s="1"/>
  <c r="Q13" i="1"/>
  <c r="P13" i="1"/>
  <c r="I15" i="3" l="1"/>
  <c r="I17" i="3" s="1"/>
  <c r="K8" i="3"/>
  <c r="K15" i="3" s="1"/>
  <c r="K17" i="3" s="1"/>
  <c r="K21" i="3" s="1"/>
  <c r="K23" i="3" s="1"/>
  <c r="E8" i="2"/>
  <c r="E18" i="2" s="1"/>
  <c r="E19" i="2" s="1"/>
  <c r="E22" i="2" s="1"/>
  <c r="B18" i="2"/>
  <c r="L17" i="3" l="1"/>
  <c r="L21" i="3" s="1"/>
</calcChain>
</file>

<file path=xl/sharedStrings.xml><?xml version="1.0" encoding="utf-8"?>
<sst xmlns="http://schemas.openxmlformats.org/spreadsheetml/2006/main" count="128" uniqueCount="100">
  <si>
    <t>ATIVIDADE</t>
  </si>
  <si>
    <t>Comprar materiais</t>
  </si>
  <si>
    <t>Desenvolver Fornencedores</t>
  </si>
  <si>
    <t>Receber Materiais</t>
  </si>
  <si>
    <t>Movimentar materiais</t>
  </si>
  <si>
    <t>Programar Produção</t>
  </si>
  <si>
    <t>Controlar Produção</t>
  </si>
  <si>
    <t>Cortar</t>
  </si>
  <si>
    <t>Costurar</t>
  </si>
  <si>
    <t>Acabar</t>
  </si>
  <si>
    <t>CUSTO DA ATIVIDADES</t>
  </si>
  <si>
    <t>DIRECIONADORES</t>
  </si>
  <si>
    <t>Pedidos</t>
  </si>
  <si>
    <t>Fornecedores</t>
  </si>
  <si>
    <t>Recebimentos</t>
  </si>
  <si>
    <t>Requisições</t>
  </si>
  <si>
    <t>Produtos</t>
  </si>
  <si>
    <t>Lotes</t>
  </si>
  <si>
    <t>Tempo de corte</t>
  </si>
  <si>
    <t>Tempo de costura</t>
  </si>
  <si>
    <t>Tempo sde acabamento</t>
  </si>
  <si>
    <t>Apontamento</t>
  </si>
  <si>
    <t>Despachar produtos</t>
  </si>
  <si>
    <t>CAMISETAS</t>
  </si>
  <si>
    <t>VESTIDOS</t>
  </si>
  <si>
    <t>CALCAS</t>
  </si>
  <si>
    <t>DADOS</t>
  </si>
  <si>
    <t>1 - IDENTIFICAR ATIVIDADES RELEVANTES</t>
  </si>
  <si>
    <t>2 - ATRIBUIR CUSTO ÀS ATIVIDADES</t>
  </si>
  <si>
    <t>QUANTIDADE PRODUZIDA POR MÊS</t>
  </si>
  <si>
    <t>3 - IDENTIFICAR A QUANTIDADE DE DIRECIONADORES POR PORDUTO</t>
  </si>
  <si>
    <t>4 - IDENTIFICAR O CUSTO POR ATIVIDADE (UNITÁRIA)</t>
  </si>
  <si>
    <t>CONSUMO DAS ATIVIDADES</t>
  </si>
  <si>
    <t>CUSTO POR CADA ATIVIDADE CONSUMIDA</t>
  </si>
  <si>
    <t>5 - IDENTIFICAR O CUSTO UNITÁRIO POR PRODUTO</t>
  </si>
  <si>
    <t xml:space="preserve">TOTAIS </t>
  </si>
  <si>
    <t>(D*H)/I</t>
  </si>
  <si>
    <t>CUSTO DA ATIVIDADE POR PRODUTO    (OPÇÃO 1)</t>
  </si>
  <si>
    <t>5 - IDENTIFICAR O CUSTO UNITÁRIO</t>
  </si>
  <si>
    <t>CUSTO UNITÁRIO  (OPÇÃO 2)</t>
  </si>
  <si>
    <t>DRE</t>
  </si>
  <si>
    <t>VENDAS</t>
  </si>
  <si>
    <t>CUSTOS DOS PRODUTOS VENDIDOS</t>
  </si>
  <si>
    <t>SUBTOTAL CUSTOS DIRETOS</t>
  </si>
  <si>
    <t>SUBTOTAL CUSTOS INDIRETOS</t>
  </si>
  <si>
    <t>DESPESAS ADMINISTRATIVAS</t>
  </si>
  <si>
    <t>DESPESAS COM VENDAS</t>
  </si>
  <si>
    <t>LUCRO ANTES DO IR</t>
  </si>
  <si>
    <t>TOTAL</t>
  </si>
  <si>
    <t xml:space="preserve">    TECIDOS</t>
  </si>
  <si>
    <t xml:space="preserve">    AVIAMENTOS</t>
  </si>
  <si>
    <t xml:space="preserve">    MÃO DE OBRA DIRETA</t>
  </si>
  <si>
    <t xml:space="preserve">    COMPRAR MATERIAIS</t>
  </si>
  <si>
    <t xml:space="preserve">    DESENVOLVER FORNECEDORES</t>
  </si>
  <si>
    <t xml:space="preserve">   RECEBER MATERIAIS</t>
  </si>
  <si>
    <t xml:space="preserve">   PROGRAMAR PRODUÇÃO</t>
  </si>
  <si>
    <t xml:space="preserve">   CONTROLAR PRODUÇÃO</t>
  </si>
  <si>
    <t xml:space="preserve">   COSTURAR</t>
  </si>
  <si>
    <t xml:space="preserve">   ACABAR </t>
  </si>
  <si>
    <t xml:space="preserve">    DESPACHAR</t>
  </si>
  <si>
    <t xml:space="preserve">   CORTAR</t>
  </si>
  <si>
    <t xml:space="preserve">   MOVIMENTAR MATERIAIS</t>
  </si>
  <si>
    <t>LUCRO BRUTO</t>
  </si>
  <si>
    <t>DEFININDO CUSTO DOS PRODUTOS</t>
  </si>
  <si>
    <t>PRODUTO A</t>
  </si>
  <si>
    <t>PRODUTO B</t>
  </si>
  <si>
    <t xml:space="preserve">PRODUTO C </t>
  </si>
  <si>
    <t>CUSTO DIRETO</t>
  </si>
  <si>
    <t>Mao de obra (se separada por produto)</t>
  </si>
  <si>
    <t>CUSTO INDIRETO</t>
  </si>
  <si>
    <t>UNIDADES</t>
  </si>
  <si>
    <t>DADOS DO PROBLEMA</t>
  </si>
  <si>
    <t>Preço de venda unitário</t>
  </si>
  <si>
    <t>Tempo de produção</t>
  </si>
  <si>
    <t>Corte e Costura</t>
  </si>
  <si>
    <t>Acabamento</t>
  </si>
  <si>
    <t>Custos diretos por unidade</t>
  </si>
  <si>
    <t>Tecidos</t>
  </si>
  <si>
    <t>Aviamentos</t>
  </si>
  <si>
    <t>Mão de Obra direta</t>
  </si>
  <si>
    <t>Custo direto total</t>
  </si>
  <si>
    <t>Volume de Produção mensal</t>
  </si>
  <si>
    <t>UNIDADE</t>
  </si>
  <si>
    <t>VESTTIDOS</t>
  </si>
  <si>
    <t>CALÇAS</t>
  </si>
  <si>
    <t>Tempo de produção total</t>
  </si>
  <si>
    <t>$/un.</t>
  </si>
  <si>
    <t>un./mês</t>
  </si>
  <si>
    <t>h/un.</t>
  </si>
  <si>
    <t>h/mês</t>
  </si>
  <si>
    <t>CUSTO DIRETO POR UNIDADE</t>
  </si>
  <si>
    <t>CUSTO TOTAL</t>
  </si>
  <si>
    <t>PRECO</t>
  </si>
  <si>
    <t>LUCRO BRUNO UNITÁRIO</t>
  </si>
  <si>
    <t xml:space="preserve">MARGEM </t>
  </si>
  <si>
    <t xml:space="preserve">RESUMO </t>
  </si>
  <si>
    <t>PROPORCIONALIDADE (Total/produto)</t>
  </si>
  <si>
    <t xml:space="preserve">CUSTO INDIRETO TOTAL </t>
  </si>
  <si>
    <t>RATEIO COM BASE NA MÃO DE OBRA</t>
  </si>
  <si>
    <t>Lucro bruto unitário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</si>
</sst>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&quot;R$&quot;\ #,##0.00"/>
  </numFmts>
  <fonts count="1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0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b/>
      <sz val="20"/>
      <color rgb="FF000000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u/>
      <sz val="1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D0CECE"/>
        <bgColor rgb="FF000000"/>
      </patternFill>
    </fill>
    <fill>
      <patternFill patternType="solid">
        <fgColor theme="0" tint="-0.3499862666707357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7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/>
    <xf numFmtId="2" fontId="6" fillId="0" borderId="0" xfId="0" applyNumberFormat="1" applyFont="1"/>
    <xf numFmtId="0" fontId="5" fillId="2" borderId="4" xfId="0" applyFont="1" applyFill="1" applyBorder="1"/>
    <xf numFmtId="0" fontId="5" fillId="2" borderId="0" xfId="0" applyFont="1" applyFill="1" applyBorder="1"/>
    <xf numFmtId="0" fontId="5" fillId="2" borderId="5" xfId="0" applyFont="1" applyFill="1" applyBorder="1"/>
    <xf numFmtId="0" fontId="5" fillId="4" borderId="4" xfId="0" applyFont="1" applyFill="1" applyBorder="1"/>
    <xf numFmtId="0" fontId="5" fillId="4" borderId="5" xfId="0" applyFont="1" applyFill="1" applyBorder="1"/>
    <xf numFmtId="0" fontId="6" fillId="0" borderId="0" xfId="0" applyFont="1" applyAlignment="1">
      <alignment vertical="center"/>
    </xf>
    <xf numFmtId="44" fontId="5" fillId="0" borderId="0" xfId="0" applyNumberFormat="1" applyFont="1"/>
    <xf numFmtId="0" fontId="6" fillId="5" borderId="4" xfId="0" applyFont="1" applyFill="1" applyBorder="1" applyAlignment="1">
      <alignment vertical="center"/>
    </xf>
    <xf numFmtId="0" fontId="6" fillId="5" borderId="5" xfId="0" applyFont="1" applyFill="1" applyBorder="1" applyAlignment="1">
      <alignment vertical="center"/>
    </xf>
    <xf numFmtId="0" fontId="6" fillId="3" borderId="4" xfId="0" applyFont="1" applyFill="1" applyBorder="1" applyAlignment="1">
      <alignment vertical="center"/>
    </xf>
    <xf numFmtId="0" fontId="6" fillId="3" borderId="0" xfId="0" applyFont="1" applyFill="1" applyBorder="1" applyAlignment="1">
      <alignment vertical="center"/>
    </xf>
    <xf numFmtId="1" fontId="6" fillId="3" borderId="5" xfId="0" applyNumberFormat="1" applyFont="1" applyFill="1" applyBorder="1" applyAlignment="1">
      <alignment vertical="center"/>
    </xf>
    <xf numFmtId="44" fontId="6" fillId="3" borderId="4" xfId="1" applyFont="1" applyFill="1" applyBorder="1" applyAlignment="1">
      <alignment vertical="center"/>
    </xf>
    <xf numFmtId="44" fontId="6" fillId="3" borderId="0" xfId="1" applyFont="1" applyFill="1" applyBorder="1" applyAlignment="1">
      <alignment vertical="center"/>
    </xf>
    <xf numFmtId="0" fontId="6" fillId="5" borderId="6" xfId="0" applyFont="1" applyFill="1" applyBorder="1" applyAlignment="1">
      <alignment vertical="center"/>
    </xf>
    <xf numFmtId="0" fontId="6" fillId="5" borderId="8" xfId="0" applyFont="1" applyFill="1" applyBorder="1" applyAlignment="1">
      <alignment vertical="center"/>
    </xf>
    <xf numFmtId="0" fontId="6" fillId="3" borderId="6" xfId="0" applyFont="1" applyFill="1" applyBorder="1" applyAlignment="1">
      <alignment vertical="center"/>
    </xf>
    <xf numFmtId="0" fontId="6" fillId="3" borderId="7" xfId="0" applyFont="1" applyFill="1" applyBorder="1" applyAlignment="1">
      <alignment vertical="center"/>
    </xf>
    <xf numFmtId="1" fontId="6" fillId="3" borderId="8" xfId="0" applyNumberFormat="1" applyFont="1" applyFill="1" applyBorder="1" applyAlignment="1">
      <alignment vertical="center"/>
    </xf>
    <xf numFmtId="44" fontId="6" fillId="3" borderId="6" xfId="1" applyFont="1" applyFill="1" applyBorder="1" applyAlignment="1">
      <alignment vertical="center"/>
    </xf>
    <xf numFmtId="44" fontId="6" fillId="3" borderId="7" xfId="1" applyFont="1" applyFill="1" applyBorder="1" applyAlignment="1">
      <alignment vertical="center"/>
    </xf>
    <xf numFmtId="44" fontId="5" fillId="0" borderId="0" xfId="0" applyNumberFormat="1" applyFont="1" applyAlignment="1">
      <alignment vertical="center" wrapText="1"/>
    </xf>
    <xf numFmtId="0" fontId="5" fillId="0" borderId="0" xfId="0" applyFont="1" applyAlignment="1">
      <alignment vertical="center" wrapText="1"/>
    </xf>
    <xf numFmtId="2" fontId="5" fillId="4" borderId="0" xfId="0" applyNumberFormat="1" applyFont="1" applyFill="1" applyBorder="1" applyAlignment="1">
      <alignment horizontal="center" vertical="center"/>
    </xf>
    <xf numFmtId="2" fontId="6" fillId="5" borderId="0" xfId="1" applyNumberFormat="1" applyFont="1" applyFill="1" applyBorder="1" applyAlignment="1">
      <alignment horizontal="center" vertical="center"/>
    </xf>
    <xf numFmtId="2" fontId="6" fillId="5" borderId="7" xfId="1" applyNumberFormat="1" applyFont="1" applyFill="1" applyBorder="1" applyAlignment="1">
      <alignment horizontal="center" vertical="center"/>
    </xf>
    <xf numFmtId="2" fontId="6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vertical="center" wrapText="1"/>
    </xf>
    <xf numFmtId="2" fontId="5" fillId="4" borderId="9" xfId="0" applyNumberFormat="1" applyFont="1" applyFill="1" applyBorder="1" applyAlignment="1">
      <alignment horizontal="center" vertical="center" wrapText="1"/>
    </xf>
    <xf numFmtId="2" fontId="5" fillId="2" borderId="10" xfId="0" applyNumberFormat="1" applyFont="1" applyFill="1" applyBorder="1" applyAlignment="1">
      <alignment horizontal="center" vertical="center"/>
    </xf>
    <xf numFmtId="2" fontId="6" fillId="3" borderId="10" xfId="1" applyNumberFormat="1" applyFont="1" applyFill="1" applyBorder="1" applyAlignment="1">
      <alignment horizontal="center" vertical="center"/>
    </xf>
    <xf numFmtId="2" fontId="6" fillId="3" borderId="11" xfId="1" applyNumberFormat="1" applyFont="1" applyFill="1" applyBorder="1" applyAlignment="1">
      <alignment horizontal="center" vertical="center"/>
    </xf>
    <xf numFmtId="2" fontId="5" fillId="0" borderId="0" xfId="0" applyNumberFormat="1" applyFont="1" applyAlignment="1">
      <alignment horizontal="center" vertical="center" wrapText="1"/>
    </xf>
    <xf numFmtId="2" fontId="6" fillId="3" borderId="4" xfId="1" applyNumberFormat="1" applyFont="1" applyFill="1" applyBorder="1" applyAlignment="1">
      <alignment horizontal="center" vertical="center"/>
    </xf>
    <xf numFmtId="2" fontId="5" fillId="2" borderId="4" xfId="0" applyNumberFormat="1" applyFont="1" applyFill="1" applyBorder="1"/>
    <xf numFmtId="2" fontId="5" fillId="2" borderId="0" xfId="0" applyNumberFormat="1" applyFont="1" applyFill="1" applyBorder="1"/>
    <xf numFmtId="44" fontId="6" fillId="3" borderId="4" xfId="0" applyNumberFormat="1" applyFont="1" applyFill="1" applyBorder="1" applyAlignment="1">
      <alignment vertical="center"/>
    </xf>
    <xf numFmtId="44" fontId="6" fillId="3" borderId="0" xfId="0" applyNumberFormat="1" applyFont="1" applyFill="1" applyBorder="1" applyAlignment="1">
      <alignment vertical="center"/>
    </xf>
    <xf numFmtId="44" fontId="6" fillId="3" borderId="5" xfId="0" applyNumberFormat="1" applyFont="1" applyFill="1" applyBorder="1" applyAlignment="1">
      <alignment vertical="center"/>
    </xf>
    <xf numFmtId="2" fontId="5" fillId="0" borderId="0" xfId="0" applyNumberFormat="1" applyFont="1"/>
    <xf numFmtId="44" fontId="6" fillId="3" borderId="8" xfId="0" applyNumberFormat="1" applyFont="1" applyFill="1" applyBorder="1" applyAlignment="1">
      <alignment vertical="center"/>
    </xf>
    <xf numFmtId="0" fontId="0" fillId="3" borderId="0" xfId="0" applyFill="1"/>
    <xf numFmtId="0" fontId="2" fillId="4" borderId="5" xfId="0" applyFont="1" applyFill="1" applyBorder="1" applyAlignment="1"/>
    <xf numFmtId="0" fontId="4" fillId="4" borderId="0" xfId="0" applyFont="1" applyFill="1"/>
    <xf numFmtId="2" fontId="4" fillId="2" borderId="4" xfId="0" applyNumberFormat="1" applyFont="1" applyFill="1" applyBorder="1"/>
    <xf numFmtId="2" fontId="4" fillId="2" borderId="0" xfId="0" applyNumberFormat="1" applyFont="1" applyFill="1" applyBorder="1"/>
    <xf numFmtId="164" fontId="3" fillId="0" borderId="0" xfId="0" applyNumberFormat="1" applyFont="1"/>
    <xf numFmtId="0" fontId="2" fillId="0" borderId="0" xfId="0" applyFont="1"/>
    <xf numFmtId="0" fontId="0" fillId="0" borderId="0" xfId="0" applyAlignment="1">
      <alignment horizontal="left" vertical="center"/>
    </xf>
    <xf numFmtId="164" fontId="4" fillId="0" borderId="0" xfId="0" applyNumberFormat="1" applyFont="1"/>
    <xf numFmtId="0" fontId="7" fillId="0" borderId="0" xfId="0" applyFont="1"/>
    <xf numFmtId="0" fontId="8" fillId="0" borderId="0" xfId="0" applyFont="1"/>
    <xf numFmtId="0" fontId="8" fillId="6" borderId="0" xfId="0" applyFont="1" applyFill="1"/>
    <xf numFmtId="0" fontId="9" fillId="6" borderId="0" xfId="0" applyFont="1" applyFill="1"/>
    <xf numFmtId="0" fontId="9" fillId="0" borderId="0" xfId="0" applyFont="1"/>
    <xf numFmtId="0" fontId="12" fillId="0" borderId="0" xfId="0" applyFont="1"/>
    <xf numFmtId="164" fontId="12" fillId="0" borderId="0" xfId="0" applyNumberFormat="1" applyFont="1"/>
    <xf numFmtId="164" fontId="11" fillId="0" borderId="0" xfId="0" applyNumberFormat="1" applyFont="1"/>
    <xf numFmtId="1" fontId="12" fillId="0" borderId="0" xfId="0" applyNumberFormat="1" applyFont="1"/>
    <xf numFmtId="0" fontId="2" fillId="3" borderId="0" xfId="0" applyFont="1" applyFill="1"/>
    <xf numFmtId="0" fontId="13" fillId="3" borderId="0" xfId="0" applyFont="1" applyFill="1"/>
    <xf numFmtId="0" fontId="0" fillId="3" borderId="0" xfId="0" applyFont="1" applyFill="1"/>
    <xf numFmtId="0" fontId="2" fillId="7" borderId="0" xfId="0" applyFont="1" applyFill="1"/>
    <xf numFmtId="0" fontId="10" fillId="6" borderId="9" xfId="0" applyFont="1" applyFill="1" applyBorder="1"/>
    <xf numFmtId="0" fontId="9" fillId="6" borderId="2" xfId="0" applyFont="1" applyFill="1" applyBorder="1"/>
    <xf numFmtId="0" fontId="9" fillId="6" borderId="3" xfId="0" applyFont="1" applyFill="1" applyBorder="1"/>
    <xf numFmtId="1" fontId="12" fillId="3" borderId="0" xfId="0" applyNumberFormat="1" applyFont="1" applyFill="1" applyBorder="1"/>
    <xf numFmtId="1" fontId="12" fillId="3" borderId="5" xfId="0" applyNumberFormat="1" applyFont="1" applyFill="1" applyBorder="1"/>
    <xf numFmtId="164" fontId="12" fillId="3" borderId="0" xfId="0" applyNumberFormat="1" applyFont="1" applyFill="1" applyBorder="1"/>
    <xf numFmtId="164" fontId="12" fillId="3" borderId="5" xfId="0" applyNumberFormat="1" applyFont="1" applyFill="1" applyBorder="1"/>
    <xf numFmtId="164" fontId="11" fillId="3" borderId="0" xfId="0" applyNumberFormat="1" applyFont="1" applyFill="1" applyBorder="1"/>
    <xf numFmtId="164" fontId="11" fillId="3" borderId="5" xfId="0" applyNumberFormat="1" applyFont="1" applyFill="1" applyBorder="1"/>
    <xf numFmtId="9" fontId="12" fillId="3" borderId="7" xfId="2" applyFont="1" applyFill="1" applyBorder="1"/>
    <xf numFmtId="9" fontId="12" fillId="3" borderId="8" xfId="2" applyFont="1" applyFill="1" applyBorder="1"/>
    <xf numFmtId="0" fontId="8" fillId="4" borderId="4" xfId="0" applyFont="1" applyFill="1" applyBorder="1"/>
    <xf numFmtId="0" fontId="9" fillId="4" borderId="4" xfId="0" applyFont="1" applyFill="1" applyBorder="1"/>
    <xf numFmtId="0" fontId="9" fillId="4" borderId="6" xfId="0" applyFont="1" applyFill="1" applyBorder="1"/>
    <xf numFmtId="0" fontId="9" fillId="0" borderId="0" xfId="0" applyFont="1" applyFill="1"/>
    <xf numFmtId="0" fontId="9" fillId="3" borderId="0" xfId="0" applyFont="1" applyFill="1"/>
    <xf numFmtId="0" fontId="8" fillId="3" borderId="0" xfId="0" applyFont="1" applyFill="1"/>
    <xf numFmtId="9" fontId="8" fillId="3" borderId="0" xfId="0" applyNumberFormat="1" applyFont="1" applyFill="1"/>
    <xf numFmtId="164" fontId="8" fillId="3" borderId="0" xfId="0" applyNumberFormat="1" applyFont="1" applyFill="1"/>
    <xf numFmtId="0" fontId="6" fillId="3" borderId="5" xfId="1" applyNumberFormat="1" applyFont="1" applyFill="1" applyBorder="1" applyAlignment="1">
      <alignment horizontal="center" vertical="center"/>
    </xf>
    <xf numFmtId="0" fontId="6" fillId="3" borderId="8" xfId="1" applyNumberFormat="1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0" fontId="5" fillId="4" borderId="3" xfId="0" applyFont="1" applyFill="1" applyBorder="1" applyAlignment="1">
      <alignment horizontal="center" vertical="center"/>
    </xf>
    <xf numFmtId="44" fontId="5" fillId="0" borderId="0" xfId="0" applyNumberFormat="1" applyFont="1" applyAlignment="1">
      <alignment horizontal="center" vertical="center" wrapText="1"/>
    </xf>
    <xf numFmtId="2" fontId="5" fillId="4" borderId="1" xfId="0" applyNumberFormat="1" applyFont="1" applyFill="1" applyBorder="1" applyAlignment="1">
      <alignment horizontal="center" vertical="center" wrapText="1"/>
    </xf>
    <xf numFmtId="2" fontId="5" fillId="4" borderId="2" xfId="0" applyNumberFormat="1" applyFont="1" applyFill="1" applyBorder="1" applyAlignment="1">
      <alignment horizontal="center" vertical="center" wrapText="1"/>
    </xf>
    <xf numFmtId="2" fontId="5" fillId="4" borderId="3" xfId="0" applyNumberFormat="1" applyFont="1" applyFill="1" applyBorder="1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0" fontId="6" fillId="3" borderId="0" xfId="1" applyNumberFormat="1" applyFont="1" applyFill="1" applyBorder="1" applyAlignment="1">
      <alignment horizontal="center" vertical="center"/>
    </xf>
    <xf numFmtId="0" fontId="6" fillId="3" borderId="4" xfId="1" applyNumberFormat="1" applyFont="1" applyFill="1" applyBorder="1" applyAlignment="1">
      <alignment horizontal="center" vertical="center"/>
    </xf>
    <xf numFmtId="0" fontId="6" fillId="3" borderId="6" xfId="1" applyNumberFormat="1" applyFont="1" applyFill="1" applyBorder="1" applyAlignment="1">
      <alignment horizontal="center" vertical="center"/>
    </xf>
    <xf numFmtId="0" fontId="6" fillId="3" borderId="7" xfId="1" applyNumberFormat="1" applyFont="1" applyFill="1" applyBorder="1" applyAlignment="1">
      <alignment horizontal="center" vertical="center"/>
    </xf>
    <xf numFmtId="164" fontId="8" fillId="0" borderId="0" xfId="0" applyNumberFormat="1" applyFont="1"/>
    <xf numFmtId="9" fontId="3" fillId="0" borderId="0" xfId="2" applyFont="1"/>
  </cellXfs>
  <cellStyles count="3">
    <cellStyle name="Currency" xfId="1" builtinId="4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12700</xdr:rowOff>
    </xdr:from>
    <xdr:to>
      <xdr:col>13</xdr:col>
      <xdr:colOff>0</xdr:colOff>
      <xdr:row>9</xdr:row>
      <xdr:rowOff>164024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99DFAF2B-08BC-FA47-A538-525B3C922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53600" y="12700"/>
          <a:ext cx="5778500" cy="3427924"/>
        </a:xfrm>
        <a:prstGeom prst="rect">
          <a:avLst/>
        </a:prstGeom>
      </xdr:spPr>
    </xdr:pic>
    <xdr:clientData/>
  </xdr:twoCellAnchor>
  <xdr:twoCellAnchor>
    <xdr:from>
      <xdr:col>6</xdr:col>
      <xdr:colOff>215900</xdr:colOff>
      <xdr:row>9</xdr:row>
      <xdr:rowOff>292100</xdr:rowOff>
    </xdr:from>
    <xdr:to>
      <xdr:col>12</xdr:col>
      <xdr:colOff>482600</xdr:colOff>
      <xdr:row>17</xdr:row>
      <xdr:rowOff>342900</xdr:rowOff>
    </xdr:to>
    <xdr:grpSp>
      <xdr:nvGrpSpPr>
        <xdr:cNvPr id="336" name="Group 335">
          <a:extLst>
            <a:ext uri="{FF2B5EF4-FFF2-40B4-BE49-F238E27FC236}">
              <a16:creationId xmlns:a16="http://schemas.microsoft.com/office/drawing/2014/main" id="{473E0BF8-C264-7B41-BB96-2AD66BD6D29B}"/>
            </a:ext>
          </a:extLst>
        </xdr:cNvPr>
        <xdr:cNvGrpSpPr>
          <a:grpSpLocks/>
        </xdr:cNvGrpSpPr>
      </xdr:nvGrpSpPr>
      <xdr:grpSpPr bwMode="auto">
        <a:xfrm>
          <a:off x="9969500" y="3568700"/>
          <a:ext cx="5219700" cy="3098800"/>
          <a:chOff x="-3" y="-3"/>
          <a:chExt cx="1714" cy="3978"/>
        </a:xfrm>
      </xdr:grpSpPr>
      <xdr:grpSp>
        <xdr:nvGrpSpPr>
          <xdr:cNvPr id="337" name="Group 336">
            <a:extLst>
              <a:ext uri="{FF2B5EF4-FFF2-40B4-BE49-F238E27FC236}">
                <a16:creationId xmlns:a16="http://schemas.microsoft.com/office/drawing/2014/main" id="{C79B5A71-F4C6-7148-8C9E-109754284958}"/>
              </a:ext>
            </a:extLst>
          </xdr:cNvPr>
          <xdr:cNvGrpSpPr>
            <a:grpSpLocks/>
          </xdr:cNvGrpSpPr>
        </xdr:nvGrpSpPr>
        <xdr:grpSpPr bwMode="auto">
          <a:xfrm>
            <a:off x="0" y="0"/>
            <a:ext cx="1708" cy="3972"/>
            <a:chOff x="0" y="0"/>
            <a:chExt cx="1708" cy="3972"/>
          </a:xfrm>
        </xdr:grpSpPr>
        <xdr:grpSp>
          <xdr:nvGrpSpPr>
            <xdr:cNvPr id="339" name="Group 338">
              <a:extLst>
                <a:ext uri="{FF2B5EF4-FFF2-40B4-BE49-F238E27FC236}">
                  <a16:creationId xmlns:a16="http://schemas.microsoft.com/office/drawing/2014/main" id="{38896C16-575E-8D4E-A125-52F60E80D5C3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1072" cy="403"/>
              <a:chOff x="0" y="0"/>
              <a:chExt cx="1072" cy="403"/>
            </a:xfrm>
          </xdr:grpSpPr>
          <xdr:sp macro="" textlink="">
            <xdr:nvSpPr>
              <xdr:cNvPr id="391" name="Rectangle 390">
                <a:extLst>
                  <a:ext uri="{FF2B5EF4-FFF2-40B4-BE49-F238E27FC236}">
                    <a16:creationId xmlns:a16="http://schemas.microsoft.com/office/drawing/2014/main" id="{FBBA1CED-5AA8-1749-8A22-8F6B55B6EE26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0"/>
                <a:ext cx="1048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Custos Indiretos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92" name="Rectangle 391">
                <a:extLst>
                  <a:ext uri="{FF2B5EF4-FFF2-40B4-BE49-F238E27FC236}">
                    <a16:creationId xmlns:a16="http://schemas.microsoft.com/office/drawing/2014/main" id="{DA86375D-76D7-0A47-8125-3AEE88EAC3BF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0"/>
                <a:ext cx="1072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40" name="Group 339">
              <a:extLst>
                <a:ext uri="{FF2B5EF4-FFF2-40B4-BE49-F238E27FC236}">
                  <a16:creationId xmlns:a16="http://schemas.microsoft.com/office/drawing/2014/main" id="{77B141AF-3358-2349-8612-40C5CA8781D1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72" y="0"/>
              <a:ext cx="636" cy="403"/>
              <a:chOff x="1072" y="0"/>
              <a:chExt cx="636" cy="403"/>
            </a:xfrm>
          </xdr:grpSpPr>
          <xdr:sp macro="" textlink="">
            <xdr:nvSpPr>
              <xdr:cNvPr id="389" name="Rectangle 388">
                <a:extLst>
                  <a:ext uri="{FF2B5EF4-FFF2-40B4-BE49-F238E27FC236}">
                    <a16:creationId xmlns:a16="http://schemas.microsoft.com/office/drawing/2014/main" id="{6B41567D-2012-4748-A548-7FB7BB3F0F4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84" y="0"/>
                <a:ext cx="612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Totais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ct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90" name="Rectangle 389">
                <a:extLst>
                  <a:ext uri="{FF2B5EF4-FFF2-40B4-BE49-F238E27FC236}">
                    <a16:creationId xmlns:a16="http://schemas.microsoft.com/office/drawing/2014/main" id="{37A4779B-1FDD-8D40-A7E6-96FBA7318223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2" y="0"/>
                <a:ext cx="636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41" name="Group 340">
              <a:extLst>
                <a:ext uri="{FF2B5EF4-FFF2-40B4-BE49-F238E27FC236}">
                  <a16:creationId xmlns:a16="http://schemas.microsoft.com/office/drawing/2014/main" id="{C050DEDE-513A-A945-B31F-80AB907FD6B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403"/>
              <a:ext cx="1072" cy="403"/>
              <a:chOff x="0" y="403"/>
              <a:chExt cx="1072" cy="403"/>
            </a:xfrm>
          </xdr:grpSpPr>
          <xdr:sp macro="" textlink="">
            <xdr:nvSpPr>
              <xdr:cNvPr id="387" name="Rectangle 386">
                <a:extLst>
                  <a:ext uri="{FF2B5EF4-FFF2-40B4-BE49-F238E27FC236}">
                    <a16:creationId xmlns:a16="http://schemas.microsoft.com/office/drawing/2014/main" id="{334FA05A-FF00-3940-BFC7-4C711384767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403"/>
                <a:ext cx="1048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Aluguel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88" name="Rectangle 387">
                <a:extLst>
                  <a:ext uri="{FF2B5EF4-FFF2-40B4-BE49-F238E27FC236}">
                    <a16:creationId xmlns:a16="http://schemas.microsoft.com/office/drawing/2014/main" id="{9C1DB4FD-6691-1E44-9EC1-DB8D8D35BA07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403"/>
                <a:ext cx="1072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42" name="Group 341">
              <a:extLst>
                <a:ext uri="{FF2B5EF4-FFF2-40B4-BE49-F238E27FC236}">
                  <a16:creationId xmlns:a16="http://schemas.microsoft.com/office/drawing/2014/main" id="{A05296E6-FEDC-BB42-BABA-11F9F542E85A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72" y="403"/>
              <a:ext cx="636" cy="403"/>
              <a:chOff x="1072" y="403"/>
              <a:chExt cx="636" cy="403"/>
            </a:xfrm>
          </xdr:grpSpPr>
          <xdr:sp macro="" textlink="">
            <xdr:nvSpPr>
              <xdr:cNvPr id="385" name="Rectangle 384">
                <a:extLst>
                  <a:ext uri="{FF2B5EF4-FFF2-40B4-BE49-F238E27FC236}">
                    <a16:creationId xmlns:a16="http://schemas.microsoft.com/office/drawing/2014/main" id="{366A93D1-5316-B04C-AC93-C77E4FD4F7C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84" y="403"/>
                <a:ext cx="612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>
                    <a:solidFill>
                      <a:schemeClr val="tx1"/>
                    </a:solidFill>
                    <a:cs typeface="Arial" panose="020B0604020202020204" pitchFamily="34" charset="0"/>
                  </a:rPr>
                  <a:t>$24.000,00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86" name="Rectangle 385">
                <a:extLst>
                  <a:ext uri="{FF2B5EF4-FFF2-40B4-BE49-F238E27FC236}">
                    <a16:creationId xmlns:a16="http://schemas.microsoft.com/office/drawing/2014/main" id="{DDB81004-EC7E-9D40-A739-4D834EDBC13E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2" y="403"/>
                <a:ext cx="636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43" name="Group 342">
              <a:extLst>
                <a:ext uri="{FF2B5EF4-FFF2-40B4-BE49-F238E27FC236}">
                  <a16:creationId xmlns:a16="http://schemas.microsoft.com/office/drawing/2014/main" id="{C6D74EC3-66CC-0542-AF73-9E0B32F3BDFA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806"/>
              <a:ext cx="1072" cy="403"/>
              <a:chOff x="0" y="806"/>
              <a:chExt cx="1072" cy="403"/>
            </a:xfrm>
          </xdr:grpSpPr>
          <xdr:sp macro="" textlink="">
            <xdr:nvSpPr>
              <xdr:cNvPr id="383" name="Rectangle 382">
                <a:extLst>
                  <a:ext uri="{FF2B5EF4-FFF2-40B4-BE49-F238E27FC236}">
                    <a16:creationId xmlns:a16="http://schemas.microsoft.com/office/drawing/2014/main" id="{65D976F5-6B5A-B143-BE87-C91AB644241C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806"/>
                <a:ext cx="1048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Energia Elétrica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84" name="Rectangle 383">
                <a:extLst>
                  <a:ext uri="{FF2B5EF4-FFF2-40B4-BE49-F238E27FC236}">
                    <a16:creationId xmlns:a16="http://schemas.microsoft.com/office/drawing/2014/main" id="{FE945EE4-E519-F944-BAE5-05A5B86A4A4F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806"/>
                <a:ext cx="1072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44" name="Group 343">
              <a:extLst>
                <a:ext uri="{FF2B5EF4-FFF2-40B4-BE49-F238E27FC236}">
                  <a16:creationId xmlns:a16="http://schemas.microsoft.com/office/drawing/2014/main" id="{59AA0E3B-A61A-FB47-BE54-9A0C9EEA0CC7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72" y="806"/>
              <a:ext cx="636" cy="403"/>
              <a:chOff x="1072" y="806"/>
              <a:chExt cx="636" cy="403"/>
            </a:xfrm>
          </xdr:grpSpPr>
          <xdr:sp macro="" textlink="">
            <xdr:nvSpPr>
              <xdr:cNvPr id="381" name="Rectangle 380">
                <a:extLst>
                  <a:ext uri="{FF2B5EF4-FFF2-40B4-BE49-F238E27FC236}">
                    <a16:creationId xmlns:a16="http://schemas.microsoft.com/office/drawing/2014/main" id="{5833A2A2-760E-3241-AFD2-016F7F3877D4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84" y="806"/>
                <a:ext cx="612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>
                    <a:solidFill>
                      <a:schemeClr val="tx1"/>
                    </a:solidFill>
                    <a:cs typeface="Arial" panose="020B0604020202020204" pitchFamily="34" charset="0"/>
                  </a:rPr>
                  <a:t>$42.000,00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82" name="Rectangle 381">
                <a:extLst>
                  <a:ext uri="{FF2B5EF4-FFF2-40B4-BE49-F238E27FC236}">
                    <a16:creationId xmlns:a16="http://schemas.microsoft.com/office/drawing/2014/main" id="{33EF06FA-E0A6-FE4E-8E05-3CC78186C859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2" y="806"/>
                <a:ext cx="636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45" name="Group 344">
              <a:extLst>
                <a:ext uri="{FF2B5EF4-FFF2-40B4-BE49-F238E27FC236}">
                  <a16:creationId xmlns:a16="http://schemas.microsoft.com/office/drawing/2014/main" id="{6E3679CF-7917-6B46-8DAD-54BC29D31C69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1209"/>
              <a:ext cx="1072" cy="403"/>
              <a:chOff x="0" y="1209"/>
              <a:chExt cx="1072" cy="403"/>
            </a:xfrm>
          </xdr:grpSpPr>
          <xdr:sp macro="" textlink="">
            <xdr:nvSpPr>
              <xdr:cNvPr id="379" name="Rectangle 378">
                <a:extLst>
                  <a:ext uri="{FF2B5EF4-FFF2-40B4-BE49-F238E27FC236}">
                    <a16:creationId xmlns:a16="http://schemas.microsoft.com/office/drawing/2014/main" id="{780AF265-232C-C246-BB0C-2407B08350BB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1209"/>
                <a:ext cx="1048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Salários Supervisão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80" name="Rectangle 379">
                <a:extLst>
                  <a:ext uri="{FF2B5EF4-FFF2-40B4-BE49-F238E27FC236}">
                    <a16:creationId xmlns:a16="http://schemas.microsoft.com/office/drawing/2014/main" id="{EBBD41DE-F01C-054F-96FD-3263C8EEF604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1209"/>
                <a:ext cx="1072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46" name="Group 345">
              <a:extLst>
                <a:ext uri="{FF2B5EF4-FFF2-40B4-BE49-F238E27FC236}">
                  <a16:creationId xmlns:a16="http://schemas.microsoft.com/office/drawing/2014/main" id="{3428BD8E-5544-1749-A416-BDA20ADCE8F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72" y="1209"/>
              <a:ext cx="636" cy="403"/>
              <a:chOff x="1072" y="1209"/>
              <a:chExt cx="636" cy="403"/>
            </a:xfrm>
          </xdr:grpSpPr>
          <xdr:sp macro="" textlink="">
            <xdr:nvSpPr>
              <xdr:cNvPr id="377" name="Rectangle 376">
                <a:extLst>
                  <a:ext uri="{FF2B5EF4-FFF2-40B4-BE49-F238E27FC236}">
                    <a16:creationId xmlns:a16="http://schemas.microsoft.com/office/drawing/2014/main" id="{8DBE79B0-94C6-494C-A961-383A7674000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84" y="1209"/>
                <a:ext cx="612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>
                    <a:solidFill>
                      <a:schemeClr val="tx1"/>
                    </a:solidFill>
                    <a:cs typeface="Arial" panose="020B0604020202020204" pitchFamily="34" charset="0"/>
                  </a:rPr>
                  <a:t>$25.000,00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78" name="Rectangle 377">
                <a:extLst>
                  <a:ext uri="{FF2B5EF4-FFF2-40B4-BE49-F238E27FC236}">
                    <a16:creationId xmlns:a16="http://schemas.microsoft.com/office/drawing/2014/main" id="{CE84E3C5-9610-2B4D-8934-986E2C8A5C9B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2" y="1209"/>
                <a:ext cx="636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47" name="Group 346">
              <a:extLst>
                <a:ext uri="{FF2B5EF4-FFF2-40B4-BE49-F238E27FC236}">
                  <a16:creationId xmlns:a16="http://schemas.microsoft.com/office/drawing/2014/main" id="{1FD03B2A-D816-1A40-A478-201A1EA162B1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1612"/>
              <a:ext cx="1072" cy="518"/>
              <a:chOff x="0" y="1612"/>
              <a:chExt cx="1072" cy="518"/>
            </a:xfrm>
          </xdr:grpSpPr>
          <xdr:sp macro="" textlink="">
            <xdr:nvSpPr>
              <xdr:cNvPr id="375" name="Rectangle 374">
                <a:extLst>
                  <a:ext uri="{FF2B5EF4-FFF2-40B4-BE49-F238E27FC236}">
                    <a16:creationId xmlns:a16="http://schemas.microsoft.com/office/drawing/2014/main" id="{24869663-A779-0644-8817-09C9DB215C99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1612"/>
                <a:ext cx="1048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Mão-de-obra indireta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76" name="Rectangle 375">
                <a:extLst>
                  <a:ext uri="{FF2B5EF4-FFF2-40B4-BE49-F238E27FC236}">
                    <a16:creationId xmlns:a16="http://schemas.microsoft.com/office/drawing/2014/main" id="{B28A3F05-3C78-7449-A0A7-B32FF0786EC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1612"/>
                <a:ext cx="1072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48" name="Group 347">
              <a:extLst>
                <a:ext uri="{FF2B5EF4-FFF2-40B4-BE49-F238E27FC236}">
                  <a16:creationId xmlns:a16="http://schemas.microsoft.com/office/drawing/2014/main" id="{2F7FFB88-0215-A144-A69C-CD96EEB8280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72" y="1612"/>
              <a:ext cx="636" cy="518"/>
              <a:chOff x="1072" y="1612"/>
              <a:chExt cx="636" cy="518"/>
            </a:xfrm>
          </xdr:grpSpPr>
          <xdr:sp macro="" textlink="">
            <xdr:nvSpPr>
              <xdr:cNvPr id="373" name="Rectangle 372">
                <a:extLst>
                  <a:ext uri="{FF2B5EF4-FFF2-40B4-BE49-F238E27FC236}">
                    <a16:creationId xmlns:a16="http://schemas.microsoft.com/office/drawing/2014/main" id="{6E9BCE65-A136-E144-A144-782624AC7C5E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84" y="1612"/>
                <a:ext cx="612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>
                    <a:solidFill>
                      <a:schemeClr val="tx1"/>
                    </a:solidFill>
                    <a:cs typeface="Arial" panose="020B0604020202020204" pitchFamily="34" charset="0"/>
                  </a:rPr>
                  <a:t>$35.000,00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74" name="Rectangle 373">
                <a:extLst>
                  <a:ext uri="{FF2B5EF4-FFF2-40B4-BE49-F238E27FC236}">
                    <a16:creationId xmlns:a16="http://schemas.microsoft.com/office/drawing/2014/main" id="{1164EDEE-7AFB-344E-8309-7796C3A7BE6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2" y="1612"/>
                <a:ext cx="636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49" name="Group 348">
              <a:extLst>
                <a:ext uri="{FF2B5EF4-FFF2-40B4-BE49-F238E27FC236}">
                  <a16:creationId xmlns:a16="http://schemas.microsoft.com/office/drawing/2014/main" id="{64FAA43B-6106-6548-AE2F-E73AD498F800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2130"/>
              <a:ext cx="1072" cy="403"/>
              <a:chOff x="0" y="2130"/>
              <a:chExt cx="1072" cy="403"/>
            </a:xfrm>
          </xdr:grpSpPr>
          <xdr:sp macro="" textlink="">
            <xdr:nvSpPr>
              <xdr:cNvPr id="371" name="Rectangle 370">
                <a:extLst>
                  <a:ext uri="{FF2B5EF4-FFF2-40B4-BE49-F238E27FC236}">
                    <a16:creationId xmlns:a16="http://schemas.microsoft.com/office/drawing/2014/main" id="{B2AF61B3-9A1D-8748-AC84-8DDE52284827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2130"/>
                <a:ext cx="1048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Depreciação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72" name="Rectangle 371">
                <a:extLst>
                  <a:ext uri="{FF2B5EF4-FFF2-40B4-BE49-F238E27FC236}">
                    <a16:creationId xmlns:a16="http://schemas.microsoft.com/office/drawing/2014/main" id="{437D9B7D-B735-5E49-8FB3-705D1BA33D0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2130"/>
                <a:ext cx="1072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50" name="Group 349">
              <a:extLst>
                <a:ext uri="{FF2B5EF4-FFF2-40B4-BE49-F238E27FC236}">
                  <a16:creationId xmlns:a16="http://schemas.microsoft.com/office/drawing/2014/main" id="{8441544D-D197-E54B-B881-FCF2E939F1A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72" y="2130"/>
              <a:ext cx="636" cy="403"/>
              <a:chOff x="1072" y="2130"/>
              <a:chExt cx="636" cy="403"/>
            </a:xfrm>
          </xdr:grpSpPr>
          <xdr:sp macro="" textlink="">
            <xdr:nvSpPr>
              <xdr:cNvPr id="369" name="Rectangle 368">
                <a:extLst>
                  <a:ext uri="{FF2B5EF4-FFF2-40B4-BE49-F238E27FC236}">
                    <a16:creationId xmlns:a16="http://schemas.microsoft.com/office/drawing/2014/main" id="{4326EDCE-5E11-7144-8E99-6A3E28E5759A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84" y="2130"/>
                <a:ext cx="612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>
                    <a:solidFill>
                      <a:schemeClr val="tx1"/>
                    </a:solidFill>
                    <a:cs typeface="Arial" panose="020B0604020202020204" pitchFamily="34" charset="0"/>
                  </a:rPr>
                  <a:t>$32.000,00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70" name="Rectangle 369">
                <a:extLst>
                  <a:ext uri="{FF2B5EF4-FFF2-40B4-BE49-F238E27FC236}">
                    <a16:creationId xmlns:a16="http://schemas.microsoft.com/office/drawing/2014/main" id="{6265B6F1-583C-324C-9568-8511CC7BDE89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2" y="2130"/>
                <a:ext cx="636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51" name="Group 350">
              <a:extLst>
                <a:ext uri="{FF2B5EF4-FFF2-40B4-BE49-F238E27FC236}">
                  <a16:creationId xmlns:a16="http://schemas.microsoft.com/office/drawing/2014/main" id="{DF51B40F-B191-6E43-8CB3-4113EDB5FB08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2533"/>
              <a:ext cx="1072" cy="518"/>
              <a:chOff x="0" y="2533"/>
              <a:chExt cx="1072" cy="518"/>
            </a:xfrm>
          </xdr:grpSpPr>
          <xdr:sp macro="" textlink="">
            <xdr:nvSpPr>
              <xdr:cNvPr id="367" name="Rectangle 366">
                <a:extLst>
                  <a:ext uri="{FF2B5EF4-FFF2-40B4-BE49-F238E27FC236}">
                    <a16:creationId xmlns:a16="http://schemas.microsoft.com/office/drawing/2014/main" id="{80C68657-F870-514C-97BA-CF3E27096407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2533"/>
                <a:ext cx="1048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Material de Consumo</a:t>
                </a: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68" name="Rectangle 367">
                <a:extLst>
                  <a:ext uri="{FF2B5EF4-FFF2-40B4-BE49-F238E27FC236}">
                    <a16:creationId xmlns:a16="http://schemas.microsoft.com/office/drawing/2014/main" id="{6CCF3F40-44E9-F94C-970C-C66A74FABC44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2533"/>
                <a:ext cx="1072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52" name="Group 351">
              <a:extLst>
                <a:ext uri="{FF2B5EF4-FFF2-40B4-BE49-F238E27FC236}">
                  <a16:creationId xmlns:a16="http://schemas.microsoft.com/office/drawing/2014/main" id="{F7EBB6A1-F47B-E946-80B5-FA45D6EA5E33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72" y="2533"/>
              <a:ext cx="636" cy="518"/>
              <a:chOff x="1072" y="2533"/>
              <a:chExt cx="636" cy="518"/>
            </a:xfrm>
          </xdr:grpSpPr>
          <xdr:sp macro="" textlink="">
            <xdr:nvSpPr>
              <xdr:cNvPr id="365" name="Rectangle 364">
                <a:extLst>
                  <a:ext uri="{FF2B5EF4-FFF2-40B4-BE49-F238E27FC236}">
                    <a16:creationId xmlns:a16="http://schemas.microsoft.com/office/drawing/2014/main" id="{7812C0CE-FEF7-3848-9CE2-349FD2208EFE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84" y="2533"/>
                <a:ext cx="612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>
                    <a:solidFill>
                      <a:schemeClr val="tx1"/>
                    </a:solidFill>
                    <a:cs typeface="Arial" panose="020B0604020202020204" pitchFamily="34" charset="0"/>
                  </a:rPr>
                  <a:t>$12.000,00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66" name="Rectangle 365">
                <a:extLst>
                  <a:ext uri="{FF2B5EF4-FFF2-40B4-BE49-F238E27FC236}">
                    <a16:creationId xmlns:a16="http://schemas.microsoft.com/office/drawing/2014/main" id="{F21AD14A-791E-8749-9684-EA11E6DD75A8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2" y="2533"/>
                <a:ext cx="636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53" name="Group 352">
              <a:extLst>
                <a:ext uri="{FF2B5EF4-FFF2-40B4-BE49-F238E27FC236}">
                  <a16:creationId xmlns:a16="http://schemas.microsoft.com/office/drawing/2014/main" id="{00574325-1F75-0E48-8779-9A5E08FACB1E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3051"/>
              <a:ext cx="1072" cy="403"/>
              <a:chOff x="0" y="3051"/>
              <a:chExt cx="1072" cy="403"/>
            </a:xfrm>
          </xdr:grpSpPr>
          <xdr:sp macro="" textlink="">
            <xdr:nvSpPr>
              <xdr:cNvPr id="363" name="Rectangle 362">
                <a:extLst>
                  <a:ext uri="{FF2B5EF4-FFF2-40B4-BE49-F238E27FC236}">
                    <a16:creationId xmlns:a16="http://schemas.microsoft.com/office/drawing/2014/main" id="{B7C16CB9-66FA-1D45-B0B0-53C7FC7E5BB0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3051"/>
                <a:ext cx="1048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Seguros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64" name="Rectangle 363">
                <a:extLst>
                  <a:ext uri="{FF2B5EF4-FFF2-40B4-BE49-F238E27FC236}">
                    <a16:creationId xmlns:a16="http://schemas.microsoft.com/office/drawing/2014/main" id="{52EC8E8C-9926-EA49-8205-FD5E0E0A8A07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3051"/>
                <a:ext cx="1072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54" name="Group 353">
              <a:extLst>
                <a:ext uri="{FF2B5EF4-FFF2-40B4-BE49-F238E27FC236}">
                  <a16:creationId xmlns:a16="http://schemas.microsoft.com/office/drawing/2014/main" id="{718665F0-1212-F649-A257-F55D57A1FB7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72" y="3051"/>
              <a:ext cx="636" cy="403"/>
              <a:chOff x="1072" y="3051"/>
              <a:chExt cx="636" cy="403"/>
            </a:xfrm>
          </xdr:grpSpPr>
          <xdr:sp macro="" textlink="">
            <xdr:nvSpPr>
              <xdr:cNvPr id="361" name="Rectangle 360">
                <a:extLst>
                  <a:ext uri="{FF2B5EF4-FFF2-40B4-BE49-F238E27FC236}">
                    <a16:creationId xmlns:a16="http://schemas.microsoft.com/office/drawing/2014/main" id="{833FA3A0-05CD-D441-9E8E-1E6FF5686DA8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84" y="3051"/>
                <a:ext cx="612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>
                    <a:solidFill>
                      <a:schemeClr val="tx1"/>
                    </a:solidFill>
                    <a:cs typeface="Arial" panose="020B0604020202020204" pitchFamily="34" charset="0"/>
                  </a:rPr>
                  <a:t>$20.000,00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62" name="Rectangle 361">
                <a:extLst>
                  <a:ext uri="{FF2B5EF4-FFF2-40B4-BE49-F238E27FC236}">
                    <a16:creationId xmlns:a16="http://schemas.microsoft.com/office/drawing/2014/main" id="{0C80C282-8321-8149-861C-82D9A7AD5298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2" y="3051"/>
                <a:ext cx="636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55" name="Group 354">
              <a:extLst>
                <a:ext uri="{FF2B5EF4-FFF2-40B4-BE49-F238E27FC236}">
                  <a16:creationId xmlns:a16="http://schemas.microsoft.com/office/drawing/2014/main" id="{A12D5EFD-7BA9-D14D-96BB-5C3AA4C030F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3454"/>
              <a:ext cx="1072" cy="518"/>
              <a:chOff x="0" y="3454"/>
              <a:chExt cx="1072" cy="518"/>
            </a:xfrm>
          </xdr:grpSpPr>
          <xdr:sp macro="" textlink="">
            <xdr:nvSpPr>
              <xdr:cNvPr id="359" name="Rectangle 358">
                <a:extLst>
                  <a:ext uri="{FF2B5EF4-FFF2-40B4-BE49-F238E27FC236}">
                    <a16:creationId xmlns:a16="http://schemas.microsoft.com/office/drawing/2014/main" id="{59B48C7C-01B2-8D46-8A5A-678B427CB172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3454"/>
                <a:ext cx="1048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Subtotal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60" name="Rectangle 359">
                <a:extLst>
                  <a:ext uri="{FF2B5EF4-FFF2-40B4-BE49-F238E27FC236}">
                    <a16:creationId xmlns:a16="http://schemas.microsoft.com/office/drawing/2014/main" id="{17AF35D7-1BE1-F844-A680-E51AEAC5829B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3454"/>
                <a:ext cx="1072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56" name="Group 355">
              <a:extLst>
                <a:ext uri="{FF2B5EF4-FFF2-40B4-BE49-F238E27FC236}">
                  <a16:creationId xmlns:a16="http://schemas.microsoft.com/office/drawing/2014/main" id="{EE48B695-03BB-5845-9009-829C1A8C37C9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1072" y="3454"/>
              <a:ext cx="636" cy="518"/>
              <a:chOff x="1072" y="3454"/>
              <a:chExt cx="636" cy="518"/>
            </a:xfrm>
          </xdr:grpSpPr>
          <xdr:sp macro="" textlink="">
            <xdr:nvSpPr>
              <xdr:cNvPr id="357" name="Rectangle 356">
                <a:extLst>
                  <a:ext uri="{FF2B5EF4-FFF2-40B4-BE49-F238E27FC236}">
                    <a16:creationId xmlns:a16="http://schemas.microsoft.com/office/drawing/2014/main" id="{A1643C11-B5E0-6C4F-9763-40FC4A69EAB3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84" y="3454"/>
                <a:ext cx="612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1800">
                    <a:solidFill>
                      <a:schemeClr val="tx1"/>
                    </a:solidFill>
                    <a:cs typeface="Arial" panose="020B0604020202020204" pitchFamily="34" charset="0"/>
                  </a:rPr>
                  <a:t>$190.000,00</a:t>
                </a:r>
                <a:endParaRPr lang="en-US" altLang="en-US" sz="18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18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358" name="Rectangle 357">
                <a:extLst>
                  <a:ext uri="{FF2B5EF4-FFF2-40B4-BE49-F238E27FC236}">
                    <a16:creationId xmlns:a16="http://schemas.microsoft.com/office/drawing/2014/main" id="{11DC5464-734F-6B47-B118-FD4EB5F19985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072" y="3454"/>
                <a:ext cx="636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</xdr:grpSp>
      <xdr:sp macro="" textlink="">
        <xdr:nvSpPr>
          <xdr:cNvPr id="338" name="Rectangle 337">
            <a:extLst>
              <a:ext uri="{FF2B5EF4-FFF2-40B4-BE49-F238E27FC236}">
                <a16:creationId xmlns:a16="http://schemas.microsoft.com/office/drawing/2014/main" id="{18443138-DE58-364A-A2BB-0E75B117A9E9}"/>
              </a:ext>
            </a:extLst>
          </xdr:cNvPr>
          <xdr:cNvSpPr>
            <a:spLocks noChangeArrowheads="1"/>
          </xdr:cNvSpPr>
        </xdr:nvSpPr>
        <xdr:spPr bwMode="auto">
          <a:xfrm>
            <a:off x="-3" y="-3"/>
            <a:ext cx="1714" cy="3978"/>
          </a:xfrm>
          <a:prstGeom prst="rect">
            <a:avLst/>
          </a:prstGeom>
          <a:noFill/>
          <a:ln w="11112">
            <a:solidFill>
              <a:srgbClr val="A0A0A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hangingPunct="1">
              <a:spcBef>
                <a:spcPct val="0"/>
              </a:spcBef>
              <a:buClrTx/>
              <a:buSzTx/>
              <a:buFontTx/>
              <a:buNone/>
            </a:pPr>
            <a:endParaRPr lang="pt-BR" altLang="en-US" sz="3200">
              <a:solidFill>
                <a:srgbClr val="CC0000"/>
              </a:solidFill>
            </a:endParaRPr>
          </a:p>
        </xdr:txBody>
      </xdr:sp>
    </xdr:grpSp>
    <xdr:clientData/>
  </xdr:twoCellAnchor>
  <xdr:twoCellAnchor>
    <xdr:from>
      <xdr:col>6</xdr:col>
      <xdr:colOff>406400</xdr:colOff>
      <xdr:row>18</xdr:row>
      <xdr:rowOff>304800</xdr:rowOff>
    </xdr:from>
    <xdr:to>
      <xdr:col>10</xdr:col>
      <xdr:colOff>812800</xdr:colOff>
      <xdr:row>27</xdr:row>
      <xdr:rowOff>50800</xdr:rowOff>
    </xdr:to>
    <xdr:grpSp>
      <xdr:nvGrpSpPr>
        <xdr:cNvPr id="393" name="Group 392">
          <a:extLst>
            <a:ext uri="{FF2B5EF4-FFF2-40B4-BE49-F238E27FC236}">
              <a16:creationId xmlns:a16="http://schemas.microsoft.com/office/drawing/2014/main" id="{0AA42F1A-7B65-D74D-887C-0C2E609ACA38}"/>
            </a:ext>
          </a:extLst>
        </xdr:cNvPr>
        <xdr:cNvGrpSpPr>
          <a:grpSpLocks/>
        </xdr:cNvGrpSpPr>
      </xdr:nvGrpSpPr>
      <xdr:grpSpPr bwMode="auto">
        <a:xfrm>
          <a:off x="10160000" y="7010400"/>
          <a:ext cx="3708400" cy="2476500"/>
          <a:chOff x="-3" y="-3"/>
          <a:chExt cx="1485" cy="2366"/>
        </a:xfrm>
      </xdr:grpSpPr>
      <xdr:grpSp>
        <xdr:nvGrpSpPr>
          <xdr:cNvPr id="394" name="Group 393">
            <a:extLst>
              <a:ext uri="{FF2B5EF4-FFF2-40B4-BE49-F238E27FC236}">
                <a16:creationId xmlns:a16="http://schemas.microsoft.com/office/drawing/2014/main" id="{52BA9201-72E5-2142-A3E8-F25733C10C40}"/>
              </a:ext>
            </a:extLst>
          </xdr:cNvPr>
          <xdr:cNvGrpSpPr>
            <a:grpSpLocks/>
          </xdr:cNvGrpSpPr>
        </xdr:nvGrpSpPr>
        <xdr:grpSpPr bwMode="auto">
          <a:xfrm>
            <a:off x="0" y="0"/>
            <a:ext cx="1479" cy="2360"/>
            <a:chOff x="0" y="0"/>
            <a:chExt cx="1479" cy="2360"/>
          </a:xfrm>
        </xdr:grpSpPr>
        <xdr:grpSp>
          <xdr:nvGrpSpPr>
            <xdr:cNvPr id="396" name="Group 395">
              <a:extLst>
                <a:ext uri="{FF2B5EF4-FFF2-40B4-BE49-F238E27FC236}">
                  <a16:creationId xmlns:a16="http://schemas.microsoft.com/office/drawing/2014/main" id="{6D2BCF93-BDF5-BA47-BE5D-CD72AE571356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0"/>
              <a:ext cx="843" cy="403"/>
              <a:chOff x="0" y="0"/>
              <a:chExt cx="843" cy="403"/>
            </a:xfrm>
          </xdr:grpSpPr>
          <xdr:sp macro="" textlink="">
            <xdr:nvSpPr>
              <xdr:cNvPr id="424" name="Rectangle 423">
                <a:extLst>
                  <a:ext uri="{FF2B5EF4-FFF2-40B4-BE49-F238E27FC236}">
                    <a16:creationId xmlns:a16="http://schemas.microsoft.com/office/drawing/2014/main" id="{3B0EF7C6-9475-5049-A858-766031A2F18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0"/>
                <a:ext cx="819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20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Despesas:</a:t>
                </a:r>
                <a:endParaRPr lang="en-US" altLang="en-US" sz="20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20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425" name="Rectangle 424">
                <a:extLst>
                  <a:ext uri="{FF2B5EF4-FFF2-40B4-BE49-F238E27FC236}">
                    <a16:creationId xmlns:a16="http://schemas.microsoft.com/office/drawing/2014/main" id="{0DAAD8A4-7ED5-2E48-BD91-57699DBC9645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0"/>
                <a:ext cx="843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97" name="Group 396">
              <a:extLst>
                <a:ext uri="{FF2B5EF4-FFF2-40B4-BE49-F238E27FC236}">
                  <a16:creationId xmlns:a16="http://schemas.microsoft.com/office/drawing/2014/main" id="{64C94761-13BE-5949-B7DE-D75272356A5B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43" y="0"/>
              <a:ext cx="636" cy="403"/>
              <a:chOff x="843" y="0"/>
              <a:chExt cx="636" cy="403"/>
            </a:xfrm>
          </xdr:grpSpPr>
          <xdr:sp macro="" textlink="">
            <xdr:nvSpPr>
              <xdr:cNvPr id="422" name="Rectangle 421">
                <a:extLst>
                  <a:ext uri="{FF2B5EF4-FFF2-40B4-BE49-F238E27FC236}">
                    <a16:creationId xmlns:a16="http://schemas.microsoft.com/office/drawing/2014/main" id="{7AEEF357-3880-3444-B6D7-567CDF1C311C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55" y="0"/>
                <a:ext cx="612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2000">
                    <a:solidFill>
                      <a:schemeClr val="tx1"/>
                    </a:solidFill>
                    <a:cs typeface="Times New Roman" panose="02020603050405020304" pitchFamily="18" charset="0"/>
                  </a:rPr>
                  <a:t> </a:t>
                </a: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20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423" name="Rectangle 422">
                <a:extLst>
                  <a:ext uri="{FF2B5EF4-FFF2-40B4-BE49-F238E27FC236}">
                    <a16:creationId xmlns:a16="http://schemas.microsoft.com/office/drawing/2014/main" id="{69307BFB-971A-FF41-963E-748D88BB1EF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43" y="0"/>
                <a:ext cx="636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98" name="Group 397">
              <a:extLst>
                <a:ext uri="{FF2B5EF4-FFF2-40B4-BE49-F238E27FC236}">
                  <a16:creationId xmlns:a16="http://schemas.microsoft.com/office/drawing/2014/main" id="{389BD8E1-2C87-1249-98F4-027F0DEA7644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403"/>
              <a:ext cx="843" cy="518"/>
              <a:chOff x="0" y="403"/>
              <a:chExt cx="843" cy="518"/>
            </a:xfrm>
          </xdr:grpSpPr>
          <xdr:sp macro="" textlink="">
            <xdr:nvSpPr>
              <xdr:cNvPr id="420" name="Rectangle 419">
                <a:extLst>
                  <a:ext uri="{FF2B5EF4-FFF2-40B4-BE49-F238E27FC236}">
                    <a16:creationId xmlns:a16="http://schemas.microsoft.com/office/drawing/2014/main" id="{0A34112B-1F41-B44D-B2B1-B7D76B590CEA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403"/>
                <a:ext cx="819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20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Administrativas</a:t>
                </a:r>
                <a:endParaRPr lang="en-US" altLang="en-US" sz="20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20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421" name="Rectangle 420">
                <a:extLst>
                  <a:ext uri="{FF2B5EF4-FFF2-40B4-BE49-F238E27FC236}">
                    <a16:creationId xmlns:a16="http://schemas.microsoft.com/office/drawing/2014/main" id="{8ED4768C-5B0F-C248-913F-DB4DACCE8D4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403"/>
                <a:ext cx="843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399" name="Group 398">
              <a:extLst>
                <a:ext uri="{FF2B5EF4-FFF2-40B4-BE49-F238E27FC236}">
                  <a16:creationId xmlns:a16="http://schemas.microsoft.com/office/drawing/2014/main" id="{7395F73A-21E4-5E4E-8092-FCE0A4365675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43" y="403"/>
              <a:ext cx="636" cy="518"/>
              <a:chOff x="843" y="403"/>
              <a:chExt cx="636" cy="518"/>
            </a:xfrm>
          </xdr:grpSpPr>
          <xdr:sp macro="" textlink="">
            <xdr:nvSpPr>
              <xdr:cNvPr id="418" name="Rectangle 417">
                <a:extLst>
                  <a:ext uri="{FF2B5EF4-FFF2-40B4-BE49-F238E27FC236}">
                    <a16:creationId xmlns:a16="http://schemas.microsoft.com/office/drawing/2014/main" id="{BBBC00BF-66FD-5348-891A-27EE9ACD1EBE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55" y="403"/>
                <a:ext cx="612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2000">
                    <a:solidFill>
                      <a:schemeClr val="tx1"/>
                    </a:solidFill>
                    <a:cs typeface="Arial" panose="020B0604020202020204" pitchFamily="34" charset="0"/>
                  </a:rPr>
                  <a:t>$50.000,00</a:t>
                </a:r>
                <a:endParaRPr lang="en-US" altLang="en-US" sz="20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20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419" name="Rectangle 418">
                <a:extLst>
                  <a:ext uri="{FF2B5EF4-FFF2-40B4-BE49-F238E27FC236}">
                    <a16:creationId xmlns:a16="http://schemas.microsoft.com/office/drawing/2014/main" id="{D9C7F794-6A86-E241-A3B0-39B05E51AE3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43" y="403"/>
                <a:ext cx="636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400" name="Group 399">
              <a:extLst>
                <a:ext uri="{FF2B5EF4-FFF2-40B4-BE49-F238E27FC236}">
                  <a16:creationId xmlns:a16="http://schemas.microsoft.com/office/drawing/2014/main" id="{777FB9BD-8C0F-3A46-8DEB-2720144A45C5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921"/>
              <a:ext cx="843" cy="403"/>
              <a:chOff x="0" y="921"/>
              <a:chExt cx="843" cy="403"/>
            </a:xfrm>
          </xdr:grpSpPr>
          <xdr:sp macro="" textlink="">
            <xdr:nvSpPr>
              <xdr:cNvPr id="416" name="Rectangle 415">
                <a:extLst>
                  <a:ext uri="{FF2B5EF4-FFF2-40B4-BE49-F238E27FC236}">
                    <a16:creationId xmlns:a16="http://schemas.microsoft.com/office/drawing/2014/main" id="{BF58020B-7D27-7649-AA81-CC0FAC771BAA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921"/>
                <a:ext cx="819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20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Com Vendas</a:t>
                </a:r>
                <a:endParaRPr lang="en-US" altLang="en-US" sz="20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20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417" name="Rectangle 416">
                <a:extLst>
                  <a:ext uri="{FF2B5EF4-FFF2-40B4-BE49-F238E27FC236}">
                    <a16:creationId xmlns:a16="http://schemas.microsoft.com/office/drawing/2014/main" id="{862C1121-AB2B-B943-9775-CB0C5392300A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921"/>
                <a:ext cx="843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401" name="Group 400">
              <a:extLst>
                <a:ext uri="{FF2B5EF4-FFF2-40B4-BE49-F238E27FC236}">
                  <a16:creationId xmlns:a16="http://schemas.microsoft.com/office/drawing/2014/main" id="{EE3CEEAE-DF9C-2B43-ADA2-A4192701C79D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43" y="921"/>
              <a:ext cx="636" cy="403"/>
              <a:chOff x="843" y="921"/>
              <a:chExt cx="636" cy="403"/>
            </a:xfrm>
          </xdr:grpSpPr>
          <xdr:sp macro="" textlink="">
            <xdr:nvSpPr>
              <xdr:cNvPr id="414" name="Rectangle 413">
                <a:extLst>
                  <a:ext uri="{FF2B5EF4-FFF2-40B4-BE49-F238E27FC236}">
                    <a16:creationId xmlns:a16="http://schemas.microsoft.com/office/drawing/2014/main" id="{C8D40934-7E4E-3247-888B-C0E50903DC5A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55" y="921"/>
                <a:ext cx="612" cy="4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2000">
                    <a:solidFill>
                      <a:schemeClr val="tx1"/>
                    </a:solidFill>
                    <a:cs typeface="Arial" panose="020B0604020202020204" pitchFamily="34" charset="0"/>
                  </a:rPr>
                  <a:t>$43.000,00</a:t>
                </a:r>
                <a:endParaRPr lang="en-US" altLang="en-US" sz="20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20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415" name="Rectangle 414">
                <a:extLst>
                  <a:ext uri="{FF2B5EF4-FFF2-40B4-BE49-F238E27FC236}">
                    <a16:creationId xmlns:a16="http://schemas.microsoft.com/office/drawing/2014/main" id="{E04B66FE-051D-F548-84DB-6A4262D7AFF5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43" y="921"/>
                <a:ext cx="636" cy="403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402" name="Group 401">
              <a:extLst>
                <a:ext uri="{FF2B5EF4-FFF2-40B4-BE49-F238E27FC236}">
                  <a16:creationId xmlns:a16="http://schemas.microsoft.com/office/drawing/2014/main" id="{ECF2E9B0-2266-3649-A243-BD8978BA276D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1324"/>
              <a:ext cx="843" cy="518"/>
              <a:chOff x="0" y="1324"/>
              <a:chExt cx="843" cy="518"/>
            </a:xfrm>
          </xdr:grpSpPr>
          <xdr:sp macro="" textlink="">
            <xdr:nvSpPr>
              <xdr:cNvPr id="412" name="Rectangle 411">
                <a:extLst>
                  <a:ext uri="{FF2B5EF4-FFF2-40B4-BE49-F238E27FC236}">
                    <a16:creationId xmlns:a16="http://schemas.microsoft.com/office/drawing/2014/main" id="{5CE050B9-458D-BC45-BF9E-08827425C8A8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1324"/>
                <a:ext cx="819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20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Comissões (5%)</a:t>
                </a:r>
                <a:endParaRPr lang="en-US" altLang="en-US" sz="20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20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413" name="Rectangle 412">
                <a:extLst>
                  <a:ext uri="{FF2B5EF4-FFF2-40B4-BE49-F238E27FC236}">
                    <a16:creationId xmlns:a16="http://schemas.microsoft.com/office/drawing/2014/main" id="{F43786CA-0010-4E41-A45C-7C1AF6F973DB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1324"/>
                <a:ext cx="843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403" name="Group 402">
              <a:extLst>
                <a:ext uri="{FF2B5EF4-FFF2-40B4-BE49-F238E27FC236}">
                  <a16:creationId xmlns:a16="http://schemas.microsoft.com/office/drawing/2014/main" id="{29C72A8A-8940-BB4C-9D7E-E91EDFD11CA3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43" y="1324"/>
              <a:ext cx="636" cy="518"/>
              <a:chOff x="843" y="1324"/>
              <a:chExt cx="636" cy="518"/>
            </a:xfrm>
          </xdr:grpSpPr>
          <xdr:sp macro="" textlink="">
            <xdr:nvSpPr>
              <xdr:cNvPr id="410" name="Rectangle 409">
                <a:extLst>
                  <a:ext uri="{FF2B5EF4-FFF2-40B4-BE49-F238E27FC236}">
                    <a16:creationId xmlns:a16="http://schemas.microsoft.com/office/drawing/2014/main" id="{5809DB63-CC04-C94C-8B6C-DF97A8C19012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55" y="1324"/>
                <a:ext cx="612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2000">
                    <a:solidFill>
                      <a:schemeClr val="tx1"/>
                    </a:solidFill>
                    <a:cs typeface="Arial" panose="020B0604020202020204" pitchFamily="34" charset="0"/>
                  </a:rPr>
                  <a:t>$24.020,00</a:t>
                </a:r>
                <a:endParaRPr lang="en-US" altLang="en-US" sz="20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20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411" name="Rectangle 410">
                <a:extLst>
                  <a:ext uri="{FF2B5EF4-FFF2-40B4-BE49-F238E27FC236}">
                    <a16:creationId xmlns:a16="http://schemas.microsoft.com/office/drawing/2014/main" id="{49FC06A3-68EA-774B-BE02-A1C5C4BE5E21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43" y="1324"/>
                <a:ext cx="636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404" name="Group 403">
              <a:extLst>
                <a:ext uri="{FF2B5EF4-FFF2-40B4-BE49-F238E27FC236}">
                  <a16:creationId xmlns:a16="http://schemas.microsoft.com/office/drawing/2014/main" id="{B82CBFDD-1A8A-BC4C-8759-AFC2127FA85B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1842"/>
              <a:ext cx="843" cy="518"/>
              <a:chOff x="0" y="1842"/>
              <a:chExt cx="843" cy="518"/>
            </a:xfrm>
          </xdr:grpSpPr>
          <xdr:sp macro="" textlink="">
            <xdr:nvSpPr>
              <xdr:cNvPr id="408" name="Rectangle 407">
                <a:extLst>
                  <a:ext uri="{FF2B5EF4-FFF2-40B4-BE49-F238E27FC236}">
                    <a16:creationId xmlns:a16="http://schemas.microsoft.com/office/drawing/2014/main" id="{3BD8DB40-3B58-8C4B-B806-98648E4DD804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12" y="1842"/>
                <a:ext cx="819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2000" b="1">
                    <a:solidFill>
                      <a:schemeClr val="tx1"/>
                    </a:solidFill>
                    <a:cs typeface="Arial" panose="020B0604020202020204" pitchFamily="34" charset="0"/>
                  </a:rPr>
                  <a:t>Total</a:t>
                </a:r>
                <a:endParaRPr lang="en-US" altLang="en-US" sz="20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20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409" name="Rectangle 408">
                <a:extLst>
                  <a:ext uri="{FF2B5EF4-FFF2-40B4-BE49-F238E27FC236}">
                    <a16:creationId xmlns:a16="http://schemas.microsoft.com/office/drawing/2014/main" id="{023AE8D7-8765-DA4D-B480-8C5E07A626AE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0" y="1842"/>
                <a:ext cx="843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  <xdr:grpSp>
          <xdr:nvGrpSpPr>
            <xdr:cNvPr id="405" name="Group 404">
              <a:extLst>
                <a:ext uri="{FF2B5EF4-FFF2-40B4-BE49-F238E27FC236}">
                  <a16:creationId xmlns:a16="http://schemas.microsoft.com/office/drawing/2014/main" id="{ACD18DA0-8CB6-BD41-BB86-D5DEB2396492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843" y="1842"/>
              <a:ext cx="636" cy="518"/>
              <a:chOff x="843" y="1842"/>
              <a:chExt cx="636" cy="518"/>
            </a:xfrm>
          </xdr:grpSpPr>
          <xdr:sp macro="" textlink="">
            <xdr:nvSpPr>
              <xdr:cNvPr id="406" name="Rectangle 405">
                <a:extLst>
                  <a:ext uri="{FF2B5EF4-FFF2-40B4-BE49-F238E27FC236}">
                    <a16:creationId xmlns:a16="http://schemas.microsoft.com/office/drawing/2014/main" id="{6DBB1766-C24A-7E43-818D-071CC0B16428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55" y="1842"/>
                <a:ext cx="612" cy="51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r>
                  <a:rPr lang="en-US" altLang="en-US" sz="2000">
                    <a:solidFill>
                      <a:schemeClr val="tx1"/>
                    </a:solidFill>
                    <a:cs typeface="Arial" panose="020B0604020202020204" pitchFamily="34" charset="0"/>
                  </a:rPr>
                  <a:t>$117.020,00</a:t>
                </a:r>
                <a:endParaRPr lang="en-US" altLang="en-US" sz="2000">
                  <a:solidFill>
                    <a:schemeClr val="tx1"/>
                  </a:solidFill>
                  <a:cs typeface="Times New Roman" panose="02020603050405020304" pitchFamily="18" charset="0"/>
                </a:endParaRPr>
              </a:p>
              <a:p>
                <a:pPr algn="r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en-US" altLang="en-US" sz="2000">
                  <a:solidFill>
                    <a:schemeClr val="tx1"/>
                  </a:solidFill>
                </a:endParaRPr>
              </a:p>
            </xdr:txBody>
          </xdr:sp>
          <xdr:sp macro="" textlink="">
            <xdr:nvSpPr>
              <xdr:cNvPr id="407" name="Rectangle 406">
                <a:extLst>
                  <a:ext uri="{FF2B5EF4-FFF2-40B4-BE49-F238E27FC236}">
                    <a16:creationId xmlns:a16="http://schemas.microsoft.com/office/drawing/2014/main" id="{6A2C3382-7E37-564F-82CF-2C8DBE85E48D}"/>
                  </a:ext>
                </a:extLst>
              </xdr:cNvPr>
              <xdr:cNvSpPr>
                <a:spLocks noChangeArrowheads="1"/>
              </xdr:cNvSpPr>
            </xdr:nvSpPr>
            <xdr:spPr bwMode="auto">
              <a:xfrm>
                <a:off x="843" y="1842"/>
                <a:ext cx="636" cy="518"/>
              </a:xfrm>
              <a:prstGeom prst="rect">
                <a:avLst/>
              </a:prstGeom>
              <a:noFill/>
              <a:ln w="7">
                <a:solidFill>
                  <a:srgbClr val="A0A0A0"/>
                </a:solidFill>
                <a:miter lim="800000"/>
                <a:headEnd/>
                <a:tailEnd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  <xdr:txBody>
              <a:bodyPr wrap="square"/>
              <a:lstStyle>
                <a:defPPr>
                  <a:defRPr lang="en-US"/>
                </a:defPPr>
                <a:lvl1pPr marL="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1pPr>
                <a:lvl2pPr marL="457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2pPr>
                <a:lvl3pPr marL="914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3pPr>
                <a:lvl4pPr marL="1371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4pPr>
                <a:lvl5pPr marL="18288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5pPr>
                <a:lvl6pPr marL="22860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6pPr>
                <a:lvl7pPr marL="27432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7pPr>
                <a:lvl8pPr marL="32004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8pPr>
                <a:lvl9pPr marL="3657600" algn="l" defTabSz="914400" rtl="0" eaLnBrk="1" latinLnBrk="0" hangingPunct="1">
                  <a:defRPr sz="1800" kern="120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lvl9pPr>
              </a:lstStyle>
              <a:p>
                <a:pPr algn="ctr" eaLnBrk="1" hangingPunct="1">
                  <a:spcBef>
                    <a:spcPct val="0"/>
                  </a:spcBef>
                  <a:buClrTx/>
                  <a:buSzTx/>
                  <a:buFontTx/>
                  <a:buNone/>
                </a:pPr>
                <a:endParaRPr lang="pt-BR" altLang="en-US" sz="3200">
                  <a:solidFill>
                    <a:srgbClr val="CC0000"/>
                  </a:solidFill>
                </a:endParaRPr>
              </a:p>
            </xdr:txBody>
          </xdr:sp>
        </xdr:grpSp>
      </xdr:grpSp>
      <xdr:sp macro="" textlink="">
        <xdr:nvSpPr>
          <xdr:cNvPr id="395" name="Rectangle 394">
            <a:extLst>
              <a:ext uri="{FF2B5EF4-FFF2-40B4-BE49-F238E27FC236}">
                <a16:creationId xmlns:a16="http://schemas.microsoft.com/office/drawing/2014/main" id="{3DC95D1C-ED41-FA4A-ABF2-5033B73E4D0F}"/>
              </a:ext>
            </a:extLst>
          </xdr:cNvPr>
          <xdr:cNvSpPr>
            <a:spLocks noChangeArrowheads="1"/>
          </xdr:cNvSpPr>
        </xdr:nvSpPr>
        <xdr:spPr bwMode="auto">
          <a:xfrm>
            <a:off x="-3" y="-3"/>
            <a:ext cx="1485" cy="2366"/>
          </a:xfrm>
          <a:prstGeom prst="rect">
            <a:avLst/>
          </a:prstGeom>
          <a:noFill/>
          <a:ln w="11112">
            <a:solidFill>
              <a:srgbClr val="A0A0A0"/>
            </a:solidFill>
            <a:miter lim="800000"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  <xdr:txBody>
          <a:bodyPr wrap="square"/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eaLnBrk="1" hangingPunct="1">
              <a:spcBef>
                <a:spcPct val="0"/>
              </a:spcBef>
              <a:buClrTx/>
              <a:buSzTx/>
              <a:buFontTx/>
              <a:buNone/>
            </a:pPr>
            <a:endParaRPr lang="pt-BR" altLang="en-US" sz="3200">
              <a:solidFill>
                <a:srgbClr val="CC0000"/>
              </a:solidFill>
            </a:endParaRP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584200</xdr:colOff>
      <xdr:row>13</xdr:row>
      <xdr:rowOff>165100</xdr:rowOff>
    </xdr:from>
    <xdr:to>
      <xdr:col>25</xdr:col>
      <xdr:colOff>330200</xdr:colOff>
      <xdr:row>16</xdr:row>
      <xdr:rowOff>38100</xdr:rowOff>
    </xdr:to>
    <xdr:sp macro="" textlink="">
      <xdr:nvSpPr>
        <xdr:cNvPr id="3" name="TextBox 3">
          <a:extLst>
            <a:ext uri="{FF2B5EF4-FFF2-40B4-BE49-F238E27FC236}">
              <a16:creationId xmlns:a16="http://schemas.microsoft.com/office/drawing/2014/main" id="{F4D41983-CBE7-274B-8382-AFB5D372B347}"/>
            </a:ext>
          </a:extLst>
        </xdr:cNvPr>
        <xdr:cNvSpPr txBox="1"/>
      </xdr:nvSpPr>
      <xdr:spPr>
        <a:xfrm>
          <a:off x="15608300" y="2946400"/>
          <a:ext cx="3048000" cy="59690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sz="1400"/>
            <a:t>ESCOLHA</a:t>
          </a:r>
          <a:r>
            <a:rPr lang="en-US" sz="1400" baseline="0"/>
            <a:t> A REGRA DE PROPORCIONALIDADE PARA ALOCAR OS CUSTOS INDIRETOS</a:t>
          </a:r>
          <a:endParaRPr lang="en-US" sz="14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C5FF18-F5DD-274C-BE77-710A6B659638}">
  <dimension ref="A1:Q15"/>
  <sheetViews>
    <sheetView tabSelected="1" zoomScale="90" zoomScaleNormal="90" workbookViewId="0">
      <selection activeCell="A14" sqref="A14:K14"/>
    </sheetView>
  </sheetViews>
  <sheetFormatPr baseColWidth="10" defaultRowHeight="21" x14ac:dyDescent="0.25"/>
  <cols>
    <col min="1" max="1" width="33.5" style="3" customWidth="1"/>
    <col min="2" max="2" width="35.83203125" style="31" customWidth="1"/>
    <col min="3" max="3" width="27.83203125" style="3" customWidth="1"/>
    <col min="4" max="4" width="14.1640625" style="3" bestFit="1" customWidth="1"/>
    <col min="5" max="5" width="12.1640625" style="3" bestFit="1" customWidth="1"/>
    <col min="6" max="6" width="13.6640625" style="3" customWidth="1"/>
    <col min="7" max="7" width="13.1640625" style="3" bestFit="1" customWidth="1"/>
    <col min="8" max="8" width="31.83203125" style="31" customWidth="1"/>
    <col min="9" max="9" width="17.1640625" style="4" bestFit="1" customWidth="1"/>
    <col min="10" max="10" width="16.1640625" style="4" customWidth="1"/>
    <col min="11" max="11" width="17.1640625" style="4" customWidth="1"/>
    <col min="12" max="12" width="15.33203125" style="3" customWidth="1"/>
    <col min="13" max="14" width="14.33203125" style="3" customWidth="1"/>
    <col min="15" max="17" width="17.1640625" style="3" bestFit="1" customWidth="1"/>
    <col min="18" max="18" width="15.1640625" style="3" bestFit="1" customWidth="1"/>
    <col min="19" max="16384" width="10.83203125" style="3"/>
  </cols>
  <sheetData>
    <row r="1" spans="1:17" s="10" customFormat="1" ht="67" customHeight="1" x14ac:dyDescent="0.2">
      <c r="A1" s="89" t="s">
        <v>26</v>
      </c>
      <c r="B1" s="90"/>
      <c r="C1" s="91"/>
      <c r="D1" s="97" t="s">
        <v>32</v>
      </c>
      <c r="E1" s="98"/>
      <c r="F1" s="98"/>
      <c r="G1" s="99"/>
      <c r="H1" s="33" t="s">
        <v>33</v>
      </c>
      <c r="I1" s="93" t="s">
        <v>37</v>
      </c>
      <c r="J1" s="94"/>
      <c r="K1" s="95"/>
      <c r="L1" s="89" t="s">
        <v>29</v>
      </c>
      <c r="M1" s="90"/>
      <c r="N1" s="91"/>
      <c r="O1" s="89" t="s">
        <v>39</v>
      </c>
      <c r="P1" s="90"/>
      <c r="Q1" s="91"/>
    </row>
    <row r="2" spans="1:17" s="2" customFormat="1" x14ac:dyDescent="0.25">
      <c r="A2" s="8" t="s">
        <v>0</v>
      </c>
      <c r="B2" s="28" t="s">
        <v>10</v>
      </c>
      <c r="C2" s="9" t="s">
        <v>11</v>
      </c>
      <c r="D2" s="5" t="s">
        <v>23</v>
      </c>
      <c r="E2" s="6" t="s">
        <v>24</v>
      </c>
      <c r="F2" s="6" t="s">
        <v>25</v>
      </c>
      <c r="G2" s="7" t="s">
        <v>35</v>
      </c>
      <c r="H2" s="34" t="s">
        <v>35</v>
      </c>
      <c r="I2" s="39" t="s">
        <v>23</v>
      </c>
      <c r="J2" s="40" t="s">
        <v>24</v>
      </c>
      <c r="K2" s="40" t="s">
        <v>25</v>
      </c>
      <c r="L2" s="5" t="s">
        <v>23</v>
      </c>
      <c r="M2" s="6" t="s">
        <v>24</v>
      </c>
      <c r="N2" s="6" t="s">
        <v>25</v>
      </c>
      <c r="O2" s="5" t="s">
        <v>23</v>
      </c>
      <c r="P2" s="6" t="s">
        <v>24</v>
      </c>
      <c r="Q2" s="7" t="s">
        <v>25</v>
      </c>
    </row>
    <row r="3" spans="1:17" s="10" customFormat="1" ht="48" customHeight="1" x14ac:dyDescent="0.2">
      <c r="A3" s="12" t="s">
        <v>1</v>
      </c>
      <c r="B3" s="29">
        <v>16000</v>
      </c>
      <c r="C3" s="13" t="s">
        <v>12</v>
      </c>
      <c r="D3" s="14">
        <v>150</v>
      </c>
      <c r="E3" s="15">
        <v>400</v>
      </c>
      <c r="F3" s="15">
        <v>200</v>
      </c>
      <c r="G3" s="16">
        <f>SUM((D3:F3))</f>
        <v>750</v>
      </c>
      <c r="H3" s="38">
        <f>$B$3/G3</f>
        <v>21.333333333333332</v>
      </c>
      <c r="I3" s="41">
        <f>H3*D3</f>
        <v>3200</v>
      </c>
      <c r="J3" s="42">
        <f>H3*E3</f>
        <v>8533.3333333333321</v>
      </c>
      <c r="K3" s="43">
        <f>H3*F3</f>
        <v>4266.6666666666661</v>
      </c>
      <c r="L3" s="101">
        <v>18000</v>
      </c>
      <c r="M3" s="101">
        <v>4200</v>
      </c>
      <c r="N3" s="87">
        <v>13000</v>
      </c>
      <c r="O3" s="17">
        <f>(H3*D3)/$L$3</f>
        <v>0.17777777777777778</v>
      </c>
      <c r="P3" s="18">
        <f t="shared" ref="P3:P12" si="0">(E3*H3)/$M$3</f>
        <v>2.0317460317460316</v>
      </c>
      <c r="Q3" s="43">
        <f t="shared" ref="Q3:Q12" si="1">(F3*H3)/$N$3</f>
        <v>0.32820512820512815</v>
      </c>
    </row>
    <row r="4" spans="1:17" s="10" customFormat="1" ht="48" customHeight="1" x14ac:dyDescent="0.2">
      <c r="A4" s="12" t="s">
        <v>2</v>
      </c>
      <c r="B4" s="29">
        <v>12000</v>
      </c>
      <c r="C4" s="13" t="s">
        <v>13</v>
      </c>
      <c r="D4" s="14">
        <v>2</v>
      </c>
      <c r="E4" s="15">
        <v>6</v>
      </c>
      <c r="F4" s="15">
        <v>3</v>
      </c>
      <c r="G4" s="16">
        <f t="shared" ref="G4:G12" si="2">SUM((D4:F4))</f>
        <v>11</v>
      </c>
      <c r="H4" s="35">
        <f>$B$4/G4</f>
        <v>1090.909090909091</v>
      </c>
      <c r="I4" s="41">
        <f t="shared" ref="I4:I12" si="3">H4*D4</f>
        <v>2181.818181818182</v>
      </c>
      <c r="J4" s="42">
        <f t="shared" ref="J4:J12" si="4">H4*E4</f>
        <v>6545.454545454546</v>
      </c>
      <c r="K4" s="43">
        <f t="shared" ref="K4:K12" si="5">H4*F4</f>
        <v>3272.727272727273</v>
      </c>
      <c r="L4" s="102"/>
      <c r="M4" s="101"/>
      <c r="N4" s="87"/>
      <c r="O4" s="17">
        <f t="shared" ref="O3:O12" si="6">(H4*D4)/$L$3</f>
        <v>0.12121212121212122</v>
      </c>
      <c r="P4" s="18">
        <f t="shared" si="0"/>
        <v>1.5584415584415585</v>
      </c>
      <c r="Q4" s="43">
        <f t="shared" si="1"/>
        <v>0.25174825174825177</v>
      </c>
    </row>
    <row r="5" spans="1:17" s="10" customFormat="1" ht="48" customHeight="1" x14ac:dyDescent="0.2">
      <c r="A5" s="12" t="s">
        <v>3</v>
      </c>
      <c r="B5" s="29">
        <v>12350</v>
      </c>
      <c r="C5" s="13" t="s">
        <v>14</v>
      </c>
      <c r="D5" s="14">
        <v>150</v>
      </c>
      <c r="E5" s="15">
        <v>400</v>
      </c>
      <c r="F5" s="15">
        <v>200</v>
      </c>
      <c r="G5" s="16">
        <f t="shared" si="2"/>
        <v>750</v>
      </c>
      <c r="H5" s="35">
        <f>$B$5/G5</f>
        <v>16.466666666666665</v>
      </c>
      <c r="I5" s="41">
        <f t="shared" si="3"/>
        <v>2469.9999999999995</v>
      </c>
      <c r="J5" s="42">
        <f t="shared" si="4"/>
        <v>6586.6666666666661</v>
      </c>
      <c r="K5" s="43">
        <f t="shared" si="5"/>
        <v>3293.333333333333</v>
      </c>
      <c r="L5" s="102"/>
      <c r="M5" s="101"/>
      <c r="N5" s="87"/>
      <c r="O5" s="17">
        <f t="shared" si="6"/>
        <v>0.13722222222222219</v>
      </c>
      <c r="P5" s="18">
        <f t="shared" si="0"/>
        <v>1.568253968253968</v>
      </c>
      <c r="Q5" s="43">
        <f t="shared" si="1"/>
        <v>0.2533333333333333</v>
      </c>
    </row>
    <row r="6" spans="1:17" s="10" customFormat="1" ht="48" customHeight="1" x14ac:dyDescent="0.2">
      <c r="A6" s="12" t="s">
        <v>4</v>
      </c>
      <c r="B6" s="29">
        <v>16000</v>
      </c>
      <c r="C6" s="13" t="s">
        <v>15</v>
      </c>
      <c r="D6" s="14">
        <v>400</v>
      </c>
      <c r="E6" s="15">
        <v>1500</v>
      </c>
      <c r="F6" s="15">
        <v>800</v>
      </c>
      <c r="G6" s="16">
        <f t="shared" si="2"/>
        <v>2700</v>
      </c>
      <c r="H6" s="35">
        <f>$B$6/G6</f>
        <v>5.9259259259259256</v>
      </c>
      <c r="I6" s="41">
        <f t="shared" si="3"/>
        <v>2370.3703703703704</v>
      </c>
      <c r="J6" s="42">
        <f t="shared" si="4"/>
        <v>8888.8888888888887</v>
      </c>
      <c r="K6" s="43">
        <f t="shared" si="5"/>
        <v>4740.7407407407409</v>
      </c>
      <c r="L6" s="102"/>
      <c r="M6" s="101"/>
      <c r="N6" s="87"/>
      <c r="O6" s="17">
        <f t="shared" si="6"/>
        <v>0.13168724279835392</v>
      </c>
      <c r="P6" s="18">
        <f t="shared" si="0"/>
        <v>2.1164021164021163</v>
      </c>
      <c r="Q6" s="43">
        <f t="shared" si="1"/>
        <v>0.36467236467236469</v>
      </c>
    </row>
    <row r="7" spans="1:17" s="10" customFormat="1" ht="48" customHeight="1" x14ac:dyDescent="0.2">
      <c r="A7" s="12" t="s">
        <v>5</v>
      </c>
      <c r="B7" s="29">
        <v>16000</v>
      </c>
      <c r="C7" s="13" t="s">
        <v>16</v>
      </c>
      <c r="D7" s="14">
        <v>1</v>
      </c>
      <c r="E7" s="15">
        <v>1</v>
      </c>
      <c r="F7" s="15">
        <v>1</v>
      </c>
      <c r="G7" s="16">
        <f t="shared" si="2"/>
        <v>3</v>
      </c>
      <c r="H7" s="35">
        <f>$B$7/G7</f>
        <v>5333.333333333333</v>
      </c>
      <c r="I7" s="41">
        <f t="shared" si="3"/>
        <v>5333.333333333333</v>
      </c>
      <c r="J7" s="42">
        <f t="shared" si="4"/>
        <v>5333.333333333333</v>
      </c>
      <c r="K7" s="43">
        <f t="shared" si="5"/>
        <v>5333.333333333333</v>
      </c>
      <c r="L7" s="102"/>
      <c r="M7" s="101"/>
      <c r="N7" s="87"/>
      <c r="O7" s="17">
        <f t="shared" si="6"/>
        <v>0.29629629629629628</v>
      </c>
      <c r="P7" s="18">
        <f t="shared" si="0"/>
        <v>1.2698412698412698</v>
      </c>
      <c r="Q7" s="43">
        <f t="shared" si="1"/>
        <v>0.41025641025641024</v>
      </c>
    </row>
    <row r="8" spans="1:17" s="10" customFormat="1" ht="48" customHeight="1" x14ac:dyDescent="0.2">
      <c r="A8" s="12" t="s">
        <v>6</v>
      </c>
      <c r="B8" s="29">
        <v>13850</v>
      </c>
      <c r="C8" s="13" t="s">
        <v>17</v>
      </c>
      <c r="D8" s="14">
        <v>10</v>
      </c>
      <c r="E8" s="15">
        <v>40</v>
      </c>
      <c r="F8" s="15">
        <v>20</v>
      </c>
      <c r="G8" s="16">
        <f t="shared" si="2"/>
        <v>70</v>
      </c>
      <c r="H8" s="35">
        <f>$B$8/G8</f>
        <v>197.85714285714286</v>
      </c>
      <c r="I8" s="41">
        <f t="shared" si="3"/>
        <v>1978.5714285714287</v>
      </c>
      <c r="J8" s="42">
        <f t="shared" si="4"/>
        <v>7914.2857142857147</v>
      </c>
      <c r="K8" s="43">
        <f t="shared" si="5"/>
        <v>3957.1428571428573</v>
      </c>
      <c r="L8" s="102"/>
      <c r="M8" s="101"/>
      <c r="N8" s="87"/>
      <c r="O8" s="17">
        <f t="shared" si="6"/>
        <v>0.10992063492063493</v>
      </c>
      <c r="P8" s="18">
        <f t="shared" si="0"/>
        <v>1.8843537414965987</v>
      </c>
      <c r="Q8" s="43">
        <f t="shared" si="1"/>
        <v>0.30439560439560442</v>
      </c>
    </row>
    <row r="9" spans="1:17" s="10" customFormat="1" ht="48" customHeight="1" x14ac:dyDescent="0.2">
      <c r="A9" s="12" t="s">
        <v>7</v>
      </c>
      <c r="B9" s="29">
        <v>29000</v>
      </c>
      <c r="C9" s="13" t="s">
        <v>18</v>
      </c>
      <c r="D9" s="14">
        <v>2160</v>
      </c>
      <c r="E9" s="15">
        <v>882</v>
      </c>
      <c r="F9" s="15">
        <v>2600</v>
      </c>
      <c r="G9" s="16">
        <f t="shared" si="2"/>
        <v>5642</v>
      </c>
      <c r="H9" s="35">
        <f>$B$9/G9</f>
        <v>5.140021269053527</v>
      </c>
      <c r="I9" s="41">
        <f t="shared" si="3"/>
        <v>11102.445941155618</v>
      </c>
      <c r="J9" s="42">
        <f t="shared" si="4"/>
        <v>4533.498759305211</v>
      </c>
      <c r="K9" s="43">
        <f t="shared" si="5"/>
        <v>13364.05529953917</v>
      </c>
      <c r="L9" s="102"/>
      <c r="M9" s="101"/>
      <c r="N9" s="87"/>
      <c r="O9" s="17">
        <f t="shared" si="6"/>
        <v>0.61680255228642322</v>
      </c>
      <c r="P9" s="18">
        <f t="shared" si="0"/>
        <v>1.0794044665012408</v>
      </c>
      <c r="Q9" s="43">
        <f t="shared" si="1"/>
        <v>1.0280042538107055</v>
      </c>
    </row>
    <row r="10" spans="1:17" s="10" customFormat="1" ht="48" customHeight="1" x14ac:dyDescent="0.2">
      <c r="A10" s="12" t="s">
        <v>8</v>
      </c>
      <c r="B10" s="29">
        <v>28600</v>
      </c>
      <c r="C10" s="13" t="s">
        <v>19</v>
      </c>
      <c r="D10" s="14">
        <v>3240</v>
      </c>
      <c r="E10" s="15">
        <v>2058</v>
      </c>
      <c r="F10" s="15">
        <v>7800</v>
      </c>
      <c r="G10" s="16">
        <f t="shared" si="2"/>
        <v>13098</v>
      </c>
      <c r="H10" s="35">
        <f>$B$10/G10</f>
        <v>2.1835394716750649</v>
      </c>
      <c r="I10" s="41">
        <f t="shared" si="3"/>
        <v>7074.6678882272099</v>
      </c>
      <c r="J10" s="42">
        <f t="shared" si="4"/>
        <v>4493.7242327072836</v>
      </c>
      <c r="K10" s="43">
        <f t="shared" si="5"/>
        <v>17031.607879065505</v>
      </c>
      <c r="L10" s="102"/>
      <c r="M10" s="101"/>
      <c r="N10" s="87"/>
      <c r="O10" s="17">
        <f t="shared" si="6"/>
        <v>0.39303710490151167</v>
      </c>
      <c r="P10" s="18">
        <f t="shared" si="0"/>
        <v>1.0699343411207818</v>
      </c>
      <c r="Q10" s="43">
        <f t="shared" si="1"/>
        <v>1.3101236830050389</v>
      </c>
    </row>
    <row r="11" spans="1:17" s="10" customFormat="1" ht="48" customHeight="1" x14ac:dyDescent="0.2">
      <c r="A11" s="12" t="s">
        <v>9</v>
      </c>
      <c r="B11" s="29">
        <v>14000</v>
      </c>
      <c r="C11" s="13" t="s">
        <v>20</v>
      </c>
      <c r="D11" s="14">
        <v>2700</v>
      </c>
      <c r="E11" s="15">
        <v>2520</v>
      </c>
      <c r="F11" s="15">
        <v>3900</v>
      </c>
      <c r="G11" s="16">
        <f t="shared" si="2"/>
        <v>9120</v>
      </c>
      <c r="H11" s="35">
        <f>$B$11/G11</f>
        <v>1.5350877192982457</v>
      </c>
      <c r="I11" s="41">
        <f t="shared" si="3"/>
        <v>4144.7368421052633</v>
      </c>
      <c r="J11" s="42">
        <f t="shared" si="4"/>
        <v>3868.4210526315792</v>
      </c>
      <c r="K11" s="43">
        <f t="shared" si="5"/>
        <v>5986.8421052631584</v>
      </c>
      <c r="L11" s="102"/>
      <c r="M11" s="101"/>
      <c r="N11" s="87"/>
      <c r="O11" s="17">
        <f t="shared" si="6"/>
        <v>0.23026315789473686</v>
      </c>
      <c r="P11" s="18">
        <f t="shared" si="0"/>
        <v>0.92105263157894746</v>
      </c>
      <c r="Q11" s="43">
        <f t="shared" si="1"/>
        <v>0.46052631578947373</v>
      </c>
    </row>
    <row r="12" spans="1:17" s="10" customFormat="1" ht="48" customHeight="1" x14ac:dyDescent="0.2">
      <c r="A12" s="19" t="s">
        <v>22</v>
      </c>
      <c r="B12" s="30">
        <v>32200</v>
      </c>
      <c r="C12" s="20" t="s">
        <v>21</v>
      </c>
      <c r="D12" s="21">
        <v>25</v>
      </c>
      <c r="E12" s="22">
        <v>50</v>
      </c>
      <c r="F12" s="22">
        <v>25</v>
      </c>
      <c r="G12" s="23">
        <f t="shared" si="2"/>
        <v>100</v>
      </c>
      <c r="H12" s="36">
        <f>$B$12/G12</f>
        <v>322</v>
      </c>
      <c r="I12" s="41">
        <f t="shared" si="3"/>
        <v>8050</v>
      </c>
      <c r="J12" s="42">
        <f t="shared" si="4"/>
        <v>16100</v>
      </c>
      <c r="K12" s="43">
        <f t="shared" si="5"/>
        <v>8050</v>
      </c>
      <c r="L12" s="103"/>
      <c r="M12" s="104"/>
      <c r="N12" s="88"/>
      <c r="O12" s="24">
        <f t="shared" si="6"/>
        <v>0.44722222222222224</v>
      </c>
      <c r="P12" s="25">
        <f t="shared" si="0"/>
        <v>3.8333333333333335</v>
      </c>
      <c r="Q12" s="45">
        <f t="shared" si="1"/>
        <v>0.61923076923076925</v>
      </c>
    </row>
    <row r="13" spans="1:17" x14ac:dyDescent="0.25">
      <c r="I13" s="44">
        <f>SUM(I3:I12)/L3</f>
        <v>2.6614413325322999</v>
      </c>
      <c r="J13" s="44">
        <f t="shared" ref="J13:K13" si="7">SUM(J3:J12)/M3</f>
        <v>17.332763458715849</v>
      </c>
      <c r="K13" s="44">
        <f t="shared" si="7"/>
        <v>5.3304961144470795</v>
      </c>
      <c r="O13" s="11">
        <f>SUM(O3:O12)</f>
        <v>2.6614413325323003</v>
      </c>
      <c r="P13" s="11">
        <f t="shared" ref="P13:Q13" si="8">SUM(P3:P12)</f>
        <v>17.332763458715846</v>
      </c>
      <c r="Q13" s="11">
        <f t="shared" si="8"/>
        <v>5.3304961144470795</v>
      </c>
    </row>
    <row r="14" spans="1:17" s="27" customFormat="1" ht="49" customHeight="1" x14ac:dyDescent="0.2">
      <c r="A14" s="27" t="s">
        <v>27</v>
      </c>
      <c r="B14" s="32" t="s">
        <v>28</v>
      </c>
      <c r="D14" s="100" t="s">
        <v>30</v>
      </c>
      <c r="E14" s="100"/>
      <c r="F14" s="100"/>
      <c r="G14" s="100"/>
      <c r="H14" s="37" t="s">
        <v>31</v>
      </c>
      <c r="I14" s="96" t="s">
        <v>38</v>
      </c>
      <c r="J14" s="96"/>
      <c r="K14" s="96"/>
      <c r="L14" s="26"/>
      <c r="M14" s="26"/>
      <c r="N14" s="26"/>
      <c r="O14" s="92" t="s">
        <v>34</v>
      </c>
      <c r="P14" s="92"/>
      <c r="Q14" s="92"/>
    </row>
    <row r="15" spans="1:17" x14ac:dyDescent="0.25">
      <c r="O15" s="2" t="s">
        <v>36</v>
      </c>
    </row>
  </sheetData>
  <mergeCells count="11">
    <mergeCell ref="D1:G1"/>
    <mergeCell ref="A1:C1"/>
    <mergeCell ref="D14:G14"/>
    <mergeCell ref="L3:L12"/>
    <mergeCell ref="M3:M12"/>
    <mergeCell ref="N3:N12"/>
    <mergeCell ref="O1:Q1"/>
    <mergeCell ref="O14:Q14"/>
    <mergeCell ref="L1:N1"/>
    <mergeCell ref="I1:K1"/>
    <mergeCell ref="I14:K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38ED14-6C40-CC48-96A2-29E1E8386B83}">
  <dimension ref="A1:E25"/>
  <sheetViews>
    <sheetView topLeftCell="A9" workbookViewId="0">
      <selection activeCell="E22" sqref="E22"/>
    </sheetView>
  </sheetViews>
  <sheetFormatPr baseColWidth="10" defaultRowHeight="19" x14ac:dyDescent="0.25"/>
  <cols>
    <col min="1" max="1" width="46.33203125" customWidth="1"/>
    <col min="2" max="2" width="16.83203125" style="1" customWidth="1"/>
    <col min="3" max="3" width="17.5" style="1" customWidth="1"/>
    <col min="4" max="4" width="20.5" style="1" customWidth="1"/>
    <col min="5" max="5" width="16" style="1" bestFit="1" customWidth="1"/>
  </cols>
  <sheetData>
    <row r="1" spans="1:5" ht="21" customHeight="1" x14ac:dyDescent="0.25">
      <c r="A1" s="47" t="s">
        <v>40</v>
      </c>
      <c r="B1" s="49" t="s">
        <v>23</v>
      </c>
      <c r="C1" s="50" t="s">
        <v>24</v>
      </c>
      <c r="D1" s="50" t="s">
        <v>25</v>
      </c>
      <c r="E1" s="48" t="s">
        <v>48</v>
      </c>
    </row>
    <row r="2" spans="1:5" ht="27" customHeight="1" x14ac:dyDescent="0.25">
      <c r="A2" s="52" t="s">
        <v>41</v>
      </c>
      <c r="B2" s="51">
        <f>18000*10</f>
        <v>180000</v>
      </c>
      <c r="C2" s="51">
        <f>4200*22</f>
        <v>92400</v>
      </c>
      <c r="D2" s="51">
        <f>16*13000</f>
        <v>208000</v>
      </c>
      <c r="E2" s="51">
        <f>SUM(B2:D2)</f>
        <v>480400</v>
      </c>
    </row>
    <row r="3" spans="1:5" ht="30" customHeight="1" x14ac:dyDescent="0.25">
      <c r="A3" s="52" t="s">
        <v>42</v>
      </c>
      <c r="B3" s="51"/>
      <c r="C3" s="51"/>
      <c r="D3" s="51"/>
      <c r="E3" s="51"/>
    </row>
    <row r="4" spans="1:5" ht="30" customHeight="1" x14ac:dyDescent="0.25">
      <c r="A4" s="53" t="s">
        <v>49</v>
      </c>
      <c r="B4" s="51">
        <f>3*18000</f>
        <v>54000</v>
      </c>
      <c r="C4" s="51">
        <f>4*4200</f>
        <v>16800</v>
      </c>
      <c r="D4" s="51">
        <f>3*13000</f>
        <v>39000</v>
      </c>
      <c r="E4" s="51">
        <f>SUM(B4:D4)</f>
        <v>109800</v>
      </c>
    </row>
    <row r="5" spans="1:5" ht="30" customHeight="1" x14ac:dyDescent="0.25">
      <c r="A5" s="53" t="s">
        <v>50</v>
      </c>
      <c r="B5" s="51">
        <f>0.25*18000</f>
        <v>4500</v>
      </c>
      <c r="C5" s="51">
        <f>0.75*4200</f>
        <v>3150</v>
      </c>
      <c r="D5" s="51">
        <f>0.5*13000</f>
        <v>6500</v>
      </c>
      <c r="E5" s="51">
        <f>SUM(B5:D5)</f>
        <v>14150</v>
      </c>
    </row>
    <row r="6" spans="1:5" ht="30" customHeight="1" x14ac:dyDescent="0.25">
      <c r="A6" s="53" t="s">
        <v>51</v>
      </c>
      <c r="B6" s="51">
        <f>0.5*18000</f>
        <v>9000</v>
      </c>
      <c r="C6" s="51">
        <f>1*4200</f>
        <v>4200</v>
      </c>
      <c r="D6" s="51">
        <f>0.75*13000</f>
        <v>9750</v>
      </c>
      <c r="E6" s="51">
        <f t="shared" ref="E6:E16" si="0">SUM(B6:D6)</f>
        <v>22950</v>
      </c>
    </row>
    <row r="7" spans="1:5" ht="30" customHeight="1" x14ac:dyDescent="0.25">
      <c r="A7" s="52" t="s">
        <v>43</v>
      </c>
      <c r="B7" s="54">
        <f>SUM(B4:B6)</f>
        <v>67500</v>
      </c>
      <c r="C7" s="54">
        <f t="shared" ref="C7:D7" si="1">SUM(C4:C6)</f>
        <v>24150</v>
      </c>
      <c r="D7" s="54">
        <f t="shared" si="1"/>
        <v>55250</v>
      </c>
      <c r="E7" s="54">
        <f t="shared" si="0"/>
        <v>146900</v>
      </c>
    </row>
    <row r="8" spans="1:5" ht="30" customHeight="1" x14ac:dyDescent="0.25">
      <c r="A8" t="s">
        <v>52</v>
      </c>
      <c r="B8" s="51">
        <f>'IDENTIFICANDO O CUSTO'!I3</f>
        <v>3200</v>
      </c>
      <c r="C8" s="51">
        <f>'IDENTIFICANDO O CUSTO'!J3</f>
        <v>8533.3333333333321</v>
      </c>
      <c r="D8" s="51">
        <f>'IDENTIFICANDO O CUSTO'!K3</f>
        <v>4266.6666666666661</v>
      </c>
      <c r="E8" s="51">
        <f t="shared" si="0"/>
        <v>15999.999999999998</v>
      </c>
    </row>
    <row r="9" spans="1:5" ht="30" customHeight="1" x14ac:dyDescent="0.25">
      <c r="A9" t="s">
        <v>53</v>
      </c>
      <c r="B9" s="51">
        <f>'IDENTIFICANDO O CUSTO'!I4</f>
        <v>2181.818181818182</v>
      </c>
      <c r="C9" s="51">
        <f>'IDENTIFICANDO O CUSTO'!J4</f>
        <v>6545.454545454546</v>
      </c>
      <c r="D9" s="51">
        <f>'IDENTIFICANDO O CUSTO'!K4</f>
        <v>3272.727272727273</v>
      </c>
      <c r="E9" s="51">
        <f t="shared" si="0"/>
        <v>12000</v>
      </c>
    </row>
    <row r="10" spans="1:5" ht="30" customHeight="1" x14ac:dyDescent="0.25">
      <c r="A10" t="s">
        <v>54</v>
      </c>
      <c r="B10" s="51">
        <f>'IDENTIFICANDO O CUSTO'!I5</f>
        <v>2469.9999999999995</v>
      </c>
      <c r="C10" s="51">
        <f>'IDENTIFICANDO O CUSTO'!J5</f>
        <v>6586.6666666666661</v>
      </c>
      <c r="D10" s="51">
        <f>'IDENTIFICANDO O CUSTO'!K5</f>
        <v>3293.333333333333</v>
      </c>
      <c r="E10" s="51">
        <f t="shared" si="0"/>
        <v>12350</v>
      </c>
    </row>
    <row r="11" spans="1:5" ht="30" customHeight="1" x14ac:dyDescent="0.25">
      <c r="A11" t="s">
        <v>61</v>
      </c>
      <c r="B11" s="51">
        <f>'IDENTIFICANDO O CUSTO'!I6</f>
        <v>2370.3703703703704</v>
      </c>
      <c r="C11" s="51">
        <f>'IDENTIFICANDO O CUSTO'!J6</f>
        <v>8888.8888888888887</v>
      </c>
      <c r="D11" s="51">
        <f>'IDENTIFICANDO O CUSTO'!K6</f>
        <v>4740.7407407407409</v>
      </c>
      <c r="E11" s="51">
        <f t="shared" si="0"/>
        <v>16000</v>
      </c>
    </row>
    <row r="12" spans="1:5" ht="30" customHeight="1" x14ac:dyDescent="0.25">
      <c r="A12" t="s">
        <v>55</v>
      </c>
      <c r="B12" s="51">
        <f>'IDENTIFICANDO O CUSTO'!I7</f>
        <v>5333.333333333333</v>
      </c>
      <c r="C12" s="51">
        <f>'IDENTIFICANDO O CUSTO'!J7</f>
        <v>5333.333333333333</v>
      </c>
      <c r="D12" s="51">
        <f>'IDENTIFICANDO O CUSTO'!K7</f>
        <v>5333.333333333333</v>
      </c>
      <c r="E12" s="51">
        <f t="shared" si="0"/>
        <v>16000</v>
      </c>
    </row>
    <row r="13" spans="1:5" ht="30" customHeight="1" x14ac:dyDescent="0.25">
      <c r="A13" t="s">
        <v>56</v>
      </c>
      <c r="B13" s="51">
        <f>'IDENTIFICANDO O CUSTO'!I8</f>
        <v>1978.5714285714287</v>
      </c>
      <c r="C13" s="51">
        <f>'IDENTIFICANDO O CUSTO'!J8</f>
        <v>7914.2857142857147</v>
      </c>
      <c r="D13" s="51">
        <f>'IDENTIFICANDO O CUSTO'!K8</f>
        <v>3957.1428571428573</v>
      </c>
      <c r="E13" s="51">
        <f t="shared" si="0"/>
        <v>13850</v>
      </c>
    </row>
    <row r="14" spans="1:5" ht="30" customHeight="1" x14ac:dyDescent="0.25">
      <c r="A14" t="s">
        <v>60</v>
      </c>
      <c r="B14" s="51">
        <f>'IDENTIFICANDO O CUSTO'!I9</f>
        <v>11102.445941155618</v>
      </c>
      <c r="C14" s="51">
        <f>'IDENTIFICANDO O CUSTO'!J9</f>
        <v>4533.498759305211</v>
      </c>
      <c r="D14" s="51">
        <f>'IDENTIFICANDO O CUSTO'!K9</f>
        <v>13364.05529953917</v>
      </c>
      <c r="E14" s="51">
        <f t="shared" si="0"/>
        <v>29000</v>
      </c>
    </row>
    <row r="15" spans="1:5" ht="30" customHeight="1" x14ac:dyDescent="0.25">
      <c r="A15" t="s">
        <v>57</v>
      </c>
      <c r="B15" s="51">
        <f>'IDENTIFICANDO O CUSTO'!I10</f>
        <v>7074.6678882272099</v>
      </c>
      <c r="C15" s="51">
        <f>'IDENTIFICANDO O CUSTO'!J10</f>
        <v>4493.7242327072836</v>
      </c>
      <c r="D15" s="51">
        <f>'IDENTIFICANDO O CUSTO'!K10</f>
        <v>17031.607879065505</v>
      </c>
      <c r="E15" s="51">
        <f t="shared" si="0"/>
        <v>28600</v>
      </c>
    </row>
    <row r="16" spans="1:5" ht="30" customHeight="1" x14ac:dyDescent="0.25">
      <c r="A16" t="s">
        <v>58</v>
      </c>
      <c r="B16" s="51">
        <f>'IDENTIFICANDO O CUSTO'!I11</f>
        <v>4144.7368421052633</v>
      </c>
      <c r="C16" s="51">
        <f>'IDENTIFICANDO O CUSTO'!J11</f>
        <v>3868.4210526315792</v>
      </c>
      <c r="D16" s="51">
        <f>'IDENTIFICANDO O CUSTO'!K11</f>
        <v>5986.8421052631584</v>
      </c>
      <c r="E16" s="51">
        <f t="shared" si="0"/>
        <v>14000</v>
      </c>
    </row>
    <row r="17" spans="1:5" ht="30" customHeight="1" x14ac:dyDescent="0.25">
      <c r="A17" t="s">
        <v>59</v>
      </c>
      <c r="B17" s="51">
        <f>'IDENTIFICANDO O CUSTO'!I12</f>
        <v>8050</v>
      </c>
      <c r="C17" s="51">
        <f>'IDENTIFICANDO O CUSTO'!J12</f>
        <v>16100</v>
      </c>
      <c r="D17" s="51">
        <f>'IDENTIFICANDO O CUSTO'!K12</f>
        <v>8050</v>
      </c>
      <c r="E17" s="51">
        <f t="shared" ref="E17" si="2">SUM(B17:D17)</f>
        <v>32200</v>
      </c>
    </row>
    <row r="18" spans="1:5" ht="30" customHeight="1" x14ac:dyDescent="0.25">
      <c r="A18" s="52" t="s">
        <v>44</v>
      </c>
      <c r="B18" s="54">
        <f>SUM(B8:B17)</f>
        <v>47905.943985581398</v>
      </c>
      <c r="C18" s="54">
        <f t="shared" ref="C18:E18" si="3">SUM(C8:C17)</f>
        <v>72797.606526606571</v>
      </c>
      <c r="D18" s="54">
        <f t="shared" si="3"/>
        <v>69296.449487812031</v>
      </c>
      <c r="E18" s="54">
        <f t="shared" si="3"/>
        <v>190000</v>
      </c>
    </row>
    <row r="19" spans="1:5" ht="30" customHeight="1" x14ac:dyDescent="0.25">
      <c r="A19" s="52" t="s">
        <v>62</v>
      </c>
      <c r="B19" s="54">
        <f>B2-(B7+B18)</f>
        <v>64594.056014418602</v>
      </c>
      <c r="C19" s="54">
        <f t="shared" ref="C19:E19" si="4">C2-(C7+C18)</f>
        <v>-4547.6065266065707</v>
      </c>
      <c r="D19" s="54">
        <f t="shared" si="4"/>
        <v>83453.550512187969</v>
      </c>
      <c r="E19" s="54">
        <f t="shared" si="4"/>
        <v>143500</v>
      </c>
    </row>
    <row r="20" spans="1:5" ht="30" customHeight="1" x14ac:dyDescent="0.25">
      <c r="A20" s="52" t="s">
        <v>45</v>
      </c>
      <c r="B20" s="51"/>
      <c r="C20" s="51"/>
      <c r="D20" s="51"/>
      <c r="E20" s="54">
        <v>50000</v>
      </c>
    </row>
    <row r="21" spans="1:5" ht="30" customHeight="1" x14ac:dyDescent="0.25">
      <c r="A21" s="52" t="s">
        <v>46</v>
      </c>
      <c r="B21" s="51"/>
      <c r="C21" s="51"/>
      <c r="D21" s="51"/>
      <c r="E21" s="54">
        <f>43000+24020</f>
        <v>67020</v>
      </c>
    </row>
    <row r="22" spans="1:5" ht="30" customHeight="1" x14ac:dyDescent="0.25">
      <c r="A22" s="52" t="s">
        <v>47</v>
      </c>
      <c r="E22" s="54">
        <f>E19-E20-E21</f>
        <v>26480</v>
      </c>
    </row>
    <row r="24" spans="1:5" x14ac:dyDescent="0.25">
      <c r="A24" s="52" t="s">
        <v>99</v>
      </c>
      <c r="B24" s="51">
        <f>B19/18000</f>
        <v>3.5885586674677001</v>
      </c>
      <c r="C24" s="51">
        <f>C19/4200</f>
        <v>-1.0827634587158501</v>
      </c>
      <c r="D24" s="51">
        <f>D19/13000</f>
        <v>6.4195038855529205</v>
      </c>
    </row>
    <row r="25" spans="1:5" x14ac:dyDescent="0.25">
      <c r="B25" s="106">
        <f>B19/B2</f>
        <v>0.35885586674677</v>
      </c>
      <c r="C25" s="106">
        <f t="shared" ref="C25:D25" si="5">C19/C2</f>
        <v>-4.9216520850720459E-2</v>
      </c>
      <c r="D25" s="106">
        <f t="shared" si="5"/>
        <v>0.40121899284705753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5B118-EF04-F14F-ACAB-11932C656A97}">
  <dimension ref="A1:Z56"/>
  <sheetViews>
    <sheetView workbookViewId="0">
      <selection activeCell="J21" sqref="J21"/>
    </sheetView>
  </sheetViews>
  <sheetFormatPr baseColWidth="10" defaultRowHeight="16" x14ac:dyDescent="0.2"/>
  <cols>
    <col min="1" max="1" width="26.5" style="52" customWidth="1"/>
    <col min="8" max="8" width="39.1640625" customWidth="1"/>
    <col min="9" max="9" width="24.33203125" customWidth="1"/>
    <col min="10" max="10" width="24.1640625" customWidth="1"/>
    <col min="11" max="11" width="21.83203125" customWidth="1"/>
    <col min="12" max="12" width="20.83203125" customWidth="1"/>
  </cols>
  <sheetData>
    <row r="1" spans="1:26" ht="26" x14ac:dyDescent="0.3">
      <c r="A1" s="67" t="s">
        <v>71</v>
      </c>
      <c r="B1" s="67" t="s">
        <v>82</v>
      </c>
      <c r="C1" s="67" t="s">
        <v>23</v>
      </c>
      <c r="D1" s="67" t="s">
        <v>83</v>
      </c>
      <c r="E1" s="67" t="s">
        <v>84</v>
      </c>
      <c r="F1" s="67" t="s">
        <v>48</v>
      </c>
      <c r="H1" s="55" t="s">
        <v>63</v>
      </c>
      <c r="I1" s="55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</row>
    <row r="2" spans="1:26" x14ac:dyDescent="0.2">
      <c r="A2" s="64" t="s">
        <v>81</v>
      </c>
      <c r="B2" s="46" t="s">
        <v>87</v>
      </c>
      <c r="C2" s="46">
        <v>18000</v>
      </c>
      <c r="D2" s="46">
        <v>4200</v>
      </c>
      <c r="E2" s="46">
        <v>13000</v>
      </c>
      <c r="F2" s="46">
        <f>SUM(C2:E2)</f>
        <v>35200</v>
      </c>
      <c r="H2" s="57"/>
      <c r="I2" s="58" t="s">
        <v>64</v>
      </c>
      <c r="J2" s="58" t="s">
        <v>65</v>
      </c>
      <c r="K2" s="58" t="s">
        <v>66</v>
      </c>
      <c r="L2" s="58" t="s">
        <v>48</v>
      </c>
      <c r="M2" s="56"/>
      <c r="O2" s="56"/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x14ac:dyDescent="0.2">
      <c r="A3" s="64" t="s">
        <v>72</v>
      </c>
      <c r="B3" s="46" t="s">
        <v>86</v>
      </c>
      <c r="C3" s="46">
        <v>10</v>
      </c>
      <c r="D3" s="46">
        <v>22</v>
      </c>
      <c r="E3" s="46">
        <v>16</v>
      </c>
      <c r="F3" s="46"/>
      <c r="H3" s="83" t="s">
        <v>67</v>
      </c>
      <c r="I3" s="84">
        <f>SUM(I4:I4)</f>
        <v>9000</v>
      </c>
      <c r="J3" s="84">
        <f>SUM(J4:J4)</f>
        <v>4200</v>
      </c>
      <c r="K3" s="84">
        <f>SUM(K4:K4)</f>
        <v>9750</v>
      </c>
      <c r="L3" s="84">
        <f>SUM(I3:K3)</f>
        <v>22950</v>
      </c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x14ac:dyDescent="0.2">
      <c r="A4" s="65" t="s">
        <v>73</v>
      </c>
      <c r="B4" s="46"/>
      <c r="C4" s="46"/>
      <c r="D4" s="46"/>
      <c r="E4" s="46"/>
      <c r="F4" s="46"/>
      <c r="H4" s="84" t="s">
        <v>68</v>
      </c>
      <c r="I4" s="84">
        <v>9000</v>
      </c>
      <c r="J4" s="84">
        <v>4200</v>
      </c>
      <c r="K4" s="84">
        <v>9750</v>
      </c>
      <c r="L4" s="84">
        <f>SUM(I4:K4)</f>
        <v>22950</v>
      </c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x14ac:dyDescent="0.2">
      <c r="A5" s="66" t="s">
        <v>74</v>
      </c>
      <c r="B5" s="46" t="s">
        <v>88</v>
      </c>
      <c r="C5" s="46">
        <v>0.3</v>
      </c>
      <c r="D5" s="46">
        <v>0.7</v>
      </c>
      <c r="E5" s="46">
        <v>0.8</v>
      </c>
      <c r="F5" s="46"/>
      <c r="H5" s="84"/>
      <c r="I5" s="84"/>
      <c r="J5" s="84"/>
      <c r="K5" s="84"/>
      <c r="L5" s="84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</row>
    <row r="6" spans="1:26" x14ac:dyDescent="0.2">
      <c r="A6" s="66" t="s">
        <v>75</v>
      </c>
      <c r="B6" s="46" t="s">
        <v>88</v>
      </c>
      <c r="C6" s="46">
        <v>0.15</v>
      </c>
      <c r="D6" s="46">
        <v>0.6</v>
      </c>
      <c r="E6" s="46">
        <v>0.3</v>
      </c>
      <c r="F6" s="46"/>
      <c r="H6" s="83" t="s">
        <v>96</v>
      </c>
      <c r="I6" s="85">
        <f>I3/L3</f>
        <v>0.39215686274509803</v>
      </c>
      <c r="J6" s="85">
        <f>J3/L3</f>
        <v>0.18300653594771241</v>
      </c>
      <c r="K6" s="85">
        <f>K3/L3</f>
        <v>0.42483660130718953</v>
      </c>
      <c r="L6" s="85">
        <v>1</v>
      </c>
      <c r="M6" s="56" t="s">
        <v>98</v>
      </c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</row>
    <row r="7" spans="1:26" x14ac:dyDescent="0.2">
      <c r="A7" s="65" t="s">
        <v>85</v>
      </c>
      <c r="B7" s="46"/>
      <c r="C7" s="46"/>
      <c r="D7" s="46"/>
      <c r="E7" s="46"/>
      <c r="F7" s="46"/>
      <c r="H7" s="84"/>
      <c r="I7" s="84"/>
      <c r="J7" s="84"/>
      <c r="K7" s="84"/>
      <c r="L7" s="84"/>
      <c r="M7" s="56"/>
      <c r="N7" s="56"/>
      <c r="O7" s="56"/>
      <c r="P7" s="56"/>
      <c r="Q7" s="56"/>
      <c r="R7" s="56"/>
      <c r="S7" s="56"/>
      <c r="T7" s="56"/>
      <c r="U7" s="56"/>
      <c r="V7" s="56"/>
      <c r="W7" s="56"/>
      <c r="X7" s="56"/>
      <c r="Y7" s="56"/>
      <c r="Z7" s="56"/>
    </row>
    <row r="8" spans="1:26" x14ac:dyDescent="0.2">
      <c r="A8" s="66" t="s">
        <v>74</v>
      </c>
      <c r="B8" s="46" t="s">
        <v>89</v>
      </c>
      <c r="C8" s="46">
        <v>5400</v>
      </c>
      <c r="D8" s="46">
        <v>2940</v>
      </c>
      <c r="E8" s="46">
        <v>10400</v>
      </c>
      <c r="F8" s="46">
        <f>SUM(C8:E8)</f>
        <v>18740</v>
      </c>
      <c r="H8" s="83" t="s">
        <v>97</v>
      </c>
      <c r="I8" s="86">
        <f>I6*L8</f>
        <v>74509.803921568629</v>
      </c>
      <c r="J8" s="86">
        <f>J6*L8</f>
        <v>34771.241830065359</v>
      </c>
      <c r="K8" s="86">
        <f>K6*L8</f>
        <v>80718.954248366004</v>
      </c>
      <c r="L8" s="86">
        <v>190000</v>
      </c>
      <c r="M8" s="56"/>
      <c r="N8" s="56"/>
      <c r="O8" s="56"/>
      <c r="P8" s="56"/>
      <c r="Q8" s="56"/>
      <c r="R8" s="56"/>
      <c r="S8" s="56"/>
      <c r="T8" s="56"/>
      <c r="U8" s="56"/>
      <c r="V8" s="56"/>
      <c r="W8" s="56"/>
      <c r="X8" s="56"/>
      <c r="Y8" s="56"/>
      <c r="Z8" s="56"/>
    </row>
    <row r="9" spans="1:26" x14ac:dyDescent="0.2">
      <c r="A9" s="66" t="s">
        <v>75</v>
      </c>
      <c r="B9" s="46" t="s">
        <v>89</v>
      </c>
      <c r="C9" s="46">
        <v>2700</v>
      </c>
      <c r="D9" s="46">
        <v>2520</v>
      </c>
      <c r="E9" s="46">
        <v>3900</v>
      </c>
      <c r="F9" s="46">
        <f>SUM(C9:E9)</f>
        <v>9120</v>
      </c>
      <c r="H9" s="56"/>
      <c r="I9" s="105">
        <f>I8/C2</f>
        <v>4.1394335511982572</v>
      </c>
      <c r="J9" s="56"/>
      <c r="K9" s="56"/>
      <c r="L9" s="56"/>
      <c r="M9" s="56"/>
      <c r="N9" s="56"/>
      <c r="O9" s="56"/>
      <c r="P9" s="56"/>
      <c r="Q9" s="56"/>
      <c r="R9" s="56"/>
      <c r="S9" s="56"/>
      <c r="T9" s="56"/>
      <c r="U9" s="56"/>
      <c r="V9" s="56"/>
      <c r="W9" s="56"/>
      <c r="X9" s="56"/>
      <c r="Y9" s="56"/>
      <c r="Z9" s="56"/>
    </row>
    <row r="10" spans="1:26" x14ac:dyDescent="0.2">
      <c r="A10" s="65" t="s">
        <v>76</v>
      </c>
      <c r="B10" s="46"/>
      <c r="C10" s="46"/>
      <c r="D10" s="46"/>
      <c r="E10" s="46"/>
      <c r="F10" s="4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</row>
    <row r="11" spans="1:26" ht="26" x14ac:dyDescent="0.3">
      <c r="A11" s="66" t="s">
        <v>77</v>
      </c>
      <c r="B11" s="46" t="s">
        <v>86</v>
      </c>
      <c r="C11" s="46">
        <v>3</v>
      </c>
      <c r="D11" s="46">
        <v>4</v>
      </c>
      <c r="E11" s="46">
        <v>3</v>
      </c>
      <c r="F11" s="46"/>
      <c r="H11" s="68" t="s">
        <v>95</v>
      </c>
      <c r="I11" s="69" t="s">
        <v>64</v>
      </c>
      <c r="J11" s="69" t="s">
        <v>65</v>
      </c>
      <c r="K11" s="70" t="s">
        <v>66</v>
      </c>
      <c r="L11" s="70" t="s">
        <v>48</v>
      </c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</row>
    <row r="12" spans="1:26" ht="19" x14ac:dyDescent="0.25">
      <c r="A12" s="66" t="s">
        <v>78</v>
      </c>
      <c r="B12" s="46" t="s">
        <v>86</v>
      </c>
      <c r="C12" s="46">
        <v>0.25</v>
      </c>
      <c r="D12" s="46">
        <v>0.75</v>
      </c>
      <c r="E12" s="46">
        <v>0.5</v>
      </c>
      <c r="F12" s="46"/>
      <c r="H12" s="79"/>
      <c r="I12" s="71"/>
      <c r="J12" s="71"/>
      <c r="K12" s="72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</row>
    <row r="13" spans="1:26" ht="19" x14ac:dyDescent="0.25">
      <c r="A13" s="66" t="s">
        <v>79</v>
      </c>
      <c r="B13" s="46" t="s">
        <v>86</v>
      </c>
      <c r="C13" s="46">
        <v>0.5</v>
      </c>
      <c r="D13" s="46">
        <v>1</v>
      </c>
      <c r="E13" s="46">
        <v>0.75</v>
      </c>
      <c r="F13" s="46"/>
      <c r="H13" s="80" t="s">
        <v>70</v>
      </c>
      <c r="I13" s="71">
        <v>18000</v>
      </c>
      <c r="J13" s="71">
        <v>4200</v>
      </c>
      <c r="K13" s="72">
        <v>13000</v>
      </c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</row>
    <row r="14" spans="1:26" ht="19" x14ac:dyDescent="0.25">
      <c r="A14" s="64" t="s">
        <v>80</v>
      </c>
      <c r="B14" s="64" t="s">
        <v>86</v>
      </c>
      <c r="C14" s="64">
        <f>SUM(C11:C13)</f>
        <v>3.75</v>
      </c>
      <c r="D14" s="64">
        <f t="shared" ref="D14:E14" si="0">SUM(D11:D13)</f>
        <v>5.75</v>
      </c>
      <c r="E14" s="64">
        <f t="shared" si="0"/>
        <v>4.25</v>
      </c>
      <c r="F14" s="46"/>
      <c r="H14" s="80" t="s">
        <v>90</v>
      </c>
      <c r="I14" s="73">
        <f>C14</f>
        <v>3.75</v>
      </c>
      <c r="J14" s="73">
        <f>D14</f>
        <v>5.75</v>
      </c>
      <c r="K14" s="74">
        <f>E14</f>
        <v>4.25</v>
      </c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</row>
    <row r="15" spans="1:26" ht="19" x14ac:dyDescent="0.25">
      <c r="H15" s="80" t="s">
        <v>69</v>
      </c>
      <c r="I15" s="73">
        <f>I8/I13</f>
        <v>4.1394335511982572</v>
      </c>
      <c r="J15" s="73">
        <f>J8/J13</f>
        <v>8.2788671023965144</v>
      </c>
      <c r="K15" s="74">
        <f>K8/K13</f>
        <v>6.2091503267973849</v>
      </c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</row>
    <row r="16" spans="1:26" ht="19" x14ac:dyDescent="0.25">
      <c r="H16" s="79"/>
      <c r="I16" s="73"/>
      <c r="J16" s="73"/>
      <c r="K16" s="74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</row>
    <row r="17" spans="8:26" ht="19" x14ac:dyDescent="0.25">
      <c r="H17" s="80" t="s">
        <v>91</v>
      </c>
      <c r="I17" s="75">
        <f>I14+I15</f>
        <v>7.8894335511982572</v>
      </c>
      <c r="J17" s="75">
        <f t="shared" ref="J17:K17" si="1">J14+J15</f>
        <v>14.028867102396514</v>
      </c>
      <c r="K17" s="76">
        <f t="shared" si="1"/>
        <v>10.459150326797385</v>
      </c>
      <c r="L17" s="105">
        <f>(I17*I13)+(J17*J13)+(K17*K13)</f>
        <v>336900</v>
      </c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</row>
    <row r="18" spans="8:26" ht="19" x14ac:dyDescent="0.25">
      <c r="H18" s="79"/>
      <c r="I18" s="73"/>
      <c r="J18" s="73"/>
      <c r="K18" s="74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8:26" ht="19" x14ac:dyDescent="0.25">
      <c r="H19" s="80" t="s">
        <v>92</v>
      </c>
      <c r="I19" s="75">
        <f>C3</f>
        <v>10</v>
      </c>
      <c r="J19" s="75">
        <f>D3</f>
        <v>22</v>
      </c>
      <c r="K19" s="76">
        <f>E3</f>
        <v>16</v>
      </c>
      <c r="L19" s="105">
        <f>(I19*I13)+(J19*J13)+(K19*K13)</f>
        <v>480400</v>
      </c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8:26" ht="19" x14ac:dyDescent="0.25">
      <c r="H20" s="79"/>
      <c r="I20" s="73"/>
      <c r="J20" s="73"/>
      <c r="K20" s="74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8:26" ht="19" x14ac:dyDescent="0.25">
      <c r="H21" s="80" t="s">
        <v>93</v>
      </c>
      <c r="I21" s="75">
        <f>I19-I17</f>
        <v>2.1105664488017428</v>
      </c>
      <c r="J21" s="75">
        <f t="shared" ref="J21:K21" si="2">J19-J17</f>
        <v>7.9711328976034856</v>
      </c>
      <c r="K21" s="76">
        <f t="shared" si="2"/>
        <v>5.5408496732026151</v>
      </c>
      <c r="L21" s="105">
        <f>L19-L17</f>
        <v>143500</v>
      </c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8:26" ht="19" x14ac:dyDescent="0.25">
      <c r="H22" s="79"/>
      <c r="I22" s="73"/>
      <c r="J22" s="73"/>
      <c r="K22" s="74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8:26" ht="19" x14ac:dyDescent="0.25">
      <c r="H23" s="81" t="s">
        <v>94</v>
      </c>
      <c r="I23" s="77">
        <f>I21/I19</f>
        <v>0.21105664488017428</v>
      </c>
      <c r="J23" s="77">
        <f t="shared" ref="J23:K23" si="3">J21/J19</f>
        <v>0.36232422261834024</v>
      </c>
      <c r="K23" s="78">
        <f t="shared" si="3"/>
        <v>0.34630310457516345</v>
      </c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8:26" x14ac:dyDescent="0.2"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8:26" x14ac:dyDescent="0.2"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8:26" x14ac:dyDescent="0.2"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8:26" x14ac:dyDescent="0.2"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8:26" x14ac:dyDescent="0.2"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8:26" x14ac:dyDescent="0.2"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8:26" x14ac:dyDescent="0.2">
      <c r="L30" s="82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8:26" ht="19" x14ac:dyDescent="0.25">
      <c r="L31" s="61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8:26" ht="19" x14ac:dyDescent="0.25">
      <c r="L32" s="63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8:26" ht="19" x14ac:dyDescent="0.25">
      <c r="L33" s="61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8:26" ht="19" x14ac:dyDescent="0.25">
      <c r="L34" s="61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8:26" ht="19" x14ac:dyDescent="0.25">
      <c r="L35" s="61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8:26" ht="19" x14ac:dyDescent="0.25">
      <c r="L36" s="61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8:26" ht="19" x14ac:dyDescent="0.25">
      <c r="L37" s="61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8:26" ht="19" x14ac:dyDescent="0.25">
      <c r="L38" s="62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8:26" ht="19" x14ac:dyDescent="0.25">
      <c r="L39" s="61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8:26" ht="19" x14ac:dyDescent="0.25">
      <c r="L40" s="61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8:26" ht="19" x14ac:dyDescent="0.25">
      <c r="L41" s="61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8:26" ht="19" x14ac:dyDescent="0.25">
      <c r="L42" s="61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8:26" ht="19" x14ac:dyDescent="0.25">
      <c r="H43" s="56"/>
      <c r="I43" s="61"/>
      <c r="J43" s="61"/>
      <c r="K43" s="61"/>
      <c r="L43" s="61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8:26" ht="19" x14ac:dyDescent="0.25">
      <c r="H44" s="56"/>
      <c r="I44" s="61"/>
      <c r="J44" s="61"/>
      <c r="K44" s="61"/>
      <c r="L44" s="61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8:26" ht="19" x14ac:dyDescent="0.25">
      <c r="H45" s="56"/>
      <c r="I45" s="61"/>
      <c r="J45" s="61"/>
      <c r="K45" s="61"/>
      <c r="L45" s="61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8:26" ht="19" x14ac:dyDescent="0.25">
      <c r="H46" s="56"/>
      <c r="I46" s="61"/>
      <c r="J46" s="61"/>
      <c r="K46" s="61"/>
      <c r="L46" s="61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8:26" ht="19" x14ac:dyDescent="0.25">
      <c r="H47" s="56"/>
      <c r="I47" s="61"/>
      <c r="J47" s="61"/>
      <c r="K47" s="61"/>
      <c r="L47" s="61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8:26" ht="19" x14ac:dyDescent="0.25">
      <c r="H48" s="56"/>
      <c r="I48" s="61"/>
      <c r="J48" s="61"/>
      <c r="K48" s="61"/>
      <c r="L48" s="61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8:26" ht="19" x14ac:dyDescent="0.25">
      <c r="H49" s="59"/>
      <c r="I49" s="62"/>
      <c r="J49" s="62"/>
      <c r="K49" s="62"/>
      <c r="L49" s="62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8:26" ht="19" x14ac:dyDescent="0.25">
      <c r="H50" s="59"/>
      <c r="I50" s="62"/>
      <c r="J50" s="62"/>
      <c r="K50" s="62"/>
      <c r="L50" s="62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8:26" ht="19" x14ac:dyDescent="0.25">
      <c r="H51" s="59"/>
      <c r="I51" s="61"/>
      <c r="J51" s="61"/>
      <c r="K51" s="61"/>
      <c r="L51" s="62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8:26" ht="19" x14ac:dyDescent="0.25">
      <c r="H52" s="59"/>
      <c r="I52" s="61"/>
      <c r="J52" s="61"/>
      <c r="K52" s="61"/>
      <c r="L52" s="62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8:26" ht="19" x14ac:dyDescent="0.25">
      <c r="H53" s="59"/>
      <c r="I53" s="60"/>
      <c r="J53" s="60"/>
      <c r="K53" s="60"/>
      <c r="L53" s="62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8:26" x14ac:dyDescent="0.2"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8:26" x14ac:dyDescent="0.2"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8:26" x14ac:dyDescent="0.2"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IDENTIFICANDO O CUSTO</vt:lpstr>
      <vt:lpstr>DRE</vt:lpstr>
      <vt:lpstr>absorção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Microsoft Office User</cp:lastModifiedBy>
  <dcterms:created xsi:type="dcterms:W3CDTF">2020-07-23T20:13:45Z</dcterms:created>
  <dcterms:modified xsi:type="dcterms:W3CDTF">2020-10-19T22:16:05Z</dcterms:modified>
</cp:coreProperties>
</file>