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20\201005 aula 6\"/>
    </mc:Choice>
  </mc:AlternateContent>
  <xr:revisionPtr revIDLastSave="0" documentId="13_ncr:1_{C7316E6B-90A0-42C5-A8EF-7788B6C0315B}" xr6:coauthVersionLast="45" xr6:coauthVersionMax="45" xr10:uidLastSave="{00000000-0000-0000-0000-000000000000}"/>
  <bookViews>
    <workbookView xWindow="-120" yWindow="-16320" windowWidth="29040" windowHeight="15840" xr2:uid="{4ECC0FD1-EDEB-4DA7-B4D7-77B88B3B096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L14" i="1"/>
  <c r="K14" i="1"/>
  <c r="E16" i="1"/>
  <c r="E14" i="1"/>
  <c r="I47" i="1" l="1"/>
  <c r="I41" i="1"/>
  <c r="J44" i="1"/>
  <c r="J45" i="1"/>
  <c r="D46" i="1"/>
  <c r="C46" i="1"/>
  <c r="I46" i="1"/>
  <c r="J46" i="1" s="1"/>
  <c r="E46" i="1"/>
  <c r="I45" i="1"/>
  <c r="I44" i="1"/>
  <c r="I42" i="1"/>
  <c r="C42" i="1"/>
  <c r="I40" i="1"/>
  <c r="J40" i="1" s="1"/>
  <c r="F46" i="1" l="1"/>
  <c r="G46" i="1" s="1"/>
  <c r="H23" i="1"/>
  <c r="L23" i="1" s="1"/>
  <c r="G23" i="1"/>
  <c r="J21" i="1"/>
  <c r="H21" i="1"/>
  <c r="I39" i="1"/>
  <c r="H39" i="1" s="1"/>
  <c r="H40" i="1" s="1"/>
  <c r="I38" i="1"/>
  <c r="H38" i="1" s="1"/>
  <c r="C39" i="1"/>
  <c r="C40" i="1" s="1"/>
  <c r="I37" i="1"/>
  <c r="H37" i="1" s="1"/>
  <c r="C38" i="1"/>
  <c r="L2" i="1"/>
  <c r="F2" i="1"/>
  <c r="C37" i="1"/>
  <c r="G30" i="1"/>
  <c r="F30" i="1"/>
  <c r="E30" i="1"/>
  <c r="E23" i="1"/>
  <c r="E22" i="1"/>
  <c r="E21" i="1"/>
  <c r="G21" i="1" s="1"/>
  <c r="D7" i="1"/>
  <c r="J7" i="1" s="1"/>
  <c r="D8" i="1"/>
  <c r="J8" i="1" s="1"/>
  <c r="D6" i="1"/>
  <c r="J6" i="1" s="1"/>
  <c r="E15" i="1"/>
  <c r="D39" i="1" l="1"/>
  <c r="E39" i="1" s="1"/>
  <c r="D42" i="1"/>
  <c r="L16" i="1"/>
  <c r="D45" i="1" s="1"/>
  <c r="E45" i="1" s="1"/>
  <c r="N16" i="1"/>
  <c r="D40" i="1" s="1"/>
  <c r="E40" i="1" s="1"/>
  <c r="K16" i="1"/>
  <c r="D44" i="1" s="1"/>
  <c r="E44" i="1" s="1"/>
  <c r="N23" i="1"/>
  <c r="K23" i="1"/>
  <c r="N14" i="1"/>
  <c r="L21" i="1"/>
  <c r="D38" i="1"/>
  <c r="E38" i="1" s="1"/>
  <c r="F38" i="1" s="1"/>
  <c r="F39" i="1"/>
  <c r="G39" i="1" s="1"/>
  <c r="N22" i="1"/>
  <c r="K21" i="1"/>
  <c r="F40" i="1"/>
  <c r="N21" i="1"/>
  <c r="F45" i="1" l="1"/>
  <c r="G45" i="1" s="1"/>
  <c r="F44" i="1"/>
  <c r="G44" i="1" s="1"/>
  <c r="E42" i="1"/>
  <c r="F42" i="1" s="1"/>
  <c r="G42" i="1" s="1"/>
  <c r="D37" i="1"/>
  <c r="E37" i="1" s="1"/>
  <c r="G40" i="1"/>
  <c r="G38" i="1"/>
  <c r="F37" i="1" l="1"/>
  <c r="G37" i="1" s="1"/>
</calcChain>
</file>

<file path=xl/sharedStrings.xml><?xml version="1.0" encoding="utf-8"?>
<sst xmlns="http://schemas.openxmlformats.org/spreadsheetml/2006/main" count="142" uniqueCount="72">
  <si>
    <t>Laje</t>
  </si>
  <si>
    <t>Lx</t>
  </si>
  <si>
    <t>Ly</t>
  </si>
  <si>
    <t>Ly/Lx</t>
  </si>
  <si>
    <t>alphax</t>
  </si>
  <si>
    <t>alphay</t>
  </si>
  <si>
    <t>betax</t>
  </si>
  <si>
    <t>betay</t>
  </si>
  <si>
    <t>mx</t>
  </si>
  <si>
    <t>my</t>
  </si>
  <si>
    <t>m</t>
  </si>
  <si>
    <t>m'x</t>
  </si>
  <si>
    <t>m'y</t>
  </si>
  <si>
    <t>L1</t>
  </si>
  <si>
    <t xml:space="preserve"> </t>
  </si>
  <si>
    <t>tipo</t>
  </si>
  <si>
    <t>Czerny</t>
  </si>
  <si>
    <t>L2</t>
  </si>
  <si>
    <t>L3</t>
  </si>
  <si>
    <t>A2</t>
  </si>
  <si>
    <t>pLx2/ax</t>
  </si>
  <si>
    <t>pLx2/ay</t>
  </si>
  <si>
    <t>(pLx2/by)</t>
  </si>
  <si>
    <t>(pLx2/bx)</t>
  </si>
  <si>
    <t>h</t>
  </si>
  <si>
    <t>d</t>
  </si>
  <si>
    <t>pp</t>
  </si>
  <si>
    <t>kN/m2</t>
  </si>
  <si>
    <t>permanente</t>
  </si>
  <si>
    <t>pq</t>
  </si>
  <si>
    <t>parapeito</t>
  </si>
  <si>
    <t>kN/m</t>
  </si>
  <si>
    <t>pq2 (balanco)</t>
  </si>
  <si>
    <t>pk</t>
  </si>
  <si>
    <t>valor  k</t>
  </si>
  <si>
    <t>adotado</t>
  </si>
  <si>
    <t>kN.m/m</t>
  </si>
  <si>
    <t>momentos fletores sobre os apoios</t>
  </si>
  <si>
    <t>L1-L2</t>
  </si>
  <si>
    <t>Apoio</t>
  </si>
  <si>
    <t>m'i</t>
  </si>
  <si>
    <t>m'j</t>
  </si>
  <si>
    <t>(m'i+m'j)/2</t>
  </si>
  <si>
    <t>0,8*m'</t>
  </si>
  <si>
    <t>m'ij</t>
  </si>
  <si>
    <t>Dimensionamento das armaduras positivas e negativas</t>
  </si>
  <si>
    <t>md</t>
  </si>
  <si>
    <t>x</t>
  </si>
  <si>
    <t>As</t>
  </si>
  <si>
    <t>ro-min</t>
  </si>
  <si>
    <t>As,min</t>
  </si>
  <si>
    <t>As,adot</t>
  </si>
  <si>
    <t>cm</t>
  </si>
  <si>
    <t>kN.m</t>
  </si>
  <si>
    <t>cm2/m</t>
  </si>
  <si>
    <t>%</t>
  </si>
  <si>
    <t>φ(mm)e s(cm)</t>
  </si>
  <si>
    <t>fck (MPa)</t>
  </si>
  <si>
    <t>fcd(kN/cm2)</t>
  </si>
  <si>
    <t>fyk(MPa)</t>
  </si>
  <si>
    <t>fyd (kN/cm2)</t>
  </si>
  <si>
    <t>φ8c/20</t>
  </si>
  <si>
    <t>φ6.3c/14</t>
  </si>
  <si>
    <t>m'12</t>
  </si>
  <si>
    <t>m'13</t>
  </si>
  <si>
    <t>φ10c/14</t>
  </si>
  <si>
    <t>concreto</t>
  </si>
  <si>
    <t>Aço</t>
  </si>
  <si>
    <t>φ6,3c/15</t>
  </si>
  <si>
    <t>φ5c/15</t>
  </si>
  <si>
    <t>perimetral</t>
  </si>
  <si>
    <t>φ5c/20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</si>
</sst>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2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"/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32</xdr:row>
      <xdr:rowOff>85725</xdr:rowOff>
    </xdr:from>
    <xdr:to>
      <xdr:col>22</xdr:col>
      <xdr:colOff>95250</xdr:colOff>
      <xdr:row>48</xdr:row>
      <xdr:rowOff>97696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FF294C-E24F-4639-8916-EFB452E5B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4791075"/>
          <a:ext cx="6602730" cy="2907571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48</xdr:row>
      <xdr:rowOff>180974</xdr:rowOff>
    </xdr:from>
    <xdr:to>
      <xdr:col>25</xdr:col>
      <xdr:colOff>57150</xdr:colOff>
      <xdr:row>83</xdr:row>
      <xdr:rowOff>149644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58E01A2-965D-4393-9BFF-AF97E461F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781924"/>
          <a:ext cx="15249526" cy="630279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83</xdr:row>
      <xdr:rowOff>93948</xdr:rowOff>
    </xdr:from>
    <xdr:to>
      <xdr:col>25</xdr:col>
      <xdr:colOff>38100</xdr:colOff>
      <xdr:row>118</xdr:row>
      <xdr:rowOff>39407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5FA74CD-D1D3-4885-A8E0-E1A951908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4029023"/>
          <a:ext cx="15220950" cy="6279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97CE-35A2-4112-A5BE-287EFC011AF5}">
  <dimension ref="A2:N47"/>
  <sheetViews>
    <sheetView tabSelected="1" workbookViewId="0">
      <selection activeCell="K37" sqref="K37"/>
    </sheetView>
  </sheetViews>
  <sheetFormatPr defaultRowHeight="14.4" x14ac:dyDescent="0.3"/>
  <cols>
    <col min="5" max="5" width="10.88671875" bestFit="1" customWidth="1"/>
    <col min="11" max="11" width="12.33203125" bestFit="1" customWidth="1"/>
    <col min="14" max="14" width="9.109375" bestFit="1" customWidth="1"/>
  </cols>
  <sheetData>
    <row r="2" spans="1:14" x14ac:dyDescent="0.3">
      <c r="A2" s="2" t="s">
        <v>66</v>
      </c>
      <c r="B2" s="2" t="s">
        <v>57</v>
      </c>
      <c r="C2">
        <v>30</v>
      </c>
      <c r="E2" s="2" t="s">
        <v>58</v>
      </c>
      <c r="F2" s="1">
        <f>C2/10/1.4</f>
        <v>2.1428571428571428</v>
      </c>
      <c r="G2" s="2" t="s">
        <v>67</v>
      </c>
      <c r="H2" s="2" t="s">
        <v>59</v>
      </c>
      <c r="I2">
        <v>500</v>
      </c>
      <c r="K2" s="2" t="s">
        <v>60</v>
      </c>
      <c r="L2" s="1">
        <f>I2/10/1.15</f>
        <v>43.478260869565219</v>
      </c>
    </row>
    <row r="3" spans="1:14" x14ac:dyDescent="0.3">
      <c r="F3" s="1"/>
    </row>
    <row r="4" spans="1:14" x14ac:dyDescent="0.3">
      <c r="A4" t="s">
        <v>34</v>
      </c>
      <c r="C4" s="2" t="s">
        <v>24</v>
      </c>
      <c r="D4" s="2" t="s">
        <v>26</v>
      </c>
      <c r="E4" s="2" t="s">
        <v>28</v>
      </c>
      <c r="F4" s="2" t="s">
        <v>29</v>
      </c>
      <c r="G4" s="2" t="s">
        <v>30</v>
      </c>
      <c r="H4" s="2" t="s">
        <v>32</v>
      </c>
      <c r="I4" s="2"/>
      <c r="J4" s="2" t="s">
        <v>33</v>
      </c>
    </row>
    <row r="5" spans="1:14" x14ac:dyDescent="0.3">
      <c r="C5" s="2" t="s">
        <v>10</v>
      </c>
      <c r="D5" s="2" t="s">
        <v>27</v>
      </c>
      <c r="E5" s="2" t="s">
        <v>27</v>
      </c>
      <c r="F5" s="2" t="s">
        <v>27</v>
      </c>
      <c r="G5" s="2" t="s">
        <v>31</v>
      </c>
      <c r="H5" s="2" t="s">
        <v>31</v>
      </c>
    </row>
    <row r="6" spans="1:14" x14ac:dyDescent="0.3">
      <c r="B6" s="2" t="s">
        <v>13</v>
      </c>
      <c r="C6" s="1">
        <v>0.12</v>
      </c>
      <c r="D6" s="1">
        <f>C6*25</f>
        <v>3</v>
      </c>
      <c r="E6" s="1">
        <v>1</v>
      </c>
      <c r="F6" s="1">
        <v>5</v>
      </c>
      <c r="J6" s="4">
        <f>(D6+E6+F6)</f>
        <v>9</v>
      </c>
    </row>
    <row r="7" spans="1:14" x14ac:dyDescent="0.3">
      <c r="B7" s="2" t="s">
        <v>17</v>
      </c>
      <c r="C7" s="1">
        <v>0.12</v>
      </c>
      <c r="D7" s="1">
        <f>C7*25</f>
        <v>3</v>
      </c>
      <c r="E7" s="1">
        <v>1</v>
      </c>
      <c r="F7" s="1">
        <v>5</v>
      </c>
      <c r="G7" s="1">
        <v>1</v>
      </c>
      <c r="H7" s="1">
        <v>2</v>
      </c>
      <c r="J7" s="4">
        <f>(D7+E7+F7)</f>
        <v>9</v>
      </c>
    </row>
    <row r="8" spans="1:14" x14ac:dyDescent="0.3">
      <c r="B8" s="2" t="s">
        <v>18</v>
      </c>
      <c r="C8" s="1">
        <v>0.1</v>
      </c>
      <c r="D8" s="1">
        <f>C8*25</f>
        <v>2.5</v>
      </c>
      <c r="E8" s="1">
        <v>1</v>
      </c>
      <c r="F8" s="1">
        <v>5</v>
      </c>
      <c r="J8" s="4">
        <f>(D8+E8+F8)</f>
        <v>8.5</v>
      </c>
    </row>
    <row r="11" spans="1:14" x14ac:dyDescent="0.3">
      <c r="A11" s="2" t="s">
        <v>15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3</v>
      </c>
      <c r="G11" s="2" t="s">
        <v>4</v>
      </c>
      <c r="H11" s="2" t="s">
        <v>5</v>
      </c>
      <c r="I11" s="2" t="s">
        <v>6</v>
      </c>
      <c r="J11" s="2" t="s">
        <v>7</v>
      </c>
      <c r="K11" s="2" t="s">
        <v>8</v>
      </c>
      <c r="L11" s="2" t="s">
        <v>9</v>
      </c>
      <c r="M11" s="2" t="s">
        <v>11</v>
      </c>
      <c r="N11" s="2" t="s">
        <v>12</v>
      </c>
    </row>
    <row r="12" spans="1:14" x14ac:dyDescent="0.3">
      <c r="A12" s="2" t="s">
        <v>16</v>
      </c>
      <c r="B12" t="s">
        <v>14</v>
      </c>
      <c r="E12" s="2"/>
      <c r="F12" s="2" t="s">
        <v>35</v>
      </c>
      <c r="G12" s="2"/>
      <c r="H12" s="2"/>
      <c r="I12" s="2"/>
      <c r="J12" s="2"/>
      <c r="K12" s="2" t="s">
        <v>20</v>
      </c>
      <c r="L12" s="2" t="s">
        <v>21</v>
      </c>
      <c r="M12" s="2" t="s">
        <v>23</v>
      </c>
      <c r="N12" s="2" t="s">
        <v>22</v>
      </c>
    </row>
    <row r="13" spans="1:14" x14ac:dyDescent="0.3">
      <c r="C13" s="2" t="s">
        <v>52</v>
      </c>
      <c r="D13" s="2" t="s">
        <v>52</v>
      </c>
      <c r="E13" s="2"/>
      <c r="F13" s="2"/>
      <c r="G13" s="2"/>
      <c r="H13" s="2"/>
      <c r="I13" s="2"/>
      <c r="J13" s="2"/>
      <c r="K13" s="2" t="s">
        <v>36</v>
      </c>
      <c r="L13" s="2" t="s">
        <v>36</v>
      </c>
      <c r="M13" s="2" t="s">
        <v>36</v>
      </c>
      <c r="N13" s="2" t="s">
        <v>36</v>
      </c>
    </row>
    <row r="14" spans="1:14" x14ac:dyDescent="0.3">
      <c r="A14" s="2" t="s">
        <v>19</v>
      </c>
      <c r="B14" s="2" t="s">
        <v>13</v>
      </c>
      <c r="C14">
        <v>440</v>
      </c>
      <c r="D14">
        <v>514</v>
      </c>
      <c r="E14" s="1">
        <f>D14/C14</f>
        <v>1.1681818181818182</v>
      </c>
      <c r="F14" s="1">
        <v>1.2</v>
      </c>
      <c r="G14">
        <v>25.9</v>
      </c>
      <c r="H14">
        <v>28.9</v>
      </c>
      <c r="I14">
        <v>0</v>
      </c>
      <c r="J14">
        <v>10.1</v>
      </c>
      <c r="K14" s="4">
        <f>J6*(C14/100)^2/G14</f>
        <v>6.7274131274131292</v>
      </c>
      <c r="L14" s="4">
        <f>J6*(C14/100)^2/H14</f>
        <v>6.0290657439446385</v>
      </c>
      <c r="M14" s="4">
        <v>0</v>
      </c>
      <c r="N14" s="4">
        <f>-J6*(C14/100)^2/J14</f>
        <v>-17.251485148514856</v>
      </c>
    </row>
    <row r="15" spans="1:14" x14ac:dyDescent="0.3">
      <c r="A15" s="2"/>
      <c r="B15" s="2" t="s">
        <v>17</v>
      </c>
      <c r="C15">
        <v>143</v>
      </c>
      <c r="D15">
        <v>440</v>
      </c>
      <c r="E15" s="1">
        <f t="shared" ref="E15:E16" si="0">D15/C15</f>
        <v>3.0769230769230771</v>
      </c>
      <c r="F15" s="1"/>
      <c r="K15" s="4"/>
      <c r="L15" s="4"/>
      <c r="M15" s="4"/>
      <c r="N15" s="4">
        <f>-J7*(C15/100)^2/2-(G7+H7)*C15/100</f>
        <v>-13.492049999999999</v>
      </c>
    </row>
    <row r="16" spans="1:14" x14ac:dyDescent="0.3">
      <c r="A16" s="2" t="s">
        <v>19</v>
      </c>
      <c r="B16" s="2" t="s">
        <v>18</v>
      </c>
      <c r="C16">
        <v>164</v>
      </c>
      <c r="D16">
        <v>300</v>
      </c>
      <c r="E16" s="1">
        <f>D16/C16</f>
        <v>1.8292682926829269</v>
      </c>
      <c r="F16" s="1">
        <v>1.85</v>
      </c>
      <c r="G16">
        <v>12.3</v>
      </c>
      <c r="H16">
        <v>36.200000000000003</v>
      </c>
      <c r="I16">
        <v>0</v>
      </c>
      <c r="J16">
        <v>8.4</v>
      </c>
      <c r="K16" s="4">
        <f>J8*(C16/100)^2/G16</f>
        <v>1.8586666666666662</v>
      </c>
      <c r="L16" s="4">
        <f>J8*(C16/100)^2/H16</f>
        <v>0.63153591160220979</v>
      </c>
      <c r="M16" s="4">
        <v>0</v>
      </c>
      <c r="N16" s="4">
        <f>-J8*(C16/100)^2/J16</f>
        <v>-2.7216190476190469</v>
      </c>
    </row>
    <row r="18" spans="1:14" hidden="1" x14ac:dyDescent="0.3">
      <c r="A18" s="2" t="s">
        <v>15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3</v>
      </c>
      <c r="G18" s="2" t="s">
        <v>4</v>
      </c>
      <c r="H18" s="2" t="s">
        <v>5</v>
      </c>
      <c r="I18" s="2" t="s">
        <v>6</v>
      </c>
      <c r="J18" s="2" t="s">
        <v>7</v>
      </c>
      <c r="K18" s="2" t="s">
        <v>8</v>
      </c>
      <c r="L18" s="2" t="s">
        <v>9</v>
      </c>
      <c r="M18" s="2" t="s">
        <v>11</v>
      </c>
      <c r="N18" s="2" t="s">
        <v>12</v>
      </c>
    </row>
    <row r="19" spans="1:14" hidden="1" x14ac:dyDescent="0.3">
      <c r="A19" s="2" t="s">
        <v>16</v>
      </c>
      <c r="B19" t="s">
        <v>14</v>
      </c>
      <c r="E19" s="2"/>
      <c r="F19" s="2" t="s">
        <v>35</v>
      </c>
      <c r="G19" s="2"/>
      <c r="H19" s="2"/>
      <c r="I19" s="2"/>
      <c r="J19" s="2"/>
      <c r="K19" s="2" t="s">
        <v>20</v>
      </c>
      <c r="L19" s="2" t="s">
        <v>21</v>
      </c>
      <c r="M19" s="2" t="s">
        <v>23</v>
      </c>
      <c r="N19" s="2" t="s">
        <v>22</v>
      </c>
    </row>
    <row r="20" spans="1:14" hidden="1" x14ac:dyDescent="0.3">
      <c r="C20" s="2" t="s">
        <v>10</v>
      </c>
      <c r="D20" s="2" t="s">
        <v>10</v>
      </c>
      <c r="E20" s="2"/>
      <c r="F20" s="2"/>
      <c r="G20" s="2"/>
      <c r="H20" s="2"/>
      <c r="I20" s="2"/>
      <c r="J20" s="2"/>
      <c r="K20" s="2" t="s">
        <v>36</v>
      </c>
      <c r="L20" s="2" t="s">
        <v>36</v>
      </c>
      <c r="M20" s="2" t="s">
        <v>36</v>
      </c>
      <c r="N20" s="2" t="s">
        <v>36</v>
      </c>
    </row>
    <row r="21" spans="1:14" hidden="1" x14ac:dyDescent="0.3">
      <c r="A21" s="2" t="s">
        <v>19</v>
      </c>
      <c r="B21" s="2" t="s">
        <v>13</v>
      </c>
      <c r="C21">
        <v>440</v>
      </c>
      <c r="D21">
        <v>514</v>
      </c>
      <c r="E21" s="1">
        <f>D21/C21</f>
        <v>1.1681818181818182</v>
      </c>
      <c r="F21" s="1">
        <v>1.2</v>
      </c>
      <c r="G21" s="7">
        <f>(E21-1.15)/(1.2-1.15)*(25.9-28.3)+28.3</f>
        <v>27.427272727272722</v>
      </c>
      <c r="H21" s="8">
        <f>(1.17-1.15)/(1.2-1.15)*(28.9-28.8)+28.8</f>
        <v>28.84</v>
      </c>
      <c r="I21">
        <v>0</v>
      </c>
      <c r="J21">
        <f>(1.17-1.15)/(1.2-1.15)*(10.1-10.4)+10.4</f>
        <v>10.28</v>
      </c>
      <c r="K21" s="5">
        <f>J6*(C21/100)^2/G21</f>
        <v>6.3528007954922137</v>
      </c>
      <c r="L21" s="5">
        <f>J6*(C21/100)^2/H21</f>
        <v>6.0416088765603346</v>
      </c>
      <c r="M21" s="6">
        <v>0</v>
      </c>
      <c r="N21" s="5">
        <f>-J7*(C21/100)^2/J21</f>
        <v>-16.949416342412455</v>
      </c>
    </row>
    <row r="22" spans="1:14" hidden="1" x14ac:dyDescent="0.3">
      <c r="A22" s="2"/>
      <c r="B22" s="2" t="s">
        <v>17</v>
      </c>
      <c r="C22">
        <v>143</v>
      </c>
      <c r="D22">
        <v>440</v>
      </c>
      <c r="E22" s="1">
        <f t="shared" ref="E22:E23" si="1">D22/C22</f>
        <v>3.0769230769230771</v>
      </c>
      <c r="F22" s="1"/>
      <c r="K22" s="6"/>
      <c r="L22" s="6"/>
      <c r="M22" s="6"/>
      <c r="N22" s="5">
        <f>-J7*(C22/100)^2/2-(G7+H7)*C22/100</f>
        <v>-13.492049999999999</v>
      </c>
    </row>
    <row r="23" spans="1:14" hidden="1" x14ac:dyDescent="0.3">
      <c r="A23" s="2" t="s">
        <v>19</v>
      </c>
      <c r="B23" s="2" t="s">
        <v>18</v>
      </c>
      <c r="C23">
        <v>164</v>
      </c>
      <c r="D23">
        <v>300</v>
      </c>
      <c r="E23" s="1">
        <f t="shared" si="1"/>
        <v>1.8292682926829269</v>
      </c>
      <c r="F23" s="1">
        <v>1.85</v>
      </c>
      <c r="G23" s="8">
        <f>(1.83-1.8)/(1.85-1.8)*(12.3-12.8)+12.8</f>
        <v>12.5</v>
      </c>
      <c r="H23" s="8">
        <f>(1.83-1.8)/(1.85-1.8)*(36.9-36.2)+36.2</f>
        <v>36.619999999999997</v>
      </c>
      <c r="I23">
        <v>0</v>
      </c>
      <c r="J23">
        <v>8.4</v>
      </c>
      <c r="K23" s="5">
        <f>J8*(C23/100)^2/G23</f>
        <v>1.8289279999999997</v>
      </c>
      <c r="L23" s="5">
        <f>J15*(C23/100)^2/H23</f>
        <v>0</v>
      </c>
      <c r="M23" s="6">
        <v>0</v>
      </c>
      <c r="N23" s="5">
        <f>-J8*(C23/100)^2/J23</f>
        <v>-2.7216190476190469</v>
      </c>
    </row>
    <row r="26" spans="1:14" x14ac:dyDescent="0.3">
      <c r="A26" t="s">
        <v>37</v>
      </c>
    </row>
    <row r="28" spans="1:14" x14ac:dyDescent="0.3">
      <c r="B28" t="s">
        <v>39</v>
      </c>
      <c r="C28" t="s">
        <v>40</v>
      </c>
      <c r="D28" t="s">
        <v>41</v>
      </c>
      <c r="E28" t="s">
        <v>42</v>
      </c>
      <c r="F28" t="s">
        <v>43</v>
      </c>
      <c r="G28" t="s">
        <v>44</v>
      </c>
    </row>
    <row r="29" spans="1:14" x14ac:dyDescent="0.3">
      <c r="C29" t="s">
        <v>36</v>
      </c>
      <c r="D29" t="s">
        <v>36</v>
      </c>
      <c r="E29" t="s">
        <v>36</v>
      </c>
      <c r="F29" t="s">
        <v>36</v>
      </c>
      <c r="G29" t="s">
        <v>36</v>
      </c>
    </row>
    <row r="30" spans="1:14" x14ac:dyDescent="0.3">
      <c r="B30" t="s">
        <v>38</v>
      </c>
      <c r="C30">
        <v>17.3</v>
      </c>
      <c r="D30">
        <v>13.5</v>
      </c>
      <c r="E30">
        <f>(C30+D30)/2</f>
        <v>15.4</v>
      </c>
      <c r="F30">
        <f>C30*0.8</f>
        <v>13.840000000000002</v>
      </c>
      <c r="G30" s="4">
        <f>E30</f>
        <v>15.4</v>
      </c>
    </row>
    <row r="33" spans="1:12" x14ac:dyDescent="0.3">
      <c r="A33" t="s">
        <v>45</v>
      </c>
    </row>
    <row r="35" spans="1:12" x14ac:dyDescent="0.3">
      <c r="A35" s="10" t="s">
        <v>0</v>
      </c>
      <c r="B35" s="10"/>
      <c r="C35" s="2" t="s">
        <v>25</v>
      </c>
      <c r="D35" s="2" t="s">
        <v>10</v>
      </c>
      <c r="E35" s="2" t="s">
        <v>46</v>
      </c>
      <c r="F35" s="2" t="s">
        <v>47</v>
      </c>
      <c r="G35" s="2" t="s">
        <v>48</v>
      </c>
      <c r="H35" s="2" t="s">
        <v>49</v>
      </c>
      <c r="I35" s="2" t="s">
        <v>50</v>
      </c>
      <c r="J35" s="2" t="s">
        <v>51</v>
      </c>
      <c r="K35" s="2" t="s">
        <v>56</v>
      </c>
      <c r="L35" s="2"/>
    </row>
    <row r="36" spans="1:12" x14ac:dyDescent="0.3">
      <c r="B36" s="2"/>
      <c r="C36" s="2" t="s">
        <v>52</v>
      </c>
      <c r="D36" s="2" t="s">
        <v>53</v>
      </c>
      <c r="E36" s="2" t="s">
        <v>53</v>
      </c>
      <c r="F36" s="2" t="s">
        <v>52</v>
      </c>
      <c r="G36" s="2" t="s">
        <v>54</v>
      </c>
      <c r="H36" s="2" t="s">
        <v>55</v>
      </c>
      <c r="I36" s="2" t="s">
        <v>54</v>
      </c>
      <c r="J36" s="2" t="s">
        <v>54</v>
      </c>
      <c r="K36" s="2"/>
      <c r="L36" s="2"/>
    </row>
    <row r="37" spans="1:12" x14ac:dyDescent="0.3">
      <c r="A37" s="2" t="s">
        <v>13</v>
      </c>
      <c r="B37" s="2" t="s">
        <v>8</v>
      </c>
      <c r="C37" s="1">
        <f>C$6*100-2-0.5/2</f>
        <v>9.75</v>
      </c>
      <c r="D37" s="1">
        <f>K$14</f>
        <v>6.7274131274131292</v>
      </c>
      <c r="E37" s="1">
        <f>D37*1.4</f>
        <v>9.4183783783783799</v>
      </c>
      <c r="F37" s="1">
        <f>1.25*C37*(1-(1-E37*100/0.425/100/C37^2/F$2)^0.5)</f>
        <v>0.68201549311910548</v>
      </c>
      <c r="G37" s="1">
        <f>E37*100/L$2/(C37-0.4*F37)</f>
        <v>2.2857262097963149</v>
      </c>
      <c r="H37" s="1">
        <f>I37/(C6*100*100)*100</f>
        <v>0.10050000000000001</v>
      </c>
      <c r="I37" s="1">
        <f>0.67*0.15/100*100*C$6*100</f>
        <v>1.206</v>
      </c>
      <c r="J37" s="1">
        <v>2.5</v>
      </c>
      <c r="K37" s="2" t="s">
        <v>61</v>
      </c>
    </row>
    <row r="38" spans="1:12" x14ac:dyDescent="0.3">
      <c r="A38" s="2"/>
      <c r="B38" s="2" t="s">
        <v>9</v>
      </c>
      <c r="C38">
        <f>C$6*100-2-0.5-0.5/2</f>
        <v>9.25</v>
      </c>
      <c r="D38" s="9">
        <f>L14</f>
        <v>6.0290657439446385</v>
      </c>
      <c r="E38" s="1">
        <f>D38*1.4</f>
        <v>8.4406920415224924</v>
      </c>
      <c r="F38" s="1">
        <f>1.25*C38*(1-(1-E38*100/0.425/100/C38^2/F$2)^0.5)</f>
        <v>0.64417472700159339</v>
      </c>
      <c r="G38" s="1">
        <f>E38*100/L$2/(C38-0.4*F38)</f>
        <v>2.1589055850653405</v>
      </c>
      <c r="H38" s="1">
        <f>I38/(C6*100*100)*100</f>
        <v>0.10050000000000001</v>
      </c>
      <c r="I38" s="1">
        <f>0.67*0.15/100*100*C$6*100</f>
        <v>1.206</v>
      </c>
      <c r="J38" s="1">
        <v>2.2400000000000002</v>
      </c>
      <c r="K38" s="2" t="s">
        <v>62</v>
      </c>
    </row>
    <row r="39" spans="1:12" x14ac:dyDescent="0.3">
      <c r="A39" s="2"/>
      <c r="B39" s="2" t="s">
        <v>63</v>
      </c>
      <c r="C39">
        <f>C$6*100-2-0.5/2</f>
        <v>9.75</v>
      </c>
      <c r="D39" s="1">
        <f>G30</f>
        <v>15.4</v>
      </c>
      <c r="E39" s="1">
        <f>D39*1.4</f>
        <v>21.56</v>
      </c>
      <c r="F39" s="1">
        <f>1.25*C39*(1-(1-E39*100/0.425/100/C39^2/F$2)^0.5)</f>
        <v>1.6260152477708587</v>
      </c>
      <c r="G39" s="1">
        <f>E39*100/L$2/(C39-0.4*F39)</f>
        <v>5.4494739589577659</v>
      </c>
      <c r="H39" s="1">
        <f>I39/(C7*100*100)*100</f>
        <v>0.15</v>
      </c>
      <c r="I39" s="1">
        <f>0.15/100*100*C$6*100</f>
        <v>1.7999999999999998</v>
      </c>
      <c r="J39" s="1">
        <v>5.6</v>
      </c>
      <c r="K39" s="2" t="s">
        <v>65</v>
      </c>
    </row>
    <row r="40" spans="1:12" x14ac:dyDescent="0.3">
      <c r="A40" s="2"/>
      <c r="B40" s="2" t="s">
        <v>64</v>
      </c>
      <c r="C40">
        <f>C39</f>
        <v>9.75</v>
      </c>
      <c r="D40" s="1">
        <f>-N16</f>
        <v>2.7216190476190469</v>
      </c>
      <c r="E40" s="1">
        <f>D40*1.4</f>
        <v>3.8102666666666654</v>
      </c>
      <c r="F40" s="1">
        <f>1.25*C40*(1-(1-E40*100/0.425/100/C40^2/F$2)^0.5)</f>
        <v>0.27121139877110223</v>
      </c>
      <c r="G40" s="1">
        <f>E40*100/L$2/(C40-0.4*F40)</f>
        <v>0.90894563073857704</v>
      </c>
      <c r="H40" s="1">
        <f>H39</f>
        <v>0.15</v>
      </c>
      <c r="I40" s="1">
        <f>0.15/100*100*C$6*100</f>
        <v>1.7999999999999998</v>
      </c>
      <c r="J40" s="1">
        <f>I40</f>
        <v>1.7999999999999998</v>
      </c>
      <c r="K40" s="3" t="s">
        <v>68</v>
      </c>
    </row>
    <row r="41" spans="1:12" x14ac:dyDescent="0.3">
      <c r="B41" s="3" t="s">
        <v>70</v>
      </c>
      <c r="H41" s="1">
        <v>0.1</v>
      </c>
      <c r="I41" s="1">
        <f>0.67*0.15/100*100*C$6*100</f>
        <v>1.206</v>
      </c>
      <c r="J41" s="1">
        <v>1.21</v>
      </c>
      <c r="K41" s="3" t="s">
        <v>69</v>
      </c>
    </row>
    <row r="42" spans="1:12" x14ac:dyDescent="0.3">
      <c r="A42" s="3" t="s">
        <v>17</v>
      </c>
      <c r="B42" s="3" t="s">
        <v>8</v>
      </c>
      <c r="C42" s="1">
        <f>C$6*100-2-0.5/2</f>
        <v>9.75</v>
      </c>
      <c r="D42" s="1">
        <f>G30</f>
        <v>15.4</v>
      </c>
      <c r="E42" s="1">
        <f>D42*1.4</f>
        <v>21.56</v>
      </c>
      <c r="F42" s="1">
        <f>1.25*C42*(1-(1-E42*100/0.425/100/C42^2/F$2)^0.5)</f>
        <v>1.6260152477708587</v>
      </c>
      <c r="G42" s="1">
        <f>E42*100/L$2/(C42-0.4*F42)</f>
        <v>5.4494739589577659</v>
      </c>
      <c r="H42" s="1">
        <v>0.15</v>
      </c>
      <c r="I42" s="1">
        <f>0.67*0.15/100*100*C$6*100</f>
        <v>1.206</v>
      </c>
      <c r="J42" s="1">
        <v>5.6</v>
      </c>
      <c r="K42" s="3" t="s">
        <v>65</v>
      </c>
    </row>
    <row r="43" spans="1:12" x14ac:dyDescent="0.3">
      <c r="A43" s="3"/>
      <c r="B43" s="3"/>
      <c r="D43" s="9"/>
      <c r="E43" s="1"/>
      <c r="F43" s="1"/>
      <c r="G43" s="1"/>
      <c r="H43" s="1"/>
      <c r="I43" s="1"/>
      <c r="J43" s="1"/>
      <c r="K43" s="3"/>
    </row>
    <row r="44" spans="1:12" x14ac:dyDescent="0.3">
      <c r="A44" s="3" t="s">
        <v>18</v>
      </c>
      <c r="B44" s="3" t="s">
        <v>8</v>
      </c>
      <c r="C44" s="1">
        <v>7.75</v>
      </c>
      <c r="D44" s="1">
        <f>K16</f>
        <v>1.8586666666666662</v>
      </c>
      <c r="E44" s="1">
        <f>D44*1.4</f>
        <v>2.6021333333333327</v>
      </c>
      <c r="F44" s="1">
        <f>1.25*C44*(1-(1-E44*100/0.425/100/C44^2/F$2)^0.5)</f>
        <v>0.23323049857602363</v>
      </c>
      <c r="G44" s="1">
        <f>E44*100/L$2/(C44-0.4*F44)</f>
        <v>0.78165535665621733</v>
      </c>
      <c r="H44" s="1">
        <v>0.1</v>
      </c>
      <c r="I44" s="1">
        <f>0.67*0.15/100*100*C$6*100</f>
        <v>1.206</v>
      </c>
      <c r="J44" s="1">
        <f>I44</f>
        <v>1.206</v>
      </c>
      <c r="K44" s="3" t="s">
        <v>69</v>
      </c>
    </row>
    <row r="45" spans="1:12" x14ac:dyDescent="0.3">
      <c r="A45" s="3"/>
      <c r="B45" s="3" t="s">
        <v>9</v>
      </c>
      <c r="C45">
        <v>7.25</v>
      </c>
      <c r="D45" s="9">
        <f>L16</f>
        <v>0.63153591160220979</v>
      </c>
      <c r="E45" s="1">
        <f>D45*1.4</f>
        <v>0.88415027624309361</v>
      </c>
      <c r="F45" s="1">
        <f>1.25*C45*(1-(1-E45*100/0.425/100/C45^2/F$2)^0.5)</f>
        <v>8.4082446976211395E-2</v>
      </c>
      <c r="G45" s="1">
        <f>E45*100/L$2/(C45-0.4*F45)</f>
        <v>0.28179631515170334</v>
      </c>
      <c r="H45" s="1">
        <v>0.1</v>
      </c>
      <c r="I45" s="1">
        <f>0.67*0.15/100*100*C$6*100</f>
        <v>1.206</v>
      </c>
      <c r="J45" s="1">
        <f>I45</f>
        <v>1.206</v>
      </c>
      <c r="K45" s="3" t="s">
        <v>69</v>
      </c>
    </row>
    <row r="46" spans="1:12" x14ac:dyDescent="0.3">
      <c r="A46" s="3"/>
      <c r="B46" s="3" t="s">
        <v>64</v>
      </c>
      <c r="C46" s="1">
        <f>C44</f>
        <v>7.75</v>
      </c>
      <c r="D46" s="1">
        <f>D40</f>
        <v>2.7216190476190469</v>
      </c>
      <c r="E46" s="1">
        <f>D46*1.4</f>
        <v>3.8102666666666654</v>
      </c>
      <c r="F46" s="1">
        <f>1.25*C46*(1-(1-E46*100/0.425/100/C46^2/F$2)^0.5)</f>
        <v>0.34349475450822636</v>
      </c>
      <c r="G46" s="1">
        <f>E46*100/L$2/(C46-0.4*F46)</f>
        <v>1.1511981343947131</v>
      </c>
      <c r="H46" s="1">
        <v>0.15</v>
      </c>
      <c r="I46" s="1">
        <f>0.15/100*100*C$6*100</f>
        <v>1.7999999999999998</v>
      </c>
      <c r="J46" s="1">
        <f>I46</f>
        <v>1.7999999999999998</v>
      </c>
      <c r="K46" s="3" t="s">
        <v>68</v>
      </c>
    </row>
    <row r="47" spans="1:12" x14ac:dyDescent="0.3">
      <c r="B47" s="3" t="s">
        <v>70</v>
      </c>
      <c r="H47" s="1">
        <v>0.1</v>
      </c>
      <c r="I47" s="1">
        <f>0.67*0.15/100*100*C$8*100</f>
        <v>1.0050000000000001</v>
      </c>
      <c r="J47" s="1">
        <v>1.01</v>
      </c>
      <c r="K47" s="3" t="s">
        <v>71</v>
      </c>
    </row>
  </sheetData>
  <mergeCells count="1">
    <mergeCell ref="A35:B35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Afonso de Oliveira Almeida</dc:creator>
  <cp:lastModifiedBy>Martin Paul Schwark</cp:lastModifiedBy>
  <dcterms:created xsi:type="dcterms:W3CDTF">2020-10-04T22:12:39Z</dcterms:created>
  <dcterms:modified xsi:type="dcterms:W3CDTF">2020-10-19T11:23:08Z</dcterms:modified>
</cp:coreProperties>
</file>