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<sst xmlns="http://schemas.openxmlformats.org/spreadsheetml/2006/main" count="226" uniqueCount="146">
  <si>
    <t xml:space="preserve">91689991-B </t>
  </si>
  <si>
    <t xml:space="preserve">Patrícia Jesus de Lima </t>
  </si>
  <si>
    <t xml:space="preserve">91708180-G </t>
  </si>
  <si>
    <t>José Onofre de Souza</t>
  </si>
  <si>
    <t>Diego Marcelo dos Santos</t>
  </si>
  <si>
    <t>Pr/h2</t>
  </si>
  <si>
    <r>
      <t>Cocroft-Gault</t>
    </r>
    <r>
      <rPr>
        <sz val="8"/>
        <color indexed="10"/>
        <rFont val="Calibri"/>
        <family val="2"/>
      </rPr>
      <t>((140-id)*(bw))/(72*Scr)*1H_*0,85F</t>
    </r>
  </si>
  <si>
    <t>(h-100)*Fg</t>
  </si>
  <si>
    <t>SC</t>
  </si>
  <si>
    <t>(167,2*raiz peso*raiz altura)/10000</t>
  </si>
  <si>
    <t>peso ideal</t>
  </si>
  <si>
    <t>Swartz</t>
  </si>
  <si>
    <t>Cob1</t>
  </si>
  <si>
    <t>Cob2</t>
  </si>
  <si>
    <t>C1/Exp(kel*T1)</t>
  </si>
  <si>
    <t>pediátrico</t>
  </si>
  <si>
    <r>
      <t>abs</t>
    </r>
    <r>
      <rPr>
        <sz val="11"/>
        <color indexed="10"/>
        <rFont val="Calibri"/>
        <family val="2"/>
      </rPr>
      <t>(</t>
    </r>
    <r>
      <rPr>
        <sz val="11"/>
        <color indexed="19"/>
        <rFont val="Calibri"/>
        <family val="2"/>
      </rPr>
      <t>(</t>
    </r>
    <r>
      <rPr>
        <sz val="11"/>
        <color indexed="12"/>
        <rFont val="Calibri"/>
        <family val="2"/>
      </rPr>
      <t>(</t>
    </r>
    <r>
      <rPr>
        <sz val="11"/>
        <color indexed="10"/>
        <rFont val="Calibri"/>
        <family val="2"/>
      </rPr>
      <t>(</t>
    </r>
    <r>
      <rPr>
        <sz val="11"/>
        <rFont val="Calibri"/>
        <family val="2"/>
      </rPr>
      <t>(ln(mic)-ln(vale)</t>
    </r>
    <r>
      <rPr>
        <sz val="11"/>
        <color indexed="10"/>
        <rFont val="Calibri"/>
        <family val="2"/>
      </rPr>
      <t>)</t>
    </r>
    <r>
      <rPr>
        <sz val="11"/>
        <rFont val="Calibri"/>
        <family val="2"/>
      </rPr>
      <t>/Kel</t>
    </r>
    <r>
      <rPr>
        <sz val="11"/>
        <color indexed="12"/>
        <rFont val="Calibri"/>
        <family val="2"/>
      </rPr>
      <t>)-</t>
    </r>
    <r>
      <rPr>
        <sz val="11"/>
        <rFont val="Calibri"/>
        <family val="2"/>
      </rPr>
      <t>Tau</t>
    </r>
    <r>
      <rPr>
        <sz val="11"/>
        <color indexed="19"/>
        <rFont val="Calibri"/>
        <family val="2"/>
      </rPr>
      <t>)</t>
    </r>
    <r>
      <rPr>
        <sz val="11"/>
        <rFont val="Calibri"/>
        <family val="2"/>
      </rPr>
      <t>*100/tau</t>
    </r>
    <r>
      <rPr>
        <sz val="11"/>
        <color indexed="10"/>
        <rFont val="Calibri"/>
        <family val="2"/>
      </rPr>
      <t>)</t>
    </r>
  </si>
  <si>
    <t>Meropenem infusão 3horas</t>
  </si>
  <si>
    <t>AMs assoc</t>
  </si>
  <si>
    <t>SAPS3*</t>
  </si>
  <si>
    <t>genero</t>
  </si>
  <si>
    <t>idade</t>
  </si>
  <si>
    <t>Peso real</t>
  </si>
  <si>
    <t xml:space="preserve">altura </t>
  </si>
  <si>
    <t>IMC</t>
  </si>
  <si>
    <t>Scr</t>
  </si>
  <si>
    <t>CLCr mL/min</t>
  </si>
  <si>
    <t xml:space="preserve"> dose/dia</t>
  </si>
  <si>
    <t>dose/dia</t>
  </si>
  <si>
    <t>dose tau</t>
  </si>
  <si>
    <t>Tinf</t>
  </si>
  <si>
    <t>C1</t>
  </si>
  <si>
    <t>C2</t>
  </si>
  <si>
    <t>Kel</t>
  </si>
  <si>
    <t>V/EXP(-X*3)</t>
  </si>
  <si>
    <t>Prev pico</t>
  </si>
  <si>
    <t>Prev vale</t>
  </si>
  <si>
    <t>Pico 3ah</t>
  </si>
  <si>
    <t>kel h-1</t>
  </si>
  <si>
    <r>
      <t>t(1/2)</t>
    </r>
    <r>
      <rPr>
        <b/>
        <sz val="9"/>
        <color indexed="12"/>
        <rFont val="Symbol"/>
        <family val="1"/>
      </rPr>
      <t>b</t>
    </r>
  </si>
  <si>
    <t>ASCtau</t>
  </si>
  <si>
    <t>CL</t>
  </si>
  <si>
    <t>Vd</t>
  </si>
  <si>
    <t>AUC0-24</t>
  </si>
  <si>
    <t>mg/L</t>
  </si>
  <si>
    <t>PT</t>
  </si>
  <si>
    <t>REG HC</t>
  </si>
  <si>
    <t>alocação</t>
  </si>
  <si>
    <t>Nome</t>
  </si>
  <si>
    <t>data coleta</t>
  </si>
  <si>
    <t>M:1 F:0</t>
  </si>
  <si>
    <t>anos</t>
  </si>
  <si>
    <t>kg</t>
  </si>
  <si>
    <t>cm</t>
  </si>
  <si>
    <t>m2</t>
  </si>
  <si>
    <t>mg/dL</t>
  </si>
  <si>
    <t>adulto</t>
  </si>
  <si>
    <t>(HxK)/Scr</t>
  </si>
  <si>
    <t>mg</t>
  </si>
  <si>
    <t>mg/kg ideal</t>
  </si>
  <si>
    <t>tau (h)</t>
  </si>
  <si>
    <t>(h)</t>
  </si>
  <si>
    <t>C1:T1 C2:T2</t>
  </si>
  <si>
    <t>C0  mg/L</t>
  </si>
  <si>
    <t xml:space="preserve"> mg/L</t>
  </si>
  <si>
    <t>h-1</t>
  </si>
  <si>
    <t>horas</t>
  </si>
  <si>
    <t>mg*h/L</t>
  </si>
  <si>
    <t>L/h</t>
  </si>
  <si>
    <t>L</t>
  </si>
  <si>
    <t>mL/min</t>
  </si>
  <si>
    <t>mL/min kg</t>
  </si>
  <si>
    <t>L/kg</t>
  </si>
  <si>
    <t>S1</t>
  </si>
  <si>
    <t>S2</t>
  </si>
  <si>
    <t>MODELO</t>
  </si>
  <si>
    <t>kg/m2</t>
  </si>
  <si>
    <t xml:space="preserve">Isolados </t>
  </si>
  <si>
    <t>alta</t>
  </si>
  <si>
    <t>Pt1</t>
  </si>
  <si>
    <t>Pt2</t>
  </si>
  <si>
    <t>Pt3</t>
  </si>
  <si>
    <t>até 8mg/L</t>
  </si>
  <si>
    <t>S3</t>
  </si>
  <si>
    <t>S4</t>
  </si>
  <si>
    <t>#371</t>
  </si>
  <si>
    <t>#372</t>
  </si>
  <si>
    <t xml:space="preserve"> </t>
  </si>
  <si>
    <t>V-PTZ</t>
  </si>
  <si>
    <t>PTZ-V</t>
  </si>
  <si>
    <t>PK-PD  PTA 60% T&gt;MIC</t>
  </si>
  <si>
    <t xml:space="preserve">Inicio </t>
  </si>
  <si>
    <t>horário T1:C1</t>
  </si>
  <si>
    <t>horário T2:C2</t>
  </si>
  <si>
    <t>delta T</t>
  </si>
  <si>
    <t xml:space="preserve">vale </t>
  </si>
  <si>
    <t>MERO 100%T&gt;CIM</t>
  </si>
  <si>
    <t>infusão estendida</t>
  </si>
  <si>
    <t>1a coleta</t>
  </si>
  <si>
    <t>2a coleta</t>
  </si>
  <si>
    <t>T2-T1</t>
  </si>
  <si>
    <t>avisei elson-joao</t>
  </si>
  <si>
    <t>Risco de</t>
  </si>
  <si>
    <t>morte %</t>
  </si>
  <si>
    <t>até 16mg/L</t>
  </si>
  <si>
    <t>nora+vaso</t>
  </si>
  <si>
    <t>admissão/RCP+ dva</t>
  </si>
  <si>
    <t xml:space="preserve"> nora em desmame</t>
  </si>
  <si>
    <t>só nora</t>
  </si>
  <si>
    <t>Ochipinti</t>
  </si>
  <si>
    <t>0,116 a 0,173</t>
  </si>
  <si>
    <t>0,65-0,85</t>
  </si>
  <si>
    <t>9,7-12,1</t>
  </si>
  <si>
    <t>10,3-13,6</t>
  </si>
  <si>
    <t>162-202</t>
  </si>
  <si>
    <t>2,31-2,89</t>
  </si>
  <si>
    <t>0,15--0,19</t>
  </si>
  <si>
    <t>diálise contínua</t>
  </si>
  <si>
    <t>PTZ S3 cvvh</t>
  </si>
  <si>
    <t>PTZ S4  cvvh</t>
  </si>
  <si>
    <t xml:space="preserve">sem nora </t>
  </si>
  <si>
    <t>Ressuscitação volêmica+dva</t>
  </si>
  <si>
    <t xml:space="preserve"> admissão ch.hipovolêmico/IRA</t>
  </si>
  <si>
    <t>melhora clínica</t>
  </si>
  <si>
    <t>K</t>
  </si>
  <si>
    <t>Calc.interm</t>
  </si>
  <si>
    <t xml:space="preserve"> admissão choque hipovolêmico</t>
  </si>
  <si>
    <r>
      <t>IRA</t>
    </r>
    <r>
      <rPr>
        <sz val="10"/>
        <color indexed="17"/>
        <rFont val="Calibri"/>
        <family val="2"/>
      </rPr>
      <t xml:space="preserve"> melhora clínica</t>
    </r>
  </si>
  <si>
    <t xml:space="preserve">diálise </t>
  </si>
  <si>
    <t>CLcr mL/min</t>
  </si>
  <si>
    <t>Gerátrico</t>
  </si>
  <si>
    <t>4g q8h</t>
  </si>
  <si>
    <t>4g q12h</t>
  </si>
  <si>
    <t>4g q6h</t>
  </si>
  <si>
    <t>8 g/d</t>
  </si>
  <si>
    <t>12 g/d</t>
  </si>
  <si>
    <t>16 g/d</t>
  </si>
  <si>
    <t>Desfecho</t>
  </si>
  <si>
    <t>ALTA</t>
  </si>
  <si>
    <t xml:space="preserve">melhora clínica </t>
  </si>
  <si>
    <t>2g  q12h</t>
  </si>
  <si>
    <t>4g  q12h</t>
  </si>
  <si>
    <t>4g  q8h</t>
  </si>
  <si>
    <t>4g  q6h</t>
  </si>
  <si>
    <t>4 g/d</t>
  </si>
  <si>
    <t xml:space="preserve"> nora 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</si>
</sst>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7">
    <font>
      <sz val="10"/>
      <name val="Arial"/>
      <family val="0"/>
    </font>
    <font>
      <b/>
      <sz val="11"/>
      <color indexed="17"/>
      <name val="Calibri"/>
      <family val="2"/>
    </font>
    <font>
      <sz val="8"/>
      <name val="Calibri"/>
      <family val="2"/>
    </font>
    <font>
      <b/>
      <sz val="9"/>
      <color indexed="12"/>
      <name val="Calibri"/>
      <family val="2"/>
    </font>
    <font>
      <b/>
      <sz val="8"/>
      <color indexed="12"/>
      <name val="Calibri"/>
      <family val="2"/>
    </font>
    <font>
      <b/>
      <sz val="8"/>
      <color indexed="12"/>
      <name val="Arial"/>
      <family val="2"/>
    </font>
    <font>
      <sz val="8"/>
      <name val="Arial"/>
      <family val="0"/>
    </font>
    <font>
      <sz val="9"/>
      <color indexed="12"/>
      <name val="Calibri"/>
      <family val="2"/>
    </font>
    <font>
      <b/>
      <sz val="8"/>
      <color indexed="9"/>
      <name val="Calibri"/>
      <family val="2"/>
    </font>
    <font>
      <b/>
      <sz val="9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color indexed="12"/>
      <name val="Arial"/>
      <family val="0"/>
    </font>
    <font>
      <b/>
      <sz val="8"/>
      <name val="Calibri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12"/>
      <color indexed="12"/>
      <name val="Calibri"/>
      <family val="2"/>
    </font>
    <font>
      <b/>
      <sz val="8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b/>
      <sz val="10"/>
      <color indexed="12"/>
      <name val="Calibri"/>
      <family val="2"/>
    </font>
    <font>
      <sz val="11"/>
      <color indexed="19"/>
      <name val="Calibri"/>
      <family val="2"/>
    </font>
    <font>
      <sz val="11"/>
      <color indexed="12"/>
      <name val="Calibri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9"/>
      <color indexed="12"/>
      <name val="Symbol"/>
      <family val="1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7"/>
      <name val="Calibri"/>
      <family val="2"/>
    </font>
    <font>
      <b/>
      <sz val="8"/>
      <color indexed="17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0"/>
      <color indexed="16"/>
      <name val="Calibri"/>
      <family val="2"/>
    </font>
    <font>
      <sz val="10"/>
      <color indexed="10"/>
      <name val="Arial"/>
      <family val="0"/>
    </font>
    <font>
      <b/>
      <sz val="10"/>
      <color indexed="10"/>
      <name val="Calibri"/>
      <family val="2"/>
    </font>
    <font>
      <b/>
      <sz val="9"/>
      <color indexed="17"/>
      <name val="Calibri"/>
      <family val="2"/>
    </font>
    <font>
      <sz val="10"/>
      <color indexed="17"/>
      <name val="Arial"/>
      <family val="0"/>
    </font>
    <font>
      <sz val="10"/>
      <color indexed="17"/>
      <name val="Calibri"/>
      <family val="2"/>
    </font>
    <font>
      <b/>
      <sz val="10"/>
      <color indexed="9"/>
      <name val="Arial"/>
      <family val="2"/>
    </font>
    <font>
      <b/>
      <sz val="10"/>
      <color indexed="45"/>
      <name val="Arial"/>
      <family val="2"/>
    </font>
    <font>
      <b/>
      <sz val="11"/>
      <color indexed="9"/>
      <name val="Calibri"/>
      <family val="2"/>
    </font>
    <font>
      <b/>
      <sz val="11"/>
      <color indexed="47"/>
      <name val="Calibri"/>
      <family val="2"/>
    </font>
    <font>
      <b/>
      <sz val="10"/>
      <color indexed="12"/>
      <name val="Arial"/>
      <family val="0"/>
    </font>
    <font>
      <sz val="8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164" fontId="7" fillId="5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8" fillId="6" borderId="0" xfId="0" applyNumberFormat="1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2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2" fillId="7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64" fontId="2" fillId="0" borderId="0" xfId="0" applyNumberFormat="1" applyFont="1" applyAlignment="1">
      <alignment horizontal="left"/>
    </xf>
    <xf numFmtId="164" fontId="2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21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7" fillId="4" borderId="0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1" fontId="24" fillId="0" borderId="2" xfId="0" applyNumberFormat="1" applyFont="1" applyFill="1" applyBorder="1" applyAlignment="1">
      <alignment horizontal="center"/>
    </xf>
    <xf numFmtId="0" fontId="28" fillId="0" borderId="1" xfId="0" applyFont="1" applyBorder="1" applyAlignment="1">
      <alignment/>
    </xf>
    <xf numFmtId="0" fontId="13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30" fillId="6" borderId="1" xfId="0" applyNumberFormat="1" applyFont="1" applyFill="1" applyBorder="1" applyAlignment="1">
      <alignment horizontal="center"/>
    </xf>
    <xf numFmtId="164" fontId="31" fillId="8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" fontId="1" fillId="0" borderId="3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/>
    </xf>
    <xf numFmtId="0" fontId="0" fillId="0" borderId="4" xfId="0" applyBorder="1" applyAlignment="1">
      <alignment/>
    </xf>
    <xf numFmtId="164" fontId="3" fillId="0" borderId="4" xfId="0" applyNumberFormat="1" applyFont="1" applyFill="1" applyBorder="1" applyAlignment="1">
      <alignment horizontal="center"/>
    </xf>
    <xf numFmtId="164" fontId="25" fillId="0" borderId="4" xfId="0" applyNumberFormat="1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34" fillId="8" borderId="4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164" fontId="3" fillId="9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64" fontId="25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1" fontId="1" fillId="5" borderId="0" xfId="0" applyNumberFormat="1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center"/>
    </xf>
    <xf numFmtId="165" fontId="10" fillId="5" borderId="0" xfId="0" applyNumberFormat="1" applyFont="1" applyFill="1" applyBorder="1" applyAlignment="1">
      <alignment horizontal="center"/>
    </xf>
    <xf numFmtId="1" fontId="10" fillId="5" borderId="0" xfId="0" applyNumberFormat="1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/>
    </xf>
    <xf numFmtId="164" fontId="5" fillId="5" borderId="5" xfId="0" applyNumberFormat="1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center"/>
    </xf>
    <xf numFmtId="1" fontId="17" fillId="5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center"/>
    </xf>
    <xf numFmtId="164" fontId="37" fillId="5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36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0" fontId="38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 quotePrefix="1">
      <alignment horizontal="center"/>
    </xf>
    <xf numFmtId="164" fontId="36" fillId="0" borderId="0" xfId="0" applyNumberFormat="1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9" fillId="1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2" fontId="31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18" fillId="11" borderId="0" xfId="0" applyFont="1" applyFill="1" applyAlignment="1">
      <alignment horizontal="center"/>
    </xf>
    <xf numFmtId="164" fontId="17" fillId="11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6" fillId="0" borderId="0" xfId="0" applyFont="1" applyFill="1" applyAlignment="1">
      <alignment horizontal="right"/>
    </xf>
    <xf numFmtId="1" fontId="8" fillId="8" borderId="0" xfId="0" applyNumberFormat="1" applyFont="1" applyFill="1" applyAlignment="1">
      <alignment horizontal="center"/>
    </xf>
    <xf numFmtId="0" fontId="40" fillId="5" borderId="0" xfId="0" applyFont="1" applyFill="1" applyBorder="1" applyAlignment="1">
      <alignment horizontal="center"/>
    </xf>
    <xf numFmtId="0" fontId="44" fillId="12" borderId="0" xfId="0" applyFont="1" applyFill="1" applyBorder="1" applyAlignment="1">
      <alignment/>
    </xf>
    <xf numFmtId="0" fontId="24" fillId="12" borderId="0" xfId="0" applyFont="1" applyFill="1" applyBorder="1" applyAlignment="1">
      <alignment/>
    </xf>
    <xf numFmtId="0" fontId="0" fillId="0" borderId="6" xfId="0" applyBorder="1" applyAlignment="1">
      <alignment/>
    </xf>
    <xf numFmtId="0" fontId="24" fillId="11" borderId="7" xfId="0" applyFont="1" applyFill="1" applyBorder="1" applyAlignment="1">
      <alignment horizontal="center"/>
    </xf>
    <xf numFmtId="0" fontId="24" fillId="0" borderId="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24" fillId="11" borderId="0" xfId="0" applyFont="1" applyFill="1" applyBorder="1" applyAlignment="1">
      <alignment horizontal="center"/>
    </xf>
    <xf numFmtId="0" fontId="24" fillId="10" borderId="8" xfId="0" applyFont="1" applyFill="1" applyBorder="1" applyAlignment="1">
      <alignment horizontal="center"/>
    </xf>
    <xf numFmtId="20" fontId="22" fillId="3" borderId="0" xfId="0" applyNumberFormat="1" applyFont="1" applyFill="1" applyAlignment="1">
      <alignment/>
    </xf>
    <xf numFmtId="20" fontId="22" fillId="11" borderId="0" xfId="0" applyNumberFormat="1" applyFont="1" applyFill="1" applyAlignment="1">
      <alignment/>
    </xf>
    <xf numFmtId="20" fontId="22" fillId="13" borderId="0" xfId="0" applyNumberFormat="1" applyFont="1" applyFill="1" applyAlignment="1">
      <alignment/>
    </xf>
    <xf numFmtId="164" fontId="6" fillId="5" borderId="0" xfId="0" applyNumberFormat="1" applyFont="1" applyFill="1" applyBorder="1" applyAlignment="1">
      <alignment horizontal="right"/>
    </xf>
    <xf numFmtId="2" fontId="6" fillId="5" borderId="0" xfId="0" applyNumberFormat="1" applyFont="1" applyFill="1" applyAlignment="1">
      <alignment horizontal="right"/>
    </xf>
    <xf numFmtId="1" fontId="11" fillId="5" borderId="0" xfId="0" applyNumberFormat="1" applyFont="1" applyFill="1" applyBorder="1" applyAlignment="1">
      <alignment horizontal="center"/>
    </xf>
    <xf numFmtId="20" fontId="1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0" fontId="12" fillId="3" borderId="0" xfId="0" applyNumberFormat="1" applyFont="1" applyFill="1" applyAlignment="1">
      <alignment/>
    </xf>
    <xf numFmtId="20" fontId="12" fillId="11" borderId="0" xfId="0" applyNumberFormat="1" applyFont="1" applyFill="1" applyAlignment="1">
      <alignment/>
    </xf>
    <xf numFmtId="20" fontId="12" fillId="13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10" fillId="11" borderId="0" xfId="0" applyNumberFormat="1" applyFont="1" applyFill="1" applyBorder="1" applyAlignment="1">
      <alignment horizontal="center"/>
    </xf>
    <xf numFmtId="164" fontId="5" fillId="11" borderId="0" xfId="0" applyNumberFormat="1" applyFont="1" applyFill="1" applyBorder="1" applyAlignment="1">
      <alignment horizontal="center"/>
    </xf>
    <xf numFmtId="1" fontId="10" fillId="11" borderId="0" xfId="0" applyNumberFormat="1" applyFont="1" applyFill="1" applyBorder="1" applyAlignment="1">
      <alignment horizontal="center"/>
    </xf>
    <xf numFmtId="2" fontId="5" fillId="11" borderId="0" xfId="0" applyNumberFormat="1" applyFont="1" applyFill="1" applyBorder="1" applyAlignment="1">
      <alignment/>
    </xf>
    <xf numFmtId="164" fontId="5" fillId="11" borderId="5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2" fontId="6" fillId="4" borderId="0" xfId="0" applyNumberFormat="1" applyFont="1" applyFill="1" applyAlignment="1">
      <alignment horizontal="right"/>
    </xf>
    <xf numFmtId="1" fontId="11" fillId="3" borderId="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164" fontId="47" fillId="5" borderId="9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" fontId="1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" fontId="22" fillId="9" borderId="0" xfId="0" applyNumberFormat="1" applyFont="1" applyFill="1" applyAlignment="1">
      <alignment/>
    </xf>
    <xf numFmtId="165" fontId="37" fillId="0" borderId="0" xfId="0" applyNumberFormat="1" applyFont="1" applyFill="1" applyBorder="1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164" fontId="5" fillId="9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" fontId="13" fillId="5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4" fillId="14" borderId="0" xfId="0" applyNumberFormat="1" applyFont="1" applyFill="1" applyBorder="1" applyAlignment="1">
      <alignment horizontal="center"/>
    </xf>
    <xf numFmtId="0" fontId="4" fillId="14" borderId="0" xfId="0" applyFont="1" applyFill="1" applyAlignment="1">
      <alignment horizontal="center"/>
    </xf>
    <xf numFmtId="1" fontId="21" fillId="6" borderId="0" xfId="0" applyNumberFormat="1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16" fontId="2" fillId="15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164" fontId="30" fillId="0" borderId="1" xfId="0" applyNumberFormat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51" fillId="6" borderId="0" xfId="0" applyFont="1" applyFill="1" applyAlignment="1">
      <alignment/>
    </xf>
    <xf numFmtId="1" fontId="51" fillId="6" borderId="0" xfId="0" applyNumberFormat="1" applyFont="1" applyFill="1" applyAlignment="1">
      <alignment/>
    </xf>
    <xf numFmtId="1" fontId="52" fillId="6" borderId="0" xfId="0" applyNumberFormat="1" applyFont="1" applyFill="1" applyAlignment="1">
      <alignment/>
    </xf>
    <xf numFmtId="1" fontId="53" fillId="6" borderId="0" xfId="0" applyNumberFormat="1" applyFont="1" applyFill="1" applyBorder="1" applyAlignment="1">
      <alignment horizontal="center"/>
    </xf>
    <xf numFmtId="1" fontId="51" fillId="7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1" fontId="52" fillId="6" borderId="0" xfId="0" applyNumberFormat="1" applyFont="1" applyFill="1" applyAlignment="1">
      <alignment horizontal="center"/>
    </xf>
    <xf numFmtId="1" fontId="54" fillId="6" borderId="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25" fillId="0" borderId="0" xfId="0" applyFont="1" applyAlignment="1">
      <alignment/>
    </xf>
    <xf numFmtId="0" fontId="50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1" fontId="12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CC99"/>
        </patternFill>
      </fill>
      <border/>
    </dxf>
    <dxf>
      <fill>
        <patternFill>
          <bgColor rgb="FFFFCC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8"/>
  <sheetViews>
    <sheetView tabSelected="1" workbookViewId="0" topLeftCell="AL6">
      <selection activeCell="AX7" sqref="AX7:BD24"/>
    </sheetView>
  </sheetViews>
  <sheetFormatPr defaultColWidth="9.140625" defaultRowHeight="12.75"/>
  <cols>
    <col min="3" max="3" width="12.8515625" style="0" customWidth="1"/>
    <col min="4" max="4" width="25.140625" style="0" customWidth="1"/>
    <col min="5" max="5" width="12.8515625" style="0" customWidth="1"/>
    <col min="28" max="28" width="11.140625" style="0" customWidth="1"/>
    <col min="29" max="29" width="11.8515625" style="0" customWidth="1"/>
    <col min="30" max="30" width="11.421875" style="0" customWidth="1"/>
    <col min="32" max="32" width="10.00390625" style="0" customWidth="1"/>
    <col min="38" max="38" width="11.00390625" style="0" customWidth="1"/>
    <col min="50" max="50" width="13.140625" style="0" customWidth="1"/>
    <col min="52" max="52" width="13.28125" style="0" customWidth="1"/>
  </cols>
  <sheetData>
    <row r="1" spans="1:53" ht="18.75" thickBot="1">
      <c r="A1" s="40"/>
      <c r="B1" s="41"/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2" t="s">
        <v>5</v>
      </c>
      <c r="P1" s="45" t="s">
        <v>6</v>
      </c>
      <c r="Q1" s="45"/>
      <c r="W1" s="4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P1" s="93" t="s">
        <v>125</v>
      </c>
      <c r="AQ1" s="54" t="s">
        <v>15</v>
      </c>
      <c r="AR1" s="54" t="s">
        <v>15</v>
      </c>
      <c r="AS1" s="46"/>
      <c r="AT1" s="159" t="s">
        <v>90</v>
      </c>
      <c r="AU1" s="160"/>
      <c r="AV1" s="159"/>
      <c r="BA1" s="160"/>
    </row>
    <row r="2" spans="1:53" ht="15.75" thickBot="1">
      <c r="A2" s="47"/>
      <c r="B2" s="47"/>
      <c r="C2" s="47"/>
      <c r="D2" s="47"/>
      <c r="E2" s="47" t="s">
        <v>88</v>
      </c>
      <c r="F2" s="47"/>
      <c r="G2" s="47"/>
      <c r="H2" s="47"/>
      <c r="I2" s="47"/>
      <c r="J2" s="47" t="s">
        <v>7</v>
      </c>
      <c r="K2" s="47"/>
      <c r="L2" s="48" t="s">
        <v>8</v>
      </c>
      <c r="M2" s="49"/>
      <c r="N2" s="50" t="s">
        <v>9</v>
      </c>
      <c r="O2" s="49"/>
      <c r="P2" s="51" t="s">
        <v>10</v>
      </c>
      <c r="Q2" s="51" t="s">
        <v>124</v>
      </c>
      <c r="R2" s="52" t="s">
        <v>11</v>
      </c>
      <c r="S2" s="47"/>
      <c r="T2" s="47"/>
      <c r="U2" s="47"/>
      <c r="V2" s="47"/>
      <c r="W2" s="47"/>
      <c r="X2" s="53"/>
      <c r="Y2" s="53"/>
      <c r="Z2" s="53"/>
      <c r="AB2" s="13"/>
      <c r="AD2" s="13"/>
      <c r="AE2" s="53"/>
      <c r="AF2" s="154" t="s">
        <v>14</v>
      </c>
      <c r="AG2" s="53"/>
      <c r="AH2" s="53"/>
      <c r="AJ2" s="191" t="s">
        <v>109</v>
      </c>
      <c r="AK2" s="227" t="s">
        <v>110</v>
      </c>
      <c r="AL2" s="228" t="s">
        <v>111</v>
      </c>
      <c r="AM2" s="190"/>
      <c r="AN2" s="229" t="s">
        <v>112</v>
      </c>
      <c r="AO2" s="229" t="s">
        <v>113</v>
      </c>
      <c r="AP2" s="230" t="s">
        <v>114</v>
      </c>
      <c r="AQ2" s="229" t="s">
        <v>115</v>
      </c>
      <c r="AR2" s="229" t="s">
        <v>116</v>
      </c>
      <c r="AS2" s="47"/>
      <c r="AT2" s="55" t="s">
        <v>16</v>
      </c>
      <c r="AU2" s="57"/>
      <c r="AV2" s="57"/>
      <c r="AW2" s="56"/>
      <c r="BA2" s="161"/>
    </row>
    <row r="3" spans="1:53" ht="15">
      <c r="A3" s="58"/>
      <c r="B3" s="59" t="s">
        <v>17</v>
      </c>
      <c r="C3" s="60"/>
      <c r="D3" s="61"/>
      <c r="E3" s="62" t="s">
        <v>18</v>
      </c>
      <c r="F3" s="62" t="s">
        <v>19</v>
      </c>
      <c r="G3" s="62" t="s">
        <v>102</v>
      </c>
      <c r="H3" s="63" t="s">
        <v>20</v>
      </c>
      <c r="I3" s="63" t="s">
        <v>21</v>
      </c>
      <c r="J3" s="63" t="s">
        <v>10</v>
      </c>
      <c r="K3" s="63" t="s">
        <v>22</v>
      </c>
      <c r="L3" s="63" t="s">
        <v>23</v>
      </c>
      <c r="M3" s="64" t="s">
        <v>8</v>
      </c>
      <c r="N3" s="64" t="s">
        <v>24</v>
      </c>
      <c r="O3" s="64" t="s">
        <v>25</v>
      </c>
      <c r="P3" s="65" t="s">
        <v>26</v>
      </c>
      <c r="Q3" s="231"/>
      <c r="R3" s="66" t="s">
        <v>15</v>
      </c>
      <c r="S3" s="67" t="s">
        <v>27</v>
      </c>
      <c r="T3" s="67" t="s">
        <v>28</v>
      </c>
      <c r="U3" s="67" t="s">
        <v>29</v>
      </c>
      <c r="V3" s="67" t="s">
        <v>29</v>
      </c>
      <c r="W3" s="63"/>
      <c r="X3" s="10" t="s">
        <v>30</v>
      </c>
      <c r="Y3" s="10" t="s">
        <v>91</v>
      </c>
      <c r="Z3" s="10" t="s">
        <v>92</v>
      </c>
      <c r="AA3" s="10" t="s">
        <v>31</v>
      </c>
      <c r="AB3" s="10" t="s">
        <v>93</v>
      </c>
      <c r="AC3" s="10" t="s">
        <v>32</v>
      </c>
      <c r="AD3" s="10" t="s">
        <v>94</v>
      </c>
      <c r="AE3" s="10" t="s">
        <v>33</v>
      </c>
      <c r="AF3" s="1" t="s">
        <v>34</v>
      </c>
      <c r="AG3" s="68" t="s">
        <v>35</v>
      </c>
      <c r="AH3" s="69" t="s">
        <v>36</v>
      </c>
      <c r="AI3" s="63" t="s">
        <v>37</v>
      </c>
      <c r="AJ3" s="63" t="s">
        <v>95</v>
      </c>
      <c r="AK3" s="70" t="s">
        <v>38</v>
      </c>
      <c r="AL3" s="70" t="s">
        <v>39</v>
      </c>
      <c r="AM3" s="70" t="s">
        <v>40</v>
      </c>
      <c r="AN3" s="70" t="s">
        <v>41</v>
      </c>
      <c r="AO3" s="70" t="s">
        <v>42</v>
      </c>
      <c r="AP3" s="70" t="s">
        <v>41</v>
      </c>
      <c r="AQ3" s="70" t="s">
        <v>41</v>
      </c>
      <c r="AR3" s="70" t="s">
        <v>42</v>
      </c>
      <c r="AS3" s="71" t="s">
        <v>43</v>
      </c>
      <c r="AT3" s="47"/>
      <c r="AU3" s="162" t="s">
        <v>44</v>
      </c>
      <c r="AV3" s="72" t="s">
        <v>96</v>
      </c>
      <c r="AW3" s="47"/>
      <c r="BA3" s="163"/>
    </row>
    <row r="4" spans="1:53" ht="15.75" thickBot="1">
      <c r="A4" s="73" t="s">
        <v>45</v>
      </c>
      <c r="B4" s="74" t="s">
        <v>46</v>
      </c>
      <c r="C4" s="75" t="s">
        <v>47</v>
      </c>
      <c r="D4" s="75" t="s">
        <v>48</v>
      </c>
      <c r="E4" s="75" t="s">
        <v>49</v>
      </c>
      <c r="F4" s="75"/>
      <c r="G4" s="75" t="s">
        <v>103</v>
      </c>
      <c r="H4" s="76" t="s">
        <v>50</v>
      </c>
      <c r="I4" s="76" t="s">
        <v>51</v>
      </c>
      <c r="J4" s="76" t="s">
        <v>52</v>
      </c>
      <c r="K4" s="76" t="s">
        <v>52</v>
      </c>
      <c r="L4" s="76" t="s">
        <v>53</v>
      </c>
      <c r="M4" s="77" t="s">
        <v>54</v>
      </c>
      <c r="N4" s="77" t="s">
        <v>76</v>
      </c>
      <c r="O4" s="77" t="s">
        <v>55</v>
      </c>
      <c r="P4" s="78" t="s">
        <v>56</v>
      </c>
      <c r="Q4" s="232"/>
      <c r="R4" s="79" t="s">
        <v>57</v>
      </c>
      <c r="S4" s="80" t="s">
        <v>58</v>
      </c>
      <c r="T4" s="80" t="s">
        <v>59</v>
      </c>
      <c r="U4" s="80" t="s">
        <v>58</v>
      </c>
      <c r="V4" s="80" t="s">
        <v>59</v>
      </c>
      <c r="W4" s="80" t="s">
        <v>60</v>
      </c>
      <c r="X4" s="81" t="s">
        <v>61</v>
      </c>
      <c r="Y4" s="81" t="s">
        <v>97</v>
      </c>
      <c r="Z4" s="81" t="s">
        <v>98</v>
      </c>
      <c r="AA4" s="164" t="s">
        <v>12</v>
      </c>
      <c r="AB4" s="81" t="s">
        <v>99</v>
      </c>
      <c r="AC4" s="164" t="s">
        <v>13</v>
      </c>
      <c r="AD4" s="81" t="s">
        <v>100</v>
      </c>
      <c r="AE4" s="81" t="s">
        <v>62</v>
      </c>
      <c r="AF4" s="165" t="s">
        <v>63</v>
      </c>
      <c r="AG4" s="82" t="s">
        <v>64</v>
      </c>
      <c r="AH4" s="83" t="s">
        <v>64</v>
      </c>
      <c r="AI4" s="84" t="s">
        <v>64</v>
      </c>
      <c r="AJ4" s="84" t="s">
        <v>44</v>
      </c>
      <c r="AK4" s="82" t="s">
        <v>65</v>
      </c>
      <c r="AL4" s="82" t="s">
        <v>66</v>
      </c>
      <c r="AM4" s="82" t="s">
        <v>67</v>
      </c>
      <c r="AN4" s="82" t="s">
        <v>68</v>
      </c>
      <c r="AO4" s="82" t="s">
        <v>69</v>
      </c>
      <c r="AP4" s="82" t="s">
        <v>70</v>
      </c>
      <c r="AQ4" s="82" t="s">
        <v>71</v>
      </c>
      <c r="AR4" s="82" t="s">
        <v>72</v>
      </c>
      <c r="AS4" s="81" t="s">
        <v>67</v>
      </c>
      <c r="AT4" s="166">
        <v>2</v>
      </c>
      <c r="AU4" s="166">
        <v>4</v>
      </c>
      <c r="AV4" s="166">
        <v>8</v>
      </c>
      <c r="AW4" s="166">
        <v>16</v>
      </c>
      <c r="AX4" s="112" t="s">
        <v>77</v>
      </c>
      <c r="BA4" s="167"/>
    </row>
    <row r="5" spans="2:53" ht="15">
      <c r="B5" s="85"/>
      <c r="C5" s="53"/>
      <c r="D5" s="94" t="s">
        <v>75</v>
      </c>
      <c r="E5" s="149" t="s">
        <v>89</v>
      </c>
      <c r="F5" s="95">
        <v>64</v>
      </c>
      <c r="G5" s="95">
        <v>42</v>
      </c>
      <c r="H5" s="4">
        <v>0.85</v>
      </c>
      <c r="I5" s="96">
        <v>57</v>
      </c>
      <c r="J5" s="5">
        <f>(L5-100)*H5</f>
        <v>51</v>
      </c>
      <c r="K5" s="95">
        <v>80</v>
      </c>
      <c r="L5" s="97">
        <v>160</v>
      </c>
      <c r="M5" s="98">
        <f>(167.2*SQRT(K5)*SQRT(L5))/10000</f>
        <v>1.8916520610302519</v>
      </c>
      <c r="N5" s="99">
        <f>K5/((L5/100)^2)</f>
        <v>31.249999999999993</v>
      </c>
      <c r="O5" s="98">
        <v>0.55</v>
      </c>
      <c r="P5" s="108">
        <f>(((140-I5)*J5)/(72*O5))*H5</f>
        <v>90.85984848484848</v>
      </c>
      <c r="Q5" s="203"/>
      <c r="R5" s="157">
        <f>(L5*0.7)/O5</f>
        <v>203.63636363636363</v>
      </c>
      <c r="S5" s="100">
        <f>U5*24/W5</f>
        <v>16000</v>
      </c>
      <c r="T5" s="9">
        <f>S5/J5</f>
        <v>313.72549019607845</v>
      </c>
      <c r="U5" s="158">
        <v>4000</v>
      </c>
      <c r="V5" s="101">
        <f>U5/J5</f>
        <v>78.43137254901961</v>
      </c>
      <c r="W5" s="102">
        <v>6</v>
      </c>
      <c r="X5" s="68">
        <v>3</v>
      </c>
      <c r="Y5" s="168">
        <v>0.25</v>
      </c>
      <c r="Z5" s="169">
        <v>0.375</v>
      </c>
      <c r="AA5" s="119">
        <v>39</v>
      </c>
      <c r="AB5" s="170">
        <v>0.4583333333333333</v>
      </c>
      <c r="AC5" s="119">
        <v>20</v>
      </c>
      <c r="AD5" s="212">
        <f>(AB5-Z5)*24</f>
        <v>1.9999999999999996</v>
      </c>
      <c r="AE5" s="213">
        <f>(LN(AA5)-LN(AC5))/(AD5)</f>
        <v>0.3339146862878278</v>
      </c>
      <c r="AF5" s="180">
        <f>AA5/EXP(-AE5*X5)</f>
        <v>106.19804553286282</v>
      </c>
      <c r="AG5" s="9">
        <f>AF5*EXP(-AE5*X5)</f>
        <v>39</v>
      </c>
      <c r="AH5" s="216">
        <f>AF5*EXP(-AE5*W5)</f>
        <v>14.322297480788654</v>
      </c>
      <c r="AI5" s="9">
        <f>AG5</f>
        <v>39</v>
      </c>
      <c r="AJ5" s="9">
        <f>AH5</f>
        <v>14.322297480788654</v>
      </c>
      <c r="AK5" s="103">
        <f>(LN(AI5)-LN(AJ5))/(W5-X5)</f>
        <v>0.3339146862878278</v>
      </c>
      <c r="AL5" s="9">
        <f>0.693/AK5</f>
        <v>2.0753804143931776</v>
      </c>
      <c r="AM5" s="104">
        <f>(((AI5+AJ5)/2)*X5)+(((AI5+AJ5)/2)*(W5-X5))</f>
        <v>159.96689244236597</v>
      </c>
      <c r="AN5" s="105">
        <f>U5/AM5</f>
        <v>25.005174126522142</v>
      </c>
      <c r="AO5" s="106">
        <f>AN5/AK5</f>
        <v>74.88491867341283</v>
      </c>
      <c r="AP5" s="171">
        <f>AN5*1000/60</f>
        <v>416.75290210870236</v>
      </c>
      <c r="AQ5" s="172">
        <f>AP5/K5</f>
        <v>5.20941127635878</v>
      </c>
      <c r="AR5" s="172">
        <f>AO5/K5</f>
        <v>0.9360614834176604</v>
      </c>
      <c r="AS5" s="173">
        <f>AM5*24/W5</f>
        <v>639.8675697694639</v>
      </c>
      <c r="AT5" s="107">
        <f>ABS((((LN($AT$4)-LN(AJ5))/AK5)-W5)*100/W5)</f>
        <v>198.26214536973393</v>
      </c>
      <c r="AU5" s="107">
        <f>ABS((((LN($AU$4)-LN(AJ5))/AK5)-W5)*100/W5)</f>
        <v>163.66512558074973</v>
      </c>
      <c r="AV5" s="107">
        <f>ABS((((LN(AV$4)-LN(AJ5))/AK5)-W5)*100/W5)</f>
        <v>129.06810579176556</v>
      </c>
      <c r="AW5" s="107">
        <f>ABS((((LN(AW$4)-LN(AJ5))/AK5)-W5)*100/W5)</f>
        <v>94.47108600278136</v>
      </c>
      <c r="AX5" s="240" t="s">
        <v>104</v>
      </c>
      <c r="AY5" s="241" t="s">
        <v>101</v>
      </c>
      <c r="AZ5" s="136"/>
      <c r="BA5" s="110"/>
    </row>
    <row r="6" spans="1:53" ht="15">
      <c r="A6" s="39"/>
      <c r="B6" s="152"/>
      <c r="E6" s="21"/>
      <c r="F6" s="47"/>
      <c r="G6" s="47"/>
      <c r="H6" s="10"/>
      <c r="I6" s="10"/>
      <c r="J6" s="36"/>
      <c r="K6" s="10"/>
      <c r="L6" s="10"/>
      <c r="M6" s="86"/>
      <c r="N6" s="86"/>
      <c r="O6" s="86"/>
      <c r="P6" s="92"/>
      <c r="Q6" s="92"/>
      <c r="R6" s="133"/>
      <c r="S6" s="80"/>
      <c r="T6" s="80"/>
      <c r="U6" s="80"/>
      <c r="V6" s="80"/>
      <c r="W6" s="80"/>
      <c r="X6" s="10"/>
      <c r="Y6" s="174"/>
      <c r="Z6" s="174"/>
      <c r="AA6" s="10"/>
      <c r="AB6" s="174"/>
      <c r="AC6" s="10"/>
      <c r="AD6" s="175"/>
      <c r="AE6" s="214"/>
      <c r="AF6" s="87"/>
      <c r="AG6" s="10"/>
      <c r="AH6" s="10"/>
      <c r="AI6" s="10"/>
      <c r="AJ6" s="10"/>
      <c r="AK6" s="113"/>
      <c r="AL6" s="11"/>
      <c r="AM6" s="114"/>
      <c r="AN6" s="115"/>
      <c r="AO6" s="116"/>
      <c r="AP6" s="117"/>
      <c r="AQ6" s="10"/>
      <c r="AR6" s="10"/>
      <c r="AS6" s="10"/>
      <c r="AT6" s="109"/>
      <c r="AU6" s="109"/>
      <c r="AV6" s="109"/>
      <c r="AW6" s="109"/>
      <c r="AX6" s="242"/>
      <c r="AY6" s="155"/>
      <c r="AZ6" s="240"/>
      <c r="BA6" s="12"/>
    </row>
    <row r="7" spans="1:55" ht="15">
      <c r="A7" s="89" t="s">
        <v>79</v>
      </c>
      <c r="B7" s="1" t="s">
        <v>0</v>
      </c>
      <c r="C7" s="2">
        <v>369</v>
      </c>
      <c r="D7" s="155" t="s">
        <v>1</v>
      </c>
      <c r="E7" s="21" t="s">
        <v>89</v>
      </c>
      <c r="F7" s="47"/>
      <c r="G7" s="33"/>
      <c r="H7" s="10"/>
      <c r="I7" s="10"/>
      <c r="J7" s="36"/>
      <c r="K7" s="10"/>
      <c r="L7" s="10"/>
      <c r="M7" s="86"/>
      <c r="N7" s="86"/>
      <c r="O7" s="86"/>
      <c r="P7" s="92"/>
      <c r="Q7" s="92"/>
      <c r="R7" s="133"/>
      <c r="S7" s="80"/>
      <c r="T7" s="80"/>
      <c r="U7" s="80"/>
      <c r="V7" s="80"/>
      <c r="W7" s="80"/>
      <c r="X7" s="10"/>
      <c r="Y7" s="176"/>
      <c r="Z7" s="176"/>
      <c r="AA7" s="10"/>
      <c r="AB7" s="176"/>
      <c r="AC7" s="10"/>
      <c r="AD7" s="175"/>
      <c r="AE7" s="214"/>
      <c r="AF7" s="87"/>
      <c r="AG7" s="10"/>
      <c r="AH7" s="10"/>
      <c r="AI7" s="10"/>
      <c r="AJ7" s="10"/>
      <c r="AK7" s="113"/>
      <c r="AL7" s="11"/>
      <c r="AM7" s="114"/>
      <c r="AN7" s="115"/>
      <c r="AO7" s="116"/>
      <c r="AP7" s="117"/>
      <c r="AQ7" s="10"/>
      <c r="AR7" s="10"/>
      <c r="AS7" s="10"/>
      <c r="AT7" s="109"/>
      <c r="AU7" s="109"/>
      <c r="AV7" s="109"/>
      <c r="AW7" s="109" t="s">
        <v>79</v>
      </c>
      <c r="AX7" s="240" t="s">
        <v>104</v>
      </c>
      <c r="AY7" s="241" t="s">
        <v>101</v>
      </c>
      <c r="AZ7" s="136"/>
      <c r="BA7" s="110"/>
      <c r="BC7" s="235" t="s">
        <v>129</v>
      </c>
    </row>
    <row r="8" spans="3:55" ht="15">
      <c r="C8" s="252" t="s">
        <v>105</v>
      </c>
      <c r="D8" s="233" t="s">
        <v>122</v>
      </c>
      <c r="E8" s="39" t="s">
        <v>73</v>
      </c>
      <c r="F8" s="3">
        <v>74</v>
      </c>
      <c r="G8" s="33">
        <v>32</v>
      </c>
      <c r="H8" s="4">
        <v>0.85</v>
      </c>
      <c r="I8" s="153">
        <v>47</v>
      </c>
      <c r="J8" s="219">
        <f>60*H8</f>
        <v>51</v>
      </c>
      <c r="K8" s="133">
        <v>65</v>
      </c>
      <c r="L8" s="218">
        <v>160</v>
      </c>
      <c r="M8" s="6">
        <f>(167.2*SQRT(K8)*SQRT(L8))/10000</f>
        <v>1.705112125345427</v>
      </c>
      <c r="N8" s="7">
        <f>K8/((L8/100)^2)</f>
        <v>25.390624999999996</v>
      </c>
      <c r="O8" s="220">
        <v>2.93</v>
      </c>
      <c r="P8" s="226">
        <f>(((140-I8)*J8)/(72*O8))*H8</f>
        <v>19.110494880546074</v>
      </c>
      <c r="Q8" s="129"/>
      <c r="R8" s="157">
        <f>(L8*0.7)/O8</f>
        <v>38.225255972696246</v>
      </c>
      <c r="S8" s="120">
        <f>U8*24/W8</f>
        <v>4000</v>
      </c>
      <c r="T8" s="7">
        <f>S8/J8</f>
        <v>78.43137254901961</v>
      </c>
      <c r="U8" s="121">
        <v>2000</v>
      </c>
      <c r="V8" s="7">
        <f>U8/J8</f>
        <v>39.21568627450981</v>
      </c>
      <c r="W8" s="6">
        <v>12</v>
      </c>
      <c r="X8" s="10">
        <v>3</v>
      </c>
      <c r="Y8" s="177">
        <v>0.75</v>
      </c>
      <c r="Z8" s="178">
        <v>0.875</v>
      </c>
      <c r="AA8" s="122">
        <v>90</v>
      </c>
      <c r="AB8" s="179">
        <v>0.9583333333333334</v>
      </c>
      <c r="AC8" s="122">
        <v>65</v>
      </c>
      <c r="AD8" s="212">
        <f>(AB8-Z8)*24</f>
        <v>2.000000000000001</v>
      </c>
      <c r="AE8" s="213">
        <f>(LN(AA8)-LN(AC8))/(AD8)</f>
        <v>0.16271120021731403</v>
      </c>
      <c r="AF8" s="180">
        <f>AA8/EXP(-AE8*X8)</f>
        <v>146.6345256571653</v>
      </c>
      <c r="AG8" s="9">
        <f>AF8*EXP(-AE8*X8)</f>
        <v>90</v>
      </c>
      <c r="AH8" s="216">
        <f>AF8*EXP(-AE8*W8)</f>
        <v>20.80948450041773</v>
      </c>
      <c r="AI8" s="9">
        <f aca="true" t="shared" si="0" ref="AI8:AJ11">AG8</f>
        <v>90</v>
      </c>
      <c r="AJ8" s="9">
        <f t="shared" si="0"/>
        <v>20.80948450041773</v>
      </c>
      <c r="AK8" s="103">
        <f>(LN(AI8)-LN(AJ8))/(W8-X8)</f>
        <v>0.162711200217314</v>
      </c>
      <c r="AL8" s="183">
        <f aca="true" t="shared" si="1" ref="AL8:AL23">0.693/AK8</f>
        <v>4.259079885554542</v>
      </c>
      <c r="AM8" s="184">
        <f>(((AI8+AJ8)/2)*X8)+(((AI8+AJ8)/2)*(W8-X8))</f>
        <v>664.8569070025064</v>
      </c>
      <c r="AN8" s="185">
        <f>U8/AM8</f>
        <v>3.008166086469581</v>
      </c>
      <c r="AO8" s="186">
        <f>AN8/AK8</f>
        <v>18.487762873434228</v>
      </c>
      <c r="AP8" s="187">
        <f>AN8*1000/60</f>
        <v>50.13610144115968</v>
      </c>
      <c r="AQ8" s="172">
        <f>AP8/K8</f>
        <v>0.7713246375563028</v>
      </c>
      <c r="AR8" s="172">
        <f>AO8/K8</f>
        <v>0.2844271211297574</v>
      </c>
      <c r="AS8" s="189">
        <f>AM8*24/W8</f>
        <v>1329.7138140050129</v>
      </c>
      <c r="AT8" s="107">
        <f>ABS((((LN($AT$4)-LN(AJ8))/AK8)-W8)*100/W8)</f>
        <v>219.96007264641347</v>
      </c>
      <c r="AU8" s="107">
        <f>ABS((((LN($AU$4)-LN(AJ8))/AK8)-W8)*100/W8)</f>
        <v>184.4602023427614</v>
      </c>
      <c r="AV8" s="107">
        <f>ABS((((LN(AV$4)-LN(AJ8))/AK8)-W8)*100/W8)</f>
        <v>148.96033203910932</v>
      </c>
      <c r="AW8" s="107">
        <f>ABS((((LN(AW$4)-LN(AJ8))/AK8)-W8)*100/W8)</f>
        <v>113.46046173545726</v>
      </c>
      <c r="AX8" s="252" t="s">
        <v>105</v>
      </c>
      <c r="AY8" s="233" t="s">
        <v>122</v>
      </c>
      <c r="BA8" s="131" t="s">
        <v>140</v>
      </c>
      <c r="BB8" t="s">
        <v>144</v>
      </c>
      <c r="BC8" s="244">
        <v>19.110494880546074</v>
      </c>
    </row>
    <row r="9" spans="2:102" s="13" customFormat="1" ht="15.75">
      <c r="B9" s="1" t="s">
        <v>78</v>
      </c>
      <c r="C9" s="253" t="s">
        <v>108</v>
      </c>
      <c r="D9" s="233" t="s">
        <v>121</v>
      </c>
      <c r="E9" s="39" t="s">
        <v>74</v>
      </c>
      <c r="F9" s="3">
        <v>74</v>
      </c>
      <c r="G9" s="33">
        <v>32</v>
      </c>
      <c r="H9" s="4">
        <v>0.85</v>
      </c>
      <c r="I9" s="153">
        <v>47</v>
      </c>
      <c r="J9" s="219">
        <f>60*H9</f>
        <v>51</v>
      </c>
      <c r="K9" s="133">
        <v>65</v>
      </c>
      <c r="L9" s="218">
        <v>160</v>
      </c>
      <c r="M9" s="6">
        <f>(167.2*SQRT(K9)*SQRT(L9))/10000</f>
        <v>1.705112125345427</v>
      </c>
      <c r="N9" s="7">
        <f>K9/((L9/100)^2)</f>
        <v>25.390624999999996</v>
      </c>
      <c r="O9" s="118">
        <v>1.7511</v>
      </c>
      <c r="P9" s="226">
        <f>(((140-I9)*J9)/(72*O9))*H9</f>
        <v>31.97632916452515</v>
      </c>
      <c r="Q9" s="129"/>
      <c r="R9" s="157">
        <f>(L9*0.7)/O9</f>
        <v>63.959796699217634</v>
      </c>
      <c r="S9" s="120">
        <f>U9*24/W9</f>
        <v>8000</v>
      </c>
      <c r="T9" s="7">
        <f>S9/J9</f>
        <v>156.86274509803923</v>
      </c>
      <c r="U9" s="121">
        <v>4000</v>
      </c>
      <c r="V9" s="7">
        <f>U9/J9</f>
        <v>78.43137254901961</v>
      </c>
      <c r="W9" s="6">
        <v>12</v>
      </c>
      <c r="X9" s="10">
        <v>3</v>
      </c>
      <c r="Y9" s="177">
        <v>0.08333333333333333</v>
      </c>
      <c r="Z9" s="178">
        <v>0.20833333333333334</v>
      </c>
      <c r="AA9" s="122">
        <v>170</v>
      </c>
      <c r="AB9" s="179">
        <v>0.2916666666666667</v>
      </c>
      <c r="AC9" s="122">
        <v>75</v>
      </c>
      <c r="AD9" s="212">
        <f>(AB9-Z9)*24</f>
        <v>2</v>
      </c>
      <c r="AE9" s="213">
        <f>(LN(AA9)-LN(AC9))/(AD9)</f>
        <v>0.40915516175697597</v>
      </c>
      <c r="AF9" s="180">
        <f>AA9/EXP(-AE9*X9)</f>
        <v>580.1367910211322</v>
      </c>
      <c r="AG9" s="9">
        <f>AF9*EXP(-AE9*X9)</f>
        <v>170</v>
      </c>
      <c r="AH9" s="216">
        <f>AF9*EXP(-AE9*W9)</f>
        <v>4.277642248289029</v>
      </c>
      <c r="AI9" s="9">
        <f t="shared" si="0"/>
        <v>170</v>
      </c>
      <c r="AJ9" s="9">
        <f t="shared" si="0"/>
        <v>4.277642248289029</v>
      </c>
      <c r="AK9" s="103">
        <f>(LN(AI9)-LN(AJ9))/(W9-X9)</f>
        <v>0.409155161756976</v>
      </c>
      <c r="AL9" s="183">
        <f t="shared" si="1"/>
        <v>1.6937339786308694</v>
      </c>
      <c r="AM9" s="184">
        <f>(((AI9+AJ9)/2)*X9)+(((AI9+AJ9)/2)*(W9-X9))</f>
        <v>1045.6658534897342</v>
      </c>
      <c r="AN9" s="185">
        <f>U9/AM9</f>
        <v>3.825313781310417</v>
      </c>
      <c r="AO9" s="186">
        <f>AN9/AK9</f>
        <v>9.349298600765351</v>
      </c>
      <c r="AP9" s="187">
        <f>AN9*1000/60</f>
        <v>63.75522968850695</v>
      </c>
      <c r="AQ9" s="188">
        <f>AP9/K8</f>
        <v>0.9808496875154915</v>
      </c>
      <c r="AR9" s="188">
        <f>AO9/K8</f>
        <v>0.1438353630886977</v>
      </c>
      <c r="AS9" s="189">
        <f>AM9*24/W9</f>
        <v>2091.3317069794684</v>
      </c>
      <c r="AT9" s="107">
        <f>ABS((((LN($AT$4)-LN(AJ9))/AK9)-W9)*100/W9)</f>
        <v>115.48423987884532</v>
      </c>
      <c r="AU9" s="107">
        <f>ABS((((LN($AU$4)-LN(AJ9))/AK9)-W9)*100/W9)</f>
        <v>101.36679240522137</v>
      </c>
      <c r="AV9" s="107">
        <f>ABS((((LN(AV$4)-LN(AJ9))/AK9)-W9)*100/W9)</f>
        <v>87.24934493159746</v>
      </c>
      <c r="AW9" s="107">
        <f>ABS((((LN(AW$4)-LN(AJ9))/AK9)-W9)*100/W9)</f>
        <v>73.13189745797354</v>
      </c>
      <c r="AX9" s="252" t="s">
        <v>105</v>
      </c>
      <c r="AY9" s="233" t="s">
        <v>121</v>
      </c>
      <c r="AZ9" s="240"/>
      <c r="BA9" s="131" t="s">
        <v>141</v>
      </c>
      <c r="BB9" t="s">
        <v>134</v>
      </c>
      <c r="BC9" s="245">
        <v>31.97632916452515</v>
      </c>
      <c r="BD9" s="14"/>
      <c r="BE9" s="12"/>
      <c r="BH9" s="15"/>
      <c r="BI9" s="16"/>
      <c r="BJ9" s="17"/>
      <c r="BK9" s="17"/>
      <c r="BL9" s="18"/>
      <c r="BM9" s="18"/>
      <c r="BN9" s="19"/>
      <c r="BO9" s="19"/>
      <c r="BP9" s="19"/>
      <c r="BQ9" s="20"/>
      <c r="BS9" s="21"/>
      <c r="BT9" s="22"/>
      <c r="BV9" s="22"/>
      <c r="BW9" s="23"/>
      <c r="CA9" s="24"/>
      <c r="CB9" s="25"/>
      <c r="CC9" s="26"/>
      <c r="CD9" s="27"/>
      <c r="CE9" s="28"/>
      <c r="CF9" s="29"/>
      <c r="CG9" s="30"/>
      <c r="CH9" s="26"/>
      <c r="CI9" s="31"/>
      <c r="CJ9" s="31"/>
      <c r="CK9" s="31"/>
      <c r="CL9" s="31"/>
      <c r="CM9" s="31"/>
      <c r="CN9" s="31"/>
      <c r="CO9" s="31"/>
      <c r="CP9" s="31"/>
      <c r="CQ9" s="14"/>
      <c r="CR9" s="14"/>
      <c r="CS9" s="14"/>
      <c r="CT9" s="14"/>
      <c r="CU9" s="14"/>
      <c r="CV9" s="14"/>
      <c r="CW9" s="14"/>
      <c r="CX9" s="32"/>
    </row>
    <row r="10" spans="2:102" s="13" customFormat="1" ht="15.75">
      <c r="B10" s="1"/>
      <c r="C10" s="253" t="s">
        <v>107</v>
      </c>
      <c r="D10" s="254" t="s">
        <v>123</v>
      </c>
      <c r="E10" s="39" t="s">
        <v>83</v>
      </c>
      <c r="F10" s="3">
        <v>74</v>
      </c>
      <c r="G10" s="33">
        <v>32</v>
      </c>
      <c r="H10" s="4">
        <v>0.85</v>
      </c>
      <c r="I10" s="153">
        <v>47</v>
      </c>
      <c r="J10" s="219">
        <f>60*H10</f>
        <v>51</v>
      </c>
      <c r="K10" s="133">
        <v>65</v>
      </c>
      <c r="L10" s="218">
        <v>160</v>
      </c>
      <c r="M10" s="6">
        <f>(167.2*SQRT(K10)*SQRT(L10))/10000</f>
        <v>1.705112125345427</v>
      </c>
      <c r="N10" s="7">
        <f>K10/((L10/100)^2)</f>
        <v>25.390624999999996</v>
      </c>
      <c r="O10" s="19">
        <v>0.65</v>
      </c>
      <c r="P10" s="8">
        <f>(((140-I10)*J10)/(72*O10))*H10</f>
        <v>86.14423076923076</v>
      </c>
      <c r="Q10" s="20"/>
      <c r="R10" s="157">
        <f>(L10*0.7)/O10</f>
        <v>172.3076923076923</v>
      </c>
      <c r="S10" s="120">
        <f>U10*24/W10</f>
        <v>12000</v>
      </c>
      <c r="T10" s="7">
        <f>S10/J10</f>
        <v>235.2941176470588</v>
      </c>
      <c r="U10" s="121">
        <v>4000</v>
      </c>
      <c r="V10" s="7">
        <f>U10/J10</f>
        <v>78.43137254901961</v>
      </c>
      <c r="W10" s="6">
        <v>8</v>
      </c>
      <c r="X10" s="10">
        <v>3</v>
      </c>
      <c r="Y10" s="177">
        <v>0.08333333333333333</v>
      </c>
      <c r="Z10" s="178">
        <v>0.20833333333333334</v>
      </c>
      <c r="AA10" s="122">
        <v>160</v>
      </c>
      <c r="AB10" s="179">
        <v>0.333333333333333</v>
      </c>
      <c r="AC10" s="122">
        <v>55</v>
      </c>
      <c r="AD10" s="212">
        <f>(AB10-Z10)*24</f>
        <v>2.999999999999991</v>
      </c>
      <c r="AE10" s="213">
        <f>(LN(AA10)-LN(AC10))/(AD10)</f>
        <v>0.35594687666711955</v>
      </c>
      <c r="AF10" s="180">
        <f>AA10/EXP(-AE10*X10)</f>
        <v>465.45454545454663</v>
      </c>
      <c r="AG10" s="9">
        <f>AF10*EXP(-AE10*X10)</f>
        <v>160</v>
      </c>
      <c r="AH10" s="216">
        <f>AF10*EXP(-AE10*W10)</f>
        <v>26.989271411230064</v>
      </c>
      <c r="AI10" s="9">
        <f t="shared" si="0"/>
        <v>160</v>
      </c>
      <c r="AJ10" s="9">
        <f t="shared" si="0"/>
        <v>26.989271411230064</v>
      </c>
      <c r="AK10" s="103">
        <f>(LN(AI10)-LN(AJ10))/(W10-X10)</f>
        <v>0.3559468766671195</v>
      </c>
      <c r="AL10" s="183">
        <f t="shared" si="1"/>
        <v>1.9469197383858254</v>
      </c>
      <c r="AM10" s="184">
        <f>(((AI10+AJ10)/2)*X10)+(((AI10+AJ10)/2)*(W10-X10))</f>
        <v>747.9570856449202</v>
      </c>
      <c r="AN10" s="185">
        <f>U10/AM10</f>
        <v>5.347900403338022</v>
      </c>
      <c r="AO10" s="186">
        <f>AN10/AK10</f>
        <v>15.024434133016324</v>
      </c>
      <c r="AP10" s="187">
        <f>AN10*1000/60</f>
        <v>89.13167338896703</v>
      </c>
      <c r="AQ10" s="188">
        <f>AP10/K9</f>
        <v>1.3712565136764159</v>
      </c>
      <c r="AR10" s="188">
        <f>AO10/K9</f>
        <v>0.23114514050794346</v>
      </c>
      <c r="AS10" s="189">
        <f>AM10*24/W10</f>
        <v>2243.871256934761</v>
      </c>
      <c r="AT10" s="107">
        <f>ABS((((LN($AT$4)-LN(AJ10))/AK10)-W10)*100/W10)</f>
        <v>191.38625810207418</v>
      </c>
      <c r="AU10" s="107">
        <f>ABS((((LN($AU$4)-LN(AJ10))/AK10)-W10)*100/W10)</f>
        <v>167.04459274423434</v>
      </c>
      <c r="AV10" s="107">
        <f>ABS((((LN(AV$4)-LN(AJ10))/AK10)-W10)*100/W10)</f>
        <v>142.7029273863945</v>
      </c>
      <c r="AW10" s="107">
        <f>ABS((((LN(AW$4)-LN(AJ10))/AK10)-W10)*100/W10)</f>
        <v>118.36126202855463</v>
      </c>
      <c r="AX10" s="253" t="s">
        <v>145</v>
      </c>
      <c r="AY10" s="254" t="s">
        <v>123</v>
      </c>
      <c r="AZ10" s="240"/>
      <c r="BA10" s="131" t="s">
        <v>142</v>
      </c>
      <c r="BB10" t="s">
        <v>135</v>
      </c>
      <c r="BC10" s="238">
        <v>86.14423076923076</v>
      </c>
      <c r="BD10" s="14"/>
      <c r="BE10" s="12"/>
      <c r="BH10" s="15"/>
      <c r="BI10" s="16"/>
      <c r="BJ10" s="17"/>
      <c r="BK10" s="17"/>
      <c r="BL10" s="18"/>
      <c r="BM10" s="18"/>
      <c r="BN10" s="19"/>
      <c r="BO10" s="19"/>
      <c r="BP10" s="19"/>
      <c r="BQ10" s="20"/>
      <c r="BS10" s="21"/>
      <c r="BT10" s="22"/>
      <c r="BV10" s="22"/>
      <c r="BW10" s="23"/>
      <c r="CA10" s="24"/>
      <c r="CB10" s="25"/>
      <c r="CC10" s="26"/>
      <c r="CD10" s="27"/>
      <c r="CE10" s="28"/>
      <c r="CF10" s="29"/>
      <c r="CG10" s="30"/>
      <c r="CH10" s="26"/>
      <c r="CI10" s="31"/>
      <c r="CJ10" s="31"/>
      <c r="CK10" s="31"/>
      <c r="CL10" s="31"/>
      <c r="CM10" s="31"/>
      <c r="CN10" s="31"/>
      <c r="CO10" s="31"/>
      <c r="CP10" s="31"/>
      <c r="CQ10" s="14"/>
      <c r="CR10" s="14"/>
      <c r="CS10" s="14"/>
      <c r="CT10" s="14"/>
      <c r="CU10" s="14"/>
      <c r="CV10" s="14"/>
      <c r="CW10" s="14"/>
      <c r="CX10" s="32"/>
    </row>
    <row r="11" spans="2:102" s="13" customFormat="1" ht="15.75">
      <c r="B11" s="1"/>
      <c r="C11" s="253" t="s">
        <v>120</v>
      </c>
      <c r="D11" s="200"/>
      <c r="E11" s="39" t="s">
        <v>84</v>
      </c>
      <c r="F11" s="3">
        <v>74</v>
      </c>
      <c r="G11" s="33">
        <v>32</v>
      </c>
      <c r="H11" s="4">
        <v>0.85</v>
      </c>
      <c r="I11" s="153">
        <v>47</v>
      </c>
      <c r="J11" s="219">
        <f>60*H11</f>
        <v>51</v>
      </c>
      <c r="K11" s="133">
        <v>65</v>
      </c>
      <c r="L11" s="218">
        <v>160</v>
      </c>
      <c r="M11" s="6">
        <f>(167.2*SQRT(K11)*SQRT(L11))/10000</f>
        <v>1.705112125345427</v>
      </c>
      <c r="N11" s="7">
        <f>K11/((L11/100)^2)</f>
        <v>25.390624999999996</v>
      </c>
      <c r="O11" s="19">
        <v>0.55</v>
      </c>
      <c r="P11" s="8">
        <f>(((140-I11)*J11)/(72*O11))*H11</f>
        <v>101.80681818181817</v>
      </c>
      <c r="Q11" s="20"/>
      <c r="R11" s="157">
        <f>(L11*0.7)/O11</f>
        <v>203.63636363636363</v>
      </c>
      <c r="S11" s="120">
        <f>U11*24/W11</f>
        <v>16000</v>
      </c>
      <c r="T11" s="7">
        <f>S11/J11</f>
        <v>313.72549019607845</v>
      </c>
      <c r="U11" s="121">
        <v>4000</v>
      </c>
      <c r="V11" s="7">
        <f>U11/J11</f>
        <v>78.43137254901961</v>
      </c>
      <c r="W11" s="6">
        <v>6</v>
      </c>
      <c r="X11" s="10">
        <v>3</v>
      </c>
      <c r="Y11" s="177">
        <v>0.08333333333333333</v>
      </c>
      <c r="Z11" s="178">
        <v>0.20833333333333334</v>
      </c>
      <c r="AA11" s="122">
        <v>145</v>
      </c>
      <c r="AB11" s="179">
        <v>0.333333333333333</v>
      </c>
      <c r="AC11" s="122">
        <v>48</v>
      </c>
      <c r="AD11" s="212">
        <f>(AB11-Z11)*24</f>
        <v>2.999999999999991</v>
      </c>
      <c r="AE11" s="213">
        <f>(LN(AA11)-LN(AC11))/(AD11)</f>
        <v>0.3685109105042288</v>
      </c>
      <c r="AF11" s="180">
        <f>AA11/EXP(-AE11*X11)</f>
        <v>438.02083333333456</v>
      </c>
      <c r="AG11" s="9">
        <f>AF11*EXP(-AE11*X11)</f>
        <v>145</v>
      </c>
      <c r="AH11" s="216">
        <f>AF11*EXP(-AE11*W11)</f>
        <v>47.99999999999986</v>
      </c>
      <c r="AI11" s="9">
        <f t="shared" si="0"/>
        <v>145</v>
      </c>
      <c r="AJ11" s="9">
        <f t="shared" si="0"/>
        <v>47.99999999999986</v>
      </c>
      <c r="AK11" s="103">
        <f>(LN(AI11)-LN(AJ11))/(W11-X11)</f>
        <v>0.36851091050422874</v>
      </c>
      <c r="AL11" s="183">
        <f t="shared" si="1"/>
        <v>1.8805413360808692</v>
      </c>
      <c r="AM11" s="184">
        <f>(((AI11+AJ11)/2)*X11)+(((AI11+AJ11)/2)*(W11-X11))</f>
        <v>578.9999999999995</v>
      </c>
      <c r="AN11" s="185">
        <f>U11/AM11</f>
        <v>6.908462867012095</v>
      </c>
      <c r="AO11" s="186">
        <f>AN11/AK11</f>
        <v>18.74696968282251</v>
      </c>
      <c r="AP11" s="187">
        <f>AN11*1000/60</f>
        <v>115.14104778353493</v>
      </c>
      <c r="AQ11" s="188">
        <f>AP11/K10</f>
        <v>1.7714007351313066</v>
      </c>
      <c r="AR11" s="188">
        <f>AO11/K10</f>
        <v>0.2884149181972694</v>
      </c>
      <c r="AS11" s="189">
        <f>AM11*24/W11</f>
        <v>2315.999999999998</v>
      </c>
      <c r="AT11" s="107">
        <f>ABS((((LN($AT$4)-LN(AJ11))/AK11)-W11)*100/W11)</f>
        <v>243.7340451240848</v>
      </c>
      <c r="AU11" s="107">
        <f>ABS((((LN($AU$4)-LN(AJ11))/AK11)-W11)*100/W11)</f>
        <v>212.3850329780798</v>
      </c>
      <c r="AV11" s="107">
        <f>ABS((((LN(AV$4)-LN(AJ11))/AK11)-W11)*100/W11)</f>
        <v>181.0360208320748</v>
      </c>
      <c r="AW11" s="107">
        <f>ABS((((LN(AW$4)-LN(AJ11))/AK11)-W11)*100/W11)</f>
        <v>149.68700868606982</v>
      </c>
      <c r="AX11" s="253" t="s">
        <v>107</v>
      </c>
      <c r="AY11" s="200"/>
      <c r="AZ11" s="240"/>
      <c r="BA11" s="131" t="s">
        <v>143</v>
      </c>
      <c r="BB11" t="s">
        <v>136</v>
      </c>
      <c r="BC11" s="238">
        <v>101.80681818181817</v>
      </c>
      <c r="BD11" s="14"/>
      <c r="BE11" s="12"/>
      <c r="BH11" s="15"/>
      <c r="BI11" s="16"/>
      <c r="BJ11" s="17"/>
      <c r="BK11" s="17"/>
      <c r="BL11" s="18"/>
      <c r="BM11" s="18"/>
      <c r="BN11" s="19"/>
      <c r="BO11" s="19"/>
      <c r="BP11" s="19"/>
      <c r="BQ11" s="20"/>
      <c r="BS11" s="21"/>
      <c r="BT11" s="22"/>
      <c r="BV11" s="22"/>
      <c r="BW11" s="23"/>
      <c r="CA11" s="24"/>
      <c r="CB11" s="25"/>
      <c r="CC11" s="26"/>
      <c r="CD11" s="27"/>
      <c r="CE11" s="28"/>
      <c r="CF11" s="29"/>
      <c r="CG11" s="30"/>
      <c r="CH11" s="26"/>
      <c r="CI11" s="31"/>
      <c r="CJ11" s="31"/>
      <c r="CK11" s="31"/>
      <c r="CL11" s="31"/>
      <c r="CM11" s="31"/>
      <c r="CN11" s="31"/>
      <c r="CO11" s="31"/>
      <c r="CP11" s="31"/>
      <c r="CQ11" s="14"/>
      <c r="CR11" s="14"/>
      <c r="CS11" s="14"/>
      <c r="CT11" s="14"/>
      <c r="CU11" s="14"/>
      <c r="CV11" s="14"/>
      <c r="CW11" s="14"/>
      <c r="CX11" s="32"/>
    </row>
    <row r="12" spans="2:102" s="13" customFormat="1" ht="15.75">
      <c r="B12" s="1"/>
      <c r="C12" s="89"/>
      <c r="E12" s="39"/>
      <c r="F12" s="33"/>
      <c r="G12" s="33"/>
      <c r="H12" s="91"/>
      <c r="I12" s="153"/>
      <c r="J12" s="219"/>
      <c r="K12" s="133"/>
      <c r="L12" s="218"/>
      <c r="M12" s="6"/>
      <c r="N12" s="7"/>
      <c r="O12" s="19"/>
      <c r="P12" s="8"/>
      <c r="Q12" s="20"/>
      <c r="R12" s="157"/>
      <c r="S12" s="120"/>
      <c r="T12" s="7"/>
      <c r="U12" s="121"/>
      <c r="V12" s="7"/>
      <c r="W12" s="6"/>
      <c r="X12" s="10"/>
      <c r="Y12" s="177"/>
      <c r="Z12" s="178"/>
      <c r="AA12" s="122"/>
      <c r="AB12" s="179"/>
      <c r="AC12" s="122"/>
      <c r="AD12" s="212"/>
      <c r="AE12" s="213"/>
      <c r="AF12" s="180"/>
      <c r="AG12" s="9"/>
      <c r="AH12" s="216"/>
      <c r="AI12" s="9"/>
      <c r="AJ12" s="9"/>
      <c r="AK12" s="103"/>
      <c r="AL12" s="183"/>
      <c r="AM12" s="184"/>
      <c r="AN12" s="185"/>
      <c r="AO12" s="186"/>
      <c r="AP12" s="187"/>
      <c r="AQ12" s="188"/>
      <c r="AR12" s="188"/>
      <c r="AS12" s="189"/>
      <c r="AT12" s="107"/>
      <c r="AU12" s="107"/>
      <c r="AV12" s="107"/>
      <c r="AW12" s="107"/>
      <c r="AY12" s="246" t="s">
        <v>137</v>
      </c>
      <c r="AZ12" s="247" t="s">
        <v>138</v>
      </c>
      <c r="BD12" s="14"/>
      <c r="BE12" s="12"/>
      <c r="BH12" s="15"/>
      <c r="BI12" s="16"/>
      <c r="BJ12" s="17"/>
      <c r="BK12" s="17"/>
      <c r="BL12" s="18"/>
      <c r="BM12" s="18"/>
      <c r="BN12" s="19"/>
      <c r="BO12" s="19"/>
      <c r="BP12" s="19"/>
      <c r="BQ12" s="20"/>
      <c r="BS12" s="21"/>
      <c r="BT12" s="22"/>
      <c r="BV12" s="22"/>
      <c r="BW12" s="23"/>
      <c r="CA12" s="24"/>
      <c r="CB12" s="25"/>
      <c r="CC12" s="26"/>
      <c r="CD12" s="27"/>
      <c r="CE12" s="28"/>
      <c r="CF12" s="29"/>
      <c r="CG12" s="30"/>
      <c r="CH12" s="26"/>
      <c r="CI12" s="31"/>
      <c r="CJ12" s="31"/>
      <c r="CK12" s="31"/>
      <c r="CL12" s="31"/>
      <c r="CM12" s="31"/>
      <c r="CN12" s="31"/>
      <c r="CO12" s="31"/>
      <c r="CP12" s="31"/>
      <c r="CQ12" s="14"/>
      <c r="CR12" s="14"/>
      <c r="CS12" s="14"/>
      <c r="CT12" s="14"/>
      <c r="CU12" s="14"/>
      <c r="CV12" s="14"/>
      <c r="CW12" s="14"/>
      <c r="CX12" s="32"/>
    </row>
    <row r="13" spans="1:102" s="13" customFormat="1" ht="15.75">
      <c r="A13" s="89" t="s">
        <v>80</v>
      </c>
      <c r="B13" s="1" t="s">
        <v>2</v>
      </c>
      <c r="C13" s="2" t="s">
        <v>85</v>
      </c>
      <c r="D13" t="s">
        <v>4</v>
      </c>
      <c r="E13" s="33"/>
      <c r="G13" s="33"/>
      <c r="H13" s="91"/>
      <c r="I13" s="35"/>
      <c r="J13" s="36"/>
      <c r="K13" s="33"/>
      <c r="L13" s="37"/>
      <c r="M13" s="6"/>
      <c r="N13" s="7"/>
      <c r="O13" s="6"/>
      <c r="P13" s="20"/>
      <c r="Q13" s="20"/>
      <c r="R13" s="217"/>
      <c r="S13" s="120"/>
      <c r="T13" s="7"/>
      <c r="U13" s="121"/>
      <c r="V13" s="7"/>
      <c r="W13" s="6"/>
      <c r="X13" s="10"/>
      <c r="Y13" s="176"/>
      <c r="Z13" s="176"/>
      <c r="AA13" s="122"/>
      <c r="AB13" s="176"/>
      <c r="AC13" s="122"/>
      <c r="AD13" s="175"/>
      <c r="AE13" s="213"/>
      <c r="AF13" s="180"/>
      <c r="AG13" s="11"/>
      <c r="AH13" s="181"/>
      <c r="AI13" s="11"/>
      <c r="AJ13" s="11" t="s">
        <v>87</v>
      </c>
      <c r="AK13" s="113"/>
      <c r="AL13" s="11"/>
      <c r="AM13" s="114"/>
      <c r="AN13" s="115"/>
      <c r="AO13" s="116"/>
      <c r="AP13" s="117"/>
      <c r="AQ13" s="29"/>
      <c r="AR13" s="29"/>
      <c r="AS13" s="26"/>
      <c r="AT13" s="109"/>
      <c r="AU13" s="109"/>
      <c r="AV13" s="109"/>
      <c r="AW13" s="109" t="s">
        <v>80</v>
      </c>
      <c r="AX13" s="240" t="s">
        <v>82</v>
      </c>
      <c r="AY13" s="241" t="s">
        <v>101</v>
      </c>
      <c r="AZ13" s="240"/>
      <c r="BA13" s="12"/>
      <c r="BB13" s="14"/>
      <c r="BC13" s="235" t="s">
        <v>129</v>
      </c>
      <c r="BD13" s="235"/>
      <c r="BE13" s="12"/>
      <c r="BH13" s="15"/>
      <c r="BI13" s="16"/>
      <c r="BJ13" s="17"/>
      <c r="BK13" s="17"/>
      <c r="BL13" s="18"/>
      <c r="BM13" s="18"/>
      <c r="BN13" s="19"/>
      <c r="BO13" s="19"/>
      <c r="BP13" s="19"/>
      <c r="BQ13" s="20"/>
      <c r="BS13" s="21"/>
      <c r="BT13" s="22"/>
      <c r="BV13" s="22"/>
      <c r="BW13" s="23"/>
      <c r="CA13" s="24"/>
      <c r="CB13" s="25"/>
      <c r="CC13" s="26"/>
      <c r="CD13" s="27"/>
      <c r="CE13" s="28"/>
      <c r="CF13" s="29"/>
      <c r="CG13" s="30"/>
      <c r="CH13" s="26"/>
      <c r="CI13" s="31"/>
      <c r="CJ13" s="31"/>
      <c r="CK13" s="31"/>
      <c r="CL13" s="31"/>
      <c r="CM13" s="31"/>
      <c r="CN13" s="31"/>
      <c r="CO13" s="31"/>
      <c r="CP13" s="31"/>
      <c r="CQ13" s="14"/>
      <c r="CR13" s="14"/>
      <c r="CS13" s="14"/>
      <c r="CT13" s="14"/>
      <c r="CU13" s="14"/>
      <c r="CV13" s="14"/>
      <c r="CW13" s="14"/>
      <c r="CX13" s="32"/>
    </row>
    <row r="14" spans="1:102" s="13" customFormat="1" ht="15.75">
      <c r="A14" s="39">
        <v>1</v>
      </c>
      <c r="C14" s="250" t="s">
        <v>105</v>
      </c>
      <c r="D14" s="234" t="s">
        <v>106</v>
      </c>
      <c r="E14" s="39" t="s">
        <v>73</v>
      </c>
      <c r="F14" s="33">
        <v>61</v>
      </c>
      <c r="G14" s="33">
        <v>67</v>
      </c>
      <c r="H14" s="34">
        <v>1</v>
      </c>
      <c r="I14" s="35">
        <v>31</v>
      </c>
      <c r="J14" s="36">
        <f>(L14-100)*H14</f>
        <v>71</v>
      </c>
      <c r="K14" s="33">
        <v>160</v>
      </c>
      <c r="L14" s="37">
        <v>171</v>
      </c>
      <c r="M14" s="98">
        <f>(167.2*SQRT(K14)*SQRT(L14))/10000</f>
        <v>2.765631541619382</v>
      </c>
      <c r="N14" s="150">
        <f>K14/((L14/100)^2)</f>
        <v>54.717690913443455</v>
      </c>
      <c r="O14" s="6">
        <v>0.86</v>
      </c>
      <c r="P14" s="8">
        <f>(((140-I14)*J14)/(72*O14))*H14</f>
        <v>124.98385012919896</v>
      </c>
      <c r="Q14" s="20"/>
      <c r="R14" s="157">
        <f>(L14*0.7)/O14</f>
        <v>139.1860465116279</v>
      </c>
      <c r="S14" s="90">
        <f>U14*24/W14</f>
        <v>16000</v>
      </c>
      <c r="T14" s="125">
        <f>S14/K14</f>
        <v>100</v>
      </c>
      <c r="U14" s="126">
        <v>4000</v>
      </c>
      <c r="V14" s="125">
        <f>U14/K14</f>
        <v>25</v>
      </c>
      <c r="W14" s="90">
        <v>6</v>
      </c>
      <c r="X14" s="10">
        <v>3</v>
      </c>
      <c r="Y14" s="168">
        <v>0.4166666666666667</v>
      </c>
      <c r="Z14" s="169">
        <v>0.5416666666666666</v>
      </c>
      <c r="AA14" s="127">
        <v>81</v>
      </c>
      <c r="AB14" s="170">
        <v>0.625</v>
      </c>
      <c r="AC14" s="127">
        <v>35</v>
      </c>
      <c r="AD14" s="212">
        <f>(AB14-Z14)*24</f>
        <v>2.000000000000001</v>
      </c>
      <c r="AE14" s="213">
        <f>(LN(AA14)-LN(AC14))/(AD14)</f>
        <v>0.41955054659151264</v>
      </c>
      <c r="AF14" s="180">
        <f>AA14/EXP(-AE14*X14)</f>
        <v>285.1743633569383</v>
      </c>
      <c r="AG14" s="9">
        <f>AF14*EXP(-AE14*X14)</f>
        <v>81</v>
      </c>
      <c r="AH14" s="216">
        <f>AF14*EXP(-AE14*W14)</f>
        <v>23.006976934276278</v>
      </c>
      <c r="AI14" s="9">
        <f aca="true" t="shared" si="2" ref="AI14:AJ17">AG14</f>
        <v>81</v>
      </c>
      <c r="AJ14" s="9">
        <f t="shared" si="2"/>
        <v>23.006976934276278</v>
      </c>
      <c r="AK14" s="182">
        <f>(LN(AI14)-LN(AJ14))/(W14-X14)</f>
        <v>0.41955054659151275</v>
      </c>
      <c r="AL14" s="183">
        <f>0.693/AK14</f>
        <v>1.6517676013773042</v>
      </c>
      <c r="AM14" s="184">
        <f>(((AI14+AJ14)/2)*X14)+(((AI14+AJ14)/2)*(W14-X14))</f>
        <v>312.02093080282884</v>
      </c>
      <c r="AN14" s="185">
        <f>U14/AM14</f>
        <v>12.819652802483516</v>
      </c>
      <c r="AO14" s="186">
        <f>AN14/AK14</f>
        <v>30.55568132763064</v>
      </c>
      <c r="AP14" s="187">
        <f>AN14*1000/60</f>
        <v>213.66088004139192</v>
      </c>
      <c r="AQ14" s="188">
        <f>AP14/K14</f>
        <v>1.3353805002586996</v>
      </c>
      <c r="AR14" s="188">
        <f>AO14/K14</f>
        <v>0.1909730082976915</v>
      </c>
      <c r="AS14" s="189">
        <f>AM14*24/W14</f>
        <v>1248.0837232113154</v>
      </c>
      <c r="AT14" s="107">
        <f>ABS((((LN($AT$4)-LN(AJ14))/AK14)-W14)*100/W14)</f>
        <v>197.0344079786646</v>
      </c>
      <c r="AU14" s="107">
        <f>ABS((((LN($AU$4)-LN(AJ14))/AK14)-W14)*100/W14)</f>
        <v>169.4991012005275</v>
      </c>
      <c r="AV14" s="107">
        <f>ABS((((LN(AV$4)-LN(AJ14))/AK14)-W14)*100/W14)</f>
        <v>141.96379442239035</v>
      </c>
      <c r="AW14" s="107">
        <f>ABS((((LN(AW$4)-LN(AJ14))/AK14)-W14)*100/W14)</f>
        <v>114.42848764425322</v>
      </c>
      <c r="AX14" s="250" t="s">
        <v>105</v>
      </c>
      <c r="AY14" s="234" t="s">
        <v>106</v>
      </c>
      <c r="AZ14" s="201"/>
      <c r="BA14" s="131" t="s">
        <v>133</v>
      </c>
      <c r="BB14" t="s">
        <v>136</v>
      </c>
      <c r="BC14" s="238">
        <v>124.98385012919896</v>
      </c>
      <c r="BD14" s="14"/>
      <c r="BE14" s="12"/>
      <c r="BH14" s="15"/>
      <c r="BI14" s="16"/>
      <c r="BJ14" s="17"/>
      <c r="BK14" s="17"/>
      <c r="BL14" s="18"/>
      <c r="BM14" s="18"/>
      <c r="BN14" s="19"/>
      <c r="BO14" s="19"/>
      <c r="BP14" s="19"/>
      <c r="BQ14" s="20"/>
      <c r="BS14" s="21"/>
      <c r="BT14" s="22"/>
      <c r="BV14" s="22"/>
      <c r="BW14" s="23"/>
      <c r="CA14" s="24"/>
      <c r="CB14" s="25"/>
      <c r="CC14" s="26"/>
      <c r="CD14" s="27"/>
      <c r="CE14" s="28"/>
      <c r="CF14" s="29"/>
      <c r="CG14" s="30"/>
      <c r="CH14" s="26"/>
      <c r="CI14" s="31"/>
      <c r="CJ14" s="31"/>
      <c r="CK14" s="31"/>
      <c r="CL14" s="31"/>
      <c r="CM14" s="31"/>
      <c r="CN14" s="31"/>
      <c r="CO14" s="31"/>
      <c r="CP14" s="31"/>
      <c r="CQ14" s="14"/>
      <c r="CR14" s="14"/>
      <c r="CS14" s="14"/>
      <c r="CT14" s="14"/>
      <c r="CU14" s="14"/>
      <c r="CV14" s="14"/>
      <c r="CW14" s="14"/>
      <c r="CX14" s="32"/>
    </row>
    <row r="15" spans="1:102" s="13" customFormat="1" ht="15.75">
      <c r="A15" s="39"/>
      <c r="B15" s="1" t="s">
        <v>78</v>
      </c>
      <c r="C15" s="249" t="s">
        <v>108</v>
      </c>
      <c r="D15" s="248" t="s">
        <v>123</v>
      </c>
      <c r="E15" s="39" t="s">
        <v>74</v>
      </c>
      <c r="F15" s="33">
        <v>61</v>
      </c>
      <c r="G15" s="33">
        <v>67</v>
      </c>
      <c r="H15" s="34">
        <v>1</v>
      </c>
      <c r="I15" s="35">
        <v>31</v>
      </c>
      <c r="J15" s="36">
        <f>(L15-100)*H15</f>
        <v>71</v>
      </c>
      <c r="K15" s="33">
        <v>160</v>
      </c>
      <c r="L15" s="37">
        <v>171</v>
      </c>
      <c r="M15" s="98">
        <f>(167.2*SQRT(K15)*SQRT(L15))/10000</f>
        <v>2.765631541619382</v>
      </c>
      <c r="N15" s="150">
        <f>K15/((L15/100)^2)</f>
        <v>54.717690913443455</v>
      </c>
      <c r="O15" s="118">
        <v>0.95</v>
      </c>
      <c r="P15" s="8">
        <f>(((140-I15)*J15)/(72*O15))*H15</f>
        <v>113.14327485380119</v>
      </c>
      <c r="Q15" s="20"/>
      <c r="R15" s="157">
        <f>(L15*0.7)/O15</f>
        <v>126</v>
      </c>
      <c r="S15" s="90">
        <f>U15*24/W15</f>
        <v>16000</v>
      </c>
      <c r="T15" s="125">
        <f>S15/K15</f>
        <v>100</v>
      </c>
      <c r="U15" s="126">
        <v>4000</v>
      </c>
      <c r="V15" s="125">
        <f>U15/K15</f>
        <v>25</v>
      </c>
      <c r="W15" s="90">
        <v>6</v>
      </c>
      <c r="X15" s="10">
        <v>3</v>
      </c>
      <c r="Y15" s="168">
        <v>0.75</v>
      </c>
      <c r="Z15" s="169">
        <v>0.5416666666666666</v>
      </c>
      <c r="AA15" s="127">
        <v>95</v>
      </c>
      <c r="AB15" s="170">
        <v>0.625</v>
      </c>
      <c r="AC15" s="127">
        <v>52</v>
      </c>
      <c r="AD15" s="212">
        <f>(AB15-Z15)*24</f>
        <v>2.000000000000001</v>
      </c>
      <c r="AE15" s="213">
        <f>(LN(AA15)-LN(AC15))/(AD15)</f>
        <v>0.3013165865095565</v>
      </c>
      <c r="AF15" s="180">
        <f>AA15/EXP(-AE15*X15)</f>
        <v>234.5870304763613</v>
      </c>
      <c r="AG15" s="9">
        <f>AF15*EXP(-AE15*X15)</f>
        <v>95</v>
      </c>
      <c r="AH15" s="216">
        <f>AF15*EXP(-AE15*W15)</f>
        <v>38.47186258197435</v>
      </c>
      <c r="AI15" s="9">
        <f t="shared" si="2"/>
        <v>95</v>
      </c>
      <c r="AJ15" s="9">
        <f t="shared" si="2"/>
        <v>38.47186258197435</v>
      </c>
      <c r="AK15" s="182">
        <f>(LN(AI15)-LN(AJ15))/(W15-X15)</f>
        <v>0.3013165865095564</v>
      </c>
      <c r="AL15" s="183">
        <f>0.693/AK15</f>
        <v>2.299906580078097</v>
      </c>
      <c r="AM15" s="184">
        <f>(((AI15+AJ15)/2)*X15)+(((AI15+AJ15)/2)*(W15-X15))</f>
        <v>400.415587745923</v>
      </c>
      <c r="AN15" s="185">
        <f>U15/AM15</f>
        <v>9.989621089721744</v>
      </c>
      <c r="AO15" s="186">
        <f>AN15/AK15</f>
        <v>33.153239937572835</v>
      </c>
      <c r="AP15" s="187">
        <f>AN15*1000/60</f>
        <v>166.49368482869573</v>
      </c>
      <c r="AQ15" s="188">
        <f>AP15/K15</f>
        <v>1.0405855301793483</v>
      </c>
      <c r="AR15" s="188">
        <f>AO15/K15</f>
        <v>0.2072077496098302</v>
      </c>
      <c r="AS15" s="189">
        <f>AM15*24/W15</f>
        <v>1601.662350983692</v>
      </c>
      <c r="AT15" s="107">
        <f>ABS((((LN($AT$4)-LN(AJ15))/AK15)-W15)*100/W15)</f>
        <v>263.54780342292634</v>
      </c>
      <c r="AU15" s="107">
        <f>ABS((((LN($AU$4)-LN(AJ15))/AK15)-W15)*100/W15)</f>
        <v>225.20788611815485</v>
      </c>
      <c r="AV15" s="107">
        <f>ABS((((LN(AV$4)-LN(AJ15))/AK15)-W15)*100/W15)</f>
        <v>186.86796881338333</v>
      </c>
      <c r="AW15" s="222">
        <f>ABS((((LN(AW$4)-LN(AJ15))/AK15)-W15)*100/W15)</f>
        <v>148.5280515086118</v>
      </c>
      <c r="AX15" s="251" t="s">
        <v>108</v>
      </c>
      <c r="AY15" s="248" t="s">
        <v>139</v>
      </c>
      <c r="AZ15" s="240"/>
      <c r="BA15" s="131" t="s">
        <v>133</v>
      </c>
      <c r="BB15" t="s">
        <v>136</v>
      </c>
      <c r="BC15" s="238">
        <v>113.14327485380119</v>
      </c>
      <c r="BD15" s="14"/>
      <c r="BE15" s="12"/>
      <c r="BH15" s="15"/>
      <c r="BI15" s="16"/>
      <c r="BJ15" s="17"/>
      <c r="BK15" s="17"/>
      <c r="BL15" s="18"/>
      <c r="BM15" s="18"/>
      <c r="BN15" s="19"/>
      <c r="BO15" s="19"/>
      <c r="BP15" s="19"/>
      <c r="BQ15" s="20"/>
      <c r="BS15" s="21"/>
      <c r="BT15" s="22"/>
      <c r="BV15" s="22"/>
      <c r="BW15" s="23"/>
      <c r="CA15" s="24"/>
      <c r="CB15" s="25"/>
      <c r="CC15" s="26"/>
      <c r="CD15" s="27"/>
      <c r="CE15" s="28"/>
      <c r="CF15" s="29"/>
      <c r="CG15" s="30"/>
      <c r="CH15" s="26"/>
      <c r="CI15" s="31"/>
      <c r="CJ15" s="31"/>
      <c r="CK15" s="31"/>
      <c r="CL15" s="31"/>
      <c r="CM15" s="31"/>
      <c r="CN15" s="31"/>
      <c r="CO15" s="31"/>
      <c r="CP15" s="31"/>
      <c r="CQ15" s="14"/>
      <c r="CR15" s="14"/>
      <c r="CS15" s="14"/>
      <c r="CT15" s="14"/>
      <c r="CU15" s="14"/>
      <c r="CV15" s="14"/>
      <c r="CW15" s="14"/>
      <c r="CX15" s="32"/>
    </row>
    <row r="16" spans="3:102" s="13" customFormat="1" ht="15.75">
      <c r="C16" s="249" t="s">
        <v>107</v>
      </c>
      <c r="D16"/>
      <c r="E16" s="39" t="s">
        <v>83</v>
      </c>
      <c r="F16" s="33">
        <v>61</v>
      </c>
      <c r="G16" s="33">
        <v>67</v>
      </c>
      <c r="H16" s="34">
        <v>1</v>
      </c>
      <c r="I16" s="35">
        <v>31</v>
      </c>
      <c r="J16" s="36">
        <f>(L16-100)*H16</f>
        <v>71</v>
      </c>
      <c r="K16" s="33">
        <v>160</v>
      </c>
      <c r="L16" s="37">
        <v>171</v>
      </c>
      <c r="M16" s="98">
        <f>(167.2*SQRT(K16)*SQRT(L16))/10000</f>
        <v>2.765631541619382</v>
      </c>
      <c r="N16" s="150">
        <f>K16/((L16/100)^2)</f>
        <v>54.717690913443455</v>
      </c>
      <c r="O16" s="118">
        <v>1.15</v>
      </c>
      <c r="P16" s="8">
        <f>(((140-I16)*J16)/(72*O16))*H16</f>
        <v>93.46618357487922</v>
      </c>
      <c r="Q16" s="20"/>
      <c r="R16" s="157">
        <f>(L16*0.7)/O16</f>
        <v>104.08695652173913</v>
      </c>
      <c r="S16" s="90">
        <f>U16*24/W16</f>
        <v>12000</v>
      </c>
      <c r="T16" s="125">
        <f>S16/K16</f>
        <v>75</v>
      </c>
      <c r="U16" s="126">
        <v>4000</v>
      </c>
      <c r="V16" s="125">
        <f>U16/K16</f>
        <v>25</v>
      </c>
      <c r="W16" s="90">
        <v>8</v>
      </c>
      <c r="X16" s="10">
        <v>3</v>
      </c>
      <c r="Y16" s="168">
        <v>0.75</v>
      </c>
      <c r="Z16" s="169">
        <v>0.5416666666666666</v>
      </c>
      <c r="AA16" s="127">
        <v>92</v>
      </c>
      <c r="AB16" s="170">
        <v>0.625</v>
      </c>
      <c r="AC16" s="127">
        <v>33</v>
      </c>
      <c r="AD16" s="212">
        <f>(AB16-Z16)*24</f>
        <v>2.000000000000001</v>
      </c>
      <c r="AE16" s="213">
        <f>(LN(AA16)-LN(AC16))/(AD16)</f>
        <v>0.5126405077912799</v>
      </c>
      <c r="AF16" s="180">
        <f>AA16/EXP(-AE16*X16)</f>
        <v>428.2512690002673</v>
      </c>
      <c r="AG16" s="9">
        <f>AF16*EXP(-AE16*X16)</f>
        <v>92</v>
      </c>
      <c r="AH16" s="216">
        <f>AF16*EXP(-AE16*W16)</f>
        <v>7.089295980575613</v>
      </c>
      <c r="AI16" s="9">
        <f t="shared" si="2"/>
        <v>92</v>
      </c>
      <c r="AJ16" s="9">
        <f t="shared" si="2"/>
        <v>7.089295980575613</v>
      </c>
      <c r="AK16" s="182">
        <f>(LN(AI16)-LN(AJ16))/(W16-X16)</f>
        <v>0.51264050779128</v>
      </c>
      <c r="AL16" s="183">
        <f>0.693/AK16</f>
        <v>1.3518245036581322</v>
      </c>
      <c r="AM16" s="184">
        <f>(((AI16+AJ16)/2)*X16)+(((AI16+AJ16)/2)*(W16-X16))</f>
        <v>396.35718392230245</v>
      </c>
      <c r="AN16" s="185">
        <f>U16/AM16</f>
        <v>10.09190740638655</v>
      </c>
      <c r="AO16" s="186">
        <f>AN16/AK16</f>
        <v>19.686129466958626</v>
      </c>
      <c r="AP16" s="187">
        <f>AN16*1000/60</f>
        <v>168.19845677310917</v>
      </c>
      <c r="AQ16" s="188">
        <f>AP16/K16</f>
        <v>1.0512403548319322</v>
      </c>
      <c r="AR16" s="188">
        <f>AO16/K16</f>
        <v>0.12303830916849141</v>
      </c>
      <c r="AS16" s="189">
        <f>AM16*24/W16</f>
        <v>1189.0715517669073</v>
      </c>
      <c r="AT16" s="107">
        <f>ABS((((LN($AT$4)-LN(AJ16))/AK16)-W16)*100/W16)</f>
        <v>130.85590287687322</v>
      </c>
      <c r="AU16" s="107">
        <f>ABS((((LN($AU$4)-LN(AJ16))/AK16)-W16)*100/W16)</f>
        <v>113.95450779529885</v>
      </c>
      <c r="AV16" s="107">
        <f>ABS((((LN(AV$4)-LN(AJ16))/AK16)-W16)*100/W16)</f>
        <v>97.0531127137245</v>
      </c>
      <c r="AW16" s="107">
        <f>ABS((((LN(AW$4)-LN(AJ16))/AK16)-W16)*100/W16)</f>
        <v>80.15171763215015</v>
      </c>
      <c r="AX16" s="249" t="s">
        <v>107</v>
      </c>
      <c r="AY16" s="201"/>
      <c r="AZ16" s="240"/>
      <c r="BA16" s="131" t="s">
        <v>131</v>
      </c>
      <c r="BB16" t="s">
        <v>135</v>
      </c>
      <c r="BC16" s="238">
        <v>93.46618357487922</v>
      </c>
      <c r="BD16" s="14"/>
      <c r="BE16" s="12"/>
      <c r="BH16" s="15"/>
      <c r="BI16" s="16"/>
      <c r="BJ16" s="17"/>
      <c r="BK16" s="17"/>
      <c r="BL16" s="18"/>
      <c r="BM16" s="18"/>
      <c r="BN16" s="19"/>
      <c r="BO16" s="19"/>
      <c r="BP16" s="19"/>
      <c r="BQ16" s="20"/>
      <c r="BS16" s="21"/>
      <c r="BT16" s="22"/>
      <c r="BV16" s="22"/>
      <c r="BW16" s="23"/>
      <c r="CA16" s="24"/>
      <c r="CB16" s="25"/>
      <c r="CC16" s="26"/>
      <c r="CD16" s="27"/>
      <c r="CE16" s="28"/>
      <c r="CF16" s="29"/>
      <c r="CG16" s="30"/>
      <c r="CH16" s="26"/>
      <c r="CI16" s="31"/>
      <c r="CJ16" s="31"/>
      <c r="CK16" s="31"/>
      <c r="CL16" s="31"/>
      <c r="CM16" s="31"/>
      <c r="CN16" s="31"/>
      <c r="CO16" s="31"/>
      <c r="CP16" s="31"/>
      <c r="CQ16" s="14"/>
      <c r="CR16" s="14"/>
      <c r="CS16" s="14"/>
      <c r="CT16" s="14"/>
      <c r="CU16" s="14"/>
      <c r="CV16" s="14"/>
      <c r="CW16" s="14"/>
      <c r="CX16" s="32"/>
    </row>
    <row r="17" spans="1:102" s="13" customFormat="1" ht="15.75">
      <c r="A17" s="39"/>
      <c r="B17" s="1"/>
      <c r="C17" s="249" t="s">
        <v>120</v>
      </c>
      <c r="E17" s="39" t="s">
        <v>84</v>
      </c>
      <c r="F17" s="33">
        <v>61</v>
      </c>
      <c r="G17" s="33">
        <v>67</v>
      </c>
      <c r="H17" s="34">
        <v>1</v>
      </c>
      <c r="I17" s="35">
        <v>31</v>
      </c>
      <c r="J17" s="36">
        <f>(L17-100)*H17</f>
        <v>71</v>
      </c>
      <c r="K17" s="33">
        <v>160</v>
      </c>
      <c r="L17" s="37">
        <v>171</v>
      </c>
      <c r="M17" s="98">
        <f>(167.2*SQRT(K17)*SQRT(L17))/10000</f>
        <v>2.765631541619382</v>
      </c>
      <c r="N17" s="150">
        <f>K17/((L17/100)^2)</f>
        <v>54.717690913443455</v>
      </c>
      <c r="O17" s="118">
        <v>1.28</v>
      </c>
      <c r="P17" s="8">
        <f>(((140-I17)*J17)/(72*O17))*H17</f>
        <v>83.97352430555556</v>
      </c>
      <c r="Q17" s="20"/>
      <c r="R17" s="157">
        <f>(L17*0.7)/O17</f>
        <v>93.51562499999999</v>
      </c>
      <c r="S17" s="90">
        <f>U17*24/W17</f>
        <v>16000</v>
      </c>
      <c r="T17" s="125">
        <f>S17/K17</f>
        <v>100</v>
      </c>
      <c r="U17" s="126">
        <v>4000</v>
      </c>
      <c r="V17" s="125">
        <f>U17/K17</f>
        <v>25</v>
      </c>
      <c r="W17" s="90">
        <v>6</v>
      </c>
      <c r="X17" s="10">
        <v>3</v>
      </c>
      <c r="Y17" s="168">
        <v>0.75</v>
      </c>
      <c r="Z17" s="169">
        <v>0.5416666666666666</v>
      </c>
      <c r="AA17" s="127">
        <v>95</v>
      </c>
      <c r="AB17" s="170">
        <v>0.625</v>
      </c>
      <c r="AC17" s="127">
        <v>35</v>
      </c>
      <c r="AD17" s="212">
        <f>(AB17-Z17)*24</f>
        <v>2.000000000000001</v>
      </c>
      <c r="AE17" s="213">
        <f>(LN(AA17)-LN(AC17))/(AD17)</f>
        <v>0.4992644150555634</v>
      </c>
      <c r="AF17" s="180">
        <f>AA17/EXP(-AE17*X17)</f>
        <v>424.821948640424</v>
      </c>
      <c r="AG17" s="9">
        <f>AF17*EXP(-AE17*X17)</f>
        <v>95</v>
      </c>
      <c r="AH17" s="216">
        <f>AF17*EXP(-AE17*W17)</f>
        <v>21.244194253340954</v>
      </c>
      <c r="AI17" s="9">
        <f t="shared" si="2"/>
        <v>95</v>
      </c>
      <c r="AJ17" s="9">
        <f t="shared" si="2"/>
        <v>21.244194253340954</v>
      </c>
      <c r="AK17" s="182">
        <f>(LN(AI17)-LN(AJ17))/(W17-X17)</f>
        <v>0.4992644150555634</v>
      </c>
      <c r="AL17" s="183">
        <f>0.693/AK17</f>
        <v>1.388042045662068</v>
      </c>
      <c r="AM17" s="184">
        <f>(((AI17+AJ17)/2)*X17)+(((AI17+AJ17)/2)*(W17-X17))</f>
        <v>348.73258276002286</v>
      </c>
      <c r="AN17" s="185">
        <f>U17/AM17</f>
        <v>11.47010688918782</v>
      </c>
      <c r="AO17" s="186">
        <f>AN17/AK17</f>
        <v>22.974012453724157</v>
      </c>
      <c r="AP17" s="187">
        <f>AN17*1000/60</f>
        <v>191.16844815313033</v>
      </c>
      <c r="AQ17" s="188">
        <f>AP17/K17</f>
        <v>1.1948028009570646</v>
      </c>
      <c r="AR17" s="188">
        <f>AO17/K17</f>
        <v>0.14358757783577597</v>
      </c>
      <c r="AS17" s="189">
        <f>AM17*24/W17</f>
        <v>1394.9303310400912</v>
      </c>
      <c r="AT17" s="107">
        <f>ABS((((LN($AT$4)-LN(AJ17))/AK17)-W17)*100/W17)</f>
        <v>178.88059561955538</v>
      </c>
      <c r="AU17" s="107">
        <f>ABS((((LN($AU$4)-LN(AJ17))/AK17)-W17)*100/W17)</f>
        <v>155.74164827830188</v>
      </c>
      <c r="AV17" s="107">
        <f>ABS((((LN(AV$4)-LN(AJ17))/AK17)-W17)*100/W17)</f>
        <v>132.60270093704835</v>
      </c>
      <c r="AW17" s="107">
        <f>ABS((((LN(AW$4)-LN(AJ17))/AK17)-W17)*100/W17)</f>
        <v>109.46375359579484</v>
      </c>
      <c r="AX17" s="148" t="s">
        <v>120</v>
      </c>
      <c r="AY17" s="241"/>
      <c r="AZ17" s="243"/>
      <c r="BA17" s="131" t="s">
        <v>131</v>
      </c>
      <c r="BB17" t="s">
        <v>135</v>
      </c>
      <c r="BC17" s="238">
        <v>83.97352430555556</v>
      </c>
      <c r="BD17" s="14"/>
      <c r="BE17" s="12"/>
      <c r="BH17" s="15"/>
      <c r="BI17" s="16"/>
      <c r="BJ17" s="17"/>
      <c r="BK17" s="17"/>
      <c r="BL17" s="18"/>
      <c r="BM17" s="18"/>
      <c r="BN17" s="19"/>
      <c r="BO17" s="19"/>
      <c r="BP17" s="19"/>
      <c r="BQ17" s="20"/>
      <c r="BS17" s="21"/>
      <c r="BT17" s="22"/>
      <c r="BV17" s="22"/>
      <c r="BW17" s="23"/>
      <c r="CA17" s="24"/>
      <c r="CB17" s="25"/>
      <c r="CC17" s="26"/>
      <c r="CD17" s="27"/>
      <c r="CE17" s="28"/>
      <c r="CF17" s="29"/>
      <c r="CG17" s="30"/>
      <c r="CH17" s="26"/>
      <c r="CI17" s="31"/>
      <c r="CJ17" s="31"/>
      <c r="CK17" s="31"/>
      <c r="CL17" s="31"/>
      <c r="CM17" s="31"/>
      <c r="CN17" s="31"/>
      <c r="CO17" s="31"/>
      <c r="CP17" s="31"/>
      <c r="CQ17" s="14"/>
      <c r="CR17" s="14"/>
      <c r="CS17" s="14"/>
      <c r="CT17" s="14"/>
      <c r="CU17" s="14"/>
      <c r="CV17" s="14"/>
      <c r="CW17" s="14"/>
      <c r="CX17" s="32"/>
    </row>
    <row r="18" spans="1:102" s="13" customFormat="1" ht="15.75">
      <c r="A18" s="39"/>
      <c r="B18" s="1"/>
      <c r="C18" s="249"/>
      <c r="D18"/>
      <c r="E18" s="39"/>
      <c r="F18" s="33"/>
      <c r="G18" s="33"/>
      <c r="H18" s="34"/>
      <c r="I18" s="35"/>
      <c r="J18" s="36"/>
      <c r="K18" s="33"/>
      <c r="L18" s="37"/>
      <c r="M18" s="98"/>
      <c r="N18" s="150"/>
      <c r="O18" s="118"/>
      <c r="P18" s="8"/>
      <c r="Q18" s="20"/>
      <c r="R18" s="157"/>
      <c r="S18" s="90"/>
      <c r="T18" s="125"/>
      <c r="U18" s="126"/>
      <c r="V18" s="125"/>
      <c r="W18" s="90"/>
      <c r="X18" s="10"/>
      <c r="Y18" s="168"/>
      <c r="Z18" s="169"/>
      <c r="AA18" s="127"/>
      <c r="AB18" s="170"/>
      <c r="AC18" s="127"/>
      <c r="AD18" s="212"/>
      <c r="AE18" s="213"/>
      <c r="AF18" s="180"/>
      <c r="AG18" s="9"/>
      <c r="AH18" s="216"/>
      <c r="AI18" s="9"/>
      <c r="AJ18" s="9"/>
      <c r="AK18" s="182"/>
      <c r="AL18" s="183"/>
      <c r="AM18" s="184"/>
      <c r="AN18" s="185"/>
      <c r="AO18" s="186"/>
      <c r="AP18" s="187"/>
      <c r="AQ18" s="188"/>
      <c r="AR18" s="188"/>
      <c r="AS18" s="189"/>
      <c r="AT18" s="222"/>
      <c r="AU18" s="222"/>
      <c r="AV18" s="222"/>
      <c r="AW18" s="222"/>
      <c r="AX18" s="255"/>
      <c r="AY18" s="246" t="s">
        <v>137</v>
      </c>
      <c r="AZ18" s="247" t="s">
        <v>138</v>
      </c>
      <c r="BA18" s="130"/>
      <c r="BB18" s="14"/>
      <c r="BC18" s="14"/>
      <c r="BD18" s="14"/>
      <c r="BE18" s="14"/>
      <c r="BH18" s="15"/>
      <c r="BI18" s="16"/>
      <c r="BJ18" s="17"/>
      <c r="BK18" s="17"/>
      <c r="BL18" s="18"/>
      <c r="BM18" s="18"/>
      <c r="BN18" s="19"/>
      <c r="BO18" s="19"/>
      <c r="BP18" s="19"/>
      <c r="BQ18" s="20"/>
      <c r="BS18" s="21"/>
      <c r="BT18" s="22"/>
      <c r="BV18" s="22"/>
      <c r="BW18" s="23"/>
      <c r="CA18" s="24"/>
      <c r="CB18" s="25"/>
      <c r="CC18" s="26"/>
      <c r="CD18" s="27"/>
      <c r="CE18" s="28"/>
      <c r="CF18" s="29"/>
      <c r="CG18" s="30"/>
      <c r="CH18" s="26"/>
      <c r="CI18" s="31"/>
      <c r="CJ18" s="31"/>
      <c r="CK18" s="31"/>
      <c r="CL18" s="31"/>
      <c r="CM18" s="31"/>
      <c r="CN18" s="31"/>
      <c r="CO18" s="31"/>
      <c r="CP18" s="31"/>
      <c r="CQ18" s="14"/>
      <c r="CR18" s="14"/>
      <c r="CS18" s="14"/>
      <c r="CT18" s="14"/>
      <c r="CU18" s="14"/>
      <c r="CV18" s="14"/>
      <c r="CW18" s="14"/>
      <c r="CX18" s="32"/>
    </row>
    <row r="19" spans="1:56" ht="15">
      <c r="A19" s="89" t="s">
        <v>81</v>
      </c>
      <c r="B19" s="1" t="s">
        <v>2</v>
      </c>
      <c r="C19" s="2" t="s">
        <v>86</v>
      </c>
      <c r="D19" t="s">
        <v>3</v>
      </c>
      <c r="G19" s="33"/>
      <c r="J19" s="36"/>
      <c r="P19" s="13"/>
      <c r="Q19" s="13"/>
      <c r="R19" s="217"/>
      <c r="S19" s="123"/>
      <c r="T19" s="123"/>
      <c r="U19" s="123"/>
      <c r="V19" s="123"/>
      <c r="W19" s="123"/>
      <c r="X19" s="123"/>
      <c r="Y19" s="13"/>
      <c r="Z19" s="13"/>
      <c r="AA19" s="124"/>
      <c r="AB19" s="13"/>
      <c r="AC19" s="124"/>
      <c r="AD19" s="175"/>
      <c r="AE19" s="215"/>
      <c r="AF19" s="13"/>
      <c r="AG19" s="13"/>
      <c r="AH19" s="13"/>
      <c r="AI19" s="13"/>
      <c r="AJ19" s="13"/>
      <c r="AK19" s="113"/>
      <c r="AL19" s="11"/>
      <c r="AM19" s="114"/>
      <c r="AN19" s="115"/>
      <c r="AO19" s="116"/>
      <c r="AP19" s="117"/>
      <c r="AQ19" s="13"/>
      <c r="AR19" s="13"/>
      <c r="AS19" s="13"/>
      <c r="AT19" s="109"/>
      <c r="AU19" s="109"/>
      <c r="AV19" s="109"/>
      <c r="AW19" s="109" t="s">
        <v>81</v>
      </c>
      <c r="AX19" s="240" t="s">
        <v>82</v>
      </c>
      <c r="AY19" s="241" t="s">
        <v>101</v>
      </c>
      <c r="AZ19" s="243"/>
      <c r="BA19" s="130" t="s">
        <v>130</v>
      </c>
      <c r="BC19" s="235" t="s">
        <v>129</v>
      </c>
      <c r="BD19" s="235"/>
    </row>
    <row r="20" spans="1:56" ht="15">
      <c r="A20" s="39">
        <v>1</v>
      </c>
      <c r="C20" s="250" t="s">
        <v>105</v>
      </c>
      <c r="D20" s="221" t="s">
        <v>126</v>
      </c>
      <c r="E20" s="39" t="s">
        <v>73</v>
      </c>
      <c r="F20" s="33">
        <v>48</v>
      </c>
      <c r="G20" s="33">
        <v>55</v>
      </c>
      <c r="H20" s="34">
        <v>1</v>
      </c>
      <c r="I20" s="38">
        <v>79.5</v>
      </c>
      <c r="J20" s="36">
        <f>(L20-100)*H20</f>
        <v>70</v>
      </c>
      <c r="K20" s="33">
        <v>80</v>
      </c>
      <c r="L20" s="37">
        <v>170</v>
      </c>
      <c r="M20" s="98">
        <f>(167.2*SQRT(K20)*SQRT(L20))/10000</f>
        <v>1.9498703136362685</v>
      </c>
      <c r="N20" s="150">
        <f>K20/((L20/100)^2)</f>
        <v>27.68166089965398</v>
      </c>
      <c r="O20" s="6">
        <v>0.88</v>
      </c>
      <c r="P20" s="8">
        <f>(((140-I20)*J20)/(72*O20))*H20</f>
        <v>66.84027777777777</v>
      </c>
      <c r="Q20" s="20"/>
      <c r="R20" s="157">
        <f>(L20*0.7)/O20</f>
        <v>135.22727272727272</v>
      </c>
      <c r="S20" s="90">
        <f>U20*24/W20</f>
        <v>12000</v>
      </c>
      <c r="T20" s="125">
        <f>S20/K20</f>
        <v>150</v>
      </c>
      <c r="U20" s="126">
        <v>4000</v>
      </c>
      <c r="V20" s="125">
        <f>U20/K20</f>
        <v>50</v>
      </c>
      <c r="W20" s="6">
        <v>8</v>
      </c>
      <c r="X20" s="10">
        <v>3</v>
      </c>
      <c r="Y20" s="177">
        <v>0.75</v>
      </c>
      <c r="Z20" s="178">
        <v>0.875</v>
      </c>
      <c r="AA20" s="127">
        <v>95</v>
      </c>
      <c r="AB20" s="179">
        <v>0.9583333333333334</v>
      </c>
      <c r="AC20" s="127">
        <v>55</v>
      </c>
      <c r="AD20" s="212">
        <f>(AB20-Z20)*24</f>
        <v>2.000000000000001</v>
      </c>
      <c r="AE20" s="213">
        <f>(LN(AA20)-LN(AC20))/(AD20)</f>
        <v>0.2732718531840347</v>
      </c>
      <c r="AF20" s="180">
        <f>AA20/EXP(-AE20*X20)</f>
        <v>215.6577048935183</v>
      </c>
      <c r="AG20" s="9">
        <f>AF20*EXP(-AE20*X20)</f>
        <v>95</v>
      </c>
      <c r="AH20" s="216">
        <f>AF20*EXP(-AE20*W20)</f>
        <v>24.228209247519647</v>
      </c>
      <c r="AI20" s="9">
        <f aca="true" t="shared" si="3" ref="AI20:AJ23">AG20</f>
        <v>95</v>
      </c>
      <c r="AJ20" s="9">
        <f t="shared" si="3"/>
        <v>24.228209247519647</v>
      </c>
      <c r="AK20" s="182">
        <f>(LN(AI20)-LN(AJ20))/(W20-X20)</f>
        <v>0.2732718531840347</v>
      </c>
      <c r="AL20" s="183">
        <f t="shared" si="1"/>
        <v>2.535936255144798</v>
      </c>
      <c r="AM20" s="184">
        <f>(((AI20+AJ20)/2)*X20)+(((AI20+AJ20)/2)*(W20-X20))</f>
        <v>476.9128369900785</v>
      </c>
      <c r="AN20" s="185">
        <f>U20/AM20</f>
        <v>8.38727685596606</v>
      </c>
      <c r="AO20" s="186">
        <f>AN20/AK20</f>
        <v>30.692062714258597</v>
      </c>
      <c r="AP20" s="187">
        <f>AN20*1000/60</f>
        <v>139.78794759943432</v>
      </c>
      <c r="AQ20" s="188">
        <f>AP20/K20</f>
        <v>1.747349344992929</v>
      </c>
      <c r="AR20" s="188">
        <f>AO20/K20</f>
        <v>0.3836507839282325</v>
      </c>
      <c r="AS20" s="189">
        <f>AM20*24/W20</f>
        <v>1430.7385109702354</v>
      </c>
      <c r="AT20" s="107">
        <f>ABS((((LN($AT$4)-LN(AJ20))/AK20)-W20)*100/W20)</f>
        <v>214.09748278395648</v>
      </c>
      <c r="AU20" s="107">
        <f>ABS((((LN($AU$4)-LN(AJ20))/AK20)-W20)*100/W20)</f>
        <v>182.39154726207042</v>
      </c>
      <c r="AV20" s="107">
        <f>ABS((((LN(AV$4)-LN(AJ20))/AK20)-W20)*100/W20)</f>
        <v>150.68561174018436</v>
      </c>
      <c r="AW20" s="107">
        <f>ABS((((LN(AW$4)-LN(AJ20))/AK20)-W20)*100/W20)</f>
        <v>118.97967621829831</v>
      </c>
      <c r="AX20" s="223" t="s">
        <v>105</v>
      </c>
      <c r="AY20" s="233" t="s">
        <v>126</v>
      </c>
      <c r="BA20" s="131" t="s">
        <v>131</v>
      </c>
      <c r="BB20" t="s">
        <v>135</v>
      </c>
      <c r="BC20" s="236">
        <v>66.84027777777777</v>
      </c>
      <c r="BD20" s="239"/>
    </row>
    <row r="21" spans="2:56" ht="15">
      <c r="B21" s="1" t="s">
        <v>78</v>
      </c>
      <c r="C21" s="249" t="s">
        <v>108</v>
      </c>
      <c r="D21" s="132" t="s">
        <v>127</v>
      </c>
      <c r="E21" s="39" t="s">
        <v>74</v>
      </c>
      <c r="F21" s="33">
        <v>48</v>
      </c>
      <c r="G21" s="33">
        <v>55</v>
      </c>
      <c r="H21" s="34">
        <v>1</v>
      </c>
      <c r="I21" s="38">
        <v>79.5</v>
      </c>
      <c r="J21" s="36">
        <f>(L21-100)*H21</f>
        <v>70</v>
      </c>
      <c r="K21" s="33">
        <v>80</v>
      </c>
      <c r="L21" s="37">
        <v>170</v>
      </c>
      <c r="M21" s="98">
        <f>(167.2*SQRT(K21)*SQRT(L21))/10000</f>
        <v>1.9498703136362685</v>
      </c>
      <c r="N21" s="150">
        <f>K21/((L21/100)^2)</f>
        <v>27.68166089965398</v>
      </c>
      <c r="O21" s="118">
        <v>1.55</v>
      </c>
      <c r="P21" s="226">
        <f>(((140-I21)*J21)/(72*O21))*H21</f>
        <v>37.948028673835125</v>
      </c>
      <c r="Q21" s="129"/>
      <c r="R21" s="157">
        <f>(L21*0.7)/O21</f>
        <v>76.77419354838709</v>
      </c>
      <c r="S21" s="90">
        <f>U21*24/W21</f>
        <v>8000</v>
      </c>
      <c r="T21" s="125">
        <f>S21/K21</f>
        <v>100</v>
      </c>
      <c r="U21" s="126">
        <v>4000</v>
      </c>
      <c r="V21" s="125">
        <f>U21/K21</f>
        <v>50</v>
      </c>
      <c r="W21" s="6">
        <v>12</v>
      </c>
      <c r="X21" s="10">
        <v>3</v>
      </c>
      <c r="Y21" s="168">
        <v>0.08333333333333333</v>
      </c>
      <c r="Z21" s="178">
        <v>0.20833333333333334</v>
      </c>
      <c r="AA21" s="127">
        <v>99</v>
      </c>
      <c r="AB21" s="179">
        <v>0.2916666666666667</v>
      </c>
      <c r="AC21" s="127">
        <v>68</v>
      </c>
      <c r="AD21" s="212">
        <f>(AB21-Z21)*24</f>
        <v>2</v>
      </c>
      <c r="AE21" s="213">
        <f>(LN(AA21)-LN(AC21))/(AD21)</f>
        <v>0.18780607247924141</v>
      </c>
      <c r="AF21" s="180">
        <f>AA21/EXP(-AE21*X21)</f>
        <v>173.91002496522802</v>
      </c>
      <c r="AG21" s="9">
        <f>AF21*EXP(-AE21*X21)</f>
        <v>99</v>
      </c>
      <c r="AH21" s="216">
        <f>AF21*EXP(-AE21*W21)</f>
        <v>18.26278162351966</v>
      </c>
      <c r="AI21" s="9">
        <f t="shared" si="3"/>
        <v>99</v>
      </c>
      <c r="AJ21" s="9">
        <f t="shared" si="3"/>
        <v>18.26278162351966</v>
      </c>
      <c r="AK21" s="182">
        <f>(LN(AI21)-LN(AJ21))/(W21-X21)</f>
        <v>0.18780607247924141</v>
      </c>
      <c r="AL21" s="183">
        <f t="shared" si="1"/>
        <v>3.689976531917511</v>
      </c>
      <c r="AM21" s="184">
        <f>(((AI21+AJ21)/2)*X21)+(((AI21+AJ21)/2)*(W21-X21))</f>
        <v>703.5766897411179</v>
      </c>
      <c r="AN21" s="185">
        <f>U21/AM21</f>
        <v>5.685236674728104</v>
      </c>
      <c r="AO21" s="186">
        <f>AN21/AK21</f>
        <v>30.271846909297913</v>
      </c>
      <c r="AP21" s="187">
        <f>AN21*1000/60</f>
        <v>94.75394457880174</v>
      </c>
      <c r="AQ21" s="188">
        <f>AP21/K21</f>
        <v>1.1844243072350218</v>
      </c>
      <c r="AR21" s="188">
        <f>AO21/K21</f>
        <v>0.3783980863662239</v>
      </c>
      <c r="AS21" s="189">
        <f>AM21*24/W21</f>
        <v>1407.153379482236</v>
      </c>
      <c r="AT21" s="107">
        <f>ABS((((LN($AT$4)-LN(AJ21))/AK21)-W21)*100/W21)</f>
        <v>198.13837877481913</v>
      </c>
      <c r="AU21" s="107">
        <f>ABS((((LN($AU$4)-LN(AJ21))/AK21)-W21)*100/W21)</f>
        <v>167.3820436445764</v>
      </c>
      <c r="AV21" s="107">
        <f>ABS((((LN(AV$4)-LN(AJ21))/AK21)-W21)*100/W21)</f>
        <v>136.62570851433364</v>
      </c>
      <c r="AW21" s="107">
        <f>ABS((((LN(AW$4)-LN(AJ21))/AK21)-W21)*100/W21)</f>
        <v>105.86937338409086</v>
      </c>
      <c r="AX21" s="89" t="s">
        <v>108</v>
      </c>
      <c r="AY21" s="234" t="s">
        <v>127</v>
      </c>
      <c r="AZ21" s="111"/>
      <c r="BA21" s="131" t="s">
        <v>132</v>
      </c>
      <c r="BB21" t="s">
        <v>134</v>
      </c>
      <c r="BC21" s="237">
        <v>37.948028673835125</v>
      </c>
      <c r="BD21" s="239"/>
    </row>
    <row r="22" spans="3:56" ht="15">
      <c r="C22" s="249" t="s">
        <v>117</v>
      </c>
      <c r="D22" s="128" t="s">
        <v>118</v>
      </c>
      <c r="E22" s="39" t="s">
        <v>83</v>
      </c>
      <c r="F22" s="33">
        <v>48</v>
      </c>
      <c r="G22" s="33">
        <v>55</v>
      </c>
      <c r="H22" s="34">
        <v>1</v>
      </c>
      <c r="I22" s="38">
        <v>79.5</v>
      </c>
      <c r="J22" s="36">
        <f>(L22-100)*H22</f>
        <v>70</v>
      </c>
      <c r="K22" s="33">
        <v>80</v>
      </c>
      <c r="L22" s="37">
        <v>170</v>
      </c>
      <c r="M22" s="98">
        <f>(167.2*SQRT(K22)*SQRT(L22))/10000</f>
        <v>1.9498703136362685</v>
      </c>
      <c r="N22" s="150">
        <f>K22/((L22/100)^2)</f>
        <v>27.68166089965398</v>
      </c>
      <c r="O22" s="224">
        <v>1.11</v>
      </c>
      <c r="P22" s="8">
        <f>(((140-I22)*J22)/(72*O22))*H22</f>
        <v>52.99049049049049</v>
      </c>
      <c r="Q22" s="20"/>
      <c r="R22" s="157">
        <f>(L22*0.7)/O22</f>
        <v>107.20720720720719</v>
      </c>
      <c r="S22" s="225">
        <f>U22*24/W22</f>
        <v>12000</v>
      </c>
      <c r="T22" s="125">
        <f>S22/K22</f>
        <v>150</v>
      </c>
      <c r="U22" s="126">
        <v>4000</v>
      </c>
      <c r="V22" s="125">
        <f>U22/K22</f>
        <v>50</v>
      </c>
      <c r="W22" s="6">
        <v>8</v>
      </c>
      <c r="X22" s="10">
        <v>3</v>
      </c>
      <c r="Y22" s="168">
        <v>0.08333333333333333</v>
      </c>
      <c r="Z22" s="178">
        <v>0.20833333333333334</v>
      </c>
      <c r="AA22" s="127">
        <v>89</v>
      </c>
      <c r="AB22" s="179">
        <v>0.2916666666666667</v>
      </c>
      <c r="AC22" s="127">
        <v>36</v>
      </c>
      <c r="AD22" s="212">
        <f>(AB22-Z22)*24</f>
        <v>2</v>
      </c>
      <c r="AE22" s="213">
        <f>(LN(AA22)-LN(AC22))/(AD22)</f>
        <v>0.45255871563801486</v>
      </c>
      <c r="AF22" s="180">
        <f>AA22/EXP(-AE22*X22)</f>
        <v>345.9563173473164</v>
      </c>
      <c r="AG22" s="9">
        <f>AF22*EXP(-AE22*X22)</f>
        <v>89</v>
      </c>
      <c r="AH22" s="216">
        <f>AF22*EXP(-AE22*W22)</f>
        <v>9.261284848235345</v>
      </c>
      <c r="AI22" s="9">
        <f t="shared" si="3"/>
        <v>89</v>
      </c>
      <c r="AJ22" s="9">
        <f t="shared" si="3"/>
        <v>9.261284848235345</v>
      </c>
      <c r="AK22" s="182">
        <f>(LN(AI22)-LN(AJ22))/(W22-X22)</f>
        <v>0.45255871563801486</v>
      </c>
      <c r="AL22" s="183">
        <f t="shared" si="1"/>
        <v>1.5312930147042074</v>
      </c>
      <c r="AM22" s="184">
        <f>(((AI22+AJ22)/2)*X22)+(((AI22+AJ22)/2)*(W22-X22))</f>
        <v>393.0451393929414</v>
      </c>
      <c r="AN22" s="185">
        <f>U22/AM22</f>
        <v>10.17694813928498</v>
      </c>
      <c r="AO22" s="186">
        <f>AN22/AK22</f>
        <v>22.48757517560472</v>
      </c>
      <c r="AP22" s="187">
        <f>AN22*1000/60</f>
        <v>169.6158023214163</v>
      </c>
      <c r="AQ22" s="188">
        <f>AP22/K22</f>
        <v>2.120197529017704</v>
      </c>
      <c r="AR22" s="188">
        <f>AO22/K22</f>
        <v>0.281094689695059</v>
      </c>
      <c r="AS22" s="189">
        <f>AM22*24/W22</f>
        <v>1179.1354181788242</v>
      </c>
      <c r="AT22" s="107">
        <f>ABS((((LN($AT$4)-LN(AJ22))/AK22)-W22)*100/W22)</f>
        <v>142.33416455203317</v>
      </c>
      <c r="AU22" s="107">
        <f>ABS((((LN($AU$4)-LN(AJ22))/AK22)-W22)*100/W22)</f>
        <v>123.188936634404</v>
      </c>
      <c r="AV22" s="107">
        <f>ABS((((LN(AV$4)-LN(AJ22))/AK22)-W22)*100/W22)</f>
        <v>104.04370871677484</v>
      </c>
      <c r="AW22" s="107">
        <f>ABS((((LN(AW$4)-LN(AJ22))/AK22)-W22)*100/W22)</f>
        <v>84.89848079914569</v>
      </c>
      <c r="AX22" s="89" t="s">
        <v>128</v>
      </c>
      <c r="AY22" s="128" t="s">
        <v>118</v>
      </c>
      <c r="AZ22" s="134"/>
      <c r="BA22" s="131" t="s">
        <v>131</v>
      </c>
      <c r="BB22" t="s">
        <v>135</v>
      </c>
      <c r="BC22" s="236">
        <v>52.99049049049049</v>
      </c>
      <c r="BD22" s="130"/>
    </row>
    <row r="23" spans="3:56" ht="15">
      <c r="C23" s="249" t="s">
        <v>117</v>
      </c>
      <c r="D23" s="128" t="s">
        <v>119</v>
      </c>
      <c r="E23" s="39" t="s">
        <v>84</v>
      </c>
      <c r="F23" s="33">
        <v>48</v>
      </c>
      <c r="G23" s="33">
        <v>55</v>
      </c>
      <c r="H23" s="34">
        <v>1</v>
      </c>
      <c r="I23" s="38">
        <v>79.5</v>
      </c>
      <c r="J23" s="36">
        <f>(L23-100)*H23</f>
        <v>70</v>
      </c>
      <c r="K23" s="33">
        <v>80</v>
      </c>
      <c r="L23" s="37">
        <v>170</v>
      </c>
      <c r="M23" s="98">
        <f>(167.2*SQRT(K23)*SQRT(L23))/10000</f>
        <v>1.9498703136362685</v>
      </c>
      <c r="N23" s="150">
        <f>K23/((L23/100)^2)</f>
        <v>27.68166089965398</v>
      </c>
      <c r="O23" s="224">
        <v>0.85</v>
      </c>
      <c r="P23" s="8">
        <f>(((140-I23)*J23)/(72*O23))*H23</f>
        <v>69.19934640522877</v>
      </c>
      <c r="Q23" s="20"/>
      <c r="R23" s="157">
        <f>(L23*0.7)/O23</f>
        <v>140</v>
      </c>
      <c r="S23" s="225">
        <f>U23*24/W23</f>
        <v>16000</v>
      </c>
      <c r="T23" s="125">
        <f>S23/K23</f>
        <v>200</v>
      </c>
      <c r="U23" s="126">
        <v>4000</v>
      </c>
      <c r="V23" s="125">
        <f>U23/K23</f>
        <v>50</v>
      </c>
      <c r="W23" s="6">
        <v>6</v>
      </c>
      <c r="X23" s="10">
        <v>3</v>
      </c>
      <c r="Y23" s="168">
        <v>0.08333333333333333</v>
      </c>
      <c r="Z23" s="178">
        <v>0.20833333333333334</v>
      </c>
      <c r="AA23" s="127">
        <v>94</v>
      </c>
      <c r="AB23" s="179">
        <v>0.2916666666666667</v>
      </c>
      <c r="AC23" s="127">
        <v>45</v>
      </c>
      <c r="AD23" s="212">
        <f>(AB23-Z23)*24</f>
        <v>2</v>
      </c>
      <c r="AE23" s="213">
        <f>(LN(AA23)-LN(AC23))/(AD23)</f>
        <v>0.3683161462498421</v>
      </c>
      <c r="AF23" s="180">
        <f>AA23/EXP(-AE23*X23)</f>
        <v>283.7924669960976</v>
      </c>
      <c r="AG23" s="9">
        <f>AF23*EXP(-AE23*X23)</f>
        <v>93.99999999999999</v>
      </c>
      <c r="AH23" s="216">
        <f>AF23*EXP(-AE23*W23)</f>
        <v>31.135428270974863</v>
      </c>
      <c r="AI23" s="9">
        <f t="shared" si="3"/>
        <v>93.99999999999999</v>
      </c>
      <c r="AJ23" s="9">
        <f t="shared" si="3"/>
        <v>31.135428270974863</v>
      </c>
      <c r="AK23" s="182">
        <f>(LN(AI23)-LN(AJ23))/(W23-X23)</f>
        <v>0.3683161462498421</v>
      </c>
      <c r="AL23" s="183">
        <f t="shared" si="1"/>
        <v>1.8815357595806106</v>
      </c>
      <c r="AM23" s="184">
        <f>(((AI23+AJ23)/2)*X23)+(((AI23+AJ23)/2)*(W23-X23))</f>
        <v>375.4062848129245</v>
      </c>
      <c r="AN23" s="185">
        <f>U23/AM23</f>
        <v>10.655122627990398</v>
      </c>
      <c r="AO23" s="186">
        <f>AN23/AK23</f>
        <v>28.92928462811034</v>
      </c>
      <c r="AP23" s="187">
        <f>AN23*1000/60</f>
        <v>177.5853771331733</v>
      </c>
      <c r="AQ23" s="188">
        <f>AP23/K23</f>
        <v>2.2198172141646664</v>
      </c>
      <c r="AR23" s="188">
        <f>AO23/K23</f>
        <v>0.3616160578513793</v>
      </c>
      <c r="AS23" s="189">
        <f>AM23*24/W23</f>
        <v>1501.625139251698</v>
      </c>
      <c r="AT23" s="107">
        <f>ABS((((LN($AT$4)-LN(AJ23))/AK23)-W23)*100/W23)</f>
        <v>224.22295315731128</v>
      </c>
      <c r="AU23" s="107">
        <f>ABS((((LN($AU$4)-LN(AJ23))/AK23)-W23)*100/W23)</f>
        <v>192.8573637663537</v>
      </c>
      <c r="AV23" s="107">
        <f>ABS((((LN(AV$4)-LN(AJ23))/AK23)-W23)*100/W23)</f>
        <v>161.49177437539615</v>
      </c>
      <c r="AW23" s="107">
        <f>ABS((((LN(AW$4)-LN(AJ23))/AK23)-W23)*100/W23)</f>
        <v>130.12618498443857</v>
      </c>
      <c r="AX23" s="89" t="s">
        <v>128</v>
      </c>
      <c r="AY23" s="128" t="s">
        <v>119</v>
      </c>
      <c r="AZ23" s="134"/>
      <c r="BA23" s="131" t="s">
        <v>133</v>
      </c>
      <c r="BB23" t="s">
        <v>136</v>
      </c>
      <c r="BC23" s="236">
        <v>69.19934640522877</v>
      </c>
      <c r="BD23" s="130"/>
    </row>
    <row r="24" spans="17:52" ht="12.75">
      <c r="Q24" s="13"/>
      <c r="AX24" s="53"/>
      <c r="AY24" s="246" t="s">
        <v>137</v>
      </c>
      <c r="AZ24" s="247" t="s">
        <v>138</v>
      </c>
    </row>
    <row r="25" spans="1:18" ht="12.75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</row>
    <row r="26" spans="1:18" ht="12.75">
      <c r="A26" s="205"/>
      <c r="B26" s="135"/>
      <c r="C26" s="136"/>
      <c r="D26" s="135"/>
      <c r="E26" s="137"/>
      <c r="F26" s="137"/>
      <c r="G26" s="137"/>
      <c r="H26" s="138"/>
      <c r="I26" s="139"/>
      <c r="J26" s="139"/>
      <c r="K26" s="206"/>
      <c r="L26" s="139"/>
      <c r="M26" s="19"/>
      <c r="N26" s="140"/>
      <c r="O26" s="141"/>
      <c r="P26" s="203"/>
      <c r="Q26" s="203"/>
      <c r="R26" s="206"/>
    </row>
    <row r="27" spans="1:18" ht="12.75">
      <c r="A27" s="206"/>
      <c r="B27" s="135"/>
      <c r="C27" s="206"/>
      <c r="D27" s="206"/>
      <c r="E27" s="137"/>
      <c r="F27" s="137"/>
      <c r="G27" s="137"/>
      <c r="H27" s="138"/>
      <c r="I27" s="139"/>
      <c r="J27" s="139"/>
      <c r="K27" s="206"/>
      <c r="L27" s="139"/>
      <c r="M27" s="19"/>
      <c r="N27" s="140"/>
      <c r="O27" s="141"/>
      <c r="P27" s="203"/>
      <c r="Q27" s="203"/>
      <c r="R27" s="206"/>
    </row>
    <row r="28" spans="1:18" ht="12.75">
      <c r="A28" s="206"/>
      <c r="B28" s="15"/>
      <c r="C28" s="142"/>
      <c r="D28" s="15"/>
      <c r="E28" s="143"/>
      <c r="F28" s="143"/>
      <c r="G28" s="143"/>
      <c r="H28" s="138"/>
      <c r="I28" s="142"/>
      <c r="J28" s="142"/>
      <c r="K28" s="206"/>
      <c r="L28" s="144"/>
      <c r="M28" s="138"/>
      <c r="N28" s="139"/>
      <c r="O28" s="144"/>
      <c r="P28" s="203"/>
      <c r="Q28" s="203"/>
      <c r="R28" s="206"/>
    </row>
    <row r="29" spans="1:18" ht="12.75">
      <c r="A29" s="206"/>
      <c r="B29" s="135"/>
      <c r="C29" s="136"/>
      <c r="D29" s="135"/>
      <c r="E29" s="137"/>
      <c r="F29" s="137"/>
      <c r="G29" s="137"/>
      <c r="H29" s="138"/>
      <c r="I29" s="145"/>
      <c r="J29" s="146"/>
      <c r="K29" s="206"/>
      <c r="L29" s="147"/>
      <c r="M29" s="19"/>
      <c r="N29" s="140"/>
      <c r="O29" s="16"/>
      <c r="P29" s="203"/>
      <c r="Q29" s="203"/>
      <c r="R29" s="206"/>
    </row>
    <row r="30" spans="1:18" ht="12.75">
      <c r="A30" s="206"/>
      <c r="B30" s="135"/>
      <c r="C30" s="136"/>
      <c r="D30" s="135"/>
      <c r="E30" s="137"/>
      <c r="F30" s="137"/>
      <c r="G30" s="137"/>
      <c r="H30" s="138"/>
      <c r="I30" s="145"/>
      <c r="J30" s="146"/>
      <c r="K30" s="206"/>
      <c r="L30" s="147"/>
      <c r="M30" s="19"/>
      <c r="N30" s="140"/>
      <c r="O30" s="16"/>
      <c r="P30" s="203"/>
      <c r="Q30" s="203"/>
      <c r="R30" s="206"/>
    </row>
    <row r="31" spans="1:18" ht="12.75">
      <c r="A31" s="206"/>
      <c r="B31" s="193"/>
      <c r="C31" s="207"/>
      <c r="D31" s="193"/>
      <c r="E31" s="21"/>
      <c r="F31" s="21"/>
      <c r="G31" s="21"/>
      <c r="H31" s="206"/>
      <c r="I31" s="208"/>
      <c r="J31" s="208"/>
      <c r="K31" s="195"/>
      <c r="L31" s="195"/>
      <c r="M31" s="208"/>
      <c r="N31" s="19"/>
      <c r="O31" s="140"/>
      <c r="P31" s="21"/>
      <c r="Q31" s="21"/>
      <c r="R31" s="203"/>
    </row>
    <row r="32" spans="1:18" ht="12.75">
      <c r="A32" s="206"/>
      <c r="B32" s="192"/>
      <c r="C32" s="136"/>
      <c r="D32" s="193"/>
      <c r="E32" s="16"/>
      <c r="F32" s="21"/>
      <c r="G32" s="21"/>
      <c r="H32" s="206"/>
      <c r="I32" s="209"/>
      <c r="J32" s="209"/>
      <c r="K32" s="18"/>
      <c r="L32" s="18"/>
      <c r="M32" s="147"/>
      <c r="N32" s="19"/>
      <c r="O32" s="140"/>
      <c r="P32" s="16"/>
      <c r="Q32" s="16"/>
      <c r="R32" s="203"/>
    </row>
    <row r="33" spans="1:18" ht="12.75">
      <c r="A33" s="206"/>
      <c r="B33" s="192"/>
      <c r="C33" s="136"/>
      <c r="D33" s="148"/>
      <c r="E33" s="21"/>
      <c r="F33" s="21"/>
      <c r="G33" s="21"/>
      <c r="H33" s="206"/>
      <c r="I33" s="209"/>
      <c r="J33" s="209"/>
      <c r="K33" s="209"/>
      <c r="L33" s="209"/>
      <c r="M33" s="209"/>
      <c r="N33" s="19"/>
      <c r="O33" s="140"/>
      <c r="P33" s="194"/>
      <c r="Q33" s="194"/>
      <c r="R33" s="203"/>
    </row>
    <row r="34" spans="1:18" ht="12.75">
      <c r="A34" s="206"/>
      <c r="B34" s="192"/>
      <c r="C34" s="136"/>
      <c r="D34" s="148"/>
      <c r="E34" s="21"/>
      <c r="F34" s="21"/>
      <c r="G34" s="21"/>
      <c r="H34" s="206"/>
      <c r="I34" s="209"/>
      <c r="J34" s="209"/>
      <c r="K34" s="209"/>
      <c r="L34" s="209"/>
      <c r="M34" s="209"/>
      <c r="N34" s="19"/>
      <c r="O34" s="140"/>
      <c r="P34" s="16"/>
      <c r="Q34" s="16"/>
      <c r="R34" s="203"/>
    </row>
    <row r="35" spans="1:18" ht="12.75">
      <c r="A35" s="206"/>
      <c r="B35" s="192"/>
      <c r="C35" s="136"/>
      <c r="D35" s="148"/>
      <c r="E35" s="21"/>
      <c r="F35" s="21"/>
      <c r="G35" s="21"/>
      <c r="H35" s="206"/>
      <c r="I35" s="209"/>
      <c r="J35" s="209"/>
      <c r="K35" s="209"/>
      <c r="L35" s="209"/>
      <c r="M35" s="209"/>
      <c r="N35" s="19"/>
      <c r="O35" s="140"/>
      <c r="P35" s="16"/>
      <c r="Q35" s="16"/>
      <c r="R35" s="203"/>
    </row>
    <row r="36" spans="1:18" ht="12.75">
      <c r="A36" s="206"/>
      <c r="B36" s="206"/>
      <c r="C36" s="206"/>
      <c r="D36" s="148"/>
      <c r="E36" s="21"/>
      <c r="F36" s="21"/>
      <c r="G36" s="21"/>
      <c r="H36" s="206"/>
      <c r="I36" s="209"/>
      <c r="J36" s="209"/>
      <c r="K36" s="18"/>
      <c r="L36" s="18"/>
      <c r="M36" s="18"/>
      <c r="N36" s="19"/>
      <c r="O36" s="19"/>
      <c r="P36" s="19"/>
      <c r="Q36" s="19"/>
      <c r="R36" s="203"/>
    </row>
    <row r="37" spans="1:18" ht="12.75">
      <c r="A37" s="206"/>
      <c r="B37" s="206"/>
      <c r="C37" s="206"/>
      <c r="D37" s="148"/>
      <c r="E37" s="206"/>
      <c r="F37" s="195"/>
      <c r="G37" s="195"/>
      <c r="H37" s="206"/>
      <c r="I37" s="209"/>
      <c r="J37" s="209"/>
      <c r="K37" s="18"/>
      <c r="L37" s="18"/>
      <c r="M37" s="18"/>
      <c r="N37" s="19"/>
      <c r="O37" s="19"/>
      <c r="P37" s="19"/>
      <c r="Q37" s="19"/>
      <c r="R37" s="203"/>
    </row>
    <row r="38" spans="1:18" ht="12.75">
      <c r="A38" s="206"/>
      <c r="B38" s="152"/>
      <c r="C38" s="133"/>
      <c r="D38" s="148"/>
      <c r="E38" s="21"/>
      <c r="F38" s="21"/>
      <c r="G38" s="21"/>
      <c r="H38" s="206"/>
      <c r="I38" s="209"/>
      <c r="J38" s="209"/>
      <c r="K38" s="18"/>
      <c r="L38" s="18"/>
      <c r="M38" s="18"/>
      <c r="N38" s="19"/>
      <c r="O38" s="19"/>
      <c r="P38" s="19"/>
      <c r="Q38" s="19"/>
      <c r="R38" s="203"/>
    </row>
    <row r="39" spans="1:18" ht="12.75">
      <c r="A39" s="206"/>
      <c r="B39" s="152"/>
      <c r="C39" s="133"/>
      <c r="D39" s="148"/>
      <c r="E39" s="21"/>
      <c r="F39" s="21"/>
      <c r="G39" s="21"/>
      <c r="H39" s="206"/>
      <c r="I39" s="209"/>
      <c r="J39" s="209"/>
      <c r="K39" s="18"/>
      <c r="L39" s="18"/>
      <c r="M39" s="18"/>
      <c r="N39" s="19"/>
      <c r="O39" s="19"/>
      <c r="P39" s="19"/>
      <c r="Q39" s="19"/>
      <c r="R39" s="203"/>
    </row>
    <row r="40" spans="1:18" ht="12.75">
      <c r="A40" s="206"/>
      <c r="B40" s="152"/>
      <c r="C40" s="133"/>
      <c r="D40" s="148"/>
      <c r="E40" s="21"/>
      <c r="F40" s="21"/>
      <c r="G40" s="21"/>
      <c r="H40" s="206"/>
      <c r="I40" s="209"/>
      <c r="J40" s="209"/>
      <c r="K40" s="18"/>
      <c r="L40" s="18"/>
      <c r="M40" s="18"/>
      <c r="N40" s="19"/>
      <c r="O40" s="19"/>
      <c r="P40" s="19"/>
      <c r="Q40" s="19"/>
      <c r="R40" s="203"/>
    </row>
    <row r="41" spans="1:18" ht="12.75">
      <c r="A41" s="206"/>
      <c r="B41" s="152"/>
      <c r="C41" s="133"/>
      <c r="D41" s="148"/>
      <c r="E41" s="21"/>
      <c r="F41" s="21"/>
      <c r="G41" s="21"/>
      <c r="H41" s="206"/>
      <c r="I41" s="133"/>
      <c r="J41" s="133"/>
      <c r="K41" s="133"/>
      <c r="L41" s="133"/>
      <c r="M41" s="133"/>
      <c r="N41" s="19"/>
      <c r="O41" s="19"/>
      <c r="P41" s="19"/>
      <c r="Q41" s="19"/>
      <c r="R41" s="203"/>
    </row>
    <row r="42" spans="1:18" ht="12.75">
      <c r="A42" s="206"/>
      <c r="B42" s="152"/>
      <c r="C42" s="133"/>
      <c r="D42" s="148"/>
      <c r="E42" s="21"/>
      <c r="F42" s="21"/>
      <c r="G42" s="21"/>
      <c r="H42" s="206"/>
      <c r="I42" s="133"/>
      <c r="J42" s="133"/>
      <c r="K42" s="133"/>
      <c r="L42" s="133"/>
      <c r="M42" s="133"/>
      <c r="N42" s="19"/>
      <c r="O42" s="19"/>
      <c r="P42" s="19"/>
      <c r="Q42" s="19"/>
      <c r="R42" s="203"/>
    </row>
    <row r="43" spans="1:18" ht="12.75">
      <c r="A43" s="206"/>
      <c r="B43" s="152"/>
      <c r="C43" s="133"/>
      <c r="D43" s="148"/>
      <c r="E43" s="21"/>
      <c r="F43" s="21"/>
      <c r="G43" s="21"/>
      <c r="H43" s="206"/>
      <c r="I43" s="133"/>
      <c r="J43" s="133"/>
      <c r="K43" s="133"/>
      <c r="L43" s="133"/>
      <c r="M43" s="133"/>
      <c r="N43" s="19"/>
      <c r="O43" s="19"/>
      <c r="P43" s="19"/>
      <c r="Q43" s="19"/>
      <c r="R43" s="203"/>
    </row>
    <row r="44" spans="1:18" ht="12.75">
      <c r="A44" s="206"/>
      <c r="B44" s="206"/>
      <c r="C44" s="206"/>
      <c r="D44" s="151"/>
      <c r="E44" s="206"/>
      <c r="F44" s="195"/>
      <c r="G44" s="195"/>
      <c r="H44" s="206"/>
      <c r="I44" s="133"/>
      <c r="J44" s="133"/>
      <c r="K44" s="133"/>
      <c r="L44" s="133"/>
      <c r="M44" s="133"/>
      <c r="N44" s="19"/>
      <c r="O44" s="19"/>
      <c r="P44" s="19"/>
      <c r="Q44" s="19"/>
      <c r="R44" s="203"/>
    </row>
    <row r="45" spans="1:18" ht="12.75">
      <c r="A45" s="206"/>
      <c r="B45" s="152"/>
      <c r="C45" s="133"/>
      <c r="D45" s="148"/>
      <c r="E45" s="21"/>
      <c r="F45" s="21"/>
      <c r="G45" s="21"/>
      <c r="H45" s="206"/>
      <c r="I45" s="133"/>
      <c r="J45" s="133"/>
      <c r="K45" s="133"/>
      <c r="L45" s="133"/>
      <c r="M45" s="133"/>
      <c r="N45" s="19"/>
      <c r="O45" s="19"/>
      <c r="P45" s="19"/>
      <c r="Q45" s="19"/>
      <c r="R45" s="203"/>
    </row>
    <row r="46" spans="1:18" ht="12.75">
      <c r="A46" s="206"/>
      <c r="B46" s="152"/>
      <c r="C46" s="133"/>
      <c r="D46" s="148"/>
      <c r="E46" s="21"/>
      <c r="F46" s="21"/>
      <c r="G46" s="21"/>
      <c r="H46" s="206"/>
      <c r="I46" s="133"/>
      <c r="J46" s="133"/>
      <c r="K46" s="133"/>
      <c r="L46" s="133"/>
      <c r="M46" s="133"/>
      <c r="N46" s="19"/>
      <c r="O46" s="19"/>
      <c r="P46" s="19"/>
      <c r="Q46" s="19"/>
      <c r="R46" s="203"/>
    </row>
    <row r="47" spans="1:18" ht="12.75">
      <c r="A47" s="206"/>
      <c r="B47" s="206"/>
      <c r="C47" s="206"/>
      <c r="D47" s="151"/>
      <c r="E47" s="206"/>
      <c r="F47" s="195"/>
      <c r="G47" s="195"/>
      <c r="H47" s="206"/>
      <c r="I47" s="206"/>
      <c r="J47" s="133"/>
      <c r="K47" s="133"/>
      <c r="L47" s="133"/>
      <c r="M47" s="133"/>
      <c r="N47" s="19"/>
      <c r="O47" s="19"/>
      <c r="P47" s="19"/>
      <c r="Q47" s="19"/>
      <c r="R47" s="203"/>
    </row>
    <row r="48" spans="1:18" ht="12.75">
      <c r="A48" s="206"/>
      <c r="B48" s="152"/>
      <c r="C48" s="133"/>
      <c r="D48" s="148"/>
      <c r="E48" s="21"/>
      <c r="F48" s="21"/>
      <c r="G48" s="21"/>
      <c r="H48" s="206"/>
      <c r="I48" s="133"/>
      <c r="J48" s="133"/>
      <c r="K48" s="133"/>
      <c r="L48" s="133"/>
      <c r="M48" s="133"/>
      <c r="N48" s="19"/>
      <c r="O48" s="19"/>
      <c r="P48" s="19"/>
      <c r="Q48" s="19"/>
      <c r="R48" s="203"/>
    </row>
    <row r="49" spans="1:18" ht="12.75">
      <c r="A49" s="206"/>
      <c r="B49" s="152"/>
      <c r="C49" s="133"/>
      <c r="D49" s="148"/>
      <c r="E49" s="21"/>
      <c r="F49" s="21"/>
      <c r="G49" s="21"/>
      <c r="H49" s="206"/>
      <c r="I49" s="133"/>
      <c r="J49" s="133"/>
      <c r="K49" s="133"/>
      <c r="L49" s="133"/>
      <c r="M49" s="133"/>
      <c r="N49" s="19"/>
      <c r="O49" s="19"/>
      <c r="P49" s="19"/>
      <c r="Q49" s="19"/>
      <c r="R49" s="203"/>
    </row>
    <row r="50" spans="1:18" ht="12.75">
      <c r="A50" s="206"/>
      <c r="B50" s="152"/>
      <c r="C50" s="133"/>
      <c r="D50" s="148"/>
      <c r="E50" s="21"/>
      <c r="F50" s="21"/>
      <c r="G50" s="21"/>
      <c r="H50" s="206"/>
      <c r="I50" s="133"/>
      <c r="J50" s="133"/>
      <c r="K50" s="133"/>
      <c r="L50" s="133"/>
      <c r="M50" s="133"/>
      <c r="N50" s="19"/>
      <c r="O50" s="19"/>
      <c r="P50" s="19"/>
      <c r="Q50" s="19"/>
      <c r="R50" s="203"/>
    </row>
    <row r="51" spans="1:18" ht="12.75">
      <c r="A51" s="206"/>
      <c r="B51" s="152"/>
      <c r="C51" s="133"/>
      <c r="D51" s="148"/>
      <c r="E51" s="206"/>
      <c r="F51" s="196"/>
      <c r="G51" s="196"/>
      <c r="H51" s="206"/>
      <c r="I51" s="133"/>
      <c r="J51" s="133"/>
      <c r="K51" s="133"/>
      <c r="L51" s="133"/>
      <c r="M51" s="133"/>
      <c r="N51" s="19"/>
      <c r="O51" s="19"/>
      <c r="P51" s="133"/>
      <c r="Q51" s="133"/>
      <c r="R51" s="203"/>
    </row>
    <row r="52" spans="1:18" ht="12.75">
      <c r="A52" s="206"/>
      <c r="B52" s="152"/>
      <c r="C52" s="133"/>
      <c r="D52" s="148"/>
      <c r="E52" s="21"/>
      <c r="F52" s="21"/>
      <c r="G52" s="21"/>
      <c r="H52" s="206"/>
      <c r="I52" s="133"/>
      <c r="J52" s="133"/>
      <c r="K52" s="133"/>
      <c r="L52" s="133"/>
      <c r="M52" s="133"/>
      <c r="N52" s="19"/>
      <c r="O52" s="19"/>
      <c r="P52" s="19"/>
      <c r="Q52" s="19"/>
      <c r="R52" s="203"/>
    </row>
    <row r="53" spans="1:18" ht="12.75">
      <c r="A53" s="206"/>
      <c r="B53" s="152"/>
      <c r="C53" s="133"/>
      <c r="D53" s="148"/>
      <c r="E53" s="21"/>
      <c r="F53" s="21"/>
      <c r="G53" s="21"/>
      <c r="H53" s="206"/>
      <c r="I53" s="133"/>
      <c r="J53" s="197"/>
      <c r="K53" s="133"/>
      <c r="L53" s="133"/>
      <c r="M53" s="133"/>
      <c r="N53" s="19"/>
      <c r="O53" s="19"/>
      <c r="P53" s="19"/>
      <c r="Q53" s="19"/>
      <c r="R53" s="203"/>
    </row>
    <row r="54" spans="1:18" ht="12.75">
      <c r="A54" s="206"/>
      <c r="B54" s="206"/>
      <c r="C54" s="206"/>
      <c r="D54" s="151"/>
      <c r="E54" s="206"/>
      <c r="F54" s="21"/>
      <c r="G54" s="21"/>
      <c r="H54" s="206"/>
      <c r="I54" s="133"/>
      <c r="J54" s="197"/>
      <c r="K54" s="133"/>
      <c r="L54" s="133"/>
      <c r="M54" s="133"/>
      <c r="N54" s="19"/>
      <c r="O54" s="19"/>
      <c r="P54" s="19"/>
      <c r="Q54" s="19"/>
      <c r="R54" s="203"/>
    </row>
    <row r="55" spans="1:18" ht="12.75">
      <c r="A55" s="206"/>
      <c r="B55" s="206"/>
      <c r="C55" s="133"/>
      <c r="D55" s="148"/>
      <c r="E55" s="21"/>
      <c r="F55" s="21"/>
      <c r="G55" s="21"/>
      <c r="H55" s="206"/>
      <c r="I55" s="133"/>
      <c r="J55" s="133"/>
      <c r="K55" s="133"/>
      <c r="L55" s="133"/>
      <c r="M55" s="133"/>
      <c r="N55" s="19"/>
      <c r="O55" s="19"/>
      <c r="P55" s="19"/>
      <c r="Q55" s="19"/>
      <c r="R55" s="203"/>
    </row>
    <row r="56" spans="1:18" ht="12.75">
      <c r="A56" s="206"/>
      <c r="B56" s="152"/>
      <c r="C56" s="133"/>
      <c r="D56" s="198"/>
      <c r="E56" s="199"/>
      <c r="F56" s="21"/>
      <c r="G56" s="21"/>
      <c r="H56" s="206"/>
      <c r="I56" s="91"/>
      <c r="J56" s="209"/>
      <c r="K56" s="18"/>
      <c r="L56" s="18"/>
      <c r="M56" s="18"/>
      <c r="N56" s="19"/>
      <c r="O56" s="19"/>
      <c r="P56" s="19"/>
      <c r="Q56" s="19"/>
      <c r="R56" s="203"/>
    </row>
    <row r="57" spans="1:18" ht="12.75">
      <c r="A57" s="206"/>
      <c r="B57" s="152"/>
      <c r="C57" s="133"/>
      <c r="D57" s="152"/>
      <c r="E57" s="199"/>
      <c r="F57" s="21"/>
      <c r="G57" s="21"/>
      <c r="H57" s="206"/>
      <c r="I57" s="91"/>
      <c r="J57" s="209"/>
      <c r="K57" s="18"/>
      <c r="L57" s="18"/>
      <c r="M57" s="18"/>
      <c r="N57" s="19"/>
      <c r="O57" s="19"/>
      <c r="P57" s="19"/>
      <c r="Q57" s="19"/>
      <c r="R57" s="203"/>
    </row>
    <row r="58" spans="1:18" ht="12.75">
      <c r="A58" s="206"/>
      <c r="B58" s="152"/>
      <c r="C58" s="210"/>
      <c r="D58" s="198"/>
      <c r="E58" s="199"/>
      <c r="F58" s="21"/>
      <c r="G58" s="21"/>
      <c r="H58" s="206"/>
      <c r="I58" s="210"/>
      <c r="J58" s="208"/>
      <c r="K58" s="195"/>
      <c r="L58" s="195"/>
      <c r="M58" s="195"/>
      <c r="N58" s="19"/>
      <c r="O58" s="19"/>
      <c r="P58" s="19"/>
      <c r="Q58" s="19"/>
      <c r="R58" s="203"/>
    </row>
    <row r="59" spans="1:18" ht="12.75">
      <c r="A59" s="206"/>
      <c r="B59" s="152"/>
      <c r="C59" s="210"/>
      <c r="D59" s="198"/>
      <c r="E59" s="199"/>
      <c r="F59" s="21"/>
      <c r="G59" s="21"/>
      <c r="H59" s="206"/>
      <c r="I59" s="210"/>
      <c r="J59" s="209"/>
      <c r="K59" s="18"/>
      <c r="L59" s="18"/>
      <c r="M59" s="18"/>
      <c r="N59" s="19"/>
      <c r="O59" s="19"/>
      <c r="P59" s="19"/>
      <c r="Q59" s="19"/>
      <c r="R59" s="203"/>
    </row>
    <row r="60" spans="1:18" ht="12.75">
      <c r="A60" s="206"/>
      <c r="B60" s="152"/>
      <c r="C60" s="210"/>
      <c r="D60" s="152"/>
      <c r="E60" s="199"/>
      <c r="F60" s="21"/>
      <c r="G60" s="21"/>
      <c r="H60" s="206"/>
      <c r="I60" s="210"/>
      <c r="J60" s="209"/>
      <c r="K60" s="18"/>
      <c r="L60" s="18"/>
      <c r="M60" s="18"/>
      <c r="N60" s="19"/>
      <c r="O60" s="19"/>
      <c r="P60" s="19"/>
      <c r="Q60" s="19"/>
      <c r="R60" s="203"/>
    </row>
    <row r="61" spans="1:18" ht="12.75">
      <c r="A61" s="206"/>
      <c r="B61" s="152"/>
      <c r="C61" s="210"/>
      <c r="D61" s="152"/>
      <c r="E61" s="199"/>
      <c r="F61" s="21"/>
      <c r="G61" s="21"/>
      <c r="H61" s="206"/>
      <c r="I61" s="91"/>
      <c r="J61" s="209"/>
      <c r="K61" s="18"/>
      <c r="L61" s="18"/>
      <c r="M61" s="18"/>
      <c r="N61" s="19"/>
      <c r="O61" s="19"/>
      <c r="P61" s="19"/>
      <c r="Q61" s="19"/>
      <c r="R61" s="203"/>
    </row>
    <row r="62" spans="1:18" ht="12.75">
      <c r="A62" s="206"/>
      <c r="B62" s="152"/>
      <c r="C62" s="210"/>
      <c r="D62" s="152"/>
      <c r="E62" s="21"/>
      <c r="F62" s="21"/>
      <c r="G62" s="21"/>
      <c r="H62" s="206"/>
      <c r="I62" s="91"/>
      <c r="J62" s="209"/>
      <c r="K62" s="18"/>
      <c r="L62" s="18"/>
      <c r="M62" s="18"/>
      <c r="N62" s="19"/>
      <c r="O62" s="19"/>
      <c r="P62" s="19"/>
      <c r="Q62" s="19"/>
      <c r="R62" s="203"/>
    </row>
    <row r="63" spans="1:18" ht="12.75">
      <c r="A63" s="206"/>
      <c r="B63" s="152"/>
      <c r="C63" s="210"/>
      <c r="D63" s="152"/>
      <c r="E63" s="21"/>
      <c r="F63" s="21"/>
      <c r="G63" s="21"/>
      <c r="H63" s="206"/>
      <c r="I63" s="91"/>
      <c r="J63" s="209"/>
      <c r="K63" s="18"/>
      <c r="L63" s="18"/>
      <c r="M63" s="18"/>
      <c r="N63" s="19"/>
      <c r="O63" s="19"/>
      <c r="P63" s="19"/>
      <c r="Q63" s="19"/>
      <c r="R63" s="203"/>
    </row>
    <row r="64" spans="1:18" ht="12.75">
      <c r="A64" s="206"/>
      <c r="B64" s="152"/>
      <c r="C64" s="210"/>
      <c r="D64" s="152"/>
      <c r="E64" s="199"/>
      <c r="F64" s="195"/>
      <c r="G64" s="195"/>
      <c r="H64" s="206"/>
      <c r="I64" s="91"/>
      <c r="J64" s="209"/>
      <c r="K64" s="18"/>
      <c r="L64" s="18"/>
      <c r="M64" s="18"/>
      <c r="N64" s="19"/>
      <c r="O64" s="19"/>
      <c r="P64" s="19"/>
      <c r="Q64" s="19"/>
      <c r="R64" s="203"/>
    </row>
    <row r="65" spans="1:18" ht="12.75">
      <c r="A65" s="206"/>
      <c r="B65" s="206"/>
      <c r="C65" s="206"/>
      <c r="D65" s="206"/>
      <c r="E65" s="199"/>
      <c r="F65" s="195"/>
      <c r="G65" s="195"/>
      <c r="H65" s="206"/>
      <c r="I65" s="91"/>
      <c r="J65" s="209"/>
      <c r="K65" s="18"/>
      <c r="L65" s="18"/>
      <c r="M65" s="18"/>
      <c r="N65" s="19"/>
      <c r="O65" s="19"/>
      <c r="P65" s="19"/>
      <c r="Q65" s="19"/>
      <c r="R65" s="203"/>
    </row>
    <row r="66" spans="1:18" ht="12.75">
      <c r="A66" s="206"/>
      <c r="B66" s="152"/>
      <c r="C66" s="210"/>
      <c r="D66" s="152"/>
      <c r="E66" s="199"/>
      <c r="F66" s="195"/>
      <c r="G66" s="195"/>
      <c r="H66" s="206"/>
      <c r="I66" s="91"/>
      <c r="J66" s="209"/>
      <c r="K66" s="18"/>
      <c r="L66" s="18"/>
      <c r="M66" s="18"/>
      <c r="N66" s="19"/>
      <c r="O66" s="19"/>
      <c r="P66" s="19"/>
      <c r="Q66" s="19"/>
      <c r="R66" s="203"/>
    </row>
    <row r="67" spans="1:18" ht="12.75">
      <c r="A67" s="206"/>
      <c r="B67" s="152"/>
      <c r="C67" s="210"/>
      <c r="D67" s="152"/>
      <c r="E67" s="199"/>
      <c r="F67" s="195"/>
      <c r="G67" s="195"/>
      <c r="H67" s="206"/>
      <c r="I67" s="91"/>
      <c r="J67" s="209"/>
      <c r="K67" s="18"/>
      <c r="L67" s="18"/>
      <c r="M67" s="18"/>
      <c r="N67" s="19"/>
      <c r="O67" s="19"/>
      <c r="P67" s="19"/>
      <c r="Q67" s="19"/>
      <c r="R67" s="203"/>
    </row>
    <row r="68" spans="1:18" ht="12.75">
      <c r="A68" s="206"/>
      <c r="B68" s="152"/>
      <c r="C68" s="210"/>
      <c r="D68" s="152"/>
      <c r="E68" s="199"/>
      <c r="F68" s="195"/>
      <c r="G68" s="195"/>
      <c r="H68" s="206"/>
      <c r="I68" s="91"/>
      <c r="J68" s="209"/>
      <c r="K68" s="18"/>
      <c r="L68" s="18"/>
      <c r="M68" s="18"/>
      <c r="N68" s="19"/>
      <c r="O68" s="19"/>
      <c r="P68" s="19"/>
      <c r="Q68" s="19"/>
      <c r="R68" s="203"/>
    </row>
    <row r="69" spans="1:18" ht="12.75">
      <c r="A69" s="206"/>
      <c r="B69" s="152"/>
      <c r="C69" s="210"/>
      <c r="D69" s="152"/>
      <c r="E69" s="199"/>
      <c r="F69" s="195"/>
      <c r="G69" s="195"/>
      <c r="H69" s="206"/>
      <c r="I69" s="91"/>
      <c r="J69" s="209"/>
      <c r="K69" s="18"/>
      <c r="L69" s="18"/>
      <c r="M69" s="18"/>
      <c r="N69" s="19"/>
      <c r="O69" s="19"/>
      <c r="P69" s="19"/>
      <c r="Q69" s="19"/>
      <c r="R69" s="203"/>
    </row>
    <row r="70" spans="1:18" ht="12.75">
      <c r="A70" s="206"/>
      <c r="B70" s="152"/>
      <c r="C70" s="210"/>
      <c r="D70" s="152"/>
      <c r="E70" s="199"/>
      <c r="F70" s="195"/>
      <c r="G70" s="195"/>
      <c r="H70" s="206"/>
      <c r="I70" s="210"/>
      <c r="J70" s="18"/>
      <c r="K70" s="18"/>
      <c r="L70" s="18"/>
      <c r="M70" s="18"/>
      <c r="N70" s="19"/>
      <c r="O70" s="19"/>
      <c r="P70" s="19"/>
      <c r="Q70" s="19"/>
      <c r="R70" s="203"/>
    </row>
    <row r="71" spans="1:18" ht="12.75">
      <c r="A71" s="206"/>
      <c r="B71" s="152"/>
      <c r="C71" s="210"/>
      <c r="D71" s="152"/>
      <c r="E71" s="199"/>
      <c r="F71" s="195"/>
      <c r="G71" s="195"/>
      <c r="H71" s="206"/>
      <c r="I71" s="210"/>
      <c r="J71" s="18"/>
      <c r="K71" s="18"/>
      <c r="L71" s="18"/>
      <c r="M71" s="18"/>
      <c r="N71" s="19"/>
      <c r="O71" s="19"/>
      <c r="P71" s="19"/>
      <c r="Q71" s="19"/>
      <c r="R71" s="203"/>
    </row>
    <row r="72" spans="1:18" ht="12.75">
      <c r="A72" s="206"/>
      <c r="B72" s="152"/>
      <c r="C72" s="210"/>
      <c r="D72" s="152"/>
      <c r="E72" s="199"/>
      <c r="F72" s="195"/>
      <c r="G72" s="195"/>
      <c r="H72" s="206"/>
      <c r="I72" s="210"/>
      <c r="J72" s="18"/>
      <c r="K72" s="18"/>
      <c r="L72" s="18"/>
      <c r="M72" s="18"/>
      <c r="N72" s="19"/>
      <c r="O72" s="19"/>
      <c r="P72" s="19"/>
      <c r="Q72" s="19"/>
      <c r="R72" s="203"/>
    </row>
    <row r="73" spans="1:18" ht="12.75">
      <c r="A73" s="206"/>
      <c r="B73" s="152"/>
      <c r="C73" s="210"/>
      <c r="D73" s="152"/>
      <c r="E73" s="199"/>
      <c r="F73" s="195"/>
      <c r="G73" s="195"/>
      <c r="H73" s="206"/>
      <c r="I73" s="91"/>
      <c r="J73" s="18"/>
      <c r="K73" s="18"/>
      <c r="L73" s="18"/>
      <c r="M73" s="18"/>
      <c r="N73" s="19"/>
      <c r="O73" s="19"/>
      <c r="P73" s="19"/>
      <c r="Q73" s="19"/>
      <c r="R73" s="203"/>
    </row>
    <row r="74" spans="1:18" ht="12.75">
      <c r="A74" s="206"/>
      <c r="B74" s="152"/>
      <c r="C74" s="210"/>
      <c r="D74" s="152"/>
      <c r="E74" s="199"/>
      <c r="F74" s="195"/>
      <c r="G74" s="195"/>
      <c r="H74" s="206"/>
      <c r="I74" s="210"/>
      <c r="J74" s="18"/>
      <c r="K74" s="18"/>
      <c r="L74" s="18"/>
      <c r="M74" s="18"/>
      <c r="N74" s="19"/>
      <c r="O74" s="19"/>
      <c r="P74" s="19"/>
      <c r="Q74" s="19"/>
      <c r="R74" s="203"/>
    </row>
    <row r="75" spans="1:18" ht="12.75">
      <c r="A75" s="206"/>
      <c r="B75" s="152"/>
      <c r="C75" s="210"/>
      <c r="D75" s="152"/>
      <c r="E75" s="199"/>
      <c r="F75" s="195"/>
      <c r="G75" s="195"/>
      <c r="H75" s="206"/>
      <c r="I75" s="210"/>
      <c r="J75" s="18"/>
      <c r="K75" s="18"/>
      <c r="L75" s="18"/>
      <c r="M75" s="18"/>
      <c r="N75" s="19"/>
      <c r="O75" s="19"/>
      <c r="P75" s="19"/>
      <c r="Q75" s="19"/>
      <c r="R75" s="203"/>
    </row>
    <row r="76" spans="1:18" ht="12.75">
      <c r="A76" s="206"/>
      <c r="B76" s="152"/>
      <c r="C76" s="210"/>
      <c r="D76" s="152"/>
      <c r="E76" s="206"/>
      <c r="F76" s="195"/>
      <c r="G76" s="195"/>
      <c r="H76" s="206"/>
      <c r="I76" s="210"/>
      <c r="J76" s="18"/>
      <c r="K76" s="18"/>
      <c r="L76" s="18"/>
      <c r="M76" s="18"/>
      <c r="N76" s="19"/>
      <c r="O76" s="19"/>
      <c r="P76" s="19"/>
      <c r="Q76" s="19"/>
      <c r="R76" s="203"/>
    </row>
    <row r="77" spans="1:18" ht="12.75">
      <c r="A77" s="206"/>
      <c r="B77" s="152"/>
      <c r="C77" s="210"/>
      <c r="D77" s="154"/>
      <c r="E77" s="199"/>
      <c r="F77" s="195"/>
      <c r="G77" s="195"/>
      <c r="H77" s="206"/>
      <c r="I77" s="210"/>
      <c r="J77" s="18"/>
      <c r="K77" s="18"/>
      <c r="L77" s="18"/>
      <c r="M77" s="18"/>
      <c r="N77" s="19"/>
      <c r="O77" s="19"/>
      <c r="P77" s="19"/>
      <c r="Q77" s="19"/>
      <c r="R77" s="203"/>
    </row>
    <row r="78" spans="1:18" ht="12.75">
      <c r="A78" s="206"/>
      <c r="B78" s="206"/>
      <c r="C78" s="210"/>
      <c r="D78" s="200"/>
      <c r="E78" s="206"/>
      <c r="F78" s="200"/>
      <c r="G78" s="200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3"/>
    </row>
    <row r="79" spans="1:18" ht="12.75">
      <c r="A79" s="206"/>
      <c r="B79" s="152"/>
      <c r="C79" s="133"/>
      <c r="D79" s="152"/>
      <c r="E79" s="199"/>
      <c r="F79" s="21"/>
      <c r="G79" s="21"/>
      <c r="H79" s="206"/>
      <c r="I79" s="91"/>
      <c r="J79" s="209"/>
      <c r="K79" s="21"/>
      <c r="L79" s="21"/>
      <c r="M79" s="18"/>
      <c r="N79" s="19"/>
      <c r="O79" s="140"/>
      <c r="P79" s="19"/>
      <c r="Q79" s="19"/>
      <c r="R79" s="203"/>
    </row>
    <row r="80" spans="1:18" ht="12.75">
      <c r="A80" s="206"/>
      <c r="B80" s="152"/>
      <c r="C80" s="210"/>
      <c r="D80" s="152"/>
      <c r="E80" s="199"/>
      <c r="F80" s="21"/>
      <c r="G80" s="21"/>
      <c r="H80" s="206"/>
      <c r="I80" s="91"/>
      <c r="J80" s="18"/>
      <c r="K80" s="18"/>
      <c r="L80" s="18"/>
      <c r="M80" s="18"/>
      <c r="N80" s="19"/>
      <c r="O80" s="140"/>
      <c r="P80" s="19"/>
      <c r="Q80" s="19"/>
      <c r="R80" s="203"/>
    </row>
    <row r="81" spans="1:18" ht="12.75">
      <c r="A81" s="206"/>
      <c r="B81" s="88"/>
      <c r="C81" s="210"/>
      <c r="D81" s="201"/>
      <c r="E81" s="199"/>
      <c r="F81" s="21"/>
      <c r="G81" s="21"/>
      <c r="H81" s="206"/>
      <c r="I81" s="91"/>
      <c r="J81" s="18"/>
      <c r="K81" s="206"/>
      <c r="L81" s="206"/>
      <c r="M81" s="206"/>
      <c r="N81" s="19"/>
      <c r="O81" s="140"/>
      <c r="P81" s="206"/>
      <c r="Q81" s="206"/>
      <c r="R81" s="203"/>
    </row>
    <row r="82" spans="1:18" ht="12.75">
      <c r="A82" s="206"/>
      <c r="B82" s="206"/>
      <c r="C82" s="206"/>
      <c r="D82" s="202"/>
      <c r="E82" s="199"/>
      <c r="F82" s="21"/>
      <c r="G82" s="21"/>
      <c r="H82" s="206"/>
      <c r="I82" s="91"/>
      <c r="J82" s="18"/>
      <c r="K82" s="206"/>
      <c r="L82" s="206"/>
      <c r="M82" s="206"/>
      <c r="N82" s="19"/>
      <c r="O82" s="140"/>
      <c r="P82" s="206"/>
      <c r="Q82" s="206"/>
      <c r="R82" s="203"/>
    </row>
    <row r="83" spans="1:18" ht="12.75">
      <c r="A83" s="206"/>
      <c r="B83" s="206"/>
      <c r="C83" s="206"/>
      <c r="D83" s="202"/>
      <c r="E83" s="199"/>
      <c r="F83" s="21"/>
      <c r="G83" s="21"/>
      <c r="H83" s="206"/>
      <c r="I83" s="91"/>
      <c r="J83" s="18"/>
      <c r="K83" s="206"/>
      <c r="L83" s="206"/>
      <c r="M83" s="206"/>
      <c r="N83" s="19"/>
      <c r="O83" s="140"/>
      <c r="P83" s="206"/>
      <c r="Q83" s="206"/>
      <c r="R83" s="203"/>
    </row>
    <row r="84" spans="1:18" ht="12.75">
      <c r="A84" s="206"/>
      <c r="B84" s="206"/>
      <c r="C84" s="206"/>
      <c r="D84" s="202"/>
      <c r="E84" s="199"/>
      <c r="F84" s="21"/>
      <c r="G84" s="21"/>
      <c r="H84" s="206"/>
      <c r="I84" s="91"/>
      <c r="J84" s="18"/>
      <c r="K84" s="206"/>
      <c r="L84" s="206"/>
      <c r="M84" s="206"/>
      <c r="N84" s="19"/>
      <c r="O84" s="140"/>
      <c r="P84" s="206"/>
      <c r="Q84" s="206"/>
      <c r="R84" s="203"/>
    </row>
    <row r="85" spans="1:18" ht="12.75">
      <c r="A85" s="206"/>
      <c r="B85" s="88"/>
      <c r="C85" s="210"/>
      <c r="D85" s="201"/>
      <c r="E85" s="199"/>
      <c r="F85" s="21"/>
      <c r="G85" s="21"/>
      <c r="H85" s="206"/>
      <c r="I85" s="91"/>
      <c r="J85" s="18"/>
      <c r="K85" s="206"/>
      <c r="L85" s="206"/>
      <c r="M85" s="206"/>
      <c r="N85" s="19"/>
      <c r="O85" s="140"/>
      <c r="P85" s="206"/>
      <c r="Q85" s="206"/>
      <c r="R85" s="203"/>
    </row>
    <row r="86" spans="1:18" ht="12.75">
      <c r="A86" s="206"/>
      <c r="B86" s="206"/>
      <c r="C86" s="206"/>
      <c r="D86" s="204"/>
      <c r="E86" s="206"/>
      <c r="F86" s="206"/>
      <c r="G86" s="206"/>
      <c r="H86" s="206"/>
      <c r="I86" s="206"/>
      <c r="J86" s="18"/>
      <c r="K86" s="206"/>
      <c r="L86" s="206"/>
      <c r="M86" s="206"/>
      <c r="N86" s="206"/>
      <c r="O86" s="206"/>
      <c r="P86" s="206"/>
      <c r="Q86" s="206"/>
      <c r="R86" s="206"/>
    </row>
    <row r="87" spans="1:18" ht="12.75">
      <c r="A87" s="206"/>
      <c r="B87" s="88"/>
      <c r="C87" s="210"/>
      <c r="D87" s="206"/>
      <c r="E87" s="199"/>
      <c r="F87" s="21"/>
      <c r="G87" s="21"/>
      <c r="H87" s="206"/>
      <c r="I87" s="156"/>
      <c r="J87" s="208"/>
      <c r="K87" s="211"/>
      <c r="L87" s="21"/>
      <c r="M87" s="195"/>
      <c r="N87" s="19"/>
      <c r="O87" s="140"/>
      <c r="P87" s="19"/>
      <c r="Q87" s="19"/>
      <c r="R87" s="203"/>
    </row>
    <row r="88" spans="1:18" ht="12.75">
      <c r="A88" s="206"/>
      <c r="B88" s="88"/>
      <c r="C88" s="210"/>
      <c r="D88" s="206"/>
      <c r="E88" s="199"/>
      <c r="F88" s="21"/>
      <c r="G88" s="21"/>
      <c r="H88" s="206"/>
      <c r="I88" s="156"/>
      <c r="J88" s="208"/>
      <c r="K88" s="211"/>
      <c r="L88" s="21"/>
      <c r="M88" s="195"/>
      <c r="N88" s="19"/>
      <c r="O88" s="140"/>
      <c r="P88" s="19"/>
      <c r="Q88" s="19"/>
      <c r="R88" s="203"/>
    </row>
    <row r="89" spans="1:18" ht="12.75">
      <c r="A89" s="206"/>
      <c r="B89" s="200"/>
      <c r="C89" s="210"/>
      <c r="D89" s="206"/>
      <c r="E89" s="199"/>
      <c r="F89" s="195"/>
      <c r="G89" s="195"/>
      <c r="H89" s="206"/>
      <c r="I89" s="156"/>
      <c r="J89" s="206"/>
      <c r="K89" s="211"/>
      <c r="L89" s="21"/>
      <c r="M89" s="195"/>
      <c r="N89" s="19"/>
      <c r="O89" s="140"/>
      <c r="P89" s="206"/>
      <c r="Q89" s="206"/>
      <c r="R89" s="203"/>
    </row>
    <row r="90" spans="1:18" ht="12.75">
      <c r="A90" s="206"/>
      <c r="B90" s="200"/>
      <c r="C90" s="210"/>
      <c r="D90" s="206"/>
      <c r="E90" s="199"/>
      <c r="F90" s="195"/>
      <c r="G90" s="195"/>
      <c r="H90" s="206"/>
      <c r="I90" s="156"/>
      <c r="J90" s="206"/>
      <c r="K90" s="211"/>
      <c r="L90" s="21"/>
      <c r="M90" s="195"/>
      <c r="N90" s="19"/>
      <c r="O90" s="140"/>
      <c r="P90" s="206"/>
      <c r="Q90" s="206"/>
      <c r="R90" s="203"/>
    </row>
    <row r="91" spans="1:18" ht="12.75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</row>
    <row r="92" spans="1:18" ht="12.75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</row>
    <row r="93" spans="1:18" ht="12.75">
      <c r="A93" s="206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</row>
    <row r="94" spans="1:18" ht="12.75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</row>
    <row r="95" spans="1:18" ht="12.75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</row>
    <row r="96" spans="1:18" ht="12.75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</row>
    <row r="97" spans="1:18" ht="12.75">
      <c r="A97" s="206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</row>
    <row r="98" spans="1:18" ht="12.75">
      <c r="A98" s="206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</row>
    <row r="99" spans="1:18" ht="12.75">
      <c r="A99" s="206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</row>
    <row r="100" spans="1:18" ht="12.75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</row>
    <row r="101" spans="1:18" ht="12.75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</row>
    <row r="102" spans="1:18" ht="12.75">
      <c r="A102" s="206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</row>
    <row r="103" spans="1:18" ht="12.75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</row>
    <row r="104" spans="1:18" ht="12.75">
      <c r="A104" s="206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</row>
    <row r="105" spans="1:18" ht="12.75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</row>
    <row r="106" spans="1:18" ht="12.75">
      <c r="A106" s="206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</row>
    <row r="107" spans="1:18" ht="12.75">
      <c r="A107" s="20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</row>
    <row r="108" spans="1:18" ht="12.75">
      <c r="A108" s="206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</row>
    <row r="109" spans="1:18" ht="12.75">
      <c r="A109" s="206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</row>
    <row r="110" spans="1:18" ht="12.75">
      <c r="A110" s="206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</row>
    <row r="111" spans="1:18" ht="12.75">
      <c r="A111" s="20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</row>
    <row r="112" spans="1:18" ht="12.75">
      <c r="A112" s="206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</row>
    <row r="113" spans="1:18" ht="12.75">
      <c r="A113" s="206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</row>
    <row r="114" spans="1:18" ht="12.75">
      <c r="A114" s="20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</row>
    <row r="115" spans="1:18" ht="12.75">
      <c r="A115" s="206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</row>
    <row r="116" spans="1:18" ht="12.75">
      <c r="A116" s="206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</row>
    <row r="117" spans="1:18" ht="12.75">
      <c r="A117" s="206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</row>
    <row r="118" spans="1:18" ht="12.75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</row>
  </sheetData>
  <conditionalFormatting sqref="AT5:AW23">
    <cfRule type="cellIs" priority="1" dxfId="0" operator="lessThan" stopIfTrue="1">
      <formula>100</formula>
    </cfRule>
  </conditionalFormatting>
  <conditionalFormatting sqref="CQ9:CX18">
    <cfRule type="cellIs" priority="2" dxfId="1" operator="lessThan" stopIfTrue="1">
      <formula>60</formula>
    </cfRule>
  </conditionalFormatting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Ciências Farmacêuticas</dc:creator>
  <cp:keywords/>
  <dc:description/>
  <cp:lastModifiedBy>Ciências Farmacêuticas</cp:lastModifiedBy>
  <dcterms:created xsi:type="dcterms:W3CDTF">2020-10-08T16:58:55Z</dcterms:created>
  <dcterms:modified xsi:type="dcterms:W3CDTF">2020-10-15T19:52:11Z</dcterms:modified>
  <cp:category/>
  <cp:version/>
  <cp:contentType/>
  <cp:contentStatus/>
</cp:coreProperties>
</file>