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beh\POLI\"/>
    </mc:Choice>
  </mc:AlternateContent>
  <xr:revisionPtr revIDLastSave="0" documentId="13_ncr:1_{F5A03CA9-DE75-4FAD-95D4-8E2AE9088CFC}" xr6:coauthVersionLast="45" xr6:coauthVersionMax="45" xr10:uidLastSave="{00000000-0000-0000-0000-000000000000}"/>
  <bookViews>
    <workbookView xWindow="-96" yWindow="-96" windowWidth="23232" windowHeight="12552" xr2:uid="{B337597B-4B62-4DEB-AB5F-B88A6A933C48}"/>
  </bookViews>
  <sheets>
    <sheet name="Fluxo Uniforme 5 volumes" sheetId="3" r:id="rId1"/>
    <sheet name=" q&quot;=(2) q&quot;médio (vezes) x por 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3" l="1"/>
  <c r="J8" i="3"/>
  <c r="J9" i="3"/>
  <c r="J10" i="3"/>
  <c r="F7" i="3"/>
  <c r="F8" i="3"/>
  <c r="F9" i="3"/>
  <c r="F10" i="3"/>
  <c r="F6" i="3"/>
  <c r="E7" i="3"/>
  <c r="E8" i="3"/>
  <c r="E9" i="3"/>
  <c r="E10" i="3"/>
  <c r="E6" i="3"/>
  <c r="B6" i="3" l="1"/>
  <c r="B18" i="3"/>
  <c r="B26" i="3" s="1"/>
  <c r="B22" i="3"/>
  <c r="B24" i="3"/>
  <c r="B25" i="3"/>
  <c r="B27" i="3"/>
  <c r="B28" i="3" s="1"/>
  <c r="B29" i="3"/>
  <c r="B30" i="3" s="1"/>
  <c r="B33" i="3"/>
  <c r="B6" i="2"/>
  <c r="B18" i="2"/>
  <c r="B19" i="2" s="1"/>
  <c r="B22" i="2"/>
  <c r="B24" i="2"/>
  <c r="B25" i="2"/>
  <c r="B27" i="2"/>
  <c r="B28" i="2" s="1"/>
  <c r="B29" i="2"/>
  <c r="B30" i="2" s="1"/>
  <c r="B33" i="2"/>
  <c r="B31" i="2" l="1"/>
  <c r="B36" i="2" s="1"/>
  <c r="B31" i="3"/>
  <c r="B36" i="3" s="1"/>
  <c r="B20" i="3"/>
  <c r="B19" i="3"/>
  <c r="B26" i="2"/>
  <c r="B20" i="2"/>
  <c r="E9" i="2" l="1"/>
  <c r="F9" i="2" s="1"/>
  <c r="E10" i="2"/>
  <c r="F10" i="2" s="1"/>
  <c r="E11" i="2"/>
  <c r="F11" i="2" s="1"/>
  <c r="E12" i="2"/>
  <c r="F12" i="2" s="1"/>
  <c r="E13" i="2"/>
  <c r="F13" i="2" s="1"/>
  <c r="E14" i="2"/>
  <c r="F14" i="2" s="1"/>
  <c r="E7" i="2"/>
  <c r="F7" i="2" s="1"/>
  <c r="E15" i="2"/>
  <c r="F15" i="2" s="1"/>
  <c r="E8" i="2"/>
  <c r="F8" i="2" s="1"/>
  <c r="E6" i="2"/>
  <c r="F6" i="2" s="1"/>
  <c r="G6" i="2" s="1"/>
  <c r="G6" i="3"/>
  <c r="H6" i="2" l="1"/>
  <c r="I6" i="2" s="1"/>
  <c r="J6" i="2" s="1"/>
  <c r="G7" i="2"/>
  <c r="G7" i="3"/>
  <c r="H6" i="3"/>
  <c r="I6" i="3" s="1"/>
  <c r="J6" i="3" s="1"/>
  <c r="G8" i="2" l="1"/>
  <c r="H7" i="2"/>
  <c r="I7" i="2" s="1"/>
  <c r="J7" i="2" s="1"/>
  <c r="G8" i="3"/>
  <c r="H7" i="3"/>
  <c r="I7" i="3" s="1"/>
  <c r="G9" i="2" l="1"/>
  <c r="H8" i="2"/>
  <c r="I8" i="2" s="1"/>
  <c r="J8" i="2" s="1"/>
  <c r="G9" i="3"/>
  <c r="H8" i="3"/>
  <c r="I8" i="3" s="1"/>
  <c r="G10" i="2" l="1"/>
  <c r="H9" i="2"/>
  <c r="I9" i="2" s="1"/>
  <c r="J9" i="2" s="1"/>
  <c r="G10" i="3"/>
  <c r="H10" i="3" s="1"/>
  <c r="I10" i="3" s="1"/>
  <c r="H9" i="3"/>
  <c r="I9" i="3" s="1"/>
  <c r="G11" i="2" l="1"/>
  <c r="H10" i="2"/>
  <c r="I10" i="2" s="1"/>
  <c r="J10" i="2" s="1"/>
  <c r="G12" i="2" l="1"/>
  <c r="H11" i="2"/>
  <c r="I11" i="2" s="1"/>
  <c r="J11" i="2" s="1"/>
  <c r="G13" i="2" l="1"/>
  <c r="H12" i="2"/>
  <c r="I12" i="2" s="1"/>
  <c r="J12" i="2" s="1"/>
  <c r="G14" i="2" l="1"/>
  <c r="H13" i="2"/>
  <c r="I13" i="2" s="1"/>
  <c r="J13" i="2" s="1"/>
  <c r="G15" i="2" l="1"/>
  <c r="H15" i="2" s="1"/>
  <c r="I15" i="2" s="1"/>
  <c r="J15" i="2" s="1"/>
  <c r="H14" i="2"/>
  <c r="I14" i="2" s="1"/>
  <c r="J14" i="2" s="1"/>
</calcChain>
</file>

<file path=xl/sharedStrings.xml><?xml version="1.0" encoding="utf-8"?>
<sst xmlns="http://schemas.openxmlformats.org/spreadsheetml/2006/main" count="100" uniqueCount="60">
  <si>
    <t>Superfície do Revestimento T3</t>
  </si>
  <si>
    <t>Interface Revestimento/Combustível</t>
  </si>
  <si>
    <t>rho(água)[Kg/m3]</t>
  </si>
  <si>
    <t>Q=h*A*(Tc-Tf)</t>
  </si>
  <si>
    <t>Temperatura de entradaTe (Celsius)</t>
  </si>
  <si>
    <t>Volume</t>
  </si>
  <si>
    <t>mi(água) [Kg/m.s]</t>
  </si>
  <si>
    <t>ni(água) [m2/s]</t>
  </si>
  <si>
    <t>Cp(água) [J/kg.K]</t>
  </si>
  <si>
    <t>Kf(W/m.K)</t>
  </si>
  <si>
    <t>Kr(W/m.K)</t>
  </si>
  <si>
    <t>Kágua(W/m.K)</t>
  </si>
  <si>
    <t>Er(mm)</t>
  </si>
  <si>
    <t>Ef (mm)</t>
  </si>
  <si>
    <t>Espessura do canal Ec [mm]</t>
  </si>
  <si>
    <t>Largura ativa da placa  (Lp)[mm]</t>
  </si>
  <si>
    <t>Largura do Canal de escoamento [mm]</t>
  </si>
  <si>
    <t>Hplaca (Lp) [mm]</t>
  </si>
  <si>
    <t>Potência [W]</t>
  </si>
  <si>
    <t>At area de troca(total) [m2]=Np*Lp*Hp*2 [m2]</t>
  </si>
  <si>
    <t>Ap area troca de uma placa [m2]</t>
  </si>
  <si>
    <t>Fluxo  Calor q"[W/m2]</t>
  </si>
  <si>
    <t>Vazão volumétrica por EC [m3/h]</t>
  </si>
  <si>
    <t>Vazão Massica por canal [m3/s]</t>
  </si>
  <si>
    <t>Numero placas no núcleo</t>
  </si>
  <si>
    <t>Potência por Placa [W]</t>
  </si>
  <si>
    <t>Dh=4*A/Pm</t>
  </si>
  <si>
    <t>q"</t>
  </si>
  <si>
    <t>Volume total Combustível [m3]</t>
  </si>
  <si>
    <t>q"'</t>
  </si>
  <si>
    <t>Area escoamento de cada canal [m2]</t>
  </si>
  <si>
    <t>Velocidade escoamento v [m/s]</t>
  </si>
  <si>
    <t>Re</t>
  </si>
  <si>
    <r>
      <rPr>
        <sz val="11"/>
        <color theme="4" tint="-0.249977111117893"/>
        <rFont val="Calibri"/>
        <family val="2"/>
        <scheme val="minor"/>
      </rPr>
      <t>Re=</t>
    </r>
    <r>
      <rPr>
        <sz val="11"/>
        <color theme="4" tint="-0.249977111117893"/>
        <rFont val="Calibri"/>
        <family val="2"/>
      </rPr>
      <t>ρ*v*Dh/µ</t>
    </r>
  </si>
  <si>
    <t>Pr</t>
  </si>
  <si>
    <r>
      <t>cp*</t>
    </r>
    <r>
      <rPr>
        <sz val="11"/>
        <color theme="1"/>
        <rFont val="Calibri"/>
        <family val="2"/>
      </rPr>
      <t>µ/Kf</t>
    </r>
  </si>
  <si>
    <t>N= número de regiões axiais (Volume)</t>
  </si>
  <si>
    <t>coeficiente de transferência de calor h</t>
  </si>
  <si>
    <t>T3[i]=Tf[i]+q"/h</t>
  </si>
  <si>
    <t>T2[i]-T3[i]=(Er/Kr)*q"</t>
  </si>
  <si>
    <t>T2[i]=q"* Er/Kr +T3[i]</t>
  </si>
  <si>
    <t>T1[i]=T2[i]+q"*(Ef/2)/(2*Kf)</t>
  </si>
  <si>
    <r>
      <t>Q[i]=</t>
    </r>
    <r>
      <rPr>
        <sz val="11"/>
        <color theme="1"/>
        <rFont val="Calibri"/>
        <family val="2"/>
      </rPr>
      <t>ṁ*cp*(Tf[i-1]-Tf[i]</t>
    </r>
  </si>
  <si>
    <r>
      <t>q"*A[i]=</t>
    </r>
    <r>
      <rPr>
        <sz val="11"/>
        <color theme="1"/>
        <rFont val="Calibri"/>
        <family val="2"/>
      </rPr>
      <t>ṁ*cp*(Tf[i-1]-Tf[i]</t>
    </r>
  </si>
  <si>
    <r>
      <t>Tf[i]=(q"*A[i])/ṁ*cp+</t>
    </r>
    <r>
      <rPr>
        <sz val="11"/>
        <color theme="1"/>
        <rFont val="Calibri"/>
        <family val="2"/>
      </rPr>
      <t>Tf[i-1]</t>
    </r>
  </si>
  <si>
    <t>N</t>
  </si>
  <si>
    <t>Q[i]=h*A[i]*(T3[i]-Tf[i])</t>
  </si>
  <si>
    <r>
      <t>Tf[i]=(q"*A[i])/(ṁ*cp)+</t>
    </r>
    <r>
      <rPr>
        <sz val="11"/>
        <color theme="1"/>
        <rFont val="Calibri"/>
        <family val="2"/>
      </rPr>
      <t>Tf[i-1]</t>
    </r>
  </si>
  <si>
    <t>Centro Volume</t>
  </si>
  <si>
    <t>N Número de volumes)</t>
  </si>
  <si>
    <t>T2[i]-T3[i]=(Er/Kr)*q"[i]</t>
  </si>
  <si>
    <t>Q[i]</t>
  </si>
  <si>
    <t>q"[i]</t>
  </si>
  <si>
    <r>
      <t xml:space="preserve">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FLUXO UNIFORME NO CANAL q"=147911 W/m2</t>
    </r>
  </si>
  <si>
    <t>X (Centro do Volume)</t>
  </si>
  <si>
    <t>q"[x]=2*q"médio*x/L</t>
  </si>
  <si>
    <t>q"[i]=2*q"médio*x/L</t>
  </si>
  <si>
    <t>Q[i]=q"[i]*A[i]</t>
  </si>
  <si>
    <t>T3[i]=Tf[i]+q"[i]/h</t>
  </si>
  <si>
    <t>T2[i]=q"[i]* Er/Kr +T3[i]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</si>
</sst>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0" fontId="6" fillId="0" borderId="0" xfId="0" applyFont="1"/>
    <xf numFmtId="2" fontId="6" fillId="0" borderId="0" xfId="0" applyNumberFormat="1" applyFont="1"/>
    <xf numFmtId="0" fontId="0" fillId="2" borderId="0" xfId="0" applyFill="1" applyAlignment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Distribuição de Temperatura ao Longo do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Fluido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'Fluxo Uniforme 5 volumes'!$D$6:$D$10</c:f>
              <c:numCache>
                <c:formatCode>General</c:formatCode>
                <c:ptCount val="5"/>
                <c:pt idx="0">
                  <c:v>60</c:v>
                </c:pt>
                <c:pt idx="1">
                  <c:v>180</c:v>
                </c:pt>
                <c:pt idx="2">
                  <c:v>300</c:v>
                </c:pt>
                <c:pt idx="3">
                  <c:v>420</c:v>
                </c:pt>
                <c:pt idx="4">
                  <c:v>540</c:v>
                </c:pt>
              </c:numCache>
            </c:numRef>
          </c:cat>
          <c:val>
            <c:numRef>
              <c:f>'Fluxo Uniforme 5 volumes'!$G$6:$G$10</c:f>
              <c:numCache>
                <c:formatCode>0.00</c:formatCode>
                <c:ptCount val="5"/>
                <c:pt idx="0">
                  <c:v>31.424967100024308</c:v>
                </c:pt>
                <c:pt idx="1">
                  <c:v>32.849934200048615</c:v>
                </c:pt>
                <c:pt idx="2">
                  <c:v>34.274901300072926</c:v>
                </c:pt>
                <c:pt idx="3">
                  <c:v>35.699868400097237</c:v>
                </c:pt>
                <c:pt idx="4">
                  <c:v>37.124835500121549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9-4FAA-A632-81C59A82F9B4}"/>
            </c:ext>
          </c:extLst>
        </c:ser>
        <c:ser>
          <c:idx val="1"/>
          <c:order val="1"/>
          <c:tx>
            <c:v>Sup.Rev.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'Fluxo Uniforme 5 volumes'!$D$6:$D$10</c:f>
              <c:numCache>
                <c:formatCode>General</c:formatCode>
                <c:ptCount val="5"/>
                <c:pt idx="0">
                  <c:v>60</c:v>
                </c:pt>
                <c:pt idx="1">
                  <c:v>180</c:v>
                </c:pt>
                <c:pt idx="2">
                  <c:v>300</c:v>
                </c:pt>
                <c:pt idx="3">
                  <c:v>420</c:v>
                </c:pt>
                <c:pt idx="4">
                  <c:v>540</c:v>
                </c:pt>
              </c:numCache>
            </c:numRef>
          </c:cat>
          <c:val>
            <c:numRef>
              <c:f>'Fluxo Uniforme 5 volumes'!$H$6:$H$10</c:f>
              <c:numCache>
                <c:formatCode>0.00</c:formatCode>
                <c:ptCount val="5"/>
                <c:pt idx="0">
                  <c:v>47.671073056425328</c:v>
                </c:pt>
                <c:pt idx="1">
                  <c:v>49.096040156449632</c:v>
                </c:pt>
                <c:pt idx="2">
                  <c:v>50.521007256473943</c:v>
                </c:pt>
                <c:pt idx="3">
                  <c:v>51.945974356498255</c:v>
                </c:pt>
                <c:pt idx="4">
                  <c:v>53.370941456522566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9-4FAA-A632-81C59A82F9B4}"/>
            </c:ext>
          </c:extLst>
        </c:ser>
        <c:ser>
          <c:idx val="2"/>
          <c:order val="2"/>
          <c:tx>
            <c:v>InterfaceRev/Comb.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'Fluxo Uniforme 5 volumes'!$D$6:$D$10</c:f>
              <c:numCache>
                <c:formatCode>General</c:formatCode>
                <c:ptCount val="5"/>
                <c:pt idx="0">
                  <c:v>60</c:v>
                </c:pt>
                <c:pt idx="1">
                  <c:v>180</c:v>
                </c:pt>
                <c:pt idx="2">
                  <c:v>300</c:v>
                </c:pt>
                <c:pt idx="3">
                  <c:v>420</c:v>
                </c:pt>
                <c:pt idx="4">
                  <c:v>540</c:v>
                </c:pt>
              </c:numCache>
            </c:numRef>
          </c:cat>
          <c:val>
            <c:numRef>
              <c:f>'Fluxo Uniforme 5 volumes'!$I$6:$I$10</c:f>
              <c:numCache>
                <c:formatCode>0.00</c:formatCode>
                <c:ptCount val="5"/>
                <c:pt idx="0">
                  <c:v>47.983330645928213</c:v>
                </c:pt>
                <c:pt idx="1">
                  <c:v>49.408297745952517</c:v>
                </c:pt>
                <c:pt idx="2">
                  <c:v>50.833264845976828</c:v>
                </c:pt>
                <c:pt idx="3">
                  <c:v>52.258231946001139</c:v>
                </c:pt>
                <c:pt idx="4">
                  <c:v>53.68319904602545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C9-4FAA-A632-81C59A82F9B4}"/>
            </c:ext>
          </c:extLst>
        </c:ser>
        <c:ser>
          <c:idx val="3"/>
          <c:order val="3"/>
          <c:tx>
            <c:v>Central Combustível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'Fluxo Uniforme 5 volumes'!$D$6:$D$10</c:f>
              <c:numCache>
                <c:formatCode>General</c:formatCode>
                <c:ptCount val="5"/>
                <c:pt idx="0">
                  <c:v>60</c:v>
                </c:pt>
                <c:pt idx="1">
                  <c:v>180</c:v>
                </c:pt>
                <c:pt idx="2">
                  <c:v>300</c:v>
                </c:pt>
                <c:pt idx="3">
                  <c:v>420</c:v>
                </c:pt>
                <c:pt idx="4">
                  <c:v>540</c:v>
                </c:pt>
              </c:numCache>
            </c:numRef>
          </c:cat>
          <c:val>
            <c:numRef>
              <c:f>'Fluxo Uniforme 5 volumes'!$J$6:$J$10</c:f>
              <c:numCache>
                <c:formatCode>0.00</c:formatCode>
                <c:ptCount val="5"/>
                <c:pt idx="0">
                  <c:v>48.786278733221351</c:v>
                </c:pt>
                <c:pt idx="1">
                  <c:v>50.211245833245655</c:v>
                </c:pt>
                <c:pt idx="2">
                  <c:v>51.63621293326996</c:v>
                </c:pt>
                <c:pt idx="3">
                  <c:v>53.061180033294278</c:v>
                </c:pt>
                <c:pt idx="4">
                  <c:v>54.486147133318582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C9-4FAA-A632-81C59A82F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267136"/>
        <c:axId val="1096142880"/>
      </c:lineChart>
      <c:catAx>
        <c:axId val="9572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6142880"/>
        <c:crosses val="autoZero"/>
        <c:auto val="1"/>
        <c:lblAlgn val="ctr"/>
        <c:lblOffset val="100"/>
        <c:noMultiLvlLbl val="0"/>
      </c:catAx>
      <c:valAx>
        <c:axId val="109614288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726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Distribuição de Temperatura ao Longo do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Fluido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 q"=(2) q"médio (vezes) x por L'!$D$6:$D$15</c:f>
              <c:numCache>
                <c:formatCode>General</c:formatCode>
                <c:ptCount val="10"/>
                <c:pt idx="0">
                  <c:v>30</c:v>
                </c:pt>
                <c:pt idx="1">
                  <c:v>90</c:v>
                </c:pt>
                <c:pt idx="2">
                  <c:v>150</c:v>
                </c:pt>
                <c:pt idx="3">
                  <c:v>210</c:v>
                </c:pt>
                <c:pt idx="4">
                  <c:v>270</c:v>
                </c:pt>
                <c:pt idx="5">
                  <c:v>330</c:v>
                </c:pt>
                <c:pt idx="6">
                  <c:v>390</c:v>
                </c:pt>
                <c:pt idx="7">
                  <c:v>450</c:v>
                </c:pt>
                <c:pt idx="8">
                  <c:v>510</c:v>
                </c:pt>
                <c:pt idx="9">
                  <c:v>570</c:v>
                </c:pt>
              </c:numCache>
            </c:numRef>
          </c:cat>
          <c:val>
            <c:numRef>
              <c:f>' q"=(2) q"médio (vezes) x por L'!$G$5:$G$15</c:f>
              <c:numCache>
                <c:formatCode>0.00</c:formatCode>
                <c:ptCount val="11"/>
                <c:pt idx="0" formatCode="General">
                  <c:v>30</c:v>
                </c:pt>
                <c:pt idx="1">
                  <c:v>30.071248355001217</c:v>
                </c:pt>
                <c:pt idx="2">
                  <c:v>30.284993420004863</c:v>
                </c:pt>
                <c:pt idx="3">
                  <c:v>30.641235195010939</c:v>
                </c:pt>
                <c:pt idx="4">
                  <c:v>31.139973680019448</c:v>
                </c:pt>
                <c:pt idx="5">
                  <c:v>31.781208875030387</c:v>
                </c:pt>
                <c:pt idx="6">
                  <c:v>32.564940780043756</c:v>
                </c:pt>
                <c:pt idx="7">
                  <c:v>33.491169395059558</c:v>
                </c:pt>
                <c:pt idx="8">
                  <c:v>34.559894720077786</c:v>
                </c:pt>
                <c:pt idx="9">
                  <c:v>35.771116755098447</c:v>
                </c:pt>
                <c:pt idx="10">
                  <c:v>37.124835500121542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FF-4BB9-A76F-007BB1FF309C}"/>
            </c:ext>
          </c:extLst>
        </c:ser>
        <c:ser>
          <c:idx val="1"/>
          <c:order val="1"/>
          <c:tx>
            <c:v>Sup.Rev.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 q"=(2) q"médio (vezes) x por L'!$D$6:$D$15</c:f>
              <c:numCache>
                <c:formatCode>General</c:formatCode>
                <c:ptCount val="10"/>
                <c:pt idx="0">
                  <c:v>30</c:v>
                </c:pt>
                <c:pt idx="1">
                  <c:v>90</c:v>
                </c:pt>
                <c:pt idx="2">
                  <c:v>150</c:v>
                </c:pt>
                <c:pt idx="3">
                  <c:v>210</c:v>
                </c:pt>
                <c:pt idx="4">
                  <c:v>270</c:v>
                </c:pt>
                <c:pt idx="5">
                  <c:v>330</c:v>
                </c:pt>
                <c:pt idx="6">
                  <c:v>390</c:v>
                </c:pt>
                <c:pt idx="7">
                  <c:v>450</c:v>
                </c:pt>
                <c:pt idx="8">
                  <c:v>510</c:v>
                </c:pt>
                <c:pt idx="9">
                  <c:v>570</c:v>
                </c:pt>
              </c:numCache>
            </c:numRef>
          </c:cat>
          <c:val>
            <c:numRef>
              <c:f>' q"=(2) q"médio (vezes) x por L'!$H$6:$H$16</c:f>
              <c:numCache>
                <c:formatCode>0.00</c:formatCode>
                <c:ptCount val="11"/>
                <c:pt idx="0">
                  <c:v>31.695858950641316</c:v>
                </c:pt>
                <c:pt idx="1">
                  <c:v>35.158825206925165</c:v>
                </c:pt>
                <c:pt idx="2">
                  <c:v>38.764288173211447</c:v>
                </c:pt>
                <c:pt idx="3">
                  <c:v>42.512247849500156</c:v>
                </c:pt>
                <c:pt idx="4">
                  <c:v>46.402704235791305</c:v>
                </c:pt>
                <c:pt idx="5">
                  <c:v>50.435657332084872</c:v>
                </c:pt>
                <c:pt idx="6">
                  <c:v>54.611107138380873</c:v>
                </c:pt>
                <c:pt idx="7">
                  <c:v>58.929053654679308</c:v>
                </c:pt>
                <c:pt idx="8">
                  <c:v>63.389496880980175</c:v>
                </c:pt>
                <c:pt idx="9">
                  <c:v>67.992436817283476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FF-4BB9-A76F-007BB1FF309C}"/>
            </c:ext>
          </c:extLst>
        </c:ser>
        <c:ser>
          <c:idx val="2"/>
          <c:order val="2"/>
          <c:tx>
            <c:v>Interface Ver/Comb.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 q"=(2) q"médio (vezes) x por L'!$D$6:$D$15</c:f>
              <c:numCache>
                <c:formatCode>General</c:formatCode>
                <c:ptCount val="10"/>
                <c:pt idx="0">
                  <c:v>30</c:v>
                </c:pt>
                <c:pt idx="1">
                  <c:v>90</c:v>
                </c:pt>
                <c:pt idx="2">
                  <c:v>150</c:v>
                </c:pt>
                <c:pt idx="3">
                  <c:v>210</c:v>
                </c:pt>
                <c:pt idx="4">
                  <c:v>270</c:v>
                </c:pt>
                <c:pt idx="5">
                  <c:v>330</c:v>
                </c:pt>
                <c:pt idx="6">
                  <c:v>390</c:v>
                </c:pt>
                <c:pt idx="7">
                  <c:v>450</c:v>
                </c:pt>
                <c:pt idx="8">
                  <c:v>510</c:v>
                </c:pt>
                <c:pt idx="9">
                  <c:v>570</c:v>
                </c:pt>
              </c:numCache>
            </c:numRef>
          </c:cat>
          <c:val>
            <c:numRef>
              <c:f>' q"=(2) q"médio (vezes) x por L'!$I$6:$I$15</c:f>
              <c:numCache>
                <c:formatCode>0.00</c:formatCode>
                <c:ptCount val="10"/>
                <c:pt idx="0">
                  <c:v>31.727084709591605</c:v>
                </c:pt>
                <c:pt idx="1">
                  <c:v>35.252502483776034</c:v>
                </c:pt>
                <c:pt idx="2">
                  <c:v>38.920416967962893</c:v>
                </c:pt>
                <c:pt idx="3">
                  <c:v>42.730828162152179</c:v>
                </c:pt>
                <c:pt idx="4">
                  <c:v>46.683736066343904</c:v>
                </c:pt>
                <c:pt idx="5">
                  <c:v>50.779140680538049</c:v>
                </c:pt>
                <c:pt idx="6">
                  <c:v>55.017042004734627</c:v>
                </c:pt>
                <c:pt idx="7">
                  <c:v>59.397440038933638</c:v>
                </c:pt>
                <c:pt idx="8">
                  <c:v>63.920334783135083</c:v>
                </c:pt>
                <c:pt idx="9">
                  <c:v>68.58572623733896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FF-4BB9-A76F-007BB1FF309C}"/>
            </c:ext>
          </c:extLst>
        </c:ser>
        <c:ser>
          <c:idx val="3"/>
          <c:order val="3"/>
          <c:tx>
            <c:v>Central Comb.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 q"=(2) q"médio (vezes) x por L'!$D$6:$D$15</c:f>
              <c:numCache>
                <c:formatCode>General</c:formatCode>
                <c:ptCount val="10"/>
                <c:pt idx="0">
                  <c:v>30</c:v>
                </c:pt>
                <c:pt idx="1">
                  <c:v>90</c:v>
                </c:pt>
                <c:pt idx="2">
                  <c:v>150</c:v>
                </c:pt>
                <c:pt idx="3">
                  <c:v>210</c:v>
                </c:pt>
                <c:pt idx="4">
                  <c:v>270</c:v>
                </c:pt>
                <c:pt idx="5">
                  <c:v>330</c:v>
                </c:pt>
                <c:pt idx="6">
                  <c:v>390</c:v>
                </c:pt>
                <c:pt idx="7">
                  <c:v>450</c:v>
                </c:pt>
                <c:pt idx="8">
                  <c:v>510</c:v>
                </c:pt>
                <c:pt idx="9">
                  <c:v>570</c:v>
                </c:pt>
              </c:numCache>
            </c:numRef>
          </c:cat>
          <c:val>
            <c:numRef>
              <c:f>' q"=(2) q"médio (vezes) x por L'!$J$6:$J$15</c:f>
              <c:numCache>
                <c:formatCode>0.00</c:formatCode>
                <c:ptCount val="10"/>
                <c:pt idx="0">
                  <c:v>31.807379518320918</c:v>
                </c:pt>
                <c:pt idx="1">
                  <c:v>35.493386909963974</c:v>
                </c:pt>
                <c:pt idx="2">
                  <c:v>39.321891011609459</c:v>
                </c:pt>
                <c:pt idx="3">
                  <c:v>43.292891823257371</c:v>
                </c:pt>
                <c:pt idx="4">
                  <c:v>47.406389344907723</c:v>
                </c:pt>
                <c:pt idx="5">
                  <c:v>51.662383576560501</c:v>
                </c:pt>
                <c:pt idx="6">
                  <c:v>56.060874518215705</c:v>
                </c:pt>
                <c:pt idx="7">
                  <c:v>60.601862169873343</c:v>
                </c:pt>
                <c:pt idx="8">
                  <c:v>65.285346531533406</c:v>
                </c:pt>
                <c:pt idx="9">
                  <c:v>70.111327603195917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FF-4BB9-A76F-007BB1FF3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3646016"/>
        <c:axId val="1100037968"/>
      </c:lineChart>
      <c:catAx>
        <c:axId val="1263646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Comprimento do Canal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00037968"/>
        <c:crosses val="autoZero"/>
        <c:auto val="1"/>
        <c:lblAlgn val="ctr"/>
        <c:lblOffset val="100"/>
        <c:noMultiLvlLbl val="0"/>
      </c:catAx>
      <c:valAx>
        <c:axId val="1100037968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Temperatura( C 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364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167640</xdr:rowOff>
    </xdr:from>
    <xdr:ext cx="2354580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93880B9-136D-4E2F-AF4C-9FDB894D172E}"/>
            </a:ext>
          </a:extLst>
        </xdr:cNvPr>
        <xdr:cNvSpPr txBox="1"/>
      </xdr:nvSpPr>
      <xdr:spPr>
        <a:xfrm>
          <a:off x="0" y="6385560"/>
          <a:ext cx="23545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>
              <a:solidFill>
                <a:schemeClr val="accent1"/>
              </a:solidFill>
            </a:rPr>
            <a:t>h= 0,023*(Kfluido/Dh)*Re^0,8*Pr^0,4</a:t>
          </a:r>
        </a:p>
      </xdr:txBody>
    </xdr:sp>
    <xdr:clientData/>
  </xdr:oneCellAnchor>
  <xdr:twoCellAnchor>
    <xdr:from>
      <xdr:col>3</xdr:col>
      <xdr:colOff>489857</xdr:colOff>
      <xdr:row>17</xdr:row>
      <xdr:rowOff>179614</xdr:rowOff>
    </xdr:from>
    <xdr:to>
      <xdr:col>6</xdr:col>
      <xdr:colOff>1586204</xdr:colOff>
      <xdr:row>32</xdr:row>
      <xdr:rowOff>123630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638E63B-5C0B-4FF5-AF03-48E55ED6C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167640</xdr:rowOff>
    </xdr:from>
    <xdr:ext cx="2354580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1D5F1B1-3B01-4BAD-BF5E-563D0A2B3294}"/>
            </a:ext>
          </a:extLst>
        </xdr:cNvPr>
        <xdr:cNvSpPr txBox="1"/>
      </xdr:nvSpPr>
      <xdr:spPr>
        <a:xfrm>
          <a:off x="0" y="6385560"/>
          <a:ext cx="23545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>
              <a:solidFill>
                <a:schemeClr val="accent1"/>
              </a:solidFill>
            </a:rPr>
            <a:t>h= 0,023*(Kfluido/Dh)*Re^0,8*Pr^0,4</a:t>
          </a:r>
        </a:p>
      </xdr:txBody>
    </xdr:sp>
    <xdr:clientData/>
  </xdr:oneCellAnchor>
  <xdr:oneCellAnchor>
    <xdr:from>
      <xdr:col>0</xdr:col>
      <xdr:colOff>0</xdr:colOff>
      <xdr:row>35</xdr:row>
      <xdr:rowOff>167640</xdr:rowOff>
    </xdr:from>
    <xdr:ext cx="2354580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BF18F746-3934-4C40-8A8D-297B1A2403FA}"/>
            </a:ext>
          </a:extLst>
        </xdr:cNvPr>
        <xdr:cNvSpPr txBox="1"/>
      </xdr:nvSpPr>
      <xdr:spPr>
        <a:xfrm>
          <a:off x="0" y="6385560"/>
          <a:ext cx="23545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>
              <a:solidFill>
                <a:schemeClr val="accent1"/>
              </a:solidFill>
            </a:rPr>
            <a:t>h= 0,023*(Kfluido/Dh)*Re^0,8*Pr^0,4</a:t>
          </a:r>
        </a:p>
      </xdr:txBody>
    </xdr:sp>
    <xdr:clientData/>
  </xdr:oneCellAnchor>
  <xdr:twoCellAnchor>
    <xdr:from>
      <xdr:col>3</xdr:col>
      <xdr:colOff>1432560</xdr:colOff>
      <xdr:row>15</xdr:row>
      <xdr:rowOff>110490</xdr:rowOff>
    </xdr:from>
    <xdr:to>
      <xdr:col>6</xdr:col>
      <xdr:colOff>1363980</xdr:colOff>
      <xdr:row>30</xdr:row>
      <xdr:rowOff>110490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8242E0-6001-4764-89C6-89519E679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1758-F983-4AC5-8D63-25F8A761CBDA}">
  <dimension ref="A1:J39"/>
  <sheetViews>
    <sheetView tabSelected="1" zoomScale="98" zoomScaleNormal="98" workbookViewId="0">
      <selection activeCell="G6" sqref="G6:J6"/>
    </sheetView>
  </sheetViews>
  <sheetFormatPr defaultRowHeight="14.4" x14ac:dyDescent="0.3"/>
  <cols>
    <col min="1" max="1" width="35.44140625" customWidth="1"/>
    <col min="2" max="2" width="8.88671875" customWidth="1"/>
    <col min="3" max="6" width="16.88671875" customWidth="1"/>
    <col min="7" max="7" width="34.88671875" customWidth="1"/>
    <col min="8" max="8" width="26.21875" customWidth="1"/>
    <col min="9" max="9" width="26.88671875" customWidth="1"/>
    <col min="10" max="10" width="26.6640625" customWidth="1"/>
  </cols>
  <sheetData>
    <row r="1" spans="1:10" x14ac:dyDescent="0.3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B2" s="1"/>
      <c r="C2" s="1"/>
      <c r="D2" s="1"/>
      <c r="E2" s="1"/>
      <c r="F2" s="1"/>
      <c r="G2" s="1" t="s">
        <v>42</v>
      </c>
      <c r="H2" t="s">
        <v>0</v>
      </c>
      <c r="I2" t="s">
        <v>1</v>
      </c>
    </row>
    <row r="3" spans="1:10" x14ac:dyDescent="0.3">
      <c r="A3" s="1" t="s">
        <v>2</v>
      </c>
      <c r="B3" s="1">
        <v>1000</v>
      </c>
      <c r="C3" s="1"/>
      <c r="D3" s="1"/>
      <c r="E3" s="1"/>
      <c r="F3" s="1"/>
      <c r="G3" s="1" t="s">
        <v>43</v>
      </c>
      <c r="H3" s="1" t="s">
        <v>46</v>
      </c>
      <c r="I3" s="1" t="s">
        <v>50</v>
      </c>
    </row>
    <row r="4" spans="1:10" x14ac:dyDescent="0.3">
      <c r="A4" s="1" t="s">
        <v>4</v>
      </c>
      <c r="B4" s="1">
        <v>30</v>
      </c>
      <c r="C4" s="1" t="s">
        <v>5</v>
      </c>
      <c r="D4" s="1" t="s">
        <v>48</v>
      </c>
      <c r="E4" s="1" t="s">
        <v>51</v>
      </c>
      <c r="F4" s="1" t="s">
        <v>52</v>
      </c>
      <c r="G4" s="1" t="s">
        <v>44</v>
      </c>
      <c r="H4" s="1" t="s">
        <v>38</v>
      </c>
      <c r="I4" s="1" t="s">
        <v>40</v>
      </c>
      <c r="J4" s="1" t="s">
        <v>41</v>
      </c>
    </row>
    <row r="5" spans="1:10" x14ac:dyDescent="0.3">
      <c r="A5" s="1" t="s">
        <v>6</v>
      </c>
      <c r="B5" s="2">
        <v>1.003E-3</v>
      </c>
      <c r="C5" s="1"/>
      <c r="D5" s="1"/>
      <c r="E5" s="1"/>
      <c r="F5" s="1"/>
      <c r="G5" s="1">
        <v>30</v>
      </c>
    </row>
    <row r="6" spans="1:10" x14ac:dyDescent="0.3">
      <c r="A6" s="1" t="s">
        <v>7</v>
      </c>
      <c r="B6" s="2">
        <f>B5/B3</f>
        <v>1.003E-6</v>
      </c>
      <c r="C6" s="1">
        <v>1</v>
      </c>
      <c r="D6" s="1">
        <v>60</v>
      </c>
      <c r="E6" s="1">
        <f>B$24/B$39</f>
        <v>2222.2222222222222</v>
      </c>
      <c r="F6" s="1">
        <f>E6/(B$19/B$39)</f>
        <v>147911.48976452489</v>
      </c>
      <c r="G6" s="12">
        <f>G5+(B$26*(B$19)/(B$39))/(B$22*B$7)</f>
        <v>31.424967100024308</v>
      </c>
      <c r="H6" s="13">
        <f>G6+B$26/B$36</f>
        <v>47.671073056425328</v>
      </c>
      <c r="I6" s="13">
        <f>H6+B$26*(B$11/1000)/B$9</f>
        <v>47.983330645928213</v>
      </c>
      <c r="J6" s="13">
        <f>I6+(((B$12/1000)/2)*B$26/(2*B$8))</f>
        <v>48.786278733221351</v>
      </c>
    </row>
    <row r="7" spans="1:10" x14ac:dyDescent="0.3">
      <c r="A7" s="1" t="s">
        <v>8</v>
      </c>
      <c r="B7" s="1">
        <v>4186</v>
      </c>
      <c r="C7" s="1">
        <v>2</v>
      </c>
      <c r="D7" s="1">
        <v>180</v>
      </c>
      <c r="E7" s="1">
        <f t="shared" ref="E7:E10" si="0">B$24/B$39</f>
        <v>2222.2222222222222</v>
      </c>
      <c r="F7" s="1">
        <f t="shared" ref="F7:F10" si="1">E7/(B$19/B$39)</f>
        <v>147911.48976452489</v>
      </c>
      <c r="G7" s="3">
        <f>G6+(B$26*(B$19)/(B$39))/(B$22*B$7)</f>
        <v>32.849934200048615</v>
      </c>
      <c r="H7" s="4">
        <f>G7+B$26/B$36</f>
        <v>49.096040156449632</v>
      </c>
      <c r="I7" s="4">
        <f>H7+B$26*(B$11/1000)/B$9</f>
        <v>49.408297745952517</v>
      </c>
      <c r="J7" s="8">
        <f t="shared" ref="J7:J10" si="2">I7+(((B$12/1000)/2)*B$26/(2*B$8))</f>
        <v>50.211245833245655</v>
      </c>
    </row>
    <row r="8" spans="1:10" x14ac:dyDescent="0.3">
      <c r="A8" s="1" t="s">
        <v>9</v>
      </c>
      <c r="B8" s="1">
        <v>35</v>
      </c>
      <c r="C8" s="1">
        <v>3</v>
      </c>
      <c r="D8" s="1">
        <v>300</v>
      </c>
      <c r="E8" s="1">
        <f t="shared" si="0"/>
        <v>2222.2222222222222</v>
      </c>
      <c r="F8" s="1">
        <f t="shared" si="1"/>
        <v>147911.48976452489</v>
      </c>
      <c r="G8" s="3">
        <f>G7+(B$26*(B$19)/(B$39))/(B$22*B$7)</f>
        <v>34.274901300072926</v>
      </c>
      <c r="H8" s="4">
        <f>G8+B$26/B$36</f>
        <v>50.521007256473943</v>
      </c>
      <c r="I8" s="4">
        <f>H8+B$26*(B$11/1000)/B$9</f>
        <v>50.833264845976828</v>
      </c>
      <c r="J8" s="8">
        <f t="shared" si="2"/>
        <v>51.63621293326996</v>
      </c>
    </row>
    <row r="9" spans="1:10" x14ac:dyDescent="0.3">
      <c r="A9" s="1" t="s">
        <v>10</v>
      </c>
      <c r="B9" s="1">
        <v>180</v>
      </c>
      <c r="C9" s="1">
        <v>4</v>
      </c>
      <c r="D9" s="1">
        <v>420</v>
      </c>
      <c r="E9" s="1">
        <f t="shared" si="0"/>
        <v>2222.2222222222222</v>
      </c>
      <c r="F9" s="1">
        <f t="shared" si="1"/>
        <v>147911.48976452489</v>
      </c>
      <c r="G9" s="3">
        <f>G8+(B$26*(B$19)/(B$39))/(B$22*B$7)</f>
        <v>35.699868400097237</v>
      </c>
      <c r="H9" s="4">
        <f>G9+B$26/B$36</f>
        <v>51.945974356498255</v>
      </c>
      <c r="I9" s="4">
        <f>H9+B$26*(B$11/1000)/B$9</f>
        <v>52.258231946001139</v>
      </c>
      <c r="J9" s="8">
        <f t="shared" si="2"/>
        <v>53.061180033294278</v>
      </c>
    </row>
    <row r="10" spans="1:10" x14ac:dyDescent="0.3">
      <c r="A10" s="1" t="s">
        <v>11</v>
      </c>
      <c r="B10" s="1">
        <v>0.61</v>
      </c>
      <c r="C10" s="1">
        <v>5</v>
      </c>
      <c r="D10" s="1">
        <v>540</v>
      </c>
      <c r="E10" s="1">
        <f t="shared" si="0"/>
        <v>2222.2222222222222</v>
      </c>
      <c r="F10" s="1">
        <f t="shared" si="1"/>
        <v>147911.48976452489</v>
      </c>
      <c r="G10" s="3">
        <f>G9+(B$26*(B$19)/(B$39))/(B$22*B$7)</f>
        <v>37.124835500121549</v>
      </c>
      <c r="H10" s="4">
        <f>G10+B$26/B$36</f>
        <v>53.370941456522566</v>
      </c>
      <c r="I10" s="4">
        <f>H10+B$26*(B$11/1000)/B$9</f>
        <v>53.68319904602545</v>
      </c>
      <c r="J10" s="8">
        <f t="shared" si="2"/>
        <v>54.486147133318582</v>
      </c>
    </row>
    <row r="11" spans="1:10" x14ac:dyDescent="0.3">
      <c r="A11" s="1" t="s">
        <v>12</v>
      </c>
      <c r="B11" s="1">
        <v>0.38</v>
      </c>
      <c r="C11" s="1"/>
      <c r="D11" s="1"/>
      <c r="E11" s="1"/>
      <c r="F11" s="1"/>
      <c r="G11" s="3"/>
      <c r="H11" s="4"/>
      <c r="I11" s="4"/>
      <c r="J11" s="4"/>
    </row>
    <row r="12" spans="1:10" x14ac:dyDescent="0.3">
      <c r="A12" s="1" t="s">
        <v>13</v>
      </c>
      <c r="B12" s="1">
        <v>0.76</v>
      </c>
      <c r="C12" s="1"/>
      <c r="D12" s="1"/>
      <c r="E12" s="1"/>
      <c r="F12" s="1"/>
      <c r="G12" s="3"/>
      <c r="H12" s="4"/>
      <c r="I12" s="4"/>
      <c r="J12" s="7"/>
    </row>
    <row r="13" spans="1:10" x14ac:dyDescent="0.3">
      <c r="A13" s="1" t="s">
        <v>14</v>
      </c>
      <c r="B13" s="1">
        <v>2.89</v>
      </c>
      <c r="C13" s="1"/>
      <c r="D13" s="1"/>
      <c r="E13" s="1"/>
      <c r="F13" s="1"/>
      <c r="G13" s="3"/>
      <c r="H13" s="4"/>
      <c r="I13" s="4"/>
      <c r="J13" s="4"/>
    </row>
    <row r="14" spans="1:10" x14ac:dyDescent="0.3">
      <c r="A14" s="1" t="s">
        <v>15</v>
      </c>
      <c r="B14" s="1">
        <v>62.6</v>
      </c>
      <c r="C14" s="1"/>
      <c r="D14" s="1"/>
      <c r="E14" s="1"/>
      <c r="F14" s="1"/>
      <c r="G14" s="3"/>
      <c r="H14" s="4"/>
      <c r="I14" s="4"/>
      <c r="J14" s="4"/>
    </row>
    <row r="15" spans="1:10" x14ac:dyDescent="0.3">
      <c r="A15" s="1" t="s">
        <v>16</v>
      </c>
      <c r="B15" s="1">
        <v>67.099999999999994</v>
      </c>
      <c r="C15" s="1"/>
      <c r="D15" s="1"/>
      <c r="E15" s="1"/>
      <c r="F15" s="1"/>
      <c r="G15" s="3"/>
      <c r="H15" s="6"/>
      <c r="I15" s="4"/>
      <c r="J15" s="4"/>
    </row>
    <row r="16" spans="1:10" x14ac:dyDescent="0.3">
      <c r="A16" s="1" t="s">
        <v>17</v>
      </c>
      <c r="B16" s="1">
        <v>600</v>
      </c>
      <c r="C16" s="1"/>
      <c r="D16" s="1"/>
      <c r="E16" s="1"/>
      <c r="F16" s="1"/>
      <c r="G16" s="3"/>
      <c r="H16" s="4"/>
      <c r="I16" s="4"/>
      <c r="J16" s="4"/>
    </row>
    <row r="17" spans="1:10" x14ac:dyDescent="0.3">
      <c r="A17" s="1" t="s">
        <v>18</v>
      </c>
      <c r="B17" s="1">
        <v>5000000</v>
      </c>
      <c r="C17" s="1"/>
      <c r="D17" s="1"/>
      <c r="E17" s="1"/>
      <c r="F17" s="1"/>
      <c r="G17" s="3"/>
      <c r="H17" s="4"/>
      <c r="I17" s="4"/>
      <c r="J17" s="4"/>
    </row>
    <row r="18" spans="1:10" x14ac:dyDescent="0.3">
      <c r="A18" s="1" t="s">
        <v>19</v>
      </c>
      <c r="B18" s="1">
        <f>450*2*B14*B16/1000000</f>
        <v>33.804000000000002</v>
      </c>
      <c r="C18" s="1"/>
      <c r="D18" s="1"/>
      <c r="E18" s="1"/>
      <c r="F18" s="1"/>
      <c r="G18" s="3"/>
      <c r="H18" s="4"/>
      <c r="I18" s="4"/>
      <c r="J18" s="4"/>
    </row>
    <row r="19" spans="1:10" x14ac:dyDescent="0.3">
      <c r="A19" s="1" t="s">
        <v>20</v>
      </c>
      <c r="B19" s="1">
        <f>B18/450</f>
        <v>7.5120000000000006E-2</v>
      </c>
      <c r="C19" s="1"/>
      <c r="D19" s="1"/>
      <c r="E19" s="1"/>
      <c r="F19" s="1"/>
      <c r="G19" s="3"/>
      <c r="H19" s="4"/>
      <c r="I19" s="4"/>
      <c r="J19" s="4"/>
    </row>
    <row r="20" spans="1:10" x14ac:dyDescent="0.3">
      <c r="A20" s="1" t="s">
        <v>21</v>
      </c>
      <c r="B20" s="1">
        <f>B17/B18</f>
        <v>147911.48976452489</v>
      </c>
      <c r="C20" s="1"/>
      <c r="D20" s="1"/>
      <c r="E20" s="1"/>
      <c r="F20" s="1"/>
      <c r="G20" s="3"/>
      <c r="H20" s="4"/>
      <c r="I20" s="4"/>
      <c r="J20" s="4"/>
    </row>
    <row r="21" spans="1:10" x14ac:dyDescent="0.3">
      <c r="A21" s="1" t="s">
        <v>22</v>
      </c>
      <c r="B21" s="1">
        <v>22.8</v>
      </c>
      <c r="C21" s="1"/>
      <c r="D21" s="1"/>
      <c r="E21" s="1"/>
      <c r="F21" s="1"/>
      <c r="G21" s="3"/>
      <c r="H21" s="4"/>
      <c r="I21" s="4"/>
      <c r="J21" s="4"/>
    </row>
    <row r="22" spans="1:10" x14ac:dyDescent="0.3">
      <c r="A22" s="1" t="s">
        <v>23</v>
      </c>
      <c r="B22" s="1">
        <f>B21/17/3.6</f>
        <v>0.37254901960784315</v>
      </c>
      <c r="C22" s="1"/>
      <c r="D22" s="1"/>
      <c r="E22" s="1"/>
      <c r="F22" s="1"/>
      <c r="G22" s="3"/>
      <c r="H22" s="4"/>
      <c r="I22" s="4"/>
      <c r="J22" s="4"/>
    </row>
    <row r="23" spans="1:10" x14ac:dyDescent="0.3">
      <c r="A23" s="1" t="s">
        <v>24</v>
      </c>
      <c r="B23" s="1">
        <v>450</v>
      </c>
      <c r="C23" s="1"/>
      <c r="D23" s="1"/>
      <c r="E23" s="1"/>
      <c r="F23" s="1"/>
      <c r="G23" s="3"/>
      <c r="H23" s="4"/>
      <c r="I23" s="4"/>
      <c r="J23" s="4"/>
    </row>
    <row r="24" spans="1:10" x14ac:dyDescent="0.3">
      <c r="A24" s="1" t="s">
        <v>25</v>
      </c>
      <c r="B24" s="1">
        <f>B17/B23</f>
        <v>11111.111111111111</v>
      </c>
      <c r="C24" s="1"/>
      <c r="D24" s="1"/>
      <c r="E24" s="1"/>
      <c r="F24" s="1"/>
      <c r="G24" s="3"/>
      <c r="H24" s="4"/>
      <c r="I24" s="4"/>
      <c r="J24" s="4"/>
    </row>
    <row r="25" spans="1:10" x14ac:dyDescent="0.3">
      <c r="A25" s="1" t="s">
        <v>26</v>
      </c>
      <c r="B25" s="1">
        <f>4*((B13*B15)/1000000)/(2*B13/1000+2*B15/1000)</f>
        <v>5.5413344763537639E-3</v>
      </c>
      <c r="C25" s="1"/>
      <c r="D25" s="1"/>
      <c r="E25" s="1"/>
      <c r="F25" s="1"/>
      <c r="G25" s="3"/>
      <c r="H25" s="4"/>
      <c r="I25" s="4"/>
      <c r="J25" s="4"/>
    </row>
    <row r="26" spans="1:10" x14ac:dyDescent="0.3">
      <c r="A26" s="1" t="s">
        <v>27</v>
      </c>
      <c r="B26" s="1">
        <f>B17/B18</f>
        <v>147911.48976452489</v>
      </c>
      <c r="C26" s="1"/>
      <c r="D26" s="1"/>
      <c r="E26" s="1"/>
      <c r="F26" s="1"/>
      <c r="G26" s="1"/>
    </row>
    <row r="27" spans="1:10" x14ac:dyDescent="0.3">
      <c r="A27" s="1" t="s">
        <v>28</v>
      </c>
      <c r="B27" s="1">
        <f>450*B12*B14*B16/1000000000</f>
        <v>1.2845519999999999E-2</v>
      </c>
      <c r="C27" s="1"/>
      <c r="D27" s="1"/>
      <c r="E27" s="1"/>
      <c r="F27" s="1"/>
      <c r="G27" s="1"/>
    </row>
    <row r="28" spans="1:10" x14ac:dyDescent="0.3">
      <c r="A28" s="1" t="s">
        <v>29</v>
      </c>
      <c r="B28" s="1">
        <f>B17/B27</f>
        <v>389240762.53822345</v>
      </c>
      <c r="C28" s="1"/>
      <c r="D28" s="1"/>
      <c r="E28" s="1"/>
      <c r="F28" s="1"/>
      <c r="G28" s="1"/>
    </row>
    <row r="29" spans="1:10" x14ac:dyDescent="0.3">
      <c r="A29" s="1" t="s">
        <v>30</v>
      </c>
      <c r="B29" s="1">
        <f>B13*B15/1000000</f>
        <v>1.9391899999999997E-4</v>
      </c>
      <c r="C29" s="1"/>
      <c r="D29" s="1"/>
      <c r="E29" s="1"/>
      <c r="F29" s="1"/>
      <c r="G29" s="1"/>
    </row>
    <row r="30" spans="1:10" x14ac:dyDescent="0.3">
      <c r="A30" s="1" t="s">
        <v>31</v>
      </c>
      <c r="B30" s="1">
        <f>(B21/17)/B29/3600</f>
        <v>1.9211579041137963</v>
      </c>
      <c r="C30" s="1"/>
      <c r="D30" s="1"/>
      <c r="E30" s="1"/>
      <c r="F30" s="1"/>
      <c r="G30" s="1"/>
    </row>
    <row r="31" spans="1:10" x14ac:dyDescent="0.3">
      <c r="A31" s="1" t="s">
        <v>32</v>
      </c>
      <c r="B31" s="2">
        <f>B3*B30*B25/B5</f>
        <v>10613.936718430028</v>
      </c>
      <c r="C31" s="1"/>
      <c r="D31" s="1"/>
      <c r="E31" s="1"/>
      <c r="F31" s="1"/>
      <c r="G31" s="1"/>
    </row>
    <row r="32" spans="1:10" x14ac:dyDescent="0.3">
      <c r="A32" s="5" t="s">
        <v>33</v>
      </c>
      <c r="B32" s="2"/>
      <c r="C32" s="1"/>
      <c r="D32" s="1"/>
      <c r="E32" s="1"/>
      <c r="F32" s="1"/>
      <c r="G32" s="1"/>
    </row>
    <row r="33" spans="1:7" x14ac:dyDescent="0.3">
      <c r="A33" s="1" t="s">
        <v>34</v>
      </c>
      <c r="B33" s="3">
        <f>B7*B5/B10</f>
        <v>6.8828819672131152</v>
      </c>
      <c r="C33" s="1"/>
      <c r="D33" s="1"/>
      <c r="E33" s="1"/>
      <c r="F33" s="1"/>
      <c r="G33" s="1"/>
    </row>
    <row r="34" spans="1:7" x14ac:dyDescent="0.3">
      <c r="A34" s="1" t="s">
        <v>35</v>
      </c>
      <c r="B34" s="1"/>
      <c r="C34" s="1"/>
      <c r="D34" s="1"/>
      <c r="E34" s="1"/>
      <c r="F34" s="1"/>
      <c r="G34" s="1"/>
    </row>
    <row r="35" spans="1:7" x14ac:dyDescent="0.3">
      <c r="A35" s="1" t="s">
        <v>36</v>
      </c>
      <c r="B35" s="1">
        <v>5</v>
      </c>
      <c r="C35" s="1"/>
      <c r="D35" s="1"/>
      <c r="E35" s="1"/>
      <c r="F35" s="1"/>
      <c r="G35" s="1"/>
    </row>
    <row r="36" spans="1:7" x14ac:dyDescent="0.3">
      <c r="A36" s="1" t="s">
        <v>37</v>
      </c>
      <c r="B36" s="2">
        <f>0.023*(B10/B25)*B31^0.8*B33^0.4</f>
        <v>9104.4272493032277</v>
      </c>
      <c r="C36" s="1"/>
      <c r="D36" s="1"/>
      <c r="E36" s="1"/>
      <c r="F36" s="1"/>
      <c r="G36" s="1"/>
    </row>
    <row r="37" spans="1:7" x14ac:dyDescent="0.3">
      <c r="B37" s="1"/>
      <c r="C37" s="1"/>
      <c r="D37" s="1"/>
      <c r="E37" s="1"/>
      <c r="F37" s="1"/>
      <c r="G37" s="1"/>
    </row>
    <row r="39" spans="1:7" x14ac:dyDescent="0.3">
      <c r="A39" s="1" t="s">
        <v>49</v>
      </c>
      <c r="B39">
        <v>5</v>
      </c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16AC-6666-49FD-A052-FF48DECD66F2}">
  <dimension ref="A1:K39"/>
  <sheetViews>
    <sheetView topLeftCell="A4" workbookViewId="0">
      <selection activeCell="G6" sqref="G6"/>
    </sheetView>
  </sheetViews>
  <sheetFormatPr defaultRowHeight="14.4" x14ac:dyDescent="0.3"/>
  <cols>
    <col min="1" max="1" width="33.109375" customWidth="1"/>
    <col min="2" max="2" width="12" customWidth="1"/>
    <col min="3" max="6" width="23.5546875" customWidth="1"/>
    <col min="7" max="7" width="28.88671875" customWidth="1"/>
    <col min="8" max="8" width="27.33203125" customWidth="1"/>
    <col min="9" max="9" width="30.6640625" customWidth="1"/>
    <col min="10" max="10" width="21.77734375" customWidth="1"/>
  </cols>
  <sheetData>
    <row r="1" spans="1:11" x14ac:dyDescent="0.3">
      <c r="A1" s="10" t="s">
        <v>55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3">
      <c r="B2" s="1"/>
      <c r="C2" s="1"/>
      <c r="D2" s="1"/>
      <c r="E2" s="1"/>
      <c r="F2" s="1"/>
      <c r="G2" s="1" t="s">
        <v>42</v>
      </c>
      <c r="H2" t="s">
        <v>0</v>
      </c>
      <c r="I2" t="s">
        <v>1</v>
      </c>
    </row>
    <row r="3" spans="1:11" x14ac:dyDescent="0.3">
      <c r="A3" s="1" t="s">
        <v>2</v>
      </c>
      <c r="B3" s="1">
        <v>1000</v>
      </c>
      <c r="C3" s="1"/>
      <c r="D3" s="1"/>
      <c r="E3" s="1"/>
      <c r="F3" s="1"/>
      <c r="G3" s="1" t="s">
        <v>43</v>
      </c>
      <c r="H3" s="1" t="s">
        <v>3</v>
      </c>
      <c r="I3" s="1" t="s">
        <v>39</v>
      </c>
    </row>
    <row r="4" spans="1:11" x14ac:dyDescent="0.3">
      <c r="A4" s="1" t="s">
        <v>4</v>
      </c>
      <c r="B4" s="1">
        <v>30</v>
      </c>
      <c r="C4" s="1" t="s">
        <v>5</v>
      </c>
      <c r="D4" s="1" t="s">
        <v>54</v>
      </c>
      <c r="E4" s="1" t="s">
        <v>56</v>
      </c>
      <c r="F4" s="1" t="s">
        <v>57</v>
      </c>
      <c r="G4" s="1" t="s">
        <v>47</v>
      </c>
      <c r="H4" s="1" t="s">
        <v>58</v>
      </c>
      <c r="I4" s="1" t="s">
        <v>59</v>
      </c>
      <c r="J4" s="1" t="s">
        <v>41</v>
      </c>
    </row>
    <row r="5" spans="1:11" x14ac:dyDescent="0.3">
      <c r="A5" s="1" t="s">
        <v>6</v>
      </c>
      <c r="B5" s="2">
        <v>1.003E-3</v>
      </c>
      <c r="C5" s="1"/>
      <c r="D5" s="1"/>
      <c r="E5" s="1"/>
      <c r="F5" s="1"/>
      <c r="G5" s="1">
        <v>30</v>
      </c>
    </row>
    <row r="6" spans="1:11" x14ac:dyDescent="0.3">
      <c r="A6" s="1" t="s">
        <v>7</v>
      </c>
      <c r="B6" s="2">
        <f>B5/B3</f>
        <v>1.003E-6</v>
      </c>
      <c r="C6" s="1">
        <v>1</v>
      </c>
      <c r="D6" s="1">
        <v>30</v>
      </c>
      <c r="E6" s="1">
        <f>2*B$26*D6/600</f>
        <v>14791.148976452487</v>
      </c>
      <c r="F6" s="1">
        <f>E6*B$19/B$39</f>
        <v>111.11111111111109</v>
      </c>
      <c r="G6" s="3">
        <f>G5+F6/(B$22*B$7)</f>
        <v>30.071248355001217</v>
      </c>
      <c r="H6" s="4">
        <f>G6+E6/B$36</f>
        <v>31.695858950641316</v>
      </c>
      <c r="I6" s="4">
        <f>H6+E6*(B$11/1000)/B$9</f>
        <v>31.727084709591605</v>
      </c>
      <c r="J6" s="4">
        <f>I6+E6*((B$12/2000)/(2*B$8))</f>
        <v>31.807379518320918</v>
      </c>
    </row>
    <row r="7" spans="1:11" x14ac:dyDescent="0.3">
      <c r="A7" s="1" t="s">
        <v>8</v>
      </c>
      <c r="B7" s="1">
        <v>4186</v>
      </c>
      <c r="C7" s="1">
        <v>2</v>
      </c>
      <c r="D7" s="1">
        <v>90</v>
      </c>
      <c r="E7" s="1">
        <f t="shared" ref="E7:E15" si="0">2*B$26*D7/600</f>
        <v>44373.446929357466</v>
      </c>
      <c r="F7" s="1">
        <f t="shared" ref="F7:F15" si="1">E7*B$19/B$39</f>
        <v>333.33333333333331</v>
      </c>
      <c r="G7" s="3">
        <f t="shared" ref="G7:G15" si="2">G6+F7/(B$22*B$7)</f>
        <v>30.284993420004863</v>
      </c>
      <c r="H7" s="4">
        <f t="shared" ref="H7:H15" si="3">G7+E7/B$36</f>
        <v>35.158825206925165</v>
      </c>
      <c r="I7" s="4">
        <f t="shared" ref="I7:I15" si="4">H7+E7*(B$11/1000)/B$9</f>
        <v>35.252502483776034</v>
      </c>
      <c r="J7" s="4">
        <f t="shared" ref="J7:J15" si="5">I7+E7*((B$12/2000)/(2*B$8))</f>
        <v>35.493386909963974</v>
      </c>
    </row>
    <row r="8" spans="1:11" x14ac:dyDescent="0.3">
      <c r="A8" s="1" t="s">
        <v>9</v>
      </c>
      <c r="B8" s="1">
        <v>35</v>
      </c>
      <c r="C8" s="1">
        <v>3</v>
      </c>
      <c r="D8" s="1">
        <v>150</v>
      </c>
      <c r="E8" s="1">
        <f t="shared" si="0"/>
        <v>73955.744882262443</v>
      </c>
      <c r="F8" s="1">
        <f t="shared" si="1"/>
        <v>555.55555555555543</v>
      </c>
      <c r="G8" s="3">
        <f t="shared" si="2"/>
        <v>30.641235195010939</v>
      </c>
      <c r="H8" s="4">
        <f t="shared" si="3"/>
        <v>38.764288173211447</v>
      </c>
      <c r="I8" s="4">
        <f t="shared" si="4"/>
        <v>38.920416967962893</v>
      </c>
      <c r="J8" s="4">
        <f t="shared" si="5"/>
        <v>39.321891011609459</v>
      </c>
    </row>
    <row r="9" spans="1:11" x14ac:dyDescent="0.3">
      <c r="A9" s="1" t="s">
        <v>10</v>
      </c>
      <c r="B9" s="1">
        <v>180</v>
      </c>
      <c r="C9" s="1">
        <v>4</v>
      </c>
      <c r="D9" s="1">
        <v>210</v>
      </c>
      <c r="E9" s="1">
        <f t="shared" si="0"/>
        <v>103538.04283516742</v>
      </c>
      <c r="F9" s="1">
        <f t="shared" si="1"/>
        <v>777.77777777777771</v>
      </c>
      <c r="G9" s="3">
        <f t="shared" si="2"/>
        <v>31.139973680019448</v>
      </c>
      <c r="H9" s="4">
        <f t="shared" si="3"/>
        <v>42.512247849500156</v>
      </c>
      <c r="I9" s="4">
        <f t="shared" si="4"/>
        <v>42.730828162152179</v>
      </c>
      <c r="J9" s="4">
        <f t="shared" si="5"/>
        <v>43.292891823257371</v>
      </c>
    </row>
    <row r="10" spans="1:11" x14ac:dyDescent="0.3">
      <c r="A10" s="1" t="s">
        <v>11</v>
      </c>
      <c r="B10" s="1">
        <v>0.61</v>
      </c>
      <c r="C10" s="1">
        <v>5</v>
      </c>
      <c r="D10" s="1">
        <v>270</v>
      </c>
      <c r="E10" s="1">
        <f t="shared" si="0"/>
        <v>133120.34078807241</v>
      </c>
      <c r="F10" s="1">
        <f t="shared" si="1"/>
        <v>1000</v>
      </c>
      <c r="G10" s="3">
        <f t="shared" si="2"/>
        <v>31.781208875030387</v>
      </c>
      <c r="H10" s="4">
        <f t="shared" si="3"/>
        <v>46.402704235791305</v>
      </c>
      <c r="I10" s="4">
        <f t="shared" si="4"/>
        <v>46.683736066343904</v>
      </c>
      <c r="J10" s="4">
        <f t="shared" si="5"/>
        <v>47.406389344907723</v>
      </c>
    </row>
    <row r="11" spans="1:11" x14ac:dyDescent="0.3">
      <c r="A11" s="1" t="s">
        <v>12</v>
      </c>
      <c r="B11" s="1">
        <v>0.38</v>
      </c>
      <c r="C11" s="1">
        <v>6</v>
      </c>
      <c r="D11" s="1">
        <v>330</v>
      </c>
      <c r="E11" s="1">
        <f t="shared" si="0"/>
        <v>162702.63874097736</v>
      </c>
      <c r="F11" s="1">
        <f t="shared" si="1"/>
        <v>1222.2222222222222</v>
      </c>
      <c r="G11" s="3">
        <f t="shared" si="2"/>
        <v>32.564940780043756</v>
      </c>
      <c r="H11" s="4">
        <f t="shared" si="3"/>
        <v>50.435657332084872</v>
      </c>
      <c r="I11" s="4">
        <f t="shared" si="4"/>
        <v>50.779140680538049</v>
      </c>
      <c r="J11" s="4">
        <f t="shared" si="5"/>
        <v>51.662383576560501</v>
      </c>
    </row>
    <row r="12" spans="1:11" x14ac:dyDescent="0.3">
      <c r="A12" s="1" t="s">
        <v>13</v>
      </c>
      <c r="B12" s="1">
        <v>0.76</v>
      </c>
      <c r="C12" s="1">
        <v>7</v>
      </c>
      <c r="D12" s="1">
        <v>390</v>
      </c>
      <c r="E12" s="1">
        <f t="shared" si="0"/>
        <v>192284.93669388234</v>
      </c>
      <c r="F12" s="1">
        <f t="shared" si="1"/>
        <v>1444.4444444444441</v>
      </c>
      <c r="G12" s="3">
        <f t="shared" si="2"/>
        <v>33.491169395059558</v>
      </c>
      <c r="H12" s="4">
        <f t="shared" si="3"/>
        <v>54.611107138380873</v>
      </c>
      <c r="I12" s="4">
        <f t="shared" si="4"/>
        <v>55.017042004734627</v>
      </c>
      <c r="J12" s="4">
        <f t="shared" si="5"/>
        <v>56.060874518215705</v>
      </c>
    </row>
    <row r="13" spans="1:11" x14ac:dyDescent="0.3">
      <c r="A13" s="1" t="s">
        <v>14</v>
      </c>
      <c r="B13" s="1">
        <v>2.89</v>
      </c>
      <c r="C13" s="1">
        <v>8</v>
      </c>
      <c r="D13" s="1">
        <v>450</v>
      </c>
      <c r="E13" s="1">
        <f t="shared" si="0"/>
        <v>221867.23464678731</v>
      </c>
      <c r="F13" s="1">
        <f t="shared" si="1"/>
        <v>1666.6666666666665</v>
      </c>
      <c r="G13" s="3">
        <f t="shared" si="2"/>
        <v>34.559894720077786</v>
      </c>
      <c r="H13" s="4">
        <f t="shared" si="3"/>
        <v>58.929053654679308</v>
      </c>
      <c r="I13" s="4">
        <f t="shared" si="4"/>
        <v>59.397440038933638</v>
      </c>
      <c r="J13" s="4">
        <f t="shared" si="5"/>
        <v>60.601862169873343</v>
      </c>
    </row>
    <row r="14" spans="1:11" x14ac:dyDescent="0.3">
      <c r="A14" s="1" t="s">
        <v>15</v>
      </c>
      <c r="B14" s="1">
        <v>62.6</v>
      </c>
      <c r="C14" s="1">
        <v>9</v>
      </c>
      <c r="D14" s="1">
        <v>510</v>
      </c>
      <c r="E14" s="1">
        <f t="shared" si="0"/>
        <v>251449.53259969229</v>
      </c>
      <c r="F14" s="1">
        <f t="shared" si="1"/>
        <v>1888.8888888888887</v>
      </c>
      <c r="G14" s="3">
        <f t="shared" si="2"/>
        <v>35.771116755098447</v>
      </c>
      <c r="H14" s="4">
        <f t="shared" si="3"/>
        <v>63.389496880980175</v>
      </c>
      <c r="I14" s="4">
        <f t="shared" si="4"/>
        <v>63.920334783135083</v>
      </c>
      <c r="J14" s="4">
        <f t="shared" si="5"/>
        <v>65.285346531533406</v>
      </c>
    </row>
    <row r="15" spans="1:11" x14ac:dyDescent="0.3">
      <c r="A15" s="1" t="s">
        <v>16</v>
      </c>
      <c r="B15" s="1">
        <v>67.099999999999994</v>
      </c>
      <c r="C15" s="1">
        <v>10</v>
      </c>
      <c r="D15" s="1">
        <v>570</v>
      </c>
      <c r="E15" s="1">
        <f t="shared" si="0"/>
        <v>281031.8305525973</v>
      </c>
      <c r="F15" s="1">
        <f t="shared" si="1"/>
        <v>2111.1111111111109</v>
      </c>
      <c r="G15" s="3">
        <f t="shared" si="2"/>
        <v>37.124835500121542</v>
      </c>
      <c r="H15" s="4">
        <f t="shared" si="3"/>
        <v>67.992436817283476</v>
      </c>
      <c r="I15" s="4">
        <f t="shared" si="4"/>
        <v>68.58572623733896</v>
      </c>
      <c r="J15" s="4">
        <f t="shared" si="5"/>
        <v>70.111327603195917</v>
      </c>
    </row>
    <row r="16" spans="1:11" x14ac:dyDescent="0.3">
      <c r="A16" s="1" t="s">
        <v>17</v>
      </c>
      <c r="B16" s="1">
        <v>600</v>
      </c>
      <c r="C16" s="1"/>
      <c r="D16" s="1"/>
      <c r="E16" s="1"/>
      <c r="F16" s="1"/>
      <c r="G16" s="3"/>
      <c r="H16" s="4"/>
      <c r="I16" s="4"/>
      <c r="J16" s="4"/>
    </row>
    <row r="17" spans="1:10" x14ac:dyDescent="0.3">
      <c r="A17" s="1" t="s">
        <v>18</v>
      </c>
      <c r="B17" s="1">
        <v>5000000</v>
      </c>
      <c r="C17" s="1"/>
      <c r="D17" s="1"/>
      <c r="E17" s="1"/>
      <c r="F17" s="1"/>
      <c r="G17" s="3"/>
      <c r="H17" s="4"/>
      <c r="I17" s="4"/>
      <c r="J17" s="4"/>
    </row>
    <row r="18" spans="1:10" x14ac:dyDescent="0.3">
      <c r="A18" s="1" t="s">
        <v>19</v>
      </c>
      <c r="B18" s="1">
        <f>450*2*B14*B16/1000000</f>
        <v>33.804000000000002</v>
      </c>
      <c r="C18" s="1"/>
      <c r="D18" s="1"/>
      <c r="E18" s="1"/>
      <c r="F18" s="1"/>
      <c r="G18" s="3"/>
      <c r="H18" s="4"/>
      <c r="I18" s="4"/>
      <c r="J18" s="4"/>
    </row>
    <row r="19" spans="1:10" x14ac:dyDescent="0.3">
      <c r="A19" s="1" t="s">
        <v>20</v>
      </c>
      <c r="B19" s="1">
        <f>B18/450</f>
        <v>7.5120000000000006E-2</v>
      </c>
      <c r="C19" s="1"/>
      <c r="D19" s="1"/>
      <c r="E19" s="1"/>
      <c r="F19" s="1"/>
      <c r="G19" s="3"/>
      <c r="H19" s="4"/>
      <c r="I19" s="4"/>
      <c r="J19" s="4"/>
    </row>
    <row r="20" spans="1:10" x14ac:dyDescent="0.3">
      <c r="A20" s="1" t="s">
        <v>21</v>
      </c>
      <c r="B20" s="1">
        <f>B17/B18</f>
        <v>147911.48976452489</v>
      </c>
      <c r="C20" s="1"/>
      <c r="D20" s="1"/>
      <c r="E20" s="1"/>
      <c r="F20" s="1"/>
      <c r="G20" s="3"/>
      <c r="H20" s="4"/>
      <c r="I20" s="4"/>
      <c r="J20" s="4"/>
    </row>
    <row r="21" spans="1:10" x14ac:dyDescent="0.3">
      <c r="A21" s="1" t="s">
        <v>22</v>
      </c>
      <c r="B21" s="1">
        <v>22.8</v>
      </c>
      <c r="C21" s="1"/>
      <c r="D21" s="1"/>
      <c r="E21" s="1"/>
      <c r="F21" s="1"/>
      <c r="G21" s="3"/>
      <c r="H21" s="4"/>
      <c r="I21" s="4"/>
      <c r="J21" s="4"/>
    </row>
    <row r="22" spans="1:10" x14ac:dyDescent="0.3">
      <c r="A22" s="1" t="s">
        <v>23</v>
      </c>
      <c r="B22" s="1">
        <f>B21/17/3.6</f>
        <v>0.37254901960784315</v>
      </c>
      <c r="C22" s="1"/>
      <c r="D22" s="1"/>
      <c r="E22" s="1"/>
      <c r="F22" s="1"/>
      <c r="G22" s="3"/>
      <c r="H22" s="4"/>
      <c r="I22" s="4"/>
      <c r="J22" s="4"/>
    </row>
    <row r="23" spans="1:10" x14ac:dyDescent="0.3">
      <c r="A23" s="1" t="s">
        <v>24</v>
      </c>
      <c r="B23" s="1">
        <v>450</v>
      </c>
      <c r="C23" s="1"/>
      <c r="D23" s="1"/>
      <c r="E23" s="1"/>
      <c r="F23" s="1"/>
      <c r="G23" s="3"/>
      <c r="H23" s="4"/>
      <c r="I23" s="4"/>
      <c r="J23" s="4"/>
    </row>
    <row r="24" spans="1:10" x14ac:dyDescent="0.3">
      <c r="A24" s="1" t="s">
        <v>25</v>
      </c>
      <c r="B24" s="1">
        <f>B17/B23</f>
        <v>11111.111111111111</v>
      </c>
      <c r="C24" s="1"/>
      <c r="D24" s="1"/>
      <c r="E24" s="1"/>
      <c r="F24" s="1"/>
      <c r="G24" s="3"/>
      <c r="H24" s="4"/>
      <c r="I24" s="4"/>
      <c r="J24" s="4"/>
    </row>
    <row r="25" spans="1:10" x14ac:dyDescent="0.3">
      <c r="A25" s="1" t="s">
        <v>26</v>
      </c>
      <c r="B25" s="1">
        <f>4*((B13*B15)/1000000)/(2*B13/1000+2*B15/1000)</f>
        <v>5.5413344763537639E-3</v>
      </c>
      <c r="C25" s="1"/>
      <c r="D25" s="1"/>
      <c r="E25" s="1"/>
      <c r="F25" s="1"/>
      <c r="G25" s="3"/>
      <c r="H25" s="4"/>
      <c r="I25" s="4"/>
      <c r="J25" s="4"/>
    </row>
    <row r="26" spans="1:10" x14ac:dyDescent="0.3">
      <c r="A26" s="1" t="s">
        <v>27</v>
      </c>
      <c r="B26" s="1">
        <f>B17/B18</f>
        <v>147911.48976452489</v>
      </c>
      <c r="C26" s="1"/>
      <c r="D26" s="1"/>
      <c r="E26" s="1"/>
      <c r="F26" s="1"/>
      <c r="G26" s="1"/>
    </row>
    <row r="27" spans="1:10" x14ac:dyDescent="0.3">
      <c r="A27" s="1" t="s">
        <v>28</v>
      </c>
      <c r="B27" s="1">
        <f>450*B12*B14*B16/1000000000</f>
        <v>1.2845519999999999E-2</v>
      </c>
      <c r="C27" s="1"/>
      <c r="D27" s="1"/>
      <c r="E27" s="1"/>
      <c r="F27" s="1"/>
      <c r="G27" s="1"/>
    </row>
    <row r="28" spans="1:10" x14ac:dyDescent="0.3">
      <c r="A28" s="1" t="s">
        <v>29</v>
      </c>
      <c r="B28" s="1">
        <f>B17/B27</f>
        <v>389240762.53822345</v>
      </c>
      <c r="C28" s="1"/>
      <c r="D28" s="1"/>
      <c r="E28" s="1"/>
      <c r="F28" s="1"/>
      <c r="G28" s="1"/>
    </row>
    <row r="29" spans="1:10" x14ac:dyDescent="0.3">
      <c r="A29" s="1" t="s">
        <v>30</v>
      </c>
      <c r="B29" s="1">
        <f>B13*B15/1000000</f>
        <v>1.9391899999999997E-4</v>
      </c>
      <c r="C29" s="1"/>
      <c r="D29" s="1"/>
      <c r="E29" s="1"/>
      <c r="F29" s="1"/>
      <c r="G29" s="1"/>
    </row>
    <row r="30" spans="1:10" x14ac:dyDescent="0.3">
      <c r="A30" s="1" t="s">
        <v>31</v>
      </c>
      <c r="B30" s="1">
        <f>(B21/17)/B29/3600</f>
        <v>1.9211579041137963</v>
      </c>
      <c r="C30" s="1"/>
      <c r="D30" s="1"/>
      <c r="E30" s="1"/>
      <c r="F30" s="1"/>
      <c r="G30" s="1"/>
    </row>
    <row r="31" spans="1:10" x14ac:dyDescent="0.3">
      <c r="A31" s="1" t="s">
        <v>32</v>
      </c>
      <c r="B31" s="2">
        <f>B3*B30*B25/B5</f>
        <v>10613.936718430028</v>
      </c>
      <c r="C31" s="1"/>
      <c r="D31" s="1"/>
      <c r="E31" s="1"/>
      <c r="F31" s="1"/>
      <c r="G31" s="1"/>
    </row>
    <row r="32" spans="1:10" x14ac:dyDescent="0.3">
      <c r="A32" s="5" t="s">
        <v>33</v>
      </c>
      <c r="B32" s="2"/>
      <c r="C32" s="1"/>
      <c r="D32" s="1"/>
      <c r="E32" s="1"/>
      <c r="F32" s="1"/>
      <c r="G32" s="1"/>
    </row>
    <row r="33" spans="1:7" x14ac:dyDescent="0.3">
      <c r="A33" s="1" t="s">
        <v>34</v>
      </c>
      <c r="B33" s="2">
        <f>B7*B5/B10</f>
        <v>6.8828819672131152</v>
      </c>
      <c r="C33" s="1"/>
      <c r="D33" s="1"/>
      <c r="E33" s="1"/>
      <c r="F33" s="1"/>
      <c r="G33" s="1"/>
    </row>
    <row r="34" spans="1:7" x14ac:dyDescent="0.3">
      <c r="A34" s="1" t="s">
        <v>35</v>
      </c>
      <c r="B34" s="1"/>
      <c r="C34" s="1"/>
      <c r="D34" s="1"/>
      <c r="E34" s="1"/>
      <c r="F34" s="1"/>
      <c r="G34" s="1"/>
    </row>
    <row r="35" spans="1:7" x14ac:dyDescent="0.3">
      <c r="A35" s="1" t="s">
        <v>36</v>
      </c>
      <c r="B35" s="1">
        <v>10</v>
      </c>
      <c r="C35" s="1"/>
      <c r="D35" s="1"/>
      <c r="E35" s="1"/>
      <c r="F35" s="1"/>
      <c r="G35" s="1"/>
    </row>
    <row r="36" spans="1:7" x14ac:dyDescent="0.3">
      <c r="A36" s="1" t="s">
        <v>37</v>
      </c>
      <c r="B36" s="2">
        <f>0.023*(B10/B25)*B31^0.8*B33^0.4</f>
        <v>9104.4272493032277</v>
      </c>
      <c r="C36" s="1"/>
      <c r="D36" s="1"/>
      <c r="E36" s="1"/>
      <c r="F36" s="1"/>
      <c r="G36" s="1"/>
    </row>
    <row r="37" spans="1:7" x14ac:dyDescent="0.3">
      <c r="B37" s="1"/>
      <c r="C37" s="1"/>
      <c r="D37" s="1"/>
      <c r="E37" s="1"/>
      <c r="F37" s="1"/>
      <c r="G37" s="1"/>
    </row>
    <row r="39" spans="1:7" x14ac:dyDescent="0.3">
      <c r="A39" s="1" t="s">
        <v>45</v>
      </c>
      <c r="B39">
        <v>10</v>
      </c>
    </row>
  </sheetData>
  <mergeCells count="1">
    <mergeCell ref="A1:K1"/>
  </mergeCells>
  <phoneticPr fontId="4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Fluxo Uniforme 5 volumes</vt:lpstr>
      <vt:lpstr> q"=(2) q"médio (vezes) x por 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Umbehaun</dc:creator>
  <cp:lastModifiedBy>Pedro Umbehaun</cp:lastModifiedBy>
  <dcterms:created xsi:type="dcterms:W3CDTF">2020-09-20T21:07:19Z</dcterms:created>
  <dcterms:modified xsi:type="dcterms:W3CDTF">2020-10-09T11:44:29Z</dcterms:modified>
</cp:coreProperties>
</file>