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ESALQ\Ensino\Pós-graduação\Hidráulica Aplicada - PG\Aulas\Aula 4\"/>
    </mc:Choice>
  </mc:AlternateContent>
  <bookViews>
    <workbookView xWindow="0" yWindow="0" windowWidth="20490" windowHeight="7905" activeTab="3"/>
  </bookViews>
  <sheets>
    <sheet name="Eq -2o grau" sheetId="1" r:id="rId1"/>
    <sheet name="Colebrook-White" sheetId="2" r:id="rId2"/>
    <sheet name="D-W_Caso 1" sheetId="3" r:id="rId3"/>
    <sheet name="D-W_Caso 2" sheetId="5" r:id="rId4"/>
    <sheet name="D-W_Caso 3" sheetId="4" r:id="rId5"/>
  </sheets>
  <calcPr calcId="152511" iterateCount="10000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4" i="4"/>
  <c r="B9" i="5"/>
  <c r="B8" i="5"/>
  <c r="F5" i="5"/>
  <c r="B27" i="3"/>
  <c r="B28" i="3"/>
  <c r="B29" i="3"/>
  <c r="B30" i="3"/>
  <c r="B26" i="3"/>
  <c r="H14" i="2"/>
  <c r="B10" i="3"/>
  <c r="B11" i="3" s="1"/>
  <c r="K17" i="2"/>
  <c r="K16" i="2"/>
  <c r="H17" i="2"/>
  <c r="H16" i="2"/>
  <c r="H15" i="2"/>
  <c r="D20" i="2"/>
  <c r="D19" i="2"/>
  <c r="E13" i="1"/>
  <c r="E12" i="1"/>
  <c r="B31" i="3" l="1"/>
  <c r="B32" i="3" s="1"/>
  <c r="F26" i="3" s="1"/>
  <c r="E27" i="3" s="1"/>
  <c r="F27" i="3" s="1"/>
  <c r="E28" i="3" s="1"/>
  <c r="F6" i="5"/>
  <c r="F7" i="5" s="1"/>
  <c r="F8" i="5" s="1"/>
  <c r="E9" i="4"/>
  <c r="G9" i="4" s="1"/>
  <c r="H9" i="4" s="1"/>
  <c r="F9" i="4"/>
  <c r="E8" i="4"/>
  <c r="G8" i="4" s="1"/>
  <c r="H8" i="4" s="1"/>
  <c r="F8" i="4"/>
  <c r="F7" i="4"/>
  <c r="G7" i="4"/>
  <c r="H7" i="4" s="1"/>
  <c r="I7" i="4" s="1"/>
  <c r="E7" i="4"/>
  <c r="H6" i="4"/>
  <c r="B15" i="4"/>
  <c r="B10" i="4"/>
  <c r="B11" i="4" s="1"/>
  <c r="B12" i="4"/>
  <c r="E6" i="4" s="1"/>
  <c r="F9" i="5" l="1"/>
  <c r="F10" i="5" s="1"/>
  <c r="F11" i="5"/>
  <c r="F14" i="5"/>
  <c r="F15" i="5" s="1"/>
  <c r="F28" i="3"/>
  <c r="E29" i="3" s="1"/>
  <c r="I9" i="4"/>
  <c r="E10" i="4" s="1"/>
  <c r="I8" i="4"/>
  <c r="F6" i="4"/>
  <c r="I6" i="4"/>
  <c r="B16" i="4"/>
  <c r="B14" i="4"/>
  <c r="G6" i="4" s="1"/>
  <c r="E16" i="5" l="1"/>
  <c r="F29" i="3"/>
  <c r="E30" i="3" s="1"/>
  <c r="F10" i="4"/>
  <c r="G10" i="4"/>
  <c r="H10" i="4" s="1"/>
  <c r="D13" i="1"/>
  <c r="D14" i="1" s="1"/>
  <c r="F30" i="3" l="1"/>
  <c r="E31" i="3" s="1"/>
  <c r="E14" i="1"/>
  <c r="D15" i="1" s="1"/>
  <c r="I10" i="4"/>
  <c r="E11" i="4" s="1"/>
  <c r="G15" i="2"/>
  <c r="G16" i="2" s="1"/>
  <c r="G17" i="2" s="1"/>
  <c r="G18" i="2" s="1"/>
  <c r="F31" i="3" l="1"/>
  <c r="E32" i="3" s="1"/>
  <c r="H18" i="2"/>
  <c r="G19" i="2" s="1"/>
  <c r="E15" i="1"/>
  <c r="D16" i="1" s="1"/>
  <c r="G11" i="4"/>
  <c r="H11" i="4" s="1"/>
  <c r="I11" i="4" s="1"/>
  <c r="F11" i="4"/>
  <c r="F32" i="3" l="1"/>
  <c r="I28" i="3" s="1"/>
  <c r="I29" i="3" s="1"/>
  <c r="F5" i="3" s="1"/>
  <c r="H19" i="2"/>
  <c r="G20" i="2" s="1"/>
  <c r="H20" i="2" s="1"/>
  <c r="E16" i="1"/>
  <c r="D17" i="1" s="1"/>
  <c r="M10" i="1"/>
  <c r="F6" i="3" l="1"/>
  <c r="F9" i="3"/>
  <c r="F10" i="3" s="1"/>
  <c r="E11" i="3" s="1"/>
  <c r="E17" i="1"/>
  <c r="D18" i="1" s="1"/>
  <c r="E18" i="1" s="1"/>
</calcChain>
</file>

<file path=xl/comments1.xml><?xml version="1.0" encoding="utf-8"?>
<comments xmlns="http://schemas.openxmlformats.org/spreadsheetml/2006/main">
  <authors>
    <author>Fernando Campos Mendonça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</rPr>
          <t>Pressão final no escoamento</t>
        </r>
      </text>
    </comment>
    <comment ref="A8" authorId="0" shapeId="0">
      <text>
        <r>
          <rPr>
            <b/>
            <sz val="9"/>
            <color indexed="81"/>
            <rFont val="Segoe UI"/>
            <family val="2"/>
          </rPr>
          <t>Rugosidade do tubo</t>
        </r>
      </text>
    </comment>
  </commentList>
</comments>
</file>

<file path=xl/sharedStrings.xml><?xml version="1.0" encoding="utf-8"?>
<sst xmlns="http://schemas.openxmlformats.org/spreadsheetml/2006/main" count="157" uniqueCount="67">
  <si>
    <t>x1</t>
  </si>
  <si>
    <t>x2</t>
  </si>
  <si>
    <t>Newton-Raphson - Solução de uma equação do segundo grau</t>
  </si>
  <si>
    <t>Equação:</t>
  </si>
  <si>
    <r>
      <t>y = 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+ 3 x - 40</t>
    </r>
  </si>
  <si>
    <t>Solução:</t>
  </si>
  <si>
    <t>f'(x) = 2 x + 3</t>
  </si>
  <si>
    <t>x2 = x1 - f(x) / f'(x)</t>
  </si>
  <si>
    <t>(Repetir até que dois valores subsequentes coincidam)</t>
  </si>
  <si>
    <t>Método Solver - Excel</t>
  </si>
  <si>
    <t>y</t>
  </si>
  <si>
    <t>x</t>
  </si>
  <si>
    <t>Meta: fazer com que y = 0</t>
  </si>
  <si>
    <t xml:space="preserve">             encontrar o valor de x que leva a y = 0</t>
  </si>
  <si>
    <t>Newton-Raphson - Solução da Equação de Colebrook-White</t>
  </si>
  <si>
    <t>m</t>
  </si>
  <si>
    <t>mca</t>
  </si>
  <si>
    <t xml:space="preserve">L = </t>
  </si>
  <si>
    <t xml:space="preserve">hf = </t>
  </si>
  <si>
    <t xml:space="preserve">J = </t>
  </si>
  <si>
    <t>m/m</t>
  </si>
  <si>
    <t xml:space="preserve">Q = </t>
  </si>
  <si>
    <t xml:space="preserve">Temp = </t>
  </si>
  <si>
    <t xml:space="preserve">p = </t>
  </si>
  <si>
    <t xml:space="preserve">q = </t>
  </si>
  <si>
    <t xml:space="preserve">r = </t>
  </si>
  <si>
    <t>Pf =</t>
  </si>
  <si>
    <t>K =</t>
  </si>
  <si>
    <t>Expr. Interm.</t>
  </si>
  <si>
    <t>f(x)</t>
  </si>
  <si>
    <t>f'(x)</t>
  </si>
  <si>
    <t xml:space="preserve">D = </t>
  </si>
  <si>
    <r>
      <t>y = 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+ 3 x - 12</t>
    </r>
  </si>
  <si>
    <r>
      <t>f(x) = 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+ 3 x - 12</t>
    </r>
  </si>
  <si>
    <t xml:space="preserve">a = </t>
  </si>
  <si>
    <t xml:space="preserve">b = </t>
  </si>
  <si>
    <t xml:space="preserve">c = </t>
  </si>
  <si>
    <t>Dados:</t>
  </si>
  <si>
    <t xml:space="preserve">K = </t>
  </si>
  <si>
    <r>
      <t xml:space="preserve">K = </t>
    </r>
    <r>
      <rPr>
        <sz val="13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= </t>
    </r>
  </si>
  <si>
    <r>
      <t>n</t>
    </r>
    <r>
      <rPr>
        <sz val="11"/>
        <color theme="1"/>
        <rFont val="Calibri"/>
        <family val="2"/>
        <scheme val="minor"/>
      </rPr>
      <t xml:space="preserve">  = </t>
    </r>
  </si>
  <si>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 </t>
    </r>
  </si>
  <si>
    <r>
      <rPr>
        <sz val="12"/>
        <color theme="1"/>
        <rFont val="Calibri"/>
        <family val="2"/>
        <scheme val="minor"/>
      </rPr>
      <t>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s</t>
    </r>
    <r>
      <rPr>
        <vertAlign val="superscript"/>
        <sz val="12"/>
        <color theme="1"/>
        <rFont val="Calibri"/>
        <family val="2"/>
        <scheme val="minor"/>
      </rPr>
      <t>-1</t>
    </r>
  </si>
  <si>
    <t xml:space="preserve">Re = </t>
  </si>
  <si>
    <t xml:space="preserve">V = </t>
  </si>
  <si>
    <r>
      <t>m s</t>
    </r>
    <r>
      <rPr>
        <vertAlign val="superscript"/>
        <sz val="11"/>
        <color theme="1"/>
        <rFont val="Calibri"/>
        <family val="2"/>
        <scheme val="minor"/>
      </rPr>
      <t>-1</t>
    </r>
  </si>
  <si>
    <t xml:space="preserve">x = </t>
  </si>
  <si>
    <t xml:space="preserve">f = </t>
  </si>
  <si>
    <t>Fórmula Universal - Problemas Hidraulicamente Determinados</t>
  </si>
  <si>
    <t>Caso 1:</t>
  </si>
  <si>
    <t>Calcular a perda de carga e identificar o tipo de movimento (regime de escoamento)</t>
  </si>
  <si>
    <t>Tipo de movimento:</t>
  </si>
  <si>
    <r>
      <t xml:space="preserve">Carga viscosa: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= </t>
    </r>
  </si>
  <si>
    <r>
      <t>K/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</si>
  <si>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theme="1"/>
        <rFont val="Symbol"/>
        <family val="1"/>
        <charset val="2"/>
      </rPr>
      <t>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 Light"/>
        <family val="2"/>
        <scheme val="major"/>
      </rPr>
      <t xml:space="preserve">= </t>
    </r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</si>
  <si>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 </t>
    </r>
  </si>
  <si>
    <r>
      <t>L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 </t>
    </r>
  </si>
  <si>
    <t>Caso 2:</t>
  </si>
  <si>
    <t>Calcular a vazão e caracterizar o regime de escoamento.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</si>
  <si>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z =  </t>
    </r>
  </si>
  <si>
    <r>
      <rPr>
        <i/>
        <sz val="11"/>
        <color theme="1"/>
        <rFont val="Symbol"/>
        <family val="1"/>
        <charset val="2"/>
      </rPr>
      <t>n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</si>
  <si>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</si>
  <si>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</si>
  <si>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</si>
  <si>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Caso 3:</t>
  </si>
  <si>
    <t>Calcular o diâmetro.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</si>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</sst>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74" formatCode="0.000000"/>
  </numFmts>
  <fonts count="11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0" fontId="7" fillId="0" borderId="0" xfId="0" applyFont="1"/>
    <xf numFmtId="165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166" fontId="0" fillId="0" borderId="0" xfId="0" applyNumberFormat="1" applyFont="1"/>
    <xf numFmtId="11" fontId="0" fillId="0" borderId="0" xfId="0" applyNumberFormat="1" applyFont="1"/>
    <xf numFmtId="11" fontId="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6" fontId="0" fillId="2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65171</xdr:colOff>
      <xdr:row>2</xdr:row>
      <xdr:rowOff>175459</xdr:rowOff>
    </xdr:from>
    <xdr:to>
      <xdr:col>5</xdr:col>
      <xdr:colOff>584318</xdr:colOff>
      <xdr:row>4</xdr:row>
      <xdr:rowOff>140367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987" y="556459"/>
          <a:ext cx="1742357" cy="375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235618</xdr:colOff>
      <xdr:row>5</xdr:row>
      <xdr:rowOff>50132</xdr:rowOff>
    </xdr:from>
    <xdr:to>
      <xdr:col>6</xdr:col>
      <xdr:colOff>143159</xdr:colOff>
      <xdr:row>6</xdr:row>
      <xdr:rowOff>110290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434" y="1032711"/>
          <a:ext cx="1742357" cy="375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160421</xdr:colOff>
      <xdr:row>6</xdr:row>
      <xdr:rowOff>175461</xdr:rowOff>
    </xdr:from>
    <xdr:to>
      <xdr:col>6</xdr:col>
      <xdr:colOff>401052</xdr:colOff>
      <xdr:row>7</xdr:row>
      <xdr:rowOff>45912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37" y="1473869"/>
          <a:ext cx="2075447" cy="462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110290</xdr:colOff>
      <xdr:row>10</xdr:row>
      <xdr:rowOff>20055</xdr:rowOff>
    </xdr:from>
    <xdr:to>
      <xdr:col>7</xdr:col>
      <xdr:colOff>164072</xdr:colOff>
      <xdr:row>10</xdr:row>
      <xdr:rowOff>807119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106" y="2481516"/>
          <a:ext cx="2500203" cy="787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</xdr:colOff>
      <xdr:row>12</xdr:row>
      <xdr:rowOff>0</xdr:rowOff>
    </xdr:from>
    <xdr:to>
      <xdr:col>9</xdr:col>
      <xdr:colOff>451617</xdr:colOff>
      <xdr:row>14</xdr:row>
      <xdr:rowOff>95250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213" y="3458308"/>
          <a:ext cx="451616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410307</xdr:colOff>
      <xdr:row>11</xdr:row>
      <xdr:rowOff>168519</xdr:rowOff>
    </xdr:from>
    <xdr:to>
      <xdr:col>11</xdr:col>
      <xdr:colOff>344365</xdr:colOff>
      <xdr:row>14</xdr:row>
      <xdr:rowOff>58674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1653" y="3436327"/>
          <a:ext cx="542193" cy="461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65171</xdr:colOff>
      <xdr:row>14</xdr:row>
      <xdr:rowOff>175459</xdr:rowOff>
    </xdr:from>
    <xdr:to>
      <xdr:col>3</xdr:col>
      <xdr:colOff>584318</xdr:colOff>
      <xdr:row>16</xdr:row>
      <xdr:rowOff>140367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971" y="556459"/>
          <a:ext cx="1738347" cy="345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235618</xdr:colOff>
      <xdr:row>17</xdr:row>
      <xdr:rowOff>50132</xdr:rowOff>
    </xdr:from>
    <xdr:to>
      <xdr:col>4</xdr:col>
      <xdr:colOff>143159</xdr:colOff>
      <xdr:row>18</xdr:row>
      <xdr:rowOff>110290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418" y="1002632"/>
          <a:ext cx="1736341" cy="374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160421</xdr:colOff>
      <xdr:row>18</xdr:row>
      <xdr:rowOff>175461</xdr:rowOff>
    </xdr:from>
    <xdr:to>
      <xdr:col>4</xdr:col>
      <xdr:colOff>401052</xdr:colOff>
      <xdr:row>19</xdr:row>
      <xdr:rowOff>45912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9221" y="1442286"/>
          <a:ext cx="2069431" cy="46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110290</xdr:colOff>
      <xdr:row>22</xdr:row>
      <xdr:rowOff>20055</xdr:rowOff>
    </xdr:from>
    <xdr:to>
      <xdr:col>5</xdr:col>
      <xdr:colOff>164072</xdr:colOff>
      <xdr:row>22</xdr:row>
      <xdr:rowOff>807119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090" y="2448930"/>
          <a:ext cx="2492182" cy="787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</xdr:colOff>
      <xdr:row>24</xdr:row>
      <xdr:rowOff>0</xdr:rowOff>
    </xdr:from>
    <xdr:to>
      <xdr:col>7</xdr:col>
      <xdr:colOff>451617</xdr:colOff>
      <xdr:row>26</xdr:row>
      <xdr:rowOff>95250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1" y="3457575"/>
          <a:ext cx="451616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410307</xdr:colOff>
      <xdr:row>23</xdr:row>
      <xdr:rowOff>168519</xdr:rowOff>
    </xdr:from>
    <xdr:to>
      <xdr:col>9</xdr:col>
      <xdr:colOff>344365</xdr:colOff>
      <xdr:row>26</xdr:row>
      <xdr:rowOff>58674</xdr:rowOff>
    </xdr:to>
    <xdr:pic>
      <xdr:nvPicPr>
        <xdr:cNvPr id="13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307" y="3435594"/>
          <a:ext cx="543658" cy="461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8</xdr:col>
      <xdr:colOff>295275</xdr:colOff>
      <xdr:row>9</xdr:row>
      <xdr:rowOff>209550</xdr:rowOff>
    </xdr:to>
    <xdr:pic>
      <xdr:nvPicPr>
        <xdr:cNvPr id="14" name="Imagem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571625"/>
          <a:ext cx="904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16330</xdr:colOff>
      <xdr:row>5</xdr:row>
      <xdr:rowOff>19050</xdr:rowOff>
    </xdr:from>
    <xdr:ext cx="522259" cy="19569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/>
            <xdr:cNvSpPr txBox="1"/>
          </xdr:nvSpPr>
          <xdr:spPr>
            <a:xfrm>
              <a:off x="3853544" y="1162050"/>
              <a:ext cx="522259" cy="1956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pt-BR" sz="1050" b="0" i="1">
                      <a:latin typeface="Cambria Math" panose="02040503050406030204" pitchFamily="18" charset="0"/>
                    </a:rPr>
                    <m:t>𝑅𝑒</m:t>
                  </m:r>
                  <m:r>
                    <a:rPr lang="pt-BR" sz="1050" b="0" i="1">
                      <a:latin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pt-BR" sz="1050" b="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pt-BR" sz="1050" b="0" i="1">
                          <a:latin typeface="Cambria Math" panose="02040503050406030204" pitchFamily="18" charset="0"/>
                        </a:rPr>
                        <m:t>𝑓</m:t>
                      </m:r>
                      <m:r>
                        <a:rPr lang="pt-BR" sz="105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rad>
                </m:oMath>
              </a14:m>
              <a:r>
                <a:rPr lang="pt-BR" sz="1050" b="0"/>
                <a:t> =</a:t>
              </a:r>
              <a:r>
                <a:rPr lang="pt-BR" sz="1100" b="0"/>
                <a:t> </a:t>
              </a:r>
            </a:p>
          </xdr:txBody>
        </xdr:sp>
      </mc:Choice>
      <mc:Fallback>
        <xdr:sp macro="" textlink="">
          <xdr:nvSpPr>
            <xdr:cNvPr id="2" name="CaixaDeTexto 1"/>
            <xdr:cNvSpPr txBox="1"/>
          </xdr:nvSpPr>
          <xdr:spPr>
            <a:xfrm>
              <a:off x="3853544" y="1162050"/>
              <a:ext cx="522259" cy="1956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050" b="0" i="0">
                  <a:latin typeface="Cambria Math" panose="02040503050406030204" pitchFamily="18" charset="0"/>
                </a:rPr>
                <a:t>𝑅𝑒 √(𝑓 )</a:t>
              </a:r>
              <a:r>
                <a:rPr lang="pt-BR" sz="1050" b="0"/>
                <a:t> =</a:t>
              </a:r>
              <a:r>
                <a:rPr lang="pt-BR" sz="1100" b="0"/>
                <a:t> </a:t>
              </a:r>
            </a:p>
          </xdr:txBody>
        </xdr:sp>
      </mc:Fallback>
    </mc:AlternateContent>
    <xdr:clientData/>
  </xdr:oneCellAnchor>
  <xdr:oneCellAnchor>
    <xdr:from>
      <xdr:col>6</xdr:col>
      <xdr:colOff>598715</xdr:colOff>
      <xdr:row>4</xdr:row>
      <xdr:rowOff>182336</xdr:rowOff>
    </xdr:from>
    <xdr:ext cx="1528495" cy="3164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ixaDeTexto 3"/>
            <xdr:cNvSpPr txBox="1"/>
          </xdr:nvSpPr>
          <xdr:spPr>
            <a:xfrm>
              <a:off x="5655129" y="1134836"/>
              <a:ext cx="1528495" cy="316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𝑅𝑒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 </m:t>
                    </m:r>
                    <m:rad>
                      <m:radPr>
                        <m:degHide m:val="on"/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</m:rad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𝜈</m:t>
                        </m:r>
                      </m:den>
                    </m:f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ad>
                      <m:radPr>
                        <m:degHide m:val="on"/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𝑔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𝐽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" name="CaixaDeTexto 3"/>
            <xdr:cNvSpPr txBox="1"/>
          </xdr:nvSpPr>
          <xdr:spPr>
            <a:xfrm>
              <a:off x="5655129" y="1134836"/>
              <a:ext cx="1528495" cy="316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𝑅𝑒 √𝑓=( 𝐷 )/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𝜈∙√(2𝑔∙𝐷∙𝐽 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6</xdr:col>
      <xdr:colOff>604158</xdr:colOff>
      <xdr:row>6</xdr:row>
      <xdr:rowOff>187779</xdr:rowOff>
    </xdr:from>
    <xdr:ext cx="977512" cy="50013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aixaDeTexto 4"/>
            <xdr:cNvSpPr txBox="1"/>
          </xdr:nvSpPr>
          <xdr:spPr>
            <a:xfrm>
              <a:off x="5660572" y="1548493"/>
              <a:ext cx="977512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 </m:t>
                    </m:r>
                    <m:rad>
                      <m:radPr>
                        <m:degHide m:val="on"/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𝑔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∙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𝐷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∙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𝐽</m:t>
                            </m:r>
                          </m:num>
                          <m:den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" name="CaixaDeTexto 4"/>
            <xdr:cNvSpPr txBox="1"/>
          </xdr:nvSpPr>
          <xdr:spPr>
            <a:xfrm>
              <a:off x="5660572" y="1548493"/>
              <a:ext cx="977512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𝑉= √((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2𝑔∙𝐷∙𝐽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pt-BR" sz="1100" b="0" i="0">
                  <a:latin typeface="Cambria Math" panose="02040503050406030204" pitchFamily="18" charset="0"/>
                </a:rPr>
                <a:t>𝑓)</a:t>
              </a:r>
              <a:endParaRPr lang="pt-B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9"/>
  <sheetViews>
    <sheetView topLeftCell="A10" zoomScale="175" zoomScaleNormal="175" workbookViewId="0">
      <selection activeCell="D12" sqref="D12:E15"/>
    </sheetView>
  </sheetViews>
  <sheetFormatPr defaultRowHeight="15" x14ac:dyDescent="0.25"/>
  <sheetData>
    <row r="2" spans="3:14" x14ac:dyDescent="0.25">
      <c r="C2" t="s">
        <v>2</v>
      </c>
      <c r="M2" t="s">
        <v>9</v>
      </c>
    </row>
    <row r="3" spans="3:14" x14ac:dyDescent="0.25">
      <c r="F3" s="4" t="s">
        <v>29</v>
      </c>
      <c r="G3" s="4"/>
      <c r="H3" s="4" t="s">
        <v>30</v>
      </c>
      <c r="I3" s="4"/>
    </row>
    <row r="4" spans="3:14" ht="17.25" x14ac:dyDescent="0.25">
      <c r="C4" t="s">
        <v>3</v>
      </c>
      <c r="D4" t="s">
        <v>32</v>
      </c>
      <c r="F4" s="4" t="s">
        <v>34</v>
      </c>
      <c r="G4" s="5">
        <v>1</v>
      </c>
      <c r="H4" s="4" t="s">
        <v>34</v>
      </c>
      <c r="I4" s="5">
        <v>2</v>
      </c>
      <c r="M4" t="s">
        <v>3</v>
      </c>
      <c r="N4" t="s">
        <v>4</v>
      </c>
    </row>
    <row r="5" spans="3:14" x14ac:dyDescent="0.25">
      <c r="F5" s="4" t="s">
        <v>35</v>
      </c>
      <c r="G5" s="5">
        <v>3</v>
      </c>
      <c r="H5" s="4" t="s">
        <v>35</v>
      </c>
      <c r="I5" s="5">
        <v>3</v>
      </c>
    </row>
    <row r="6" spans="3:14" ht="17.25" x14ac:dyDescent="0.25">
      <c r="C6" t="s">
        <v>5</v>
      </c>
      <c r="D6" t="s">
        <v>33</v>
      </c>
      <c r="F6" s="4" t="s">
        <v>36</v>
      </c>
      <c r="G6" s="5">
        <v>-12</v>
      </c>
      <c r="M6" t="s">
        <v>12</v>
      </c>
    </row>
    <row r="7" spans="3:14" x14ac:dyDescent="0.25">
      <c r="D7" t="s">
        <v>6</v>
      </c>
      <c r="M7" t="s">
        <v>13</v>
      </c>
    </row>
    <row r="8" spans="3:14" x14ac:dyDescent="0.25">
      <c r="D8" t="s">
        <v>7</v>
      </c>
      <c r="F8" t="s">
        <v>8</v>
      </c>
    </row>
    <row r="9" spans="3:14" x14ac:dyDescent="0.25">
      <c r="M9" t="s">
        <v>10</v>
      </c>
      <c r="N9" t="s">
        <v>11</v>
      </c>
    </row>
    <row r="10" spans="3:14" x14ac:dyDescent="0.25">
      <c r="M10" s="3">
        <f>N10^2+3*N10-40</f>
        <v>4.8184342915646994E-6</v>
      </c>
      <c r="N10" s="3">
        <v>5.000000370648781</v>
      </c>
    </row>
    <row r="11" spans="3:14" x14ac:dyDescent="0.25">
      <c r="D11" t="s">
        <v>0</v>
      </c>
      <c r="E11" t="s">
        <v>1</v>
      </c>
    </row>
    <row r="12" spans="3:14" x14ac:dyDescent="0.25">
      <c r="D12" s="3">
        <v>1</v>
      </c>
      <c r="E12" s="3">
        <f>D12-(($G$4*D12^2+$G$5*D12+$G$6)/($I$4*D12+$I$5))</f>
        <v>2.6</v>
      </c>
    </row>
    <row r="13" spans="3:14" x14ac:dyDescent="0.25">
      <c r="D13" s="3">
        <f>E12</f>
        <v>2.6</v>
      </c>
      <c r="E13" s="3">
        <f t="shared" ref="E13:E18" si="0">D13-(($G$4*D13^2+$G$5*D13+$G$6)/($I$4*D13+$I$5))</f>
        <v>2.2878048780487803</v>
      </c>
    </row>
    <row r="14" spans="3:14" x14ac:dyDescent="0.25">
      <c r="D14" s="3">
        <f t="shared" ref="D14:D18" si="1">E13</f>
        <v>2.2878048780487803</v>
      </c>
      <c r="E14" s="3">
        <f t="shared" si="0"/>
        <v>2.2749391421795737</v>
      </c>
      <c r="G14" s="1"/>
    </row>
    <row r="15" spans="3:14" x14ac:dyDescent="0.25">
      <c r="D15" s="3">
        <f t="shared" si="1"/>
        <v>2.2749391421795737</v>
      </c>
      <c r="E15" s="3">
        <f t="shared" si="0"/>
        <v>2.2749172176990426</v>
      </c>
    </row>
    <row r="16" spans="3:14" x14ac:dyDescent="0.25">
      <c r="D16" s="3">
        <f t="shared" si="1"/>
        <v>2.2749172176990426</v>
      </c>
      <c r="E16" s="3">
        <f t="shared" si="0"/>
        <v>2.2749172176353749</v>
      </c>
    </row>
    <row r="17" spans="4:5" x14ac:dyDescent="0.25">
      <c r="D17" s="3">
        <f t="shared" si="1"/>
        <v>2.2749172176353749</v>
      </c>
      <c r="E17" s="3">
        <f t="shared" si="0"/>
        <v>2.2749172176353749</v>
      </c>
    </row>
    <row r="18" spans="4:5" x14ac:dyDescent="0.25">
      <c r="D18" s="3">
        <f t="shared" si="1"/>
        <v>2.2749172176353749</v>
      </c>
      <c r="E18" s="3">
        <f t="shared" si="0"/>
        <v>2.2749172176353749</v>
      </c>
    </row>
    <row r="19" spans="4:5" x14ac:dyDescent="0.25">
      <c r="D19" s="3"/>
      <c r="E19" s="3"/>
    </row>
    <row r="20" spans="4:5" x14ac:dyDescent="0.25">
      <c r="D20" s="3"/>
      <c r="E20" s="3"/>
    </row>
    <row r="21" spans="4:5" x14ac:dyDescent="0.25">
      <c r="D21" s="3"/>
      <c r="E21" s="3"/>
    </row>
    <row r="22" spans="4:5" x14ac:dyDescent="0.25">
      <c r="D22" s="3"/>
      <c r="E22" s="3"/>
    </row>
    <row r="23" spans="4:5" x14ac:dyDescent="0.25">
      <c r="D23" s="3"/>
      <c r="E23" s="3"/>
    </row>
    <row r="24" spans="4:5" x14ac:dyDescent="0.25">
      <c r="D24" s="3"/>
      <c r="E24" s="3"/>
    </row>
    <row r="25" spans="4:5" x14ac:dyDescent="0.25">
      <c r="D25" s="3"/>
      <c r="E25" s="3"/>
    </row>
    <row r="26" spans="4:5" x14ac:dyDescent="0.25">
      <c r="D26" s="3"/>
      <c r="E26" s="3"/>
    </row>
    <row r="27" spans="4:5" x14ac:dyDescent="0.25">
      <c r="D27" s="3"/>
      <c r="E27" s="3"/>
    </row>
    <row r="28" spans="4:5" x14ac:dyDescent="0.25">
      <c r="D28" s="3"/>
      <c r="E28" s="3"/>
    </row>
    <row r="29" spans="4:5" x14ac:dyDescent="0.25">
      <c r="D29" s="2"/>
      <c r="E29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0"/>
  <sheetViews>
    <sheetView showGridLines="0" topLeftCell="A7" zoomScale="130" zoomScaleNormal="130" workbookViewId="0">
      <selection activeCell="H15" sqref="H15"/>
    </sheetView>
  </sheetViews>
  <sheetFormatPr defaultRowHeight="15" x14ac:dyDescent="0.25"/>
  <sheetData>
    <row r="2" spans="3:14" x14ac:dyDescent="0.25">
      <c r="C2" s="16" t="s">
        <v>14</v>
      </c>
    </row>
    <row r="4" spans="3:14" x14ac:dyDescent="0.25">
      <c r="C4" t="s">
        <v>3</v>
      </c>
    </row>
    <row r="6" spans="3:14" ht="24.75" customHeight="1" x14ac:dyDescent="0.25">
      <c r="C6" t="s">
        <v>5</v>
      </c>
      <c r="D6" s="4"/>
    </row>
    <row r="7" spans="3:14" ht="46.5" customHeight="1" x14ac:dyDescent="0.25"/>
    <row r="8" spans="3:14" x14ac:dyDescent="0.25">
      <c r="D8" s="4"/>
    </row>
    <row r="9" spans="3:14" x14ac:dyDescent="0.25">
      <c r="D9" t="s">
        <v>7</v>
      </c>
      <c r="F9" t="s">
        <v>8</v>
      </c>
    </row>
    <row r="11" spans="3:14" ht="66" customHeight="1" x14ac:dyDescent="0.25">
      <c r="M11" s="3"/>
      <c r="N11" s="3"/>
    </row>
    <row r="12" spans="3:14" x14ac:dyDescent="0.25">
      <c r="M12" s="3"/>
      <c r="N12" s="3"/>
    </row>
    <row r="13" spans="3:14" x14ac:dyDescent="0.25">
      <c r="C13" s="4" t="s">
        <v>37</v>
      </c>
      <c r="G13" s="6" t="s">
        <v>0</v>
      </c>
      <c r="H13" s="6" t="s">
        <v>1</v>
      </c>
    </row>
    <row r="14" spans="3:14" x14ac:dyDescent="0.25">
      <c r="C14" s="9" t="s">
        <v>17</v>
      </c>
      <c r="D14" s="5">
        <v>1000</v>
      </c>
      <c r="E14" t="s">
        <v>15</v>
      </c>
      <c r="G14" s="7">
        <v>1</v>
      </c>
      <c r="H14" s="7">
        <f>G14-(G14+2*LOG($D$16/(3.7*$D$15)+2.51*G14/$D$20))/(1+5.02/(($D$16/(3.7*$D$15)*$D$20+2.51*G14)*LN(10)))</f>
        <v>7.4502844246902518</v>
      </c>
    </row>
    <row r="15" spans="3:14" x14ac:dyDescent="0.25">
      <c r="C15" s="4" t="s">
        <v>31</v>
      </c>
      <c r="D15" s="12">
        <v>0.2</v>
      </c>
      <c r="E15" t="s">
        <v>15</v>
      </c>
      <c r="G15" s="7">
        <f>H14</f>
        <v>7.4502844246902518</v>
      </c>
      <c r="H15" s="7">
        <f>G15-(G15+2*LOG($D$16/(3.7*$D$15)+2.51*G15/$D$20))/(1+5.02/(($D$16/(3.7*$D$15)*$D$20+2.51*G15)*LN(10)))</f>
        <v>7.4794164987531904</v>
      </c>
    </row>
    <row r="16" spans="3:14" ht="16.5" x14ac:dyDescent="0.25">
      <c r="C16" s="4" t="s">
        <v>39</v>
      </c>
      <c r="D16" s="13">
        <v>1E-4</v>
      </c>
      <c r="E16" t="s">
        <v>15</v>
      </c>
      <c r="G16" s="7">
        <f t="shared" ref="G16:G20" si="0">H15</f>
        <v>7.4794164987531904</v>
      </c>
      <c r="H16" s="7">
        <f>G16-(G16+2*LOG($D$16/(3.7*$D$15)+2.51*G16/$D$20))/(1+5.02/(($D$16/(3.7*$D$15)*$D$20+2.51*G16)*LN(10)))</f>
        <v>7.4794169247230569</v>
      </c>
      <c r="J16" s="4" t="s">
        <v>46</v>
      </c>
      <c r="K16" s="17">
        <f>H20</f>
        <v>7.4794169247230569</v>
      </c>
    </row>
    <row r="17" spans="3:11" ht="17.25" x14ac:dyDescent="0.25">
      <c r="C17" s="10" t="s">
        <v>40</v>
      </c>
      <c r="D17" s="13">
        <v>9.9999999999999995E-7</v>
      </c>
      <c r="E17" s="8" t="s">
        <v>41</v>
      </c>
      <c r="G17" s="7">
        <f t="shared" si="0"/>
        <v>7.4794169247230569</v>
      </c>
      <c r="H17" s="7">
        <f t="shared" ref="H17:H20" si="1">G17-(G17+2*LOG($D$16/(3.7*$D$15)+2.51*G17/$D$20))/(1+5.02/(($D$16/(3.7*$D$15)*$D$20+2.51*G17)*LN(10)))</f>
        <v>7.4794169247230569</v>
      </c>
      <c r="J17" s="4" t="s">
        <v>47</v>
      </c>
      <c r="K17" s="18">
        <f>1/K16^2</f>
        <v>1.7875759971538157E-2</v>
      </c>
    </row>
    <row r="18" spans="3:11" ht="18" x14ac:dyDescent="0.25">
      <c r="C18" s="4" t="s">
        <v>21</v>
      </c>
      <c r="D18" s="12">
        <v>6.2799999999999995E-2</v>
      </c>
      <c r="E18" s="11" t="s">
        <v>42</v>
      </c>
      <c r="G18" s="7">
        <f t="shared" si="0"/>
        <v>7.4794169247230569</v>
      </c>
      <c r="H18" s="7">
        <f t="shared" si="1"/>
        <v>7.4794169247230569</v>
      </c>
    </row>
    <row r="19" spans="3:11" ht="17.25" x14ac:dyDescent="0.25">
      <c r="C19" s="4" t="s">
        <v>44</v>
      </c>
      <c r="D19" s="14">
        <f>4*D18/(PI()*D15^2)</f>
        <v>1.9989860852342052</v>
      </c>
      <c r="E19" t="s">
        <v>45</v>
      </c>
      <c r="G19" s="7">
        <f t="shared" si="0"/>
        <v>7.4794169247230569</v>
      </c>
      <c r="H19" s="7">
        <f t="shared" si="1"/>
        <v>7.4794169247230569</v>
      </c>
    </row>
    <row r="20" spans="3:11" x14ac:dyDescent="0.25">
      <c r="C20" s="4" t="s">
        <v>43</v>
      </c>
      <c r="D20" s="15">
        <f>D19*D15/D17</f>
        <v>399797.21704684111</v>
      </c>
      <c r="G20" s="7">
        <f t="shared" si="0"/>
        <v>7.4794169247230569</v>
      </c>
      <c r="H20" s="7">
        <f t="shared" si="1"/>
        <v>7.4794169247230569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opLeftCell="A4" zoomScale="175" zoomScaleNormal="175" workbookViewId="0">
      <selection activeCell="H9" sqref="H9"/>
    </sheetView>
  </sheetViews>
  <sheetFormatPr defaultRowHeight="15" x14ac:dyDescent="0.25"/>
  <cols>
    <col min="5" max="5" width="15.42578125" customWidth="1"/>
  </cols>
  <sheetData>
    <row r="1" spans="1:7" x14ac:dyDescent="0.25">
      <c r="A1" s="16" t="s">
        <v>48</v>
      </c>
    </row>
    <row r="2" spans="1:7" x14ac:dyDescent="0.25">
      <c r="A2" s="31" t="s">
        <v>49</v>
      </c>
      <c r="B2" t="s">
        <v>50</v>
      </c>
    </row>
    <row r="4" spans="1:7" x14ac:dyDescent="0.25">
      <c r="A4" t="s">
        <v>37</v>
      </c>
      <c r="E4" t="s">
        <v>5</v>
      </c>
    </row>
    <row r="5" spans="1:7" x14ac:dyDescent="0.25">
      <c r="A5" s="9" t="s">
        <v>17</v>
      </c>
      <c r="B5" s="5">
        <v>1000</v>
      </c>
      <c r="C5" t="s">
        <v>15</v>
      </c>
      <c r="E5" s="4" t="s">
        <v>47</v>
      </c>
      <c r="F5" s="18">
        <f>I29</f>
        <v>1.7875759971538157E-2</v>
      </c>
    </row>
    <row r="6" spans="1:7" x14ac:dyDescent="0.25">
      <c r="A6" s="4" t="s">
        <v>31</v>
      </c>
      <c r="B6" s="12">
        <v>0.2</v>
      </c>
      <c r="C6" t="s">
        <v>15</v>
      </c>
      <c r="E6" s="4" t="s">
        <v>18</v>
      </c>
      <c r="F6" s="21">
        <f>F5*B5/B6*B10^2/19.62</f>
        <v>18.203506695950036</v>
      </c>
      <c r="G6" t="s">
        <v>16</v>
      </c>
    </row>
    <row r="7" spans="1:7" ht="16.5" x14ac:dyDescent="0.25">
      <c r="A7" s="4" t="s">
        <v>39</v>
      </c>
      <c r="B7" s="13">
        <v>1E-4</v>
      </c>
      <c r="C7" t="s">
        <v>15</v>
      </c>
      <c r="E7" s="20"/>
    </row>
    <row r="8" spans="1:7" ht="17.25" x14ac:dyDescent="0.25">
      <c r="A8" s="10" t="s">
        <v>40</v>
      </c>
      <c r="B8" s="13">
        <v>9.9999999999999995E-7</v>
      </c>
      <c r="C8" s="8" t="s">
        <v>41</v>
      </c>
      <c r="E8" t="s">
        <v>51</v>
      </c>
    </row>
    <row r="9" spans="1:7" ht="18" x14ac:dyDescent="0.25">
      <c r="A9" s="4" t="s">
        <v>21</v>
      </c>
      <c r="B9" s="12">
        <v>6.2799999999999995E-2</v>
      </c>
      <c r="C9" s="11" t="s">
        <v>42</v>
      </c>
      <c r="E9" t="s">
        <v>52</v>
      </c>
      <c r="F9" s="22">
        <f>32.81*B8/(B10*SQRT(F5))</f>
        <v>1.2276206978770041E-4</v>
      </c>
      <c r="G9" t="s">
        <v>15</v>
      </c>
    </row>
    <row r="10" spans="1:7" ht="17.25" x14ac:dyDescent="0.25">
      <c r="A10" s="4" t="s">
        <v>44</v>
      </c>
      <c r="B10" s="14">
        <f>4*B9/(PI()*B6^2)</f>
        <v>1.9989860852342052</v>
      </c>
      <c r="C10" t="s">
        <v>45</v>
      </c>
      <c r="E10" s="4" t="s">
        <v>53</v>
      </c>
      <c r="F10" s="7">
        <f>B7/F9</f>
        <v>0.81458385454836191</v>
      </c>
    </row>
    <row r="11" spans="1:7" x14ac:dyDescent="0.25">
      <c r="A11" s="4" t="s">
        <v>43</v>
      </c>
      <c r="B11" s="15">
        <f>B10*B6/B8</f>
        <v>399797.21704684111</v>
      </c>
      <c r="E11" t="str">
        <f>IF(B11&lt;=2000,"Regime laminar",IF(F10&lt;=0.43,"Regime turbulento liso",IF(F10&lt;6,"Regime turbulento de transição","Regime turbulento rugoso")))</f>
        <v>Regime turbulento de transição</v>
      </c>
    </row>
    <row r="12" spans="1:7" x14ac:dyDescent="0.25">
      <c r="A12" s="4"/>
    </row>
    <row r="14" spans="1:7" x14ac:dyDescent="0.25">
      <c r="A14" s="16" t="s">
        <v>14</v>
      </c>
    </row>
    <row r="16" spans="1:7" x14ac:dyDescent="0.25">
      <c r="A16" t="s">
        <v>3</v>
      </c>
    </row>
    <row r="18" spans="1:9" ht="27" customHeight="1" x14ac:dyDescent="0.25">
      <c r="A18" t="s">
        <v>5</v>
      </c>
      <c r="B18" s="4"/>
    </row>
    <row r="19" spans="1:9" ht="48.75" customHeight="1" x14ac:dyDescent="0.25"/>
    <row r="20" spans="1:9" x14ac:dyDescent="0.25">
      <c r="B20" s="4"/>
    </row>
    <row r="21" spans="1:9" x14ac:dyDescent="0.25">
      <c r="B21" t="s">
        <v>7</v>
      </c>
      <c r="D21" t="s">
        <v>8</v>
      </c>
    </row>
    <row r="23" spans="1:9" ht="61.5" customHeight="1" x14ac:dyDescent="0.25"/>
    <row r="25" spans="1:9" x14ac:dyDescent="0.25">
      <c r="A25" s="4" t="s">
        <v>37</v>
      </c>
      <c r="E25" s="6" t="s">
        <v>0</v>
      </c>
      <c r="F25" s="6" t="s">
        <v>1</v>
      </c>
    </row>
    <row r="26" spans="1:9" x14ac:dyDescent="0.25">
      <c r="A26" s="9" t="s">
        <v>17</v>
      </c>
      <c r="B26" s="19">
        <f>B5</f>
        <v>1000</v>
      </c>
      <c r="C26" t="s">
        <v>15</v>
      </c>
      <c r="E26" s="7">
        <v>1</v>
      </c>
      <c r="F26" s="7">
        <f>E26-(E26+2*LOG($B$28/(3.7*$B$27)+2.51*E26/$B$32))/(1+5.02/(($B$28/(3.7*$B$27)*$B$32+2.51*E26)*LN(10)))</f>
        <v>7.4502844246902518</v>
      </c>
    </row>
    <row r="27" spans="1:9" x14ac:dyDescent="0.25">
      <c r="A27" s="4" t="s">
        <v>31</v>
      </c>
      <c r="B27" s="19">
        <f t="shared" ref="B27:B30" si="0">B6</f>
        <v>0.2</v>
      </c>
      <c r="C27" t="s">
        <v>15</v>
      </c>
      <c r="E27" s="7">
        <f>F26</f>
        <v>7.4502844246902518</v>
      </c>
      <c r="F27" s="7">
        <f t="shared" ref="F27:F32" si="1">E27-(E27+2*LOG($B$28/(3.7*$B$27)+2.51*E27/$B$32))/(1+5.02/(($B$28/(3.7*$B$27)*$B$32+2.51*E27)*LN(10)))</f>
        <v>7.4794164987531904</v>
      </c>
    </row>
    <row r="28" spans="1:9" ht="16.5" x14ac:dyDescent="0.25">
      <c r="A28" s="4" t="s">
        <v>39</v>
      </c>
      <c r="B28" s="19">
        <f t="shared" si="0"/>
        <v>1E-4</v>
      </c>
      <c r="C28" t="s">
        <v>15</v>
      </c>
      <c r="E28" s="7">
        <f t="shared" ref="E28:E32" si="2">F27</f>
        <v>7.4794164987531904</v>
      </c>
      <c r="F28" s="7">
        <f t="shared" si="1"/>
        <v>7.4794169247230569</v>
      </c>
      <c r="H28" s="4" t="s">
        <v>46</v>
      </c>
      <c r="I28" s="17">
        <f>F32</f>
        <v>7.4794169247230569</v>
      </c>
    </row>
    <row r="29" spans="1:9" ht="17.25" x14ac:dyDescent="0.25">
      <c r="A29" s="10" t="s">
        <v>40</v>
      </c>
      <c r="B29" s="19">
        <f t="shared" si="0"/>
        <v>9.9999999999999995E-7</v>
      </c>
      <c r="C29" s="8" t="s">
        <v>41</v>
      </c>
      <c r="E29" s="7">
        <f t="shared" si="2"/>
        <v>7.4794169247230569</v>
      </c>
      <c r="F29" s="7">
        <f t="shared" si="1"/>
        <v>7.4794169247230569</v>
      </c>
      <c r="H29" s="4" t="s">
        <v>47</v>
      </c>
      <c r="I29" s="18">
        <f>1/I28^2</f>
        <v>1.7875759971538157E-2</v>
      </c>
    </row>
    <row r="30" spans="1:9" ht="18" x14ac:dyDescent="0.25">
      <c r="A30" s="4" t="s">
        <v>21</v>
      </c>
      <c r="B30" s="19">
        <f t="shared" si="0"/>
        <v>6.2799999999999995E-2</v>
      </c>
      <c r="C30" s="11" t="s">
        <v>42</v>
      </c>
      <c r="E30" s="7">
        <f t="shared" si="2"/>
        <v>7.4794169247230569</v>
      </c>
      <c r="F30" s="7">
        <f t="shared" si="1"/>
        <v>7.4794169247230569</v>
      </c>
    </row>
    <row r="31" spans="1:9" ht="17.25" x14ac:dyDescent="0.25">
      <c r="A31" s="4" t="s">
        <v>44</v>
      </c>
      <c r="B31" s="14">
        <f>4*B30/(PI()*B27^2)</f>
        <v>1.9989860852342052</v>
      </c>
      <c r="C31" t="s">
        <v>45</v>
      </c>
      <c r="E31" s="7">
        <f t="shared" si="2"/>
        <v>7.4794169247230569</v>
      </c>
      <c r="F31" s="7">
        <f t="shared" si="1"/>
        <v>7.4794169247230569</v>
      </c>
    </row>
    <row r="32" spans="1:9" x14ac:dyDescent="0.25">
      <c r="A32" s="4" t="s">
        <v>43</v>
      </c>
      <c r="B32" s="15">
        <f>B31*B27/B29</f>
        <v>399797.21704684111</v>
      </c>
      <c r="E32" s="7">
        <f t="shared" si="2"/>
        <v>7.4794169247230569</v>
      </c>
      <c r="F32" s="7">
        <f t="shared" si="1"/>
        <v>7.4794169247230569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="175" zoomScaleNormal="175" workbookViewId="0">
      <selection activeCell="F6" sqref="F6"/>
    </sheetView>
  </sheetViews>
  <sheetFormatPr defaultRowHeight="15" x14ac:dyDescent="0.25"/>
  <cols>
    <col min="2" max="2" width="11.85546875" customWidth="1"/>
  </cols>
  <sheetData>
    <row r="1" spans="1:7" x14ac:dyDescent="0.25">
      <c r="A1" s="16" t="s">
        <v>48</v>
      </c>
    </row>
    <row r="2" spans="1:7" x14ac:dyDescent="0.25">
      <c r="A2" s="31" t="s">
        <v>57</v>
      </c>
      <c r="B2" t="s">
        <v>58</v>
      </c>
    </row>
    <row r="4" spans="1:7" x14ac:dyDescent="0.25">
      <c r="A4" t="s">
        <v>37</v>
      </c>
      <c r="E4" t="s">
        <v>5</v>
      </c>
    </row>
    <row r="5" spans="1:7" x14ac:dyDescent="0.25">
      <c r="A5" s="4" t="s">
        <v>18</v>
      </c>
      <c r="B5" s="23">
        <v>3.4499999999999993</v>
      </c>
      <c r="C5" t="s">
        <v>16</v>
      </c>
      <c r="E5" s="4" t="s">
        <v>19</v>
      </c>
      <c r="F5" s="6">
        <f>B5/B6</f>
        <v>1.1499999999999998E-2</v>
      </c>
      <c r="G5" t="s">
        <v>20</v>
      </c>
    </row>
    <row r="6" spans="1:7" ht="17.25" customHeight="1" x14ac:dyDescent="0.25">
      <c r="A6" s="4" t="s">
        <v>17</v>
      </c>
      <c r="B6" s="5">
        <v>300</v>
      </c>
      <c r="C6" t="s">
        <v>15</v>
      </c>
      <c r="E6" s="4"/>
      <c r="F6" s="6">
        <f>B7/B9*SQRT(19.62*B7*F5)</f>
        <v>21458.550457920082</v>
      </c>
    </row>
    <row r="7" spans="1:7" x14ac:dyDescent="0.25">
      <c r="A7" s="4" t="s">
        <v>31</v>
      </c>
      <c r="B7" s="17">
        <v>0.1</v>
      </c>
      <c r="C7" t="s">
        <v>15</v>
      </c>
      <c r="E7" s="4" t="s">
        <v>47</v>
      </c>
      <c r="F7" s="6">
        <f>1/(-2*LOG(B8/(3.7*B7)+2.51/F6))^2</f>
        <v>2.5999116096648379E-2</v>
      </c>
    </row>
    <row r="8" spans="1:7" ht="17.25" x14ac:dyDescent="0.25">
      <c r="A8" s="4" t="s">
        <v>38</v>
      </c>
      <c r="B8" s="5">
        <f>0.00025</f>
        <v>2.5000000000000001E-4</v>
      </c>
      <c r="C8" t="s">
        <v>15</v>
      </c>
      <c r="E8" s="4" t="s">
        <v>44</v>
      </c>
      <c r="F8" s="7">
        <f>SQRT(19.62*B7*F5/F7)</f>
        <v>0.93157779897675597</v>
      </c>
      <c r="G8" t="s">
        <v>45</v>
      </c>
    </row>
    <row r="9" spans="1:7" ht="17.25" x14ac:dyDescent="0.25">
      <c r="A9" s="4" t="s">
        <v>54</v>
      </c>
      <c r="B9" s="5">
        <f>7*10^(-7)</f>
        <v>6.9999999999999997E-7</v>
      </c>
      <c r="C9" s="8" t="s">
        <v>41</v>
      </c>
      <c r="E9" s="4" t="s">
        <v>21</v>
      </c>
      <c r="F9" s="6">
        <f>PI()*B7^2/4*F8</f>
        <v>7.316594923781815E-3</v>
      </c>
      <c r="G9" s="8" t="s">
        <v>55</v>
      </c>
    </row>
    <row r="10" spans="1:7" ht="17.25" x14ac:dyDescent="0.25">
      <c r="A10" s="4"/>
      <c r="E10" s="4"/>
      <c r="F10" s="7">
        <f>F9*1000</f>
        <v>7.3165949237818149</v>
      </c>
      <c r="G10" s="8" t="s">
        <v>56</v>
      </c>
    </row>
    <row r="11" spans="1:7" x14ac:dyDescent="0.25">
      <c r="A11" s="4"/>
      <c r="E11" s="4" t="s">
        <v>43</v>
      </c>
      <c r="F11">
        <f>F8*B7/B9</f>
        <v>133082.54271096515</v>
      </c>
    </row>
    <row r="12" spans="1:7" x14ac:dyDescent="0.25">
      <c r="A12" s="4"/>
      <c r="E12" s="4"/>
    </row>
    <row r="13" spans="1:7" x14ac:dyDescent="0.25">
      <c r="A13" s="4"/>
      <c r="E13" t="s">
        <v>51</v>
      </c>
    </row>
    <row r="14" spans="1:7" x14ac:dyDescent="0.25">
      <c r="E14" s="4" t="s">
        <v>52</v>
      </c>
      <c r="F14" s="22">
        <f>32.81*B9/(F8*SQRT(F7))</f>
        <v>1.5289942377207612E-4</v>
      </c>
      <c r="G14" t="s">
        <v>15</v>
      </c>
    </row>
    <row r="15" spans="1:7" x14ac:dyDescent="0.25">
      <c r="E15" s="4" t="s">
        <v>53</v>
      </c>
      <c r="F15" s="7">
        <f>B8/F14</f>
        <v>1.6350617538799206</v>
      </c>
    </row>
    <row r="16" spans="1:7" x14ac:dyDescent="0.25">
      <c r="E16" t="str">
        <f>IF(F11&lt;=2000,"Regime laminar",IF(F15&lt;=0.43,"Regime turbulento liso",IF(F15&lt;6,"Regime turbulento de transição","Regime turbulento rugoso")))</f>
        <v>Regime turbulento de transição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showGridLines="0" topLeftCell="A7" zoomScale="160" zoomScaleNormal="160" workbookViewId="0">
      <selection activeCell="D16" sqref="D16"/>
    </sheetView>
  </sheetViews>
  <sheetFormatPr defaultRowHeight="15" x14ac:dyDescent="0.25"/>
  <cols>
    <col min="1" max="1" width="9.140625" style="24"/>
    <col min="2" max="2" width="12.42578125" style="24" bestFit="1" customWidth="1"/>
    <col min="3" max="3" width="9.140625" style="24"/>
    <col min="4" max="4" width="13.7109375" style="24" bestFit="1" customWidth="1"/>
    <col min="5" max="5" width="9.140625" style="24"/>
    <col min="6" max="6" width="10.42578125" style="24" customWidth="1"/>
    <col min="7" max="7" width="13" style="24" bestFit="1" customWidth="1"/>
    <col min="8" max="8" width="11" style="24" customWidth="1"/>
    <col min="9" max="9" width="8.85546875" style="24" customWidth="1"/>
    <col min="10" max="16384" width="9.140625" style="24"/>
  </cols>
  <sheetData>
    <row r="1" spans="1:9" x14ac:dyDescent="0.25">
      <c r="A1" s="16" t="s">
        <v>48</v>
      </c>
    </row>
    <row r="2" spans="1:9" x14ac:dyDescent="0.25">
      <c r="A2" s="31" t="s">
        <v>64</v>
      </c>
      <c r="B2" s="24" t="s">
        <v>65</v>
      </c>
    </row>
    <row r="3" spans="1:9" x14ac:dyDescent="0.25">
      <c r="A3" s="16"/>
    </row>
    <row r="4" spans="1:9" x14ac:dyDescent="0.25">
      <c r="A4" s="24" t="s">
        <v>37</v>
      </c>
      <c r="E4" s="24" t="s">
        <v>5</v>
      </c>
    </row>
    <row r="5" spans="1:9" x14ac:dyDescent="0.25">
      <c r="A5" s="25" t="s">
        <v>59</v>
      </c>
      <c r="B5" s="26">
        <v>30</v>
      </c>
      <c r="C5" s="24" t="s">
        <v>15</v>
      </c>
      <c r="E5" s="30" t="s">
        <v>0</v>
      </c>
      <c r="F5" s="30" t="s">
        <v>29</v>
      </c>
      <c r="G5" s="30" t="s">
        <v>28</v>
      </c>
      <c r="H5" s="30" t="s">
        <v>30</v>
      </c>
      <c r="I5" s="30" t="s">
        <v>1</v>
      </c>
    </row>
    <row r="6" spans="1:9" x14ac:dyDescent="0.25">
      <c r="A6" s="25" t="s">
        <v>26</v>
      </c>
      <c r="B6" s="26">
        <v>0</v>
      </c>
      <c r="C6" s="24" t="s">
        <v>15</v>
      </c>
      <c r="E6" s="27">
        <f>1/SQRT((SQRT(4*B12/(PI()*2))))</f>
        <v>4.4856154387071863</v>
      </c>
      <c r="F6" s="28">
        <f>E6^5+$B$14*LOG($B$15*E6^2+$B$16*E6^3)</f>
        <v>29.425231401653946</v>
      </c>
      <c r="G6" s="28">
        <f>$B$14*LOG(EXP(1))*(2*$B$15*E6+3*$B$16*E6^2)/($B$15*E6^2+$B$16*E6^3)</f>
        <v>122.48931334876296</v>
      </c>
      <c r="H6" s="28">
        <f>5*E6^4+G6</f>
        <v>2146.7113839607428</v>
      </c>
      <c r="I6" s="27">
        <f>E6-F6/H6</f>
        <v>4.4719083183082793</v>
      </c>
    </row>
    <row r="7" spans="1:9" x14ac:dyDescent="0.25">
      <c r="A7" s="25" t="s">
        <v>17</v>
      </c>
      <c r="B7" s="26">
        <v>300</v>
      </c>
      <c r="C7" s="24" t="s">
        <v>15</v>
      </c>
      <c r="E7" s="27">
        <f>I6</f>
        <v>4.4719083183082793</v>
      </c>
      <c r="F7" s="28">
        <f>E7^5+$B$14*LOG($B$15*E7^2+$B$16*E7^3)</f>
        <v>0.16669056331897991</v>
      </c>
      <c r="G7" s="28">
        <f>$B$14*LOG(EXP(1))*(2*$B$15*E7+3*$B$16*E7^2)/($B$15*E7^2+$B$16*E7^3)</f>
        <v>122.83484782115956</v>
      </c>
      <c r="H7" s="28">
        <f>5*E7^4+G7</f>
        <v>2122.4276700184464</v>
      </c>
      <c r="I7" s="27">
        <f>E7-F7/H7</f>
        <v>4.4718297806197285</v>
      </c>
    </row>
    <row r="8" spans="1:9" x14ac:dyDescent="0.25">
      <c r="A8" s="25" t="s">
        <v>27</v>
      </c>
      <c r="B8" s="26">
        <v>1E-4</v>
      </c>
      <c r="C8" s="24" t="s">
        <v>15</v>
      </c>
      <c r="E8" s="27">
        <f>I7</f>
        <v>4.4718297806197285</v>
      </c>
      <c r="F8" s="28">
        <f>E8^5+$B$14*LOG($B$15*E8^2+$B$16*E8^3)</f>
        <v>5.4380584515456576E-6</v>
      </c>
      <c r="G8" s="28">
        <f>$B$14*LOG(EXP(1))*(2*$B$15*E8+3*$B$16*E8^2)/($B$15*E8^2+$B$16*E8^3)</f>
        <v>122.83683361158683</v>
      </c>
      <c r="H8" s="28">
        <f>5*E8^4+G8</f>
        <v>2122.2891884736177</v>
      </c>
      <c r="I8" s="27">
        <f>E8-F8/H8</f>
        <v>4.4718297780573737</v>
      </c>
    </row>
    <row r="9" spans="1:9" ht="17.25" x14ac:dyDescent="0.25">
      <c r="A9" s="25" t="s">
        <v>60</v>
      </c>
      <c r="B9" s="29">
        <v>1.0100000000000001E-6</v>
      </c>
      <c r="C9" s="24" t="s">
        <v>61</v>
      </c>
      <c r="E9" s="27">
        <f t="shared" ref="E9:E11" si="0">I8</f>
        <v>4.4718297780573737</v>
      </c>
      <c r="F9" s="28">
        <f t="shared" ref="F9:F11" si="1">E9^5+$B$14*LOG($B$15*E9^2+$B$16*E9^3)</f>
        <v>0</v>
      </c>
      <c r="G9" s="28">
        <f t="shared" ref="G9:G11" si="2">$B$14*LOG(EXP(1))*(2*$B$15*E9+3*$B$16*E9^2)/($B$15*E9^2+$B$16*E9^3)</f>
        <v>122.8368336763759</v>
      </c>
      <c r="H9" s="28">
        <f t="shared" ref="H9:H11" si="3">5*E9^4+G9</f>
        <v>2122.2891839556687</v>
      </c>
      <c r="I9" s="27">
        <f t="shared" ref="I9:I11" si="4">E9-F9/H9</f>
        <v>4.4718297780573737</v>
      </c>
    </row>
    <row r="10" spans="1:9" x14ac:dyDescent="0.25">
      <c r="A10" s="25" t="s">
        <v>18</v>
      </c>
      <c r="B10" s="30">
        <f>B5-B6</f>
        <v>30</v>
      </c>
      <c r="C10" s="24" t="s">
        <v>15</v>
      </c>
      <c r="E10" s="27">
        <f t="shared" si="0"/>
        <v>4.4718297780573737</v>
      </c>
      <c r="F10" s="28">
        <f t="shared" si="1"/>
        <v>0</v>
      </c>
      <c r="G10" s="28">
        <f t="shared" si="2"/>
        <v>122.8368336763759</v>
      </c>
      <c r="H10" s="28">
        <f t="shared" si="3"/>
        <v>2122.2891839556687</v>
      </c>
      <c r="I10" s="27">
        <f t="shared" si="4"/>
        <v>4.4718297780573737</v>
      </c>
    </row>
    <row r="11" spans="1:9" x14ac:dyDescent="0.25">
      <c r="A11" s="25" t="s">
        <v>19</v>
      </c>
      <c r="B11" s="30">
        <f>B10/B7</f>
        <v>0.1</v>
      </c>
      <c r="C11" s="24" t="s">
        <v>20</v>
      </c>
      <c r="E11" s="27">
        <f t="shared" si="0"/>
        <v>4.4718297780573737</v>
      </c>
      <c r="F11" s="28">
        <f t="shared" si="1"/>
        <v>0</v>
      </c>
      <c r="G11" s="28">
        <f t="shared" si="2"/>
        <v>122.8368336763759</v>
      </c>
      <c r="H11" s="28">
        <f t="shared" si="3"/>
        <v>2122.2891839556687</v>
      </c>
      <c r="I11" s="27">
        <f t="shared" si="4"/>
        <v>4.4718297780573737</v>
      </c>
    </row>
    <row r="12" spans="1:9" ht="17.25" x14ac:dyDescent="0.25">
      <c r="A12" s="25" t="s">
        <v>21</v>
      </c>
      <c r="B12" s="26">
        <f>3.88/1000</f>
        <v>3.8799999999999998E-3</v>
      </c>
      <c r="C12" s="24" t="s">
        <v>62</v>
      </c>
    </row>
    <row r="13" spans="1:9" ht="17.25" x14ac:dyDescent="0.25">
      <c r="A13" s="25" t="s">
        <v>22</v>
      </c>
      <c r="B13" s="26">
        <v>20</v>
      </c>
      <c r="C13" s="24" t="s">
        <v>63</v>
      </c>
    </row>
    <row r="14" spans="1:9" x14ac:dyDescent="0.25">
      <c r="A14" s="25" t="s">
        <v>23</v>
      </c>
      <c r="B14" s="30">
        <f>2*SQRT(PI()^2*9.81/8*B11)/B12</f>
        <v>567.07128062145784</v>
      </c>
      <c r="E14" s="25" t="s">
        <v>31</v>
      </c>
      <c r="F14" s="32">
        <f>(1/I11)^2</f>
        <v>5.0006847027705734E-2</v>
      </c>
      <c r="G14" s="24" t="s">
        <v>15</v>
      </c>
    </row>
    <row r="15" spans="1:9" x14ac:dyDescent="0.25">
      <c r="A15" s="25" t="s">
        <v>24</v>
      </c>
      <c r="B15" s="24">
        <f>B8/3.7</f>
        <v>2.7027027027027027E-5</v>
      </c>
      <c r="F15" s="33">
        <f>F14*1000</f>
        <v>50.006847027705732</v>
      </c>
      <c r="G15" s="24" t="s">
        <v>66</v>
      </c>
    </row>
    <row r="16" spans="1:9" x14ac:dyDescent="0.25">
      <c r="A16" s="25" t="s">
        <v>25</v>
      </c>
      <c r="B16" s="28">
        <f>2.51*B9/SQRT(2*9.81*B11)</f>
        <v>1.8098625504662005E-6</v>
      </c>
    </row>
    <row r="17" spans="1:1" x14ac:dyDescent="0.25">
      <c r="A17" s="25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Eq -2o grau</vt:lpstr>
      <vt:lpstr>Colebrook-White</vt:lpstr>
      <vt:lpstr>D-W_Caso 1</vt:lpstr>
      <vt:lpstr>D-W_Caso 2</vt:lpstr>
      <vt:lpstr>D-W_Caso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Campos Mendonça</dc:creator>
  <cp:lastModifiedBy>Fernando</cp:lastModifiedBy>
  <dcterms:created xsi:type="dcterms:W3CDTF">2013-04-19T11:36:18Z</dcterms:created>
  <dcterms:modified xsi:type="dcterms:W3CDTF">2020-10-03T09:17:10Z</dcterms:modified>
</cp:coreProperties>
</file>