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"/>
    </mc:Choice>
  </mc:AlternateContent>
  <xr:revisionPtr revIDLastSave="0" documentId="13_ncr:1_{78243073-31FF-4940-952B-CDF0497CC066}" xr6:coauthVersionLast="45" xr6:coauthVersionMax="45" xr10:uidLastSave="{00000000-0000-0000-0000-000000000000}"/>
  <bookViews>
    <workbookView xWindow="13100" yWindow="460" windowWidth="15160" windowHeight="13960" firstSheet="18" activeTab="24" xr2:uid="{00000000-000D-0000-FFFF-FFFF00000000}"/>
  </bookViews>
  <sheets>
    <sheet name="1" sheetId="1" r:id="rId1"/>
    <sheet name="2" sheetId="3" r:id="rId2"/>
    <sheet name="3" sheetId="4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24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17" r:id="rId22"/>
    <sheet name="23" sheetId="25" r:id="rId23"/>
    <sheet name="24" sheetId="26" r:id="rId24"/>
    <sheet name="25" sheetId="27" r:id="rId25"/>
  </sheets>
  <externalReferences>
    <externalReference r:id="rId26"/>
  </externalReferences>
  <definedNames>
    <definedName name="_xlnm.Print_Area" localSheetId="1">'2'!$A$1:$M$46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G17" i="6" l="1"/>
  <c r="G16" i="6"/>
  <c r="K5" i="1"/>
  <c r="E18" i="13" l="1"/>
  <c r="Q9" i="20" l="1"/>
  <c r="Q11" i="20"/>
  <c r="M16" i="20"/>
  <c r="M27" i="20"/>
  <c r="M10" i="20"/>
  <c r="M28" i="20"/>
  <c r="K26" i="20"/>
  <c r="K27" i="20"/>
  <c r="L21" i="20"/>
  <c r="P14" i="20"/>
  <c r="Q14" i="20"/>
  <c r="C9" i="20"/>
  <c r="C12" i="20"/>
  <c r="C11" i="20"/>
  <c r="B5" i="20"/>
  <c r="B4" i="20"/>
  <c r="B14" i="20"/>
  <c r="B3" i="20"/>
  <c r="C8" i="20"/>
  <c r="C13" i="20"/>
  <c r="C5" i="20"/>
  <c r="B8" i="20"/>
  <c r="C4" i="20"/>
  <c r="C3" i="20"/>
  <c r="B11" i="20" l="1"/>
  <c r="B15" i="20" s="1"/>
  <c r="B17" i="20" s="1"/>
  <c r="B16" i="20" l="1"/>
  <c r="B12" i="20"/>
  <c r="B13" i="20"/>
  <c r="D4" i="11"/>
  <c r="D5" i="11"/>
  <c r="I4" i="11"/>
  <c r="H5" i="11" s="1"/>
  <c r="D6" i="11"/>
  <c r="D7" i="11"/>
  <c r="D8" i="11"/>
  <c r="D9" i="11"/>
  <c r="G6" i="11"/>
  <c r="G7" i="11"/>
  <c r="G8" i="11"/>
  <c r="G9" i="11"/>
  <c r="G5" i="11"/>
  <c r="I17" i="7"/>
  <c r="I3" i="7"/>
  <c r="C16" i="6"/>
  <c r="C17" i="6"/>
  <c r="H16" i="6"/>
  <c r="G19" i="6"/>
  <c r="C18" i="6"/>
  <c r="H19" i="6"/>
  <c r="D10" i="11" l="1"/>
  <c r="I5" i="11"/>
  <c r="J5" i="11"/>
  <c r="H1" i="12"/>
  <c r="D8" i="4"/>
  <c r="G36" i="27"/>
  <c r="F36" i="27"/>
  <c r="E36" i="27"/>
  <c r="D36" i="27"/>
  <c r="D38" i="27" s="1"/>
  <c r="J34" i="27"/>
  <c r="I33" i="27"/>
  <c r="I19" i="27"/>
  <c r="H19" i="27"/>
  <c r="G19" i="27"/>
  <c r="H37" i="27" s="1"/>
  <c r="F19" i="27"/>
  <c r="H36" i="27" s="1"/>
  <c r="E19" i="27"/>
  <c r="D19" i="27"/>
  <c r="C19" i="27"/>
  <c r="I13" i="27"/>
  <c r="I21" i="27" s="1"/>
  <c r="H13" i="27"/>
  <c r="H14" i="27" s="1"/>
  <c r="I10" i="27"/>
  <c r="H10" i="27"/>
  <c r="G10" i="27"/>
  <c r="F10" i="27"/>
  <c r="E10" i="27"/>
  <c r="D10" i="27"/>
  <c r="C10" i="27"/>
  <c r="C20" i="27" s="1"/>
  <c r="I9" i="27"/>
  <c r="I22" i="27" s="1"/>
  <c r="H9" i="27"/>
  <c r="H22" i="27" s="1"/>
  <c r="G9" i="27"/>
  <c r="G22" i="27" s="1"/>
  <c r="F9" i="27"/>
  <c r="F22" i="27" s="1"/>
  <c r="E9" i="27"/>
  <c r="E22" i="27" s="1"/>
  <c r="D9" i="27"/>
  <c r="D22" i="27" s="1"/>
  <c r="C9" i="27"/>
  <c r="C22" i="27" s="1"/>
  <c r="F3" i="27"/>
  <c r="F11" i="27" s="1"/>
  <c r="C15" i="26"/>
  <c r="H10" i="26"/>
  <c r="K9" i="26"/>
  <c r="G9" i="26"/>
  <c r="K8" i="26"/>
  <c r="K10" i="26" s="1"/>
  <c r="J8" i="26"/>
  <c r="J9" i="26" s="1"/>
  <c r="I8" i="26"/>
  <c r="I9" i="26" s="1"/>
  <c r="H8" i="26"/>
  <c r="H9" i="26" s="1"/>
  <c r="G8" i="26"/>
  <c r="G10" i="26" s="1"/>
  <c r="F8" i="26"/>
  <c r="F9" i="26" s="1"/>
  <c r="E8" i="26"/>
  <c r="E9" i="26" s="1"/>
  <c r="F11" i="24"/>
  <c r="F12" i="24" s="1"/>
  <c r="G10" i="24"/>
  <c r="G11" i="24" s="1"/>
  <c r="G12" i="24" s="1"/>
  <c r="F10" i="24"/>
  <c r="E10" i="24"/>
  <c r="E11" i="24" s="1"/>
  <c r="E12" i="24" s="1"/>
  <c r="D10" i="24"/>
  <c r="G6" i="24"/>
  <c r="F6" i="24"/>
  <c r="E6" i="24"/>
  <c r="C12" i="17"/>
  <c r="C13" i="17" s="1"/>
  <c r="D20" i="27" l="1"/>
  <c r="I6" i="11"/>
  <c r="H7" i="11" s="1"/>
  <c r="H6" i="11"/>
  <c r="J6" i="11" s="1"/>
  <c r="J7" i="11"/>
  <c r="I7" i="11"/>
  <c r="H8" i="11" s="1"/>
  <c r="E20" i="27"/>
  <c r="F20" i="27" s="1"/>
  <c r="G20" i="27" s="1"/>
  <c r="H20" i="27" s="1"/>
  <c r="I20" i="27" s="1"/>
  <c r="E38" i="27"/>
  <c r="I38" i="27"/>
  <c r="I37" i="27" s="1"/>
  <c r="F13" i="27"/>
  <c r="F14" i="27" s="1"/>
  <c r="G33" i="27"/>
  <c r="D37" i="27"/>
  <c r="C11" i="27"/>
  <c r="G11" i="27"/>
  <c r="I36" i="27"/>
  <c r="J37" i="27"/>
  <c r="D11" i="27"/>
  <c r="I14" i="27"/>
  <c r="E11" i="27"/>
  <c r="E10" i="26"/>
  <c r="E11" i="26" s="1"/>
  <c r="E12" i="26" s="1"/>
  <c r="I10" i="26"/>
  <c r="F10" i="26"/>
  <c r="J10" i="26"/>
  <c r="C15" i="17"/>
  <c r="D13" i="17" s="1"/>
  <c r="I8" i="11" l="1"/>
  <c r="H9" i="11" s="1"/>
  <c r="J8" i="11"/>
  <c r="H33" i="27"/>
  <c r="G13" i="27"/>
  <c r="G14" i="27" s="1"/>
  <c r="J39" i="27"/>
  <c r="J38" i="27" s="1"/>
  <c r="F38" i="27"/>
  <c r="D13" i="27"/>
  <c r="D14" i="27" s="1"/>
  <c r="E33" i="27"/>
  <c r="D33" i="27"/>
  <c r="D35" i="27" s="1"/>
  <c r="C12" i="27"/>
  <c r="C13" i="27"/>
  <c r="C14" i="27" s="1"/>
  <c r="E13" i="27"/>
  <c r="E14" i="27" s="1"/>
  <c r="F33" i="27"/>
  <c r="E37" i="27"/>
  <c r="E15" i="26"/>
  <c r="E13" i="26"/>
  <c r="F11" i="26"/>
  <c r="E35" i="27" l="1"/>
  <c r="I9" i="11"/>
  <c r="J9" i="11"/>
  <c r="J10" i="11" s="1"/>
  <c r="F35" i="27"/>
  <c r="G35" i="27" s="1"/>
  <c r="H35" i="27" s="1"/>
  <c r="I35" i="27" s="1"/>
  <c r="J36" i="27" s="1"/>
  <c r="C15" i="27"/>
  <c r="C16" i="27" s="1"/>
  <c r="C17" i="27" s="1"/>
  <c r="C23" i="27" s="1"/>
  <c r="D12" i="27"/>
  <c r="D34" i="27"/>
  <c r="G38" i="27"/>
  <c r="G37" i="27" s="1"/>
  <c r="F37" i="27"/>
  <c r="D21" i="27"/>
  <c r="C21" i="27"/>
  <c r="C24" i="27" s="1"/>
  <c r="C26" i="27" s="1"/>
  <c r="F12" i="26"/>
  <c r="F13" i="26" s="1"/>
  <c r="G11" i="26"/>
  <c r="E21" i="27" l="1"/>
  <c r="D24" i="27"/>
  <c r="D26" i="27" s="1"/>
  <c r="D15" i="27"/>
  <c r="D16" i="27" s="1"/>
  <c r="D17" i="27" s="1"/>
  <c r="D23" i="27" s="1"/>
  <c r="E12" i="27"/>
  <c r="E34" i="27"/>
  <c r="G12" i="26"/>
  <c r="G13" i="26" s="1"/>
  <c r="H11" i="26"/>
  <c r="F34" i="27" l="1"/>
  <c r="E15" i="27"/>
  <c r="E16" i="27" s="1"/>
  <c r="E17" i="27" s="1"/>
  <c r="E23" i="27" s="1"/>
  <c r="E24" i="27" s="1"/>
  <c r="E26" i="27" s="1"/>
  <c r="F12" i="27"/>
  <c r="F21" i="27"/>
  <c r="H12" i="26"/>
  <c r="H13" i="26" s="1"/>
  <c r="H16" i="26" s="1"/>
  <c r="I11" i="26"/>
  <c r="G21" i="27" l="1"/>
  <c r="F15" i="27"/>
  <c r="F16" i="27" s="1"/>
  <c r="F17" i="27" s="1"/>
  <c r="F23" i="27" s="1"/>
  <c r="F24" i="27" s="1"/>
  <c r="F26" i="27" s="1"/>
  <c r="G12" i="27"/>
  <c r="G34" i="27"/>
  <c r="I12" i="26"/>
  <c r="I13" i="26" s="1"/>
  <c r="J11" i="26"/>
  <c r="G15" i="27" l="1"/>
  <c r="G16" i="27" s="1"/>
  <c r="G17" i="27" s="1"/>
  <c r="G23" i="27" s="1"/>
  <c r="G24" i="27" s="1"/>
  <c r="G26" i="27" s="1"/>
  <c r="H12" i="27"/>
  <c r="H34" i="27"/>
  <c r="J12" i="26"/>
  <c r="J13" i="26" s="1"/>
  <c r="K11" i="26"/>
  <c r="K12" i="26" s="1"/>
  <c r="K13" i="26" s="1"/>
  <c r="H15" i="27" l="1"/>
  <c r="H16" i="27" s="1"/>
  <c r="H17" i="27" s="1"/>
  <c r="H23" i="27" s="1"/>
  <c r="H24" i="27" s="1"/>
  <c r="H26" i="27" s="1"/>
  <c r="I12" i="27"/>
  <c r="I34" i="27"/>
  <c r="J35" i="27" l="1"/>
  <c r="I15" i="27"/>
  <c r="I16" i="27" s="1"/>
  <c r="I17" i="27" s="1"/>
  <c r="I23" i="27" s="1"/>
  <c r="I24" i="27" s="1"/>
  <c r="I26" i="27" s="1"/>
  <c r="B19" i="18" l="1"/>
  <c r="D6" i="22"/>
  <c r="C6" i="22"/>
  <c r="C7" i="22" s="1"/>
  <c r="D5" i="22"/>
  <c r="D3" i="22"/>
  <c r="D7" i="22" s="1"/>
  <c r="E20" i="19"/>
  <c r="F20" i="19" s="1"/>
  <c r="J24" i="19"/>
  <c r="D20" i="19"/>
  <c r="D19" i="19"/>
  <c r="F19" i="19" s="1"/>
  <c r="F18" i="19"/>
  <c r="D18" i="19"/>
  <c r="D17" i="19"/>
  <c r="F17" i="19" s="1"/>
  <c r="F16" i="19"/>
  <c r="D16" i="19"/>
  <c r="D15" i="19"/>
  <c r="F15" i="19" s="1"/>
  <c r="F14" i="19"/>
  <c r="D14" i="19"/>
  <c r="D13" i="19"/>
  <c r="F13" i="19" s="1"/>
  <c r="F12" i="19"/>
  <c r="D12" i="19"/>
  <c r="D11" i="19"/>
  <c r="F11" i="19" s="1"/>
  <c r="F10" i="19"/>
  <c r="D10" i="19"/>
  <c r="D9" i="19"/>
  <c r="F9" i="19" s="1"/>
  <c r="F8" i="19"/>
  <c r="D8" i="19"/>
  <c r="D7" i="19"/>
  <c r="F7" i="19" s="1"/>
  <c r="D6" i="19"/>
  <c r="E14" i="18"/>
  <c r="E13" i="18"/>
  <c r="E12" i="18"/>
  <c r="E11" i="18"/>
  <c r="E10" i="18"/>
  <c r="D10" i="18"/>
  <c r="D11" i="18" s="1"/>
  <c r="F11" i="18" s="1"/>
  <c r="G11" i="18" s="1"/>
  <c r="H11" i="18" s="1"/>
  <c r="E9" i="18"/>
  <c r="D9" i="18"/>
  <c r="F9" i="18" s="1"/>
  <c r="B9" i="18"/>
  <c r="C14" i="18" s="1"/>
  <c r="C22" i="16"/>
  <c r="D18" i="16"/>
  <c r="D20" i="16" s="1"/>
  <c r="G17" i="16"/>
  <c r="G21" i="16" s="1"/>
  <c r="F17" i="16"/>
  <c r="F21" i="16" s="1"/>
  <c r="E17" i="16"/>
  <c r="E21" i="16" s="1"/>
  <c r="D17" i="16"/>
  <c r="D21" i="16" s="1"/>
  <c r="C17" i="16"/>
  <c r="C11" i="16"/>
  <c r="G6" i="16"/>
  <c r="G10" i="16" s="1"/>
  <c r="F6" i="16"/>
  <c r="F10" i="16" s="1"/>
  <c r="E6" i="16"/>
  <c r="E10" i="16" s="1"/>
  <c r="D6" i="16"/>
  <c r="D10" i="16" s="1"/>
  <c r="C6" i="16"/>
  <c r="B8" i="15"/>
  <c r="C8" i="15" s="1"/>
  <c r="E7" i="15"/>
  <c r="F7" i="15" s="1"/>
  <c r="G7" i="15" s="1"/>
  <c r="H7" i="15" s="1"/>
  <c r="I7" i="15" s="1"/>
  <c r="J7" i="15" s="1"/>
  <c r="K7" i="15" s="1"/>
  <c r="L7" i="15" s="1"/>
  <c r="L5" i="15"/>
  <c r="K5" i="15"/>
  <c r="J5" i="15"/>
  <c r="I5" i="15"/>
  <c r="H5" i="15"/>
  <c r="G5" i="15"/>
  <c r="F5" i="15"/>
  <c r="E5" i="15"/>
  <c r="D5" i="15"/>
  <c r="C5" i="15"/>
  <c r="B5" i="15"/>
  <c r="D4" i="12"/>
  <c r="I26" i="10"/>
  <c r="E26" i="10"/>
  <c r="G26" i="10" s="1"/>
  <c r="F25" i="10"/>
  <c r="F26" i="10" s="1"/>
  <c r="E25" i="10"/>
  <c r="E24" i="10"/>
  <c r="G18" i="10"/>
  <c r="E13" i="10"/>
  <c r="E10" i="10"/>
  <c r="E14" i="10" s="1"/>
  <c r="E7" i="10"/>
  <c r="D22" i="19" l="1"/>
  <c r="G9" i="18"/>
  <c r="C13" i="18"/>
  <c r="D14" i="18"/>
  <c r="F14" i="18" s="1"/>
  <c r="G14" i="18" s="1"/>
  <c r="H14" i="18" s="1"/>
  <c r="D13" i="18"/>
  <c r="F13" i="18" s="1"/>
  <c r="G13" i="18" s="1"/>
  <c r="H13" i="18" s="1"/>
  <c r="F10" i="18"/>
  <c r="G10" i="18" s="1"/>
  <c r="H10" i="18" s="1"/>
  <c r="C11" i="18"/>
  <c r="D12" i="18"/>
  <c r="F12" i="18" s="1"/>
  <c r="G12" i="18" s="1"/>
  <c r="H12" i="18" s="1"/>
  <c r="C12" i="18"/>
  <c r="C10" i="18"/>
  <c r="D22" i="16"/>
  <c r="G9" i="16"/>
  <c r="E18" i="16"/>
  <c r="D9" i="16"/>
  <c r="D11" i="16" s="1"/>
  <c r="E9" i="16"/>
  <c r="F9" i="16"/>
  <c r="C9" i="15"/>
  <c r="D8" i="15"/>
  <c r="N12" i="9"/>
  <c r="L12" i="9"/>
  <c r="G12" i="9"/>
  <c r="N11" i="9"/>
  <c r="L11" i="9"/>
  <c r="G11" i="9"/>
  <c r="N10" i="9"/>
  <c r="L10" i="9"/>
  <c r="G10" i="9"/>
  <c r="N9" i="9"/>
  <c r="L9" i="9"/>
  <c r="G9" i="9"/>
  <c r="N8" i="9"/>
  <c r="L8" i="9"/>
  <c r="G8" i="9"/>
  <c r="P7" i="9"/>
  <c r="P8" i="9" s="1"/>
  <c r="L7" i="9"/>
  <c r="J7" i="9"/>
  <c r="C10" i="8"/>
  <c r="C8" i="8"/>
  <c r="C6" i="8"/>
  <c r="G5" i="8"/>
  <c r="G7" i="8" s="1"/>
  <c r="H4" i="8"/>
  <c r="H17" i="7"/>
  <c r="H16" i="7"/>
  <c r="I16" i="7" s="1"/>
  <c r="I15" i="7"/>
  <c r="H15" i="7"/>
  <c r="H14" i="7"/>
  <c r="I14" i="7" s="1"/>
  <c r="I13" i="7"/>
  <c r="H13" i="7"/>
  <c r="H12" i="7"/>
  <c r="I12" i="7" s="1"/>
  <c r="I11" i="7"/>
  <c r="H11" i="7"/>
  <c r="H10" i="7"/>
  <c r="I10" i="7" s="1"/>
  <c r="I9" i="7"/>
  <c r="H9" i="7"/>
  <c r="H8" i="7"/>
  <c r="I8" i="7" s="1"/>
  <c r="J8" i="7" s="1"/>
  <c r="J9" i="7" s="1"/>
  <c r="H7" i="7"/>
  <c r="C19" i="6"/>
  <c r="H18" i="6"/>
  <c r="G18" i="6"/>
  <c r="H17" i="6"/>
  <c r="J16" i="6"/>
  <c r="H12" i="6"/>
  <c r="F35" i="4"/>
  <c r="F36" i="4" s="1"/>
  <c r="E31" i="4"/>
  <c r="D36" i="4" s="1"/>
  <c r="F38" i="4" s="1"/>
  <c r="D31" i="4"/>
  <c r="G14" i="4"/>
  <c r="G13" i="4"/>
  <c r="C12" i="4"/>
  <c r="D24" i="19" l="1"/>
  <c r="J25" i="19"/>
  <c r="H9" i="18"/>
  <c r="I9" i="18" s="1"/>
  <c r="I10" i="18" s="1"/>
  <c r="I11" i="18" s="1"/>
  <c r="I12" i="18" s="1"/>
  <c r="I13" i="18" s="1"/>
  <c r="I14" i="18" s="1"/>
  <c r="C16" i="18" s="1"/>
  <c r="E11" i="16"/>
  <c r="D12" i="16"/>
  <c r="F18" i="16"/>
  <c r="E20" i="16"/>
  <c r="E22" i="16" s="1"/>
  <c r="D23" i="16"/>
  <c r="D9" i="15"/>
  <c r="E8" i="15"/>
  <c r="O9" i="9"/>
  <c r="P9" i="9"/>
  <c r="M9" i="9"/>
  <c r="J8" i="9"/>
  <c r="I8" i="9"/>
  <c r="H8" i="9" s="1"/>
  <c r="O8" i="9"/>
  <c r="M8" i="9" s="1"/>
  <c r="J10" i="7"/>
  <c r="J11" i="7" s="1"/>
  <c r="J12" i="7" s="1"/>
  <c r="J13" i="7" s="1"/>
  <c r="J14" i="7" s="1"/>
  <c r="J15" i="7" s="1"/>
  <c r="J16" i="7" s="1"/>
  <c r="J17" i="7" s="1"/>
  <c r="F18" i="4"/>
  <c r="D18" i="4"/>
  <c r="E23" i="16" l="1"/>
  <c r="G18" i="16"/>
  <c r="G20" i="16" s="1"/>
  <c r="F20" i="16"/>
  <c r="F22" i="16" s="1"/>
  <c r="E12" i="16"/>
  <c r="F11" i="16"/>
  <c r="F8" i="15"/>
  <c r="E9" i="15"/>
  <c r="I9" i="9"/>
  <c r="H9" i="9" s="1"/>
  <c r="J9" i="9" s="1"/>
  <c r="O10" i="9"/>
  <c r="M10" i="9" s="1"/>
  <c r="P10" i="9"/>
  <c r="G22" i="16" l="1"/>
  <c r="G23" i="16" s="1"/>
  <c r="F23" i="16"/>
  <c r="G11" i="16"/>
  <c r="G12" i="16" s="1"/>
  <c r="F12" i="16"/>
  <c r="F9" i="15"/>
  <c r="G8" i="15"/>
  <c r="I10" i="9"/>
  <c r="H10" i="9" s="1"/>
  <c r="J10" i="9"/>
  <c r="P11" i="9"/>
  <c r="O11" i="9"/>
  <c r="M11" i="9" s="1"/>
  <c r="G9" i="15" l="1"/>
  <c r="H8" i="15"/>
  <c r="P12" i="9"/>
  <c r="O12" i="9"/>
  <c r="M12" i="9" s="1"/>
  <c r="I11" i="9"/>
  <c r="H11" i="9" s="1"/>
  <c r="J11" i="9"/>
  <c r="H9" i="15" l="1"/>
  <c r="I8" i="15"/>
  <c r="I12" i="9"/>
  <c r="H12" i="9" s="1"/>
  <c r="J12" i="9" s="1"/>
  <c r="J8" i="15" l="1"/>
  <c r="I9" i="15"/>
  <c r="C6" i="1"/>
  <c r="E9" i="1" s="1"/>
  <c r="J9" i="15" l="1"/>
  <c r="K8" i="15"/>
  <c r="E5" i="1"/>
  <c r="E10" i="1"/>
  <c r="E11" i="1"/>
  <c r="E12" i="1"/>
  <c r="E13" i="1"/>
  <c r="E14" i="1"/>
  <c r="E15" i="1"/>
  <c r="E16" i="1"/>
  <c r="E17" i="1"/>
  <c r="E18" i="1"/>
  <c r="C11" i="1"/>
  <c r="J14" i="1" s="1"/>
  <c r="C10" i="1"/>
  <c r="I13" i="1" s="1"/>
  <c r="I5" i="1" s="1"/>
  <c r="C9" i="1"/>
  <c r="D9" i="1" s="1"/>
  <c r="C8" i="1"/>
  <c r="G11" i="1" s="1"/>
  <c r="G5" i="1" s="1"/>
  <c r="C7" i="1"/>
  <c r="F12" i="1" s="1"/>
  <c r="I21" i="3"/>
  <c r="H21" i="3"/>
  <c r="G21" i="3"/>
  <c r="F21" i="3"/>
  <c r="E21" i="3"/>
  <c r="D21" i="3"/>
  <c r="C21" i="3"/>
  <c r="I19" i="3"/>
  <c r="H19" i="3"/>
  <c r="G19" i="3"/>
  <c r="F19" i="3"/>
  <c r="E19" i="3"/>
  <c r="D19" i="3"/>
  <c r="C19" i="3"/>
  <c r="C20" i="3" s="1"/>
  <c r="I10" i="3"/>
  <c r="H10" i="3"/>
  <c r="G10" i="3"/>
  <c r="F10" i="3"/>
  <c r="G8" i="3"/>
  <c r="G9" i="3" s="1"/>
  <c r="F8" i="3"/>
  <c r="F9" i="3" s="1"/>
  <c r="F11" i="3" s="1"/>
  <c r="F12" i="3" s="1"/>
  <c r="H8" i="3"/>
  <c r="I8" i="3"/>
  <c r="D6" i="1"/>
  <c r="L6" i="1" s="1"/>
  <c r="M6" i="1" s="1"/>
  <c r="N6" i="1" s="1"/>
  <c r="K9" i="15" l="1"/>
  <c r="L8" i="15"/>
  <c r="L9" i="15" s="1"/>
  <c r="G11" i="3"/>
  <c r="G12" i="3" s="1"/>
  <c r="H9" i="3"/>
  <c r="C22" i="3"/>
  <c r="C23" i="3" s="1"/>
  <c r="D20" i="3"/>
  <c r="F17" i="1"/>
  <c r="G18" i="1"/>
  <c r="G14" i="1"/>
  <c r="H20" i="1"/>
  <c r="H16" i="1"/>
  <c r="I22" i="1"/>
  <c r="L22" i="1" s="1"/>
  <c r="M22" i="1" s="1"/>
  <c r="I18" i="1"/>
  <c r="I14" i="1"/>
  <c r="J20" i="1"/>
  <c r="J16" i="1"/>
  <c r="D10" i="1"/>
  <c r="F10" i="1"/>
  <c r="F5" i="1" s="1"/>
  <c r="F15" i="1"/>
  <c r="L15" i="1" s="1"/>
  <c r="M15" i="1" s="1"/>
  <c r="L14" i="1"/>
  <c r="M14" i="1" s="1"/>
  <c r="F16" i="1"/>
  <c r="F11" i="1"/>
  <c r="G17" i="1"/>
  <c r="L17" i="1" s="1"/>
  <c r="M17" i="1" s="1"/>
  <c r="G13" i="1"/>
  <c r="H19" i="1"/>
  <c r="H15" i="1"/>
  <c r="I21" i="1"/>
  <c r="I17" i="1"/>
  <c r="J23" i="1"/>
  <c r="L23" i="1" s="1"/>
  <c r="M23" i="1" s="1"/>
  <c r="J19" i="1"/>
  <c r="J15" i="1"/>
  <c r="D7" i="1"/>
  <c r="L7" i="1" s="1"/>
  <c r="M7" i="1" s="1"/>
  <c r="N7" i="1" s="1"/>
  <c r="D11" i="1"/>
  <c r="F19" i="1"/>
  <c r="L19" i="1" s="1"/>
  <c r="M19" i="1" s="1"/>
  <c r="F14" i="1"/>
  <c r="G20" i="1"/>
  <c r="G16" i="1"/>
  <c r="L16" i="1" s="1"/>
  <c r="M16" i="1" s="1"/>
  <c r="G12" i="1"/>
  <c r="L12" i="1" s="1"/>
  <c r="M12" i="1" s="1"/>
  <c r="H18" i="1"/>
  <c r="H14" i="1"/>
  <c r="I20" i="1"/>
  <c r="I16" i="1"/>
  <c r="J22" i="1"/>
  <c r="J18" i="1"/>
  <c r="H12" i="1"/>
  <c r="H5" i="1" s="1"/>
  <c r="D8" i="1"/>
  <c r="L8" i="1" s="1"/>
  <c r="M8" i="1" s="1"/>
  <c r="F18" i="1"/>
  <c r="L18" i="1" s="1"/>
  <c r="M18" i="1" s="1"/>
  <c r="F13" i="1"/>
  <c r="L13" i="1" s="1"/>
  <c r="M13" i="1" s="1"/>
  <c r="G19" i="1"/>
  <c r="G15" i="1"/>
  <c r="H21" i="1"/>
  <c r="H17" i="1"/>
  <c r="H13" i="1"/>
  <c r="I19" i="1"/>
  <c r="I15" i="1"/>
  <c r="J21" i="1"/>
  <c r="J17" i="1"/>
  <c r="N8" i="1"/>
  <c r="L10" i="1"/>
  <c r="M10" i="1" s="1"/>
  <c r="L9" i="1"/>
  <c r="M9" i="1" s="1"/>
  <c r="L11" i="1"/>
  <c r="M11" i="1" s="1"/>
  <c r="E20" i="3" l="1"/>
  <c r="D22" i="3"/>
  <c r="D23" i="3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L20" i="1"/>
  <c r="M20" i="1" s="1"/>
  <c r="I9" i="3"/>
  <c r="I11" i="3" s="1"/>
  <c r="I12" i="3" s="1"/>
  <c r="H11" i="3"/>
  <c r="H12" i="3" s="1"/>
  <c r="L21" i="1"/>
  <c r="M21" i="1" s="1"/>
  <c r="D5" i="1"/>
  <c r="N20" i="1" l="1"/>
  <c r="N21" i="1" s="1"/>
  <c r="N22" i="1" s="1"/>
  <c r="N23" i="1" s="1"/>
  <c r="F20" i="3"/>
  <c r="E22" i="3"/>
  <c r="E23" i="3" s="1"/>
  <c r="G20" i="3" l="1"/>
  <c r="F22" i="3"/>
  <c r="F23" i="3" s="1"/>
  <c r="H20" i="3" l="1"/>
  <c r="G22" i="3"/>
  <c r="G23" i="3" s="1"/>
  <c r="I20" i="3" l="1"/>
  <c r="I22" i="3" s="1"/>
  <c r="I23" i="3" s="1"/>
  <c r="H22" i="3"/>
  <c r="H2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Daneida Vilanueva Llapa</author>
  </authors>
  <commentList>
    <comment ref="E14" authorId="0" shapeId="0" xr:uid="{A6A71B3B-3095-4F47-A402-6E76C95ED6D5}">
      <text>
        <r>
          <rPr>
            <b/>
            <sz val="9"/>
            <color indexed="81"/>
            <rFont val="Tahoma"/>
            <family val="2"/>
          </rPr>
          <t>Ana Daneida Vilanueva Llapa:</t>
        </r>
        <r>
          <rPr>
            <sz val="9"/>
            <color indexed="81"/>
            <rFont val="Tahoma"/>
            <family val="2"/>
          </rPr>
          <t xml:space="preserve">
E os 800 que ficaram de seu salario</t>
        </r>
      </text>
    </comment>
  </commentList>
</comments>
</file>

<file path=xl/sharedStrings.xml><?xml version="1.0" encoding="utf-8"?>
<sst xmlns="http://schemas.openxmlformats.org/spreadsheetml/2006/main" count="497" uniqueCount="370">
  <si>
    <t>FIN BNDES</t>
  </si>
  <si>
    <t xml:space="preserve">juros[%aa] </t>
  </si>
  <si>
    <t>tma [%aa]</t>
  </si>
  <si>
    <t>proponente</t>
  </si>
  <si>
    <t>BNDES</t>
  </si>
  <si>
    <t>VPL</t>
  </si>
  <si>
    <t>Fk</t>
  </si>
  <si>
    <t>RESPOSTA 1A</t>
  </si>
  <si>
    <t>Ano</t>
  </si>
  <si>
    <t>Custos</t>
  </si>
  <si>
    <t>Valor de revenda</t>
  </si>
  <si>
    <t>HOJE</t>
  </si>
  <si>
    <t>(1)</t>
  </si>
  <si>
    <t>(2)</t>
  </si>
  <si>
    <t>VP DE (2)</t>
  </si>
  <si>
    <t>ACUM (3)</t>
  </si>
  <si>
    <t>VP</t>
  </si>
  <si>
    <t>(3) VP DE (1)</t>
  </si>
  <si>
    <t>caue</t>
  </si>
  <si>
    <t>O CAUE DO NOVO (DESAFIANTE) É MENOR QUE O DO (DESAFIADO) ANTIGO</t>
  </si>
  <si>
    <t>CONSIDERAR O FLUXO A PARTIR DO 4 ANO (O CUSTO DE COMPRA (revenda-coc) DO 3o.ano FOI DE 1200)</t>
  </si>
  <si>
    <t>VPL =&gt;</t>
  </si>
  <si>
    <t>para uma vida econômica de 6 anos</t>
  </si>
  <si>
    <t xml:space="preserve"> </t>
  </si>
  <si>
    <t>Lucro Bruto</t>
  </si>
  <si>
    <t>Primeira Aplicação - JUROS NOMINAIS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</si>
  <si>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ou VP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</si>
  <si>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t>n =</t>
  </si>
  <si>
    <t>anos</t>
  </si>
  <si>
    <t xml:space="preserve">4) O diretor financeiro da empresa alimentícia Gordurinha Ltda. aplicou R$100.000 por dois anos a juros nominais de 12% a.a., capitalizados semestralmente. Ao término desse prazo, reaplicou o montante por três anos a uma taxa de juros com capitalização mensal que era equivalente à taxa efetiva de 16% a.a. Calcular o valor final de resgate da aplicação.
</t>
  </si>
  <si>
    <t>i =</t>
  </si>
  <si>
    <t>a.a.</t>
  </si>
  <si>
    <t>Capitalização:</t>
  </si>
  <si>
    <t>semestral</t>
  </si>
  <si>
    <t>ano =</t>
  </si>
  <si>
    <t>semestres</t>
  </si>
  <si>
    <t>MONTANTE 1 =</t>
  </si>
  <si>
    <r>
      <t>VF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ou S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</t>
    </r>
  </si>
  <si>
    <t>Segunda Aplicação - JUROS EFETIVOS</t>
  </si>
  <si>
    <t>OU</t>
  </si>
  <si>
    <t>trimestres</t>
  </si>
  <si>
    <r>
      <t>i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</si>
  <si>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t>a.t.</t>
  </si>
  <si>
    <t>anual</t>
  </si>
  <si>
    <t>trimestral</t>
  </si>
  <si>
    <t>MONTANTE 2 =</t>
  </si>
  <si>
    <r>
      <t>VF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=</t>
    </r>
  </si>
  <si>
    <t xml:space="preserve">TN </t>
  </si>
  <si>
    <t xml:space="preserve">i {SEM] = </t>
  </si>
  <si>
    <t>Exerc. 03</t>
  </si>
  <si>
    <t xml:space="preserve">      Alternativas</t>
  </si>
  <si>
    <t>I</t>
  </si>
  <si>
    <t>II</t>
  </si>
  <si>
    <t>III</t>
  </si>
  <si>
    <t>IV</t>
  </si>
  <si>
    <t>∑</t>
  </si>
  <si>
    <t>Taxa de 6%</t>
  </si>
  <si>
    <t>VPL de I =</t>
  </si>
  <si>
    <t>Taxa  12%</t>
  </si>
  <si>
    <t>VPL de II =</t>
  </si>
  <si>
    <t>VPL  III =</t>
  </si>
  <si>
    <t>VPL  IV =</t>
  </si>
  <si>
    <t>4.) questão</t>
  </si>
  <si>
    <t xml:space="preserve">tma [%aa] = </t>
  </si>
  <si>
    <t>4x</t>
  </si>
  <si>
    <t>antecipado</t>
  </si>
  <si>
    <t>invest</t>
  </si>
  <si>
    <t>receita</t>
  </si>
  <si>
    <t>despesa</t>
  </si>
  <si>
    <t>fcl</t>
  </si>
  <si>
    <t>vp</t>
  </si>
  <si>
    <t>vp acum</t>
  </si>
  <si>
    <t>É viável a partir do ano 9.</t>
  </si>
  <si>
    <t>fundo</t>
  </si>
  <si>
    <t>SALÁRIO</t>
  </si>
  <si>
    <t>fundo 25 anos</t>
  </si>
  <si>
    <t>DADO A ACHAR F</t>
  </si>
  <si>
    <t>(F/A)</t>
  </si>
  <si>
    <t>[% a.a.]</t>
  </si>
  <si>
    <t>(A/P)</t>
  </si>
  <si>
    <t>DADO P ACHAR A</t>
  </si>
  <si>
    <t>ATÉ 30 ANOS</t>
  </si>
  <si>
    <t>[% a.m.]</t>
  </si>
  <si>
    <t xml:space="preserve">25 ANOS RESGATE </t>
  </si>
  <si>
    <t>PRICE</t>
  </si>
  <si>
    <t>PREST</t>
  </si>
  <si>
    <t>AMORT</t>
  </si>
  <si>
    <t>JUROS</t>
  </si>
  <si>
    <t>SD</t>
  </si>
  <si>
    <t>SAC</t>
  </si>
  <si>
    <t>Z</t>
  </si>
  <si>
    <t>Dívida cheque especial</t>
  </si>
  <si>
    <t>a.m.</t>
  </si>
  <si>
    <t>Dívida cartão</t>
  </si>
  <si>
    <t>Juros cheque especial</t>
  </si>
  <si>
    <t xml:space="preserve">Juros cartão </t>
  </si>
  <si>
    <t>Juros mensais totais pagos</t>
  </si>
  <si>
    <t>Renda mensal líquida</t>
  </si>
  <si>
    <t>desp mens</t>
  </si>
  <si>
    <t xml:space="preserve">disponível </t>
  </si>
  <si>
    <t>Carro velho</t>
  </si>
  <si>
    <t>Sobra Pagto dívidas</t>
  </si>
  <si>
    <t>entrada novo</t>
  </si>
  <si>
    <t>Total disponivel</t>
  </si>
  <si>
    <t>Entrada</t>
  </si>
  <si>
    <t>Parcelas</t>
  </si>
  <si>
    <t>n</t>
  </si>
  <si>
    <t>Carro novo</t>
  </si>
  <si>
    <t>Situação nova da dívida</t>
  </si>
  <si>
    <t>Cheque especial</t>
  </si>
  <si>
    <t>Cartão</t>
  </si>
  <si>
    <t>Juros cartão</t>
  </si>
  <si>
    <t>o amigo não tem razão</t>
  </si>
  <si>
    <t>soma dos juros (329) + PRESTAÇÃO (588,42) = 917,42 E MAIOR QUE A SOBRA DA RENDA É (800)</t>
  </si>
  <si>
    <t>4.) QUESTÃO</t>
  </si>
  <si>
    <t>amort</t>
  </si>
  <si>
    <t>juros</t>
  </si>
  <si>
    <t>sd</t>
  </si>
  <si>
    <t xml:space="preserve"> prest </t>
  </si>
  <si>
    <t xml:space="preserve">seja o P = </t>
  </si>
  <si>
    <t xml:space="preserve"> VALOR TOTAL </t>
  </si>
  <si>
    <t xml:space="preserve">Deposito </t>
  </si>
  <si>
    <t>Saque</t>
  </si>
  <si>
    <t>durante</t>
  </si>
  <si>
    <t>Taxa</t>
  </si>
  <si>
    <t>Valor Futuro</t>
  </si>
  <si>
    <t>Instante</t>
  </si>
  <si>
    <t>Investi-mento</t>
  </si>
  <si>
    <t>Receita Líquida</t>
  </si>
  <si>
    <t>Depre-ciação</t>
  </si>
  <si>
    <t>Lucro Tributável</t>
  </si>
  <si>
    <t>Imposto de Renda</t>
  </si>
  <si>
    <t>Fluxo de Caixa pós IR</t>
  </si>
  <si>
    <t>Exercicio 5.4.1</t>
  </si>
  <si>
    <t>Periodo</t>
  </si>
  <si>
    <r>
      <t xml:space="preserve">(1+i) </t>
    </r>
    <r>
      <rPr>
        <vertAlign val="superscript"/>
        <sz val="10"/>
        <rFont val="Arial"/>
        <family val="2"/>
      </rPr>
      <t>t</t>
    </r>
  </si>
  <si>
    <t>Valor residual</t>
  </si>
  <si>
    <t>Receita liquida</t>
  </si>
  <si>
    <t>VAL(i)</t>
  </si>
  <si>
    <t>Análise Incremental</t>
  </si>
  <si>
    <t>VAL incremento (referido a t)</t>
  </si>
  <si>
    <t>VAL incremento (referido a 0)</t>
  </si>
  <si>
    <t>Exercicio. 5.4.2</t>
  </si>
  <si>
    <t>Vida</t>
  </si>
  <si>
    <t>Valor de mercado</t>
  </si>
  <si>
    <t>Custo de manutenção</t>
  </si>
  <si>
    <t>Custo Anual Equivalente (-BUE(i))</t>
  </si>
  <si>
    <t>Exercicio 5.4.3</t>
  </si>
  <si>
    <t>DEFENDENTE</t>
  </si>
  <si>
    <t>Valor mercado</t>
  </si>
  <si>
    <t>Custo de operação</t>
  </si>
  <si>
    <t>VAL valor mercado</t>
  </si>
  <si>
    <t>VAL custo de operação</t>
  </si>
  <si>
    <t>VAL</t>
  </si>
  <si>
    <t>Custo Anual Equivalente (-BUE)</t>
  </si>
  <si>
    <t>DESAFIANTE</t>
  </si>
  <si>
    <t>preço produtor</t>
  </si>
  <si>
    <t>US$/l</t>
  </si>
  <si>
    <t>custo de produção</t>
  </si>
  <si>
    <t>investim</t>
  </si>
  <si>
    <t>US$</t>
  </si>
  <si>
    <t>Capacidade</t>
  </si>
  <si>
    <t>l/ano</t>
  </si>
  <si>
    <t>horizonte</t>
  </si>
  <si>
    <t xml:space="preserve">USANDO UMA TAXA DE JUROS DE </t>
  </si>
  <si>
    <t>ano</t>
  </si>
  <si>
    <t>deprecia</t>
  </si>
  <si>
    <t>custos</t>
  </si>
  <si>
    <t>rec liq</t>
  </si>
  <si>
    <t>fluxo de cx</t>
  </si>
  <si>
    <t>VP Acumul</t>
  </si>
  <si>
    <t>Valor presente total =</t>
  </si>
  <si>
    <t>Como o valor presente toltal é positivo, o projeto é lucrativo</t>
  </si>
  <si>
    <t>TIR =</t>
  </si>
  <si>
    <t>A taxa interna de retorno é de 15%, ou seja, para taxas de juros</t>
  </si>
  <si>
    <t>inferiores à este valor o projeto é lucrativo.</t>
  </si>
  <si>
    <t>nota: 1,1</t>
  </si>
  <si>
    <t>Cap. Giro</t>
  </si>
  <si>
    <t>Rec. Líqu.</t>
  </si>
  <si>
    <t>IR</t>
  </si>
  <si>
    <t>Recuper.</t>
  </si>
  <si>
    <t>Flux. Caix.</t>
  </si>
  <si>
    <t>Exerc. 16</t>
  </si>
  <si>
    <t>Cap. Fixo</t>
  </si>
  <si>
    <t>TIR1 =</t>
  </si>
  <si>
    <t>VPL1 =</t>
  </si>
  <si>
    <t>ter.2/ter.1</t>
  </si>
  <si>
    <t>TIR3/TIR1</t>
  </si>
  <si>
    <t>i* =</t>
  </si>
  <si>
    <t>B/C &gt; 1</t>
  </si>
  <si>
    <t>Todos os valores em milhares de R$</t>
  </si>
  <si>
    <t>I* =</t>
  </si>
  <si>
    <t>Colunas1</t>
  </si>
  <si>
    <t>8 polegadas</t>
  </si>
  <si>
    <t>10 polegadas</t>
  </si>
  <si>
    <t>12 polegadas</t>
  </si>
  <si>
    <t>custo anual de capital total (em milhares)</t>
  </si>
  <si>
    <t>oper. e man. de estações de bombeam.</t>
  </si>
  <si>
    <t>custo anual do seguro e de imp. s/ propr.</t>
  </si>
  <si>
    <t xml:space="preserve">As alternativas de 10" e de 12" possuem CAUE total muito próximos. Para decidir há duas altern. não </t>
  </si>
  <si>
    <t>mutuamente exclusivas: (I) descer a mais detalhes nas estimativas e (II) utilizar fatores não monetizados; por</t>
  </si>
  <si>
    <t>exemplo, nesta segunda alternativa há a vantagem das 12" com eventuais vazões maiores, com menos</t>
  </si>
  <si>
    <t>perdas do que a alternativa de 10".</t>
  </si>
  <si>
    <t>atual</t>
  </si>
  <si>
    <t>custo inicial</t>
  </si>
  <si>
    <t>custo cap. anual</t>
  </si>
  <si>
    <t>custo manut.</t>
  </si>
  <si>
    <t>perda d'água</t>
  </si>
  <si>
    <t>custo bombeam.</t>
  </si>
  <si>
    <t>custo anual tot.</t>
  </si>
  <si>
    <t>Se os riscos de rompimento na velha adutora e o consumo de água subterrânea</t>
  </si>
  <si>
    <t>valerem mais que R$ 6.425,07, então a nova adutora deve ser construída.</t>
  </si>
  <si>
    <t>Em caso contrário, fica-se com a antiga.</t>
  </si>
  <si>
    <t>nova adutora</t>
  </si>
  <si>
    <t>a)</t>
  </si>
  <si>
    <t>b)</t>
  </si>
  <si>
    <t>cap. prop.</t>
  </si>
  <si>
    <t>amortiz.</t>
  </si>
  <si>
    <t>sal. dev.</t>
  </si>
  <si>
    <t>recebim.</t>
  </si>
  <si>
    <t>flux. caix.</t>
  </si>
  <si>
    <t>Notem que, como o custo do empréstimo é de 8% a.a., ele ALAVANCOU a TIR,</t>
  </si>
  <si>
    <t>que foi maior do que no caso totalmente com capital próprio.</t>
  </si>
  <si>
    <t>c)</t>
  </si>
  <si>
    <t>Notem idem, idem.</t>
  </si>
  <si>
    <t>V0 [$m1000] =</t>
  </si>
  <si>
    <t>vr</t>
  </si>
  <si>
    <t xml:space="preserve">n [anos] = </t>
  </si>
  <si>
    <t>i% aa =</t>
  </si>
  <si>
    <t xml:space="preserve">cd [$/u] = </t>
  </si>
  <si>
    <t>q [unidades/ano]=</t>
  </si>
  <si>
    <t>custo unitário do produto?</t>
  </si>
  <si>
    <t>cut</t>
  </si>
  <si>
    <t xml:space="preserve">CAE [$1000/ano]= </t>
  </si>
  <si>
    <t>CAE/q [$/u]= custo do investimento = ci</t>
  </si>
  <si>
    <t xml:space="preserve">cut [$/u] = cou + ci = </t>
  </si>
  <si>
    <t>Receita Liquida ($/ano)</t>
  </si>
  <si>
    <t>Valor mercado - residual ($)</t>
  </si>
  <si>
    <t>Custo operacional ($/ano)</t>
  </si>
  <si>
    <t>(no fim do ano)</t>
  </si>
  <si>
    <t>(1+i)t</t>
  </si>
  <si>
    <t>(3)</t>
  </si>
  <si>
    <t xml:space="preserve">Custo operacao </t>
  </si>
  <si>
    <t>(4)</t>
  </si>
  <si>
    <t>Receita</t>
  </si>
  <si>
    <t>(5)</t>
  </si>
  <si>
    <t>(2)+(4)-(3)</t>
  </si>
  <si>
    <t>(6) = (5/1)</t>
  </si>
  <si>
    <t xml:space="preserve">VA de (5) </t>
  </si>
  <si>
    <t>7= -(2) (t-1)+(6)</t>
  </si>
  <si>
    <t>VA total</t>
  </si>
  <si>
    <t>Anos de uso [ t ]</t>
  </si>
  <si>
    <t>Preço [$1000]</t>
  </si>
  <si>
    <t>Valor de mercado [$1000]</t>
  </si>
  <si>
    <t>Custo de manutenção [$1000]</t>
  </si>
  <si>
    <r>
      <t>(1 = i)</t>
    </r>
    <r>
      <rPr>
        <vertAlign val="superscript"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 xml:space="preserve"> =&gt; i = 6% aa</t>
    </r>
  </si>
  <si>
    <t>VA de (1)</t>
  </si>
  <si>
    <t>VA de (2)</t>
  </si>
  <si>
    <t>Acumulado de (4)</t>
  </si>
  <si>
    <t>VA (t) = 0 + 5 - 3</t>
  </si>
  <si>
    <t xml:space="preserve">CAE (t) (6) </t>
  </si>
  <si>
    <t>INV</t>
  </si>
  <si>
    <t>Custo</t>
  </si>
  <si>
    <t>Fluxo antes do IRPJ</t>
  </si>
  <si>
    <t>Depreciação</t>
  </si>
  <si>
    <t>IRPJ</t>
  </si>
  <si>
    <t>Fluxo final após IRPJ</t>
  </si>
  <si>
    <r>
      <t xml:space="preserve">Uma empresa está estudando a aquisição de um equipamento que custa $100 mil. A receita líquida anual após impostos indiretos esperada é de $ 50 mil, e o custo operacional é de $ 20 mil por ano durante toda a </t>
    </r>
    <r>
      <rPr>
        <i/>
        <sz val="12"/>
        <color rgb="FF000000"/>
        <rFont val="Times New Roman"/>
        <family val="1"/>
      </rPr>
      <t>vida funcional</t>
    </r>
    <r>
      <rPr>
        <sz val="12"/>
        <color rgb="FF000000"/>
        <rFont val="Times New Roman"/>
        <family val="1"/>
      </rPr>
      <t xml:space="preserve"> estimada em 8 anos, quando se espera que o equipamento poderá ser vendido por $ 40 mil (</t>
    </r>
    <r>
      <rPr>
        <i/>
        <sz val="12"/>
        <color rgb="FF000000"/>
        <rFont val="Times New Roman"/>
        <family val="1"/>
      </rPr>
      <t>valor residual</t>
    </r>
    <r>
      <rPr>
        <sz val="12"/>
        <color rgb="FF000000"/>
        <rFont val="Times New Roman"/>
        <family val="1"/>
      </rPr>
      <t xml:space="preserve">). A </t>
    </r>
    <r>
      <rPr>
        <i/>
        <sz val="12"/>
        <color rgb="FF000000"/>
        <rFont val="Times New Roman"/>
        <family val="1"/>
      </rPr>
      <t xml:space="preserve">vida tributária </t>
    </r>
    <r>
      <rPr>
        <sz val="12"/>
        <color rgb="FF000000"/>
        <rFont val="Times New Roman"/>
        <family val="1"/>
      </rPr>
      <t>legal é de 5 anos. Montar a tabela de fluxo de caixa após IR (alíquota de IR e CSLL = 30%), e calcular a taxa interna de retorno antes e depois do cálculo do imposto de renda devido.</t>
    </r>
  </si>
  <si>
    <t xml:space="preserve"> [$1000]</t>
  </si>
  <si>
    <t>(0)</t>
  </si>
  <si>
    <t>Preço</t>
  </si>
  <si>
    <t>Custo de manutenção [$1000/ano]</t>
  </si>
  <si>
    <t>(1 = i)t =&gt; i = 12% aa</t>
  </si>
  <si>
    <t>VA de (1) -&gt; (1)/(3)</t>
  </si>
  <si>
    <t>VA de (2)  -&gt; (2)/(3)</t>
  </si>
  <si>
    <t>(6)</t>
  </si>
  <si>
    <t>VA Acumulado de (4)</t>
  </si>
  <si>
    <t>(7)</t>
  </si>
  <si>
    <t>VA (t) = 0 + 6 - 4</t>
  </si>
  <si>
    <t>(8)</t>
  </si>
  <si>
    <r>
      <t xml:space="preserve">ANÁLISE DA </t>
    </r>
    <r>
      <rPr>
        <b/>
        <i/>
        <sz val="10"/>
        <color theme="1"/>
        <rFont val="Times New Roman"/>
        <family val="1"/>
      </rPr>
      <t>VIDA ECONOMICA</t>
    </r>
    <r>
      <rPr>
        <b/>
        <sz val="10"/>
        <color theme="1"/>
        <rFont val="Times New Roman"/>
        <family val="1"/>
      </rPr>
      <t xml:space="preserve"> DE UM ATIVO</t>
    </r>
  </si>
  <si>
    <t>Preço de aquisição do ativo</t>
  </si>
  <si>
    <t>Dados de entrada</t>
  </si>
  <si>
    <t>Taxa anual de depreciação tributária (% a.a.)</t>
  </si>
  <si>
    <t>[$/ano]</t>
  </si>
  <si>
    <t>Taxa de juros  (tma % a.a.):</t>
  </si>
  <si>
    <t>Alíquota de IR E CSLL:</t>
  </si>
  <si>
    <t>ANO [t]</t>
  </si>
  <si>
    <t>VALOR DE MERCADO [$1.000]</t>
  </si>
  <si>
    <t>CUSTO DE MANUTENCAO [$1.000/ano]</t>
  </si>
  <si>
    <t>(7) = (5) / (1 + j) ^t</t>
  </si>
  <si>
    <t>VP do Valor de mercado</t>
  </si>
  <si>
    <t>(8) = (6) / (1 + j) ^t</t>
  </si>
  <si>
    <t>VP custo de manutencao</t>
  </si>
  <si>
    <t>(9) = [(1)-((VR(5))/(1+j)^5)]/5</t>
  </si>
  <si>
    <t>Depreciacao tributária anual</t>
  </si>
  <si>
    <t>(1 = i)t =&gt; i = 6% aa</t>
  </si>
  <si>
    <t>(10) = (1)-(9)</t>
  </si>
  <si>
    <t>Valor Tributário</t>
  </si>
  <si>
    <t>(11) = (9) * (4)</t>
  </si>
  <si>
    <t>IR sobre depreciacao (GANHO)</t>
  </si>
  <si>
    <t>(12) = (11) / (1 + j)^ t</t>
  </si>
  <si>
    <t>VP de IR sobre depreciacao</t>
  </si>
  <si>
    <t>(13) = (5) - (10)</t>
  </si>
  <si>
    <t>(14) = (13) * (4)</t>
  </si>
  <si>
    <t>IR sobre lucro tributável (CUSTO)</t>
  </si>
  <si>
    <t>(15) = (14) / (1 + j)^t</t>
  </si>
  <si>
    <t>VP de IR lucro tributário</t>
  </si>
  <si>
    <t>Resultados, subst. apos (ano t):</t>
  </si>
  <si>
    <t>Valor aquisicao</t>
  </si>
  <si>
    <t xml:space="preserve">(8) </t>
  </si>
  <si>
    <t>(+) valor manutencao acum</t>
  </si>
  <si>
    <t>(12)</t>
  </si>
  <si>
    <t>(-) IR depreciacao (ganho)</t>
  </si>
  <si>
    <t>(15)</t>
  </si>
  <si>
    <t>(+) VP do IR s/ lucro cont</t>
  </si>
  <si>
    <t>(16) = (1)+(8)-(12)-(7)+(15)</t>
  </si>
  <si>
    <t>(=) Valor presente</t>
  </si>
  <si>
    <t>(17) = CAE (t) do (16)</t>
  </si>
  <si>
    <t>Custo anual equivalente</t>
  </si>
  <si>
    <t>CAE ótimo</t>
  </si>
  <si>
    <t>depreciação trib</t>
  </si>
  <si>
    <t>valor residual final</t>
  </si>
  <si>
    <t>CICLO EM ANÁLISE</t>
  </si>
  <si>
    <r>
      <t xml:space="preserve">“Valor depreciável de um bem é o custo de um ativo ou outro valor que substitua o Custo (Valor Original de Aquisição, ou Último Valor Depreciável Registrado), </t>
    </r>
    <r>
      <rPr>
        <b/>
        <i/>
        <u/>
        <sz val="12"/>
        <color rgb="FF404040"/>
        <rFont val="Times New Roman"/>
        <family val="1"/>
      </rPr>
      <t>menos o seu Valor Residual Final estimado em uma data determinada</t>
    </r>
    <r>
      <rPr>
        <i/>
        <sz val="12"/>
        <color rgb="FF404040"/>
        <rFont val="Times New Roman"/>
        <family val="1"/>
      </rPr>
      <t xml:space="preserve">. Este valor substituirá o valor original do bem para efeito do cálculo da depreciação.” </t>
    </r>
  </si>
  <si>
    <t>V0 /  5</t>
  </si>
  <si>
    <t>Deprecição (tributária)</t>
  </si>
  <si>
    <t>Valor Depreciável (tributário)</t>
  </si>
  <si>
    <t>Depreciação Acumulada (tributária)</t>
  </si>
  <si>
    <t>V0 / 4</t>
  </si>
  <si>
    <t>Depreciação (contábil)</t>
  </si>
  <si>
    <t>Valor Depreciável (contábil)</t>
  </si>
  <si>
    <t>Depreciação Acumulada (contábil)</t>
  </si>
  <si>
    <t>Preço de aquisição do ativo [$1000)</t>
  </si>
  <si>
    <t>[vida tributária (b) 5 anos]</t>
  </si>
  <si>
    <t>Taxa de juros  (j % a.a.):</t>
  </si>
  <si>
    <t> Taxa minima de atratividade</t>
  </si>
  <si>
    <r>
      <t xml:space="preserve">Alíquota de IR E CSLL: </t>
    </r>
    <r>
      <rPr>
        <sz val="12"/>
        <color theme="1"/>
        <rFont val="Symbol"/>
        <charset val="2"/>
      </rPr>
      <t>a</t>
    </r>
  </si>
  <si>
    <t>CUSTO DE OPERAÇÕES [$1.000/ano]</t>
  </si>
  <si>
    <t>tir=</t>
  </si>
  <si>
    <t>taxa</t>
  </si>
  <si>
    <t>altern. M</t>
  </si>
  <si>
    <t>altern. N</t>
  </si>
  <si>
    <t>investimento inicial</t>
  </si>
  <si>
    <t>VP do valor residual</t>
  </si>
  <si>
    <t>investimento líquido</t>
  </si>
  <si>
    <t>n=</t>
  </si>
  <si>
    <t>custo de capital</t>
  </si>
  <si>
    <t>custo de manutenção</t>
  </si>
  <si>
    <t>custo dos usuários</t>
  </si>
  <si>
    <t>valor residual</t>
  </si>
  <si>
    <t>custo anual total</t>
  </si>
  <si>
    <t>Benefício</t>
  </si>
  <si>
    <t>Benefício - Custo</t>
  </si>
  <si>
    <t>B/C</t>
  </si>
  <si>
    <t>Benefício M versus N</t>
  </si>
  <si>
    <t>Custo anu. M versus N</t>
  </si>
  <si>
    <t>B - C M versus N</t>
  </si>
  <si>
    <t>B -C &gt; 0</t>
  </si>
  <si>
    <t>Logo, a melhor alternativa é a N</t>
  </si>
  <si>
    <t>B/C  M versus N</t>
  </si>
  <si>
    <t>custos TOTAIS</t>
  </si>
  <si>
    <t xml:space="preserve">A 1 E 2 </t>
  </si>
  <si>
    <t>m2</t>
  </si>
  <si>
    <t>Terreno de 250m2. Valor de mercado de 150000</t>
  </si>
  <si>
    <t>Compra a vista</t>
  </si>
  <si>
    <t>Compra CAIXA</t>
  </si>
  <si>
    <t>desc X</t>
  </si>
  <si>
    <t>aa</t>
  </si>
  <si>
    <t>[5 anos]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</si>
</sst>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#,##0.00_);[Red]\(&quot;R$&quot;#,##0.00\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0.000%"/>
    <numFmt numFmtId="170" formatCode="&quot;R$&quot;\ #,##0.00"/>
    <numFmt numFmtId="171" formatCode="&quot;R$&quot;\ #,##0.00;[Red]\-&quot;R$&quot;\ #,##0.00"/>
    <numFmt numFmtId="172" formatCode="&quot;R$ &quot;#,##0.00_);[Red]\(&quot;R$ &quot;#,##0.00\)"/>
    <numFmt numFmtId="173" formatCode="#,##0.00;[Red]#,##0.00"/>
    <numFmt numFmtId="174" formatCode="0.0000%"/>
    <numFmt numFmtId="175" formatCode="#,##0.0000"/>
    <numFmt numFmtId="176" formatCode="_-* #,##0.0000_-;\-* #,##0.0000_-;_-* &quot;-&quot;??_-;_-@_-"/>
    <numFmt numFmtId="177" formatCode="0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0070C0"/>
      <name val="Arial"/>
      <family val="2"/>
    </font>
    <font>
      <sz val="10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sz val="10"/>
      <color indexed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rgb="FF404040"/>
      <name val="Times New Roman"/>
      <family val="1"/>
    </font>
    <font>
      <b/>
      <i/>
      <u/>
      <sz val="12"/>
      <color rgb="FF40404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charset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000000"/>
      </patternFill>
    </fill>
    <fill>
      <patternFill patternType="solid">
        <fgColor rgb="FFC5D9F1"/>
        <bgColor rgb="FF000000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387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7" fontId="2" fillId="2" borderId="0" xfId="0" applyNumberFormat="1" applyFont="1" applyFill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2" borderId="0" xfId="0" applyFill="1"/>
    <xf numFmtId="0" fontId="0" fillId="0" borderId="0" xfId="0" quotePrefix="1"/>
    <xf numFmtId="1" fontId="0" fillId="0" borderId="0" xfId="0" applyNumberFormat="1"/>
    <xf numFmtId="1" fontId="5" fillId="2" borderId="0" xfId="0" applyNumberFormat="1" applyFont="1" applyFill="1"/>
    <xf numFmtId="9" fontId="0" fillId="0" borderId="0" xfId="2" applyFont="1"/>
    <xf numFmtId="0" fontId="6" fillId="2" borderId="0" xfId="0" applyFont="1" applyFill="1" applyAlignment="1">
      <alignment horizontal="center"/>
    </xf>
    <xf numFmtId="167" fontId="0" fillId="2" borderId="0" xfId="1" applyNumberFormat="1" applyFont="1" applyFill="1"/>
    <xf numFmtId="167" fontId="5" fillId="0" borderId="0" xfId="1" applyNumberFormat="1" applyFont="1" applyFill="1"/>
    <xf numFmtId="0" fontId="0" fillId="0" borderId="0" xfId="0" applyAlignment="1">
      <alignment wrapText="1"/>
    </xf>
    <xf numFmtId="168" fontId="0" fillId="0" borderId="0" xfId="0" applyNumberFormat="1"/>
    <xf numFmtId="10" fontId="0" fillId="0" borderId="0" xfId="2" applyNumberFormat="1" applyFont="1"/>
    <xf numFmtId="169" fontId="0" fillId="0" borderId="0" xfId="2" applyNumberFormat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170" fontId="0" fillId="2" borderId="0" xfId="0" applyNumberFormat="1" applyFill="1"/>
    <xf numFmtId="10" fontId="0" fillId="2" borderId="0" xfId="0" applyNumberFormat="1" applyFill="1"/>
    <xf numFmtId="0" fontId="12" fillId="3" borderId="0" xfId="0" applyFont="1" applyFill="1" applyAlignment="1">
      <alignment horizontal="center"/>
    </xf>
    <xf numFmtId="170" fontId="12" fillId="3" borderId="0" xfId="0" applyNumberFormat="1" applyFont="1" applyFill="1"/>
    <xf numFmtId="0" fontId="14" fillId="0" borderId="0" xfId="0" applyFont="1" applyAlignment="1">
      <alignment horizontal="center"/>
    </xf>
    <xf numFmtId="10" fontId="0" fillId="3" borderId="0" xfId="0" applyNumberFormat="1" applyFill="1"/>
    <xf numFmtId="0" fontId="15" fillId="4" borderId="0" xfId="0" applyFont="1" applyFill="1" applyAlignment="1">
      <alignment horizontal="center"/>
    </xf>
    <xf numFmtId="170" fontId="15" fillId="4" borderId="0" xfId="0" applyNumberFormat="1" applyFont="1" applyFill="1"/>
    <xf numFmtId="170" fontId="8" fillId="4" borderId="0" xfId="0" applyNumberFormat="1" applyFont="1" applyFill="1"/>
    <xf numFmtId="0" fontId="0" fillId="5" borderId="11" xfId="0" applyFill="1" applyBorder="1"/>
    <xf numFmtId="0" fontId="9" fillId="0" borderId="11" xfId="0" applyFont="1" applyBorder="1" applyAlignment="1">
      <alignment horizontal="right"/>
    </xf>
    <xf numFmtId="0" fontId="0" fillId="0" borderId="11" xfId="0" applyBorder="1"/>
    <xf numFmtId="171" fontId="0" fillId="2" borderId="0" xfId="0" applyNumberFormat="1" applyFill="1"/>
    <xf numFmtId="171" fontId="0" fillId="0" borderId="0" xfId="0" applyNumberFormat="1"/>
    <xf numFmtId="167" fontId="1" fillId="0" borderId="0" xfId="1" applyNumberFormat="1" applyFont="1"/>
    <xf numFmtId="1" fontId="0" fillId="0" borderId="0" xfId="1" applyNumberFormat="1" applyFont="1" applyAlignment="1">
      <alignment horizontal="center"/>
    </xf>
    <xf numFmtId="1" fontId="0" fillId="2" borderId="0" xfId="1" applyNumberFormat="1" applyFont="1" applyFill="1" applyAlignment="1">
      <alignment horizontal="center"/>
    </xf>
    <xf numFmtId="0" fontId="12" fillId="0" borderId="0" xfId="0" applyFont="1"/>
    <xf numFmtId="0" fontId="17" fillId="6" borderId="12" xfId="0" applyFont="1" applyFill="1" applyBorder="1"/>
    <xf numFmtId="0" fontId="17" fillId="6" borderId="13" xfId="0" applyFont="1" applyFill="1" applyBorder="1"/>
    <xf numFmtId="0" fontId="17" fillId="6" borderId="13" xfId="0" applyFont="1" applyFill="1" applyBorder="1" applyAlignment="1">
      <alignment horizontal="center"/>
    </xf>
    <xf numFmtId="0" fontId="17" fillId="6" borderId="14" xfId="0" applyFont="1" applyFill="1" applyBorder="1"/>
    <xf numFmtId="0" fontId="17" fillId="6" borderId="0" xfId="0" applyFont="1" applyFill="1"/>
    <xf numFmtId="0" fontId="17" fillId="6" borderId="6" xfId="0" applyFont="1" applyFill="1" applyBorder="1"/>
    <xf numFmtId="0" fontId="17" fillId="6" borderId="5" xfId="0" applyFont="1" applyFill="1" applyBorder="1"/>
    <xf numFmtId="0" fontId="17" fillId="6" borderId="7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12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Font="1"/>
    <xf numFmtId="2" fontId="0" fillId="2" borderId="0" xfId="0" applyNumberFormat="1" applyFill="1"/>
    <xf numFmtId="169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1" applyFont="1" applyAlignment="1">
      <alignment horizontal="center"/>
    </xf>
    <xf numFmtId="2" fontId="0" fillId="0" borderId="0" xfId="1" applyNumberFormat="1" applyFont="1" applyAlignment="1">
      <alignment horizontal="center"/>
    </xf>
    <xf numFmtId="165" fontId="0" fillId="2" borderId="0" xfId="1" applyFont="1" applyFill="1" applyAlignment="1">
      <alignment horizontal="center"/>
    </xf>
    <xf numFmtId="0" fontId="0" fillId="7" borderId="0" xfId="0" applyFill="1"/>
    <xf numFmtId="1" fontId="0" fillId="7" borderId="0" xfId="1" applyNumberFormat="1" applyFont="1" applyFill="1" applyAlignment="1">
      <alignment horizontal="left"/>
    </xf>
    <xf numFmtId="0" fontId="19" fillId="0" borderId="0" xfId="4" applyFont="1"/>
    <xf numFmtId="0" fontId="18" fillId="0" borderId="0" xfId="4"/>
    <xf numFmtId="0" fontId="18" fillId="0" borderId="0" xfId="4" applyAlignment="1">
      <alignment horizontal="center"/>
    </xf>
    <xf numFmtId="10" fontId="18" fillId="0" borderId="0" xfId="4" applyNumberFormat="1"/>
    <xf numFmtId="0" fontId="20" fillId="0" borderId="0" xfId="4" applyFont="1" applyAlignment="1">
      <alignment horizontal="center"/>
    </xf>
    <xf numFmtId="4" fontId="21" fillId="0" borderId="0" xfId="4" applyNumberFormat="1" applyFont="1"/>
    <xf numFmtId="1" fontId="21" fillId="0" borderId="0" xfId="1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8" fillId="0" borderId="0" xfId="1" applyNumberFormat="1" applyFont="1" applyBorder="1" applyAlignment="1">
      <alignment horizontal="center"/>
    </xf>
    <xf numFmtId="3" fontId="21" fillId="0" borderId="0" xfId="4" applyNumberFormat="1" applyFont="1"/>
    <xf numFmtId="4" fontId="22" fillId="0" borderId="0" xfId="4" applyNumberFormat="1" applyFont="1"/>
    <xf numFmtId="0" fontId="18" fillId="0" borderId="0" xfId="0" applyFont="1"/>
    <xf numFmtId="9" fontId="18" fillId="0" borderId="0" xfId="0" applyNumberFormat="1" applyFont="1"/>
    <xf numFmtId="0" fontId="18" fillId="8" borderId="0" xfId="0" applyFont="1" applyFill="1"/>
    <xf numFmtId="0" fontId="23" fillId="0" borderId="0" xfId="0" applyFont="1"/>
    <xf numFmtId="0" fontId="19" fillId="0" borderId="0" xfId="0" applyFont="1"/>
    <xf numFmtId="0" fontId="24" fillId="0" borderId="0" xfId="0" applyFont="1"/>
    <xf numFmtId="0" fontId="18" fillId="0" borderId="0" xfId="0" applyFont="1" applyAlignment="1">
      <alignment horizontal="right"/>
    </xf>
    <xf numFmtId="169" fontId="19" fillId="0" borderId="0" xfId="0" applyNumberFormat="1" applyFont="1"/>
    <xf numFmtId="172" fontId="19" fillId="0" borderId="0" xfId="0" applyNumberFormat="1" applyFont="1"/>
    <xf numFmtId="171" fontId="19" fillId="0" borderId="0" xfId="0" applyNumberFormat="1" applyFont="1" applyAlignment="1">
      <alignment horizontal="right"/>
    </xf>
    <xf numFmtId="10" fontId="18" fillId="0" borderId="0" xfId="0" applyNumberFormat="1" applyFont="1"/>
    <xf numFmtId="0" fontId="25" fillId="0" borderId="0" xfId="0" applyFont="1"/>
    <xf numFmtId="0" fontId="26" fillId="0" borderId="0" xfId="0" applyFont="1"/>
    <xf numFmtId="173" fontId="18" fillId="0" borderId="0" xfId="0" applyNumberFormat="1" applyFont="1"/>
    <xf numFmtId="173" fontId="27" fillId="2" borderId="0" xfId="0" applyNumberFormat="1" applyFont="1" applyFill="1"/>
    <xf numFmtId="173" fontId="19" fillId="0" borderId="0" xfId="0" applyNumberFormat="1" applyFont="1"/>
    <xf numFmtId="0" fontId="30" fillId="0" borderId="0" xfId="0" applyFont="1"/>
    <xf numFmtId="0" fontId="18" fillId="0" borderId="0" xfId="0" applyFont="1" applyAlignment="1">
      <alignment horizontal="center"/>
    </xf>
    <xf numFmtId="165" fontId="18" fillId="0" borderId="0" xfId="0" applyNumberFormat="1" applyFont="1"/>
    <xf numFmtId="2" fontId="18" fillId="0" borderId="0" xfId="0" applyNumberFormat="1" applyFont="1" applyAlignment="1">
      <alignment horizontal="center"/>
    </xf>
    <xf numFmtId="165" fontId="18" fillId="8" borderId="0" xfId="0" applyNumberFormat="1" applyFont="1" applyFill="1" applyAlignment="1">
      <alignment horizontal="center"/>
    </xf>
    <xf numFmtId="0" fontId="18" fillId="9" borderId="0" xfId="0" applyFont="1" applyFill="1"/>
    <xf numFmtId="9" fontId="18" fillId="0" borderId="0" xfId="2" applyFont="1"/>
    <xf numFmtId="0" fontId="31" fillId="0" borderId="0" xfId="4" applyFont="1"/>
    <xf numFmtId="2" fontId="31" fillId="0" borderId="0" xfId="4" applyNumberFormat="1" applyFont="1"/>
    <xf numFmtId="9" fontId="18" fillId="0" borderId="0" xfId="5" applyFont="1"/>
    <xf numFmtId="174" fontId="18" fillId="0" borderId="0" xfId="5" applyNumberFormat="1" applyFont="1"/>
    <xf numFmtId="9" fontId="18" fillId="0" borderId="0" xfId="4" applyNumberFormat="1"/>
    <xf numFmtId="169" fontId="18" fillId="0" borderId="0" xfId="2" applyNumberFormat="1" applyFont="1"/>
    <xf numFmtId="171" fontId="18" fillId="0" borderId="0" xfId="4" applyNumberFormat="1"/>
    <xf numFmtId="0" fontId="19" fillId="0" borderId="0" xfId="4" applyFont="1" applyAlignment="1">
      <alignment horizontal="right"/>
    </xf>
    <xf numFmtId="172" fontId="18" fillId="0" borderId="0" xfId="4" applyNumberFormat="1"/>
    <xf numFmtId="172" fontId="19" fillId="0" borderId="0" xfId="4" applyNumberFormat="1" applyFont="1"/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3" fontId="0" fillId="0" borderId="0" xfId="0" applyNumberFormat="1"/>
    <xf numFmtId="3" fontId="33" fillId="0" borderId="7" xfId="0" applyNumberFormat="1" applyFont="1" applyBorder="1" applyAlignment="1">
      <alignment horizontal="center" vertical="center" wrapText="1"/>
    </xf>
    <xf numFmtId="0" fontId="32" fillId="0" borderId="0" xfId="0" applyFont="1"/>
    <xf numFmtId="0" fontId="3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15" xfId="0" applyBorder="1"/>
    <xf numFmtId="0" fontId="18" fillId="0" borderId="15" xfId="0" applyFont="1" applyBorder="1"/>
    <xf numFmtId="0" fontId="18" fillId="0" borderId="10" xfId="0" applyFont="1" applyBorder="1" applyAlignment="1">
      <alignment horizontal="center"/>
    </xf>
    <xf numFmtId="0" fontId="18" fillId="0" borderId="16" xfId="0" applyFont="1" applyBorder="1"/>
    <xf numFmtId="175" fontId="18" fillId="0" borderId="7" xfId="0" applyNumberFormat="1" applyFont="1" applyBorder="1"/>
    <xf numFmtId="3" fontId="18" fillId="0" borderId="7" xfId="0" applyNumberFormat="1" applyFont="1" applyBorder="1"/>
    <xf numFmtId="0" fontId="18" fillId="0" borderId="7" xfId="0" applyFont="1" applyBorder="1"/>
    <xf numFmtId="3" fontId="19" fillId="0" borderId="7" xfId="0" applyNumberFormat="1" applyFont="1" applyBorder="1"/>
    <xf numFmtId="3" fontId="18" fillId="0" borderId="0" xfId="0" applyNumberFormat="1" applyFont="1"/>
    <xf numFmtId="175" fontId="18" fillId="0" borderId="0" xfId="0" applyNumberFormat="1" applyFont="1"/>
    <xf numFmtId="0" fontId="0" fillId="0" borderId="15" xfId="0" applyBorder="1" applyAlignment="1">
      <alignment horizontal="center"/>
    </xf>
    <xf numFmtId="175" fontId="0" fillId="0" borderId="15" xfId="0" applyNumberFormat="1" applyBorder="1"/>
    <xf numFmtId="3" fontId="0" fillId="0" borderId="15" xfId="0" applyNumberFormat="1" applyBorder="1"/>
    <xf numFmtId="3" fontId="18" fillId="0" borderId="15" xfId="0" applyNumberFormat="1" applyFont="1" applyBorder="1"/>
    <xf numFmtId="3" fontId="19" fillId="0" borderId="15" xfId="0" applyNumberFormat="1" applyFont="1" applyBorder="1"/>
    <xf numFmtId="175" fontId="0" fillId="0" borderId="0" xfId="0" applyNumberFormat="1"/>
    <xf numFmtId="8" fontId="0" fillId="0" borderId="0" xfId="0" applyNumberFormat="1"/>
    <xf numFmtId="0" fontId="35" fillId="0" borderId="0" xfId="0" applyFont="1"/>
    <xf numFmtId="0" fontId="0" fillId="2" borderId="17" xfId="0" applyFill="1" applyBorder="1"/>
    <xf numFmtId="9" fontId="0" fillId="2" borderId="17" xfId="0" applyNumberFormat="1" applyFill="1" applyBorder="1"/>
    <xf numFmtId="0" fontId="0" fillId="10" borderId="17" xfId="0" applyFill="1" applyBorder="1"/>
    <xf numFmtId="10" fontId="0" fillId="11" borderId="11" xfId="0" applyNumberFormat="1" applyFill="1" applyBorder="1"/>
    <xf numFmtId="10" fontId="1" fillId="0" borderId="0" xfId="2" applyNumberFormat="1" applyFont="1"/>
    <xf numFmtId="0" fontId="36" fillId="0" borderId="0" xfId="0" applyFont="1"/>
    <xf numFmtId="0" fontId="30" fillId="0" borderId="0" xfId="0" applyFont="1" applyAlignment="1">
      <alignment horizontal="right"/>
    </xf>
    <xf numFmtId="9" fontId="36" fillId="8" borderId="17" xfId="0" applyNumberFormat="1" applyFont="1" applyFill="1" applyBorder="1"/>
    <xf numFmtId="0" fontId="36" fillId="8" borderId="17" xfId="0" applyFont="1" applyFill="1" applyBorder="1"/>
    <xf numFmtId="0" fontId="36" fillId="8" borderId="18" xfId="0" applyFont="1" applyFill="1" applyBorder="1"/>
    <xf numFmtId="0" fontId="36" fillId="0" borderId="0" xfId="0" applyFont="1" applyAlignment="1">
      <alignment horizontal="right"/>
    </xf>
    <xf numFmtId="0" fontId="36" fillId="8" borderId="19" xfId="0" applyFont="1" applyFill="1" applyBorder="1"/>
    <xf numFmtId="0" fontId="36" fillId="8" borderId="20" xfId="0" applyFont="1" applyFill="1" applyBorder="1"/>
    <xf numFmtId="171" fontId="36" fillId="0" borderId="0" xfId="0" applyNumberFormat="1" applyFont="1"/>
    <xf numFmtId="164" fontId="36" fillId="0" borderId="0" xfId="0" applyNumberFormat="1" applyFont="1"/>
    <xf numFmtId="2" fontId="36" fillId="0" borderId="0" xfId="0" applyNumberFormat="1" applyFont="1"/>
    <xf numFmtId="10" fontId="36" fillId="8" borderId="17" xfId="0" applyNumberFormat="1" applyFont="1" applyFill="1" applyBorder="1"/>
    <xf numFmtId="0" fontId="30" fillId="0" borderId="21" xfId="0" applyFont="1" applyBorder="1"/>
    <xf numFmtId="0" fontId="36" fillId="12" borderId="0" xfId="0" applyFont="1" applyFill="1"/>
    <xf numFmtId="0" fontId="36" fillId="13" borderId="17" xfId="0" applyFont="1" applyFill="1" applyBorder="1"/>
    <xf numFmtId="171" fontId="36" fillId="13" borderId="17" xfId="0" applyNumberFormat="1" applyFont="1" applyFill="1" applyBorder="1"/>
    <xf numFmtId="0" fontId="36" fillId="12" borderId="22" xfId="0" applyFont="1" applyFill="1" applyBorder="1"/>
    <xf numFmtId="171" fontId="36" fillId="13" borderId="23" xfId="0" applyNumberFormat="1" applyFont="1" applyFill="1" applyBorder="1"/>
    <xf numFmtId="164" fontId="1" fillId="0" borderId="0" xfId="3" applyFont="1"/>
    <xf numFmtId="10" fontId="36" fillId="13" borderId="11" xfId="0" applyNumberFormat="1" applyFont="1" applyFill="1" applyBorder="1"/>
    <xf numFmtId="0" fontId="36" fillId="8" borderId="24" xfId="0" applyFont="1" applyFill="1" applyBorder="1"/>
    <xf numFmtId="0" fontId="36" fillId="13" borderId="19" xfId="0" applyFont="1" applyFill="1" applyBorder="1"/>
    <xf numFmtId="0" fontId="36" fillId="13" borderId="18" xfId="0" applyFont="1" applyFill="1" applyBorder="1"/>
    <xf numFmtId="0" fontId="36" fillId="8" borderId="25" xfId="0" applyFont="1" applyFill="1" applyBorder="1"/>
    <xf numFmtId="0" fontId="36" fillId="8" borderId="26" xfId="0" applyFont="1" applyFill="1" applyBorder="1"/>
    <xf numFmtId="0" fontId="36" fillId="13" borderId="20" xfId="0" applyFont="1" applyFill="1" applyBorder="1"/>
    <xf numFmtId="0" fontId="36" fillId="8" borderId="27" xfId="0" applyFont="1" applyFill="1" applyBorder="1"/>
    <xf numFmtId="0" fontId="36" fillId="14" borderId="17" xfId="0" applyFont="1" applyFill="1" applyBorder="1"/>
    <xf numFmtId="0" fontId="36" fillId="14" borderId="19" xfId="0" applyFont="1" applyFill="1" applyBorder="1"/>
    <xf numFmtId="0" fontId="36" fillId="14" borderId="18" xfId="0" applyFont="1" applyFill="1" applyBorder="1"/>
    <xf numFmtId="0" fontId="36" fillId="14" borderId="20" xfId="0" applyFont="1" applyFill="1" applyBorder="1"/>
    <xf numFmtId="0" fontId="36" fillId="9" borderId="0" xfId="0" applyFont="1" applyFill="1"/>
    <xf numFmtId="0" fontId="0" fillId="0" borderId="0" xfId="0" applyAlignment="1">
      <alignment horizontal="left" indent="1"/>
    </xf>
    <xf numFmtId="176" fontId="0" fillId="0" borderId="0" xfId="1" applyNumberFormat="1" applyFont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37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center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/>
    <xf numFmtId="0" fontId="7" fillId="0" borderId="34" xfId="0" applyFont="1" applyBorder="1" applyAlignment="1">
      <alignment horizontal="center"/>
    </xf>
    <xf numFmtId="1" fontId="7" fillId="2" borderId="34" xfId="0" applyNumberFormat="1" applyFont="1" applyFill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9" fontId="36" fillId="0" borderId="0" xfId="0" applyNumberFormat="1" applyFont="1"/>
    <xf numFmtId="0" fontId="36" fillId="0" borderId="17" xfId="0" applyFont="1" applyBorder="1"/>
    <xf numFmtId="0" fontId="36" fillId="0" borderId="18" xfId="0" applyFont="1" applyBorder="1"/>
    <xf numFmtId="0" fontId="36" fillId="0" borderId="18" xfId="0" applyFont="1" applyBorder="1" applyAlignment="1">
      <alignment horizontal="center"/>
    </xf>
    <xf numFmtId="0" fontId="36" fillId="0" borderId="19" xfId="0" applyFont="1" applyBorder="1"/>
    <xf numFmtId="0" fontId="36" fillId="0" borderId="20" xfId="0" applyFont="1" applyBorder="1"/>
    <xf numFmtId="0" fontId="36" fillId="0" borderId="20" xfId="0" applyFont="1" applyBorder="1" applyAlignment="1">
      <alignment horizontal="center"/>
    </xf>
    <xf numFmtId="3" fontId="36" fillId="0" borderId="20" xfId="0" applyNumberFormat="1" applyFont="1" applyBorder="1" applyAlignment="1">
      <alignment horizontal="center"/>
    </xf>
    <xf numFmtId="2" fontId="36" fillId="0" borderId="20" xfId="0" applyNumberFormat="1" applyFont="1" applyBorder="1" applyAlignment="1">
      <alignment horizontal="center"/>
    </xf>
    <xf numFmtId="166" fontId="36" fillId="0" borderId="20" xfId="0" applyNumberFormat="1" applyFont="1" applyBorder="1"/>
    <xf numFmtId="165" fontId="36" fillId="0" borderId="0" xfId="0" applyNumberFormat="1" applyFont="1"/>
    <xf numFmtId="166" fontId="36" fillId="0" borderId="20" xfId="0" applyNumberFormat="1" applyFont="1" applyBorder="1" applyAlignment="1">
      <alignment horizontal="center"/>
    </xf>
    <xf numFmtId="4" fontId="0" fillId="0" borderId="0" xfId="0" applyNumberFormat="1"/>
    <xf numFmtId="0" fontId="38" fillId="8" borderId="15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vertical="center"/>
    </xf>
    <xf numFmtId="9" fontId="38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9" fontId="32" fillId="0" borderId="0" xfId="0" applyNumberFormat="1" applyFont="1"/>
    <xf numFmtId="0" fontId="32" fillId="0" borderId="36" xfId="0" applyFont="1" applyBorder="1"/>
    <xf numFmtId="0" fontId="32" fillId="2" borderId="37" xfId="0" applyFont="1" applyFill="1" applyBorder="1" applyAlignment="1">
      <alignment horizontal="right"/>
    </xf>
    <xf numFmtId="0" fontId="32" fillId="2" borderId="37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1" fontId="32" fillId="0" borderId="29" xfId="0" quotePrefix="1" applyNumberFormat="1" applyFont="1" applyBorder="1" applyAlignment="1">
      <alignment horizontal="center"/>
    </xf>
    <xf numFmtId="0" fontId="32" fillId="0" borderId="17" xfId="0" applyFont="1" applyBorder="1"/>
    <xf numFmtId="1" fontId="32" fillId="0" borderId="17" xfId="0" applyNumberFormat="1" applyFont="1" applyBorder="1" applyAlignment="1">
      <alignment horizontal="center"/>
    </xf>
    <xf numFmtId="168" fontId="32" fillId="0" borderId="17" xfId="0" applyNumberFormat="1" applyFont="1" applyBorder="1"/>
    <xf numFmtId="168" fontId="32" fillId="0" borderId="31" xfId="0" applyNumberFormat="1" applyFont="1" applyBorder="1"/>
    <xf numFmtId="168" fontId="32" fillId="0" borderId="17" xfId="1" applyNumberFormat="1" applyFont="1" applyBorder="1" applyAlignment="1">
      <alignment horizontal="center"/>
    </xf>
    <xf numFmtId="168" fontId="32" fillId="0" borderId="31" xfId="1" applyNumberFormat="1" applyFont="1" applyBorder="1" applyAlignment="1">
      <alignment horizontal="center"/>
    </xf>
    <xf numFmtId="2" fontId="32" fillId="0" borderId="17" xfId="1" applyNumberFormat="1" applyFont="1" applyBorder="1" applyAlignment="1">
      <alignment horizontal="center"/>
    </xf>
    <xf numFmtId="2" fontId="32" fillId="0" borderId="31" xfId="1" applyNumberFormat="1" applyFont="1" applyBorder="1" applyAlignment="1">
      <alignment horizontal="center"/>
    </xf>
    <xf numFmtId="1" fontId="32" fillId="0" borderId="33" xfId="0" quotePrefix="1" applyNumberFormat="1" applyFont="1" applyBorder="1" applyAlignment="1">
      <alignment horizontal="center"/>
    </xf>
    <xf numFmtId="0" fontId="32" fillId="0" borderId="34" xfId="0" applyFont="1" applyBorder="1"/>
    <xf numFmtId="168" fontId="32" fillId="0" borderId="34" xfId="0" applyNumberFormat="1" applyFont="1" applyBorder="1"/>
    <xf numFmtId="168" fontId="32" fillId="0" borderId="34" xfId="1" applyNumberFormat="1" applyFont="1" applyBorder="1" applyAlignment="1">
      <alignment horizontal="center"/>
    </xf>
    <xf numFmtId="168" fontId="32" fillId="0" borderId="34" xfId="1" applyNumberFormat="1" applyFont="1" applyFill="1" applyBorder="1" applyAlignment="1">
      <alignment horizontal="center"/>
    </xf>
    <xf numFmtId="168" fontId="32" fillId="2" borderId="34" xfId="1" applyNumberFormat="1" applyFont="1" applyFill="1" applyBorder="1" applyAlignment="1">
      <alignment horizontal="center"/>
    </xf>
    <xf numFmtId="168" fontId="32" fillId="0" borderId="35" xfId="1" applyNumberFormat="1" applyFont="1" applyBorder="1" applyAlignment="1">
      <alignment horizontal="center"/>
    </xf>
    <xf numFmtId="167" fontId="7" fillId="0" borderId="0" xfId="0" applyNumberFormat="1" applyFont="1"/>
    <xf numFmtId="168" fontId="7" fillId="0" borderId="0" xfId="0" applyNumberFormat="1" applyFont="1"/>
    <xf numFmtId="8" fontId="7" fillId="0" borderId="0" xfId="0" applyNumberFormat="1" applyFont="1"/>
    <xf numFmtId="0" fontId="32" fillId="0" borderId="39" xfId="0" applyFont="1" applyBorder="1" applyAlignment="1">
      <alignment horizontal="center"/>
    </xf>
    <xf numFmtId="0" fontId="37" fillId="0" borderId="39" xfId="0" applyFont="1" applyBorder="1"/>
    <xf numFmtId="0" fontId="32" fillId="0" borderId="39" xfId="0" applyFont="1" applyBorder="1"/>
    <xf numFmtId="0" fontId="43" fillId="0" borderId="36" xfId="0" quotePrefix="1" applyFont="1" applyBorder="1" applyAlignment="1">
      <alignment horizontal="center"/>
    </xf>
    <xf numFmtId="0" fontId="43" fillId="0" borderId="37" xfId="0" applyFont="1" applyBorder="1"/>
    <xf numFmtId="0" fontId="43" fillId="0" borderId="38" xfId="0" applyFont="1" applyBorder="1"/>
    <xf numFmtId="0" fontId="43" fillId="0" borderId="18" xfId="0" applyFont="1" applyBorder="1"/>
    <xf numFmtId="0" fontId="43" fillId="0" borderId="17" xfId="0" applyFont="1" applyBorder="1"/>
    <xf numFmtId="0" fontId="43" fillId="0" borderId="24" xfId="0" applyFont="1" applyBorder="1"/>
    <xf numFmtId="0" fontId="43" fillId="0" borderId="29" xfId="0" quotePrefix="1" applyFont="1" applyBorder="1" applyAlignment="1">
      <alignment horizontal="center"/>
    </xf>
    <xf numFmtId="10" fontId="43" fillId="0" borderId="17" xfId="0" applyNumberFormat="1" applyFont="1" applyBorder="1"/>
    <xf numFmtId="0" fontId="43" fillId="0" borderId="31" xfId="0" applyFont="1" applyBorder="1" applyAlignment="1">
      <alignment horizontal="center"/>
    </xf>
    <xf numFmtId="168" fontId="0" fillId="2" borderId="0" xfId="0" applyNumberFormat="1" applyFill="1"/>
    <xf numFmtId="9" fontId="43" fillId="0" borderId="17" xfId="0" applyNumberFormat="1" applyFont="1" applyBorder="1"/>
    <xf numFmtId="0" fontId="43" fillId="0" borderId="31" xfId="0" applyFont="1" applyBorder="1"/>
    <xf numFmtId="0" fontId="43" fillId="0" borderId="33" xfId="0" quotePrefix="1" applyFont="1" applyBorder="1" applyAlignment="1">
      <alignment horizontal="center"/>
    </xf>
    <xf numFmtId="0" fontId="43" fillId="0" borderId="34" xfId="0" applyFont="1" applyBorder="1"/>
    <xf numFmtId="9" fontId="43" fillId="0" borderId="34" xfId="0" applyNumberFormat="1" applyFont="1" applyBorder="1"/>
    <xf numFmtId="0" fontId="43" fillId="0" borderId="35" xfId="0" applyFont="1" applyBorder="1"/>
    <xf numFmtId="0" fontId="43" fillId="0" borderId="41" xfId="0" applyFont="1" applyBorder="1"/>
    <xf numFmtId="0" fontId="43" fillId="0" borderId="39" xfId="0" applyFont="1" applyBorder="1"/>
    <xf numFmtId="0" fontId="43" fillId="0" borderId="42" xfId="0" applyFont="1" applyBorder="1"/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right"/>
    </xf>
    <xf numFmtId="1" fontId="43" fillId="0" borderId="45" xfId="0" applyNumberFormat="1" applyFont="1" applyBorder="1" applyAlignment="1">
      <alignment horizontal="center"/>
    </xf>
    <xf numFmtId="1" fontId="43" fillId="0" borderId="46" xfId="0" applyNumberFormat="1" applyFont="1" applyBorder="1" applyAlignment="1">
      <alignment horizontal="center"/>
    </xf>
    <xf numFmtId="0" fontId="43" fillId="0" borderId="19" xfId="0" applyFont="1" applyBorder="1"/>
    <xf numFmtId="177" fontId="0" fillId="0" borderId="17" xfId="0" applyNumberFormat="1" applyBorder="1" applyProtection="1">
      <protection locked="0"/>
    </xf>
    <xf numFmtId="0" fontId="32" fillId="0" borderId="29" xfId="0" applyFont="1" applyBorder="1" applyAlignment="1">
      <alignment horizontal="center"/>
    </xf>
    <xf numFmtId="1" fontId="32" fillId="0" borderId="17" xfId="1" applyNumberFormat="1" applyFont="1" applyBorder="1" applyAlignment="1">
      <alignment horizontal="center"/>
    </xf>
    <xf numFmtId="1" fontId="32" fillId="0" borderId="31" xfId="1" applyNumberFormat="1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0" fontId="32" fillId="0" borderId="29" xfId="0" quotePrefix="1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1" fontId="32" fillId="0" borderId="39" xfId="1" applyNumberFormat="1" applyFont="1" applyBorder="1" applyAlignment="1">
      <alignment horizontal="center"/>
    </xf>
    <xf numFmtId="1" fontId="32" fillId="0" borderId="48" xfId="1" applyNumberFormat="1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/>
    <xf numFmtId="1" fontId="32" fillId="0" borderId="45" xfId="1" applyNumberFormat="1" applyFont="1" applyBorder="1" applyAlignment="1">
      <alignment horizontal="center"/>
    </xf>
    <xf numFmtId="1" fontId="32" fillId="0" borderId="45" xfId="1" applyNumberFormat="1" applyFont="1" applyFill="1" applyBorder="1" applyAlignment="1">
      <alignment horizontal="center"/>
    </xf>
    <xf numFmtId="1" fontId="32" fillId="2" borderId="45" xfId="1" applyNumberFormat="1" applyFont="1" applyFill="1" applyBorder="1" applyAlignment="1">
      <alignment horizontal="center"/>
    </xf>
    <xf numFmtId="1" fontId="32" fillId="0" borderId="49" xfId="1" applyNumberFormat="1" applyFont="1" applyBorder="1" applyAlignment="1">
      <alignment horizontal="center"/>
    </xf>
    <xf numFmtId="0" fontId="32" fillId="0" borderId="50" xfId="0" applyFont="1" applyBorder="1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5" fillId="0" borderId="8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1" fontId="32" fillId="2" borderId="51" xfId="0" applyNumberFormat="1" applyFont="1" applyFill="1" applyBorder="1" applyAlignment="1">
      <alignment horizontal="center"/>
    </xf>
    <xf numFmtId="1" fontId="32" fillId="2" borderId="4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2" borderId="52" xfId="0" applyFont="1" applyFill="1" applyBorder="1" applyAlignment="1">
      <alignment horizontal="right"/>
    </xf>
    <xf numFmtId="0" fontId="32" fillId="2" borderId="53" xfId="0" applyFont="1" applyFill="1" applyBorder="1" applyAlignment="1">
      <alignment horizontal="center"/>
    </xf>
    <xf numFmtId="1" fontId="32" fillId="2" borderId="54" xfId="0" applyNumberFormat="1" applyFont="1" applyFill="1" applyBorder="1" applyAlignment="1">
      <alignment horizontal="center"/>
    </xf>
    <xf numFmtId="1" fontId="32" fillId="2" borderId="55" xfId="0" applyNumberFormat="1" applyFont="1" applyFill="1" applyBorder="1" applyAlignment="1">
      <alignment horizontal="center"/>
    </xf>
    <xf numFmtId="1" fontId="32" fillId="2" borderId="52" xfId="0" applyNumberFormat="1" applyFont="1" applyFill="1" applyBorder="1" applyAlignment="1">
      <alignment horizontal="center"/>
    </xf>
    <xf numFmtId="1" fontId="32" fillId="2" borderId="53" xfId="0" applyNumberFormat="1" applyFont="1" applyFill="1" applyBorder="1" applyAlignment="1">
      <alignment horizontal="center"/>
    </xf>
    <xf numFmtId="1" fontId="32" fillId="2" borderId="49" xfId="0" applyNumberFormat="1" applyFont="1" applyFill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5" fillId="0" borderId="37" xfId="0" applyFont="1" applyBorder="1"/>
    <xf numFmtId="168" fontId="45" fillId="0" borderId="37" xfId="1" applyNumberFormat="1" applyFont="1" applyBorder="1" applyAlignment="1">
      <alignment horizontal="center" vertical="center"/>
    </xf>
    <xf numFmtId="1" fontId="32" fillId="2" borderId="14" xfId="0" applyNumberFormat="1" applyFont="1" applyFill="1" applyBorder="1" applyAlignment="1">
      <alignment horizontal="center"/>
    </xf>
    <xf numFmtId="168" fontId="32" fillId="0" borderId="17" xfId="1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5" fillId="0" borderId="17" xfId="0" applyFont="1" applyBorder="1"/>
    <xf numFmtId="168" fontId="45" fillId="0" borderId="17" xfId="1" applyNumberFormat="1" applyFont="1" applyBorder="1" applyAlignment="1">
      <alignment horizontal="center" vertical="center"/>
    </xf>
    <xf numFmtId="168" fontId="45" fillId="0" borderId="17" xfId="1" applyNumberFormat="1" applyFont="1" applyFill="1" applyBorder="1" applyAlignment="1">
      <alignment horizontal="center" vertical="center"/>
    </xf>
    <xf numFmtId="168" fontId="45" fillId="0" borderId="31" xfId="1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/>
    <xf numFmtId="168" fontId="45" fillId="0" borderId="34" xfId="1" applyNumberFormat="1" applyFont="1" applyBorder="1" applyAlignment="1">
      <alignment horizontal="center" vertical="center"/>
    </xf>
    <xf numFmtId="168" fontId="45" fillId="0" borderId="34" xfId="1" applyNumberFormat="1" applyFont="1" applyFill="1" applyBorder="1" applyAlignment="1">
      <alignment horizontal="center" vertical="center"/>
    </xf>
    <xf numFmtId="168" fontId="45" fillId="0" borderId="35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0" fontId="32" fillId="0" borderId="7" xfId="0" applyFont="1" applyBorder="1" applyAlignment="1">
      <alignment horizontal="left" vertical="center"/>
    </xf>
    <xf numFmtId="9" fontId="32" fillId="0" borderId="7" xfId="0" applyNumberFormat="1" applyFont="1" applyBorder="1" applyAlignment="1">
      <alignment horizontal="right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0" fontId="0" fillId="0" borderId="0" xfId="0" applyNumberFormat="1"/>
    <xf numFmtId="0" fontId="36" fillId="8" borderId="0" xfId="0" applyFont="1" applyFill="1" applyBorder="1"/>
    <xf numFmtId="43" fontId="0" fillId="0" borderId="0" xfId="0" applyNumberFormat="1"/>
    <xf numFmtId="0" fontId="12" fillId="0" borderId="0" xfId="0" applyFont="1" applyAlignment="1">
      <alignment horizontal="right"/>
    </xf>
    <xf numFmtId="9" fontId="48" fillId="2" borderId="42" xfId="0" applyNumberFormat="1" applyFont="1" applyFill="1" applyBorder="1" applyAlignment="1">
      <alignment vertical="center" wrapText="1"/>
    </xf>
    <xf numFmtId="0" fontId="33" fillId="7" borderId="0" xfId="0" applyFont="1" applyFill="1" applyAlignment="1">
      <alignment vertical="center" wrapText="1"/>
    </xf>
    <xf numFmtId="171" fontId="0" fillId="11" borderId="17" xfId="0" applyNumberFormat="1" applyFill="1" applyBorder="1"/>
    <xf numFmtId="171" fontId="0" fillId="11" borderId="56" xfId="0" applyNumberFormat="1" applyFill="1" applyBorder="1"/>
    <xf numFmtId="2" fontId="0" fillId="11" borderId="23" xfId="0" applyNumberFormat="1" applyFill="1" applyBorder="1"/>
    <xf numFmtId="165" fontId="0" fillId="2" borderId="17" xfId="1" applyFont="1" applyFill="1" applyBorder="1"/>
    <xf numFmtId="165" fontId="0" fillId="11" borderId="17" xfId="1" applyFont="1" applyFill="1" applyBorder="1"/>
    <xf numFmtId="165" fontId="0" fillId="11" borderId="19" xfId="1" applyFont="1" applyFill="1" applyBorder="1"/>
    <xf numFmtId="43" fontId="0" fillId="11" borderId="17" xfId="0" applyNumberForma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7" fillId="2" borderId="28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7" fillId="0" borderId="28" xfId="0" applyFont="1" applyBorder="1" applyAlignment="1">
      <alignment horizontal="center" vertical="center" textRotation="90"/>
    </xf>
    <xf numFmtId="0" fontId="17" fillId="0" borderId="40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1" fontId="32" fillId="0" borderId="17" xfId="1" applyNumberFormat="1" applyFont="1" applyFill="1" applyBorder="1" applyAlignment="1">
      <alignment horizontal="center"/>
    </xf>
    <xf numFmtId="1" fontId="32" fillId="2" borderId="28" xfId="1" applyNumberFormat="1" applyFont="1" applyFill="1" applyBorder="1" applyAlignment="1">
      <alignment horizontal="center" wrapText="1"/>
    </xf>
  </cellXfs>
  <cellStyles count="6">
    <cellStyle name="Comma" xfId="1" builtinId="3"/>
    <cellStyle name="Currency" xfId="3" builtinId="4"/>
    <cellStyle name="Normal" xfId="0" builtinId="0"/>
    <cellStyle name="Normal 2" xfId="4" xr:uid="{529F6599-2DE3-CF4B-A905-A709D0B750FA}"/>
    <cellStyle name="Percent" xfId="2" builtinId="5"/>
    <cellStyle name="Porcentagem 2" xfId="5" xr:uid="{610ACB90-5DC6-C745-BAF5-61E182771D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'[1]ex 4 vida economica VE'!$E$6:$K$6</c:f>
              <c:numCache>
                <c:formatCode>General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70</c:v>
                </c:pt>
                <c:pt idx="3">
                  <c:v>60</c:v>
                </c:pt>
                <c:pt idx="4">
                  <c:v>50</c:v>
                </c:pt>
                <c:pt idx="5">
                  <c:v>40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3-DC49-A9CF-DA114F1418A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'[1]ex 4 vida economica VE'!$E$7:$K$7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22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3-DC49-A9CF-DA114F14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60000"/>
        <c:axId val="460760384"/>
      </c:lineChart>
      <c:catAx>
        <c:axId val="46076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60760384"/>
        <c:crosses val="autoZero"/>
        <c:auto val="1"/>
        <c:lblAlgn val="ctr"/>
        <c:lblOffset val="100"/>
        <c:noMultiLvlLbl val="0"/>
      </c:catAx>
      <c:valAx>
        <c:axId val="46076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607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'[1]ex 5 vida economica'!$C$7:$I$7</c:f>
              <c:numCache>
                <c:formatCode>General</c:formatCode>
                <c:ptCount val="7"/>
                <c:pt idx="0">
                  <c:v>8000</c:v>
                </c:pt>
                <c:pt idx="1">
                  <c:v>7000</c:v>
                </c:pt>
                <c:pt idx="2">
                  <c:v>6000</c:v>
                </c:pt>
                <c:pt idx="3">
                  <c:v>5000</c:v>
                </c:pt>
                <c:pt idx="4">
                  <c:v>4200</c:v>
                </c:pt>
                <c:pt idx="5">
                  <c:v>3800</c:v>
                </c:pt>
                <c:pt idx="6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3-1744-A03F-9E3C052B4F05}"/>
            </c:ext>
          </c:extLst>
        </c:ser>
        <c:ser>
          <c:idx val="1"/>
          <c:order val="1"/>
          <c:tx>
            <c:v>Operacoes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'[1]ex 5 vida economica'!$C$8:$I$8</c:f>
              <c:numCache>
                <c:formatCode>General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700</c:v>
                </c:pt>
                <c:pt idx="3">
                  <c:v>1000</c:v>
                </c:pt>
                <c:pt idx="4">
                  <c:v>1300</c:v>
                </c:pt>
                <c:pt idx="5">
                  <c:v>1700</c:v>
                </c:pt>
                <c:pt idx="6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3-1744-A03F-9E3C052B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359600"/>
        <c:axId val="460627296"/>
      </c:lineChart>
      <c:catAx>
        <c:axId val="460359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60627296"/>
        <c:crosses val="autoZero"/>
        <c:auto val="1"/>
        <c:lblAlgn val="ctr"/>
        <c:lblOffset val="100"/>
        <c:noMultiLvlLbl val="0"/>
      </c:catAx>
      <c:valAx>
        <c:axId val="46062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6035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'[1]ex 5 vida economica'!$C$26:$I$26</c:f>
              <c:numCache>
                <c:formatCode>General</c:formatCode>
                <c:ptCount val="7"/>
                <c:pt idx="0">
                  <c:v>3371.4285714285725</c:v>
                </c:pt>
                <c:pt idx="1">
                  <c:v>2859.8006644518273</c:v>
                </c:pt>
                <c:pt idx="2">
                  <c:v>2729.4456443484519</c:v>
                </c:pt>
                <c:pt idx="3">
                  <c:v>2700.9473266363643</c:v>
                </c:pt>
                <c:pt idx="4">
                  <c:v>2682.6911380265587</c:v>
                </c:pt>
                <c:pt idx="5">
                  <c:v>3047.0967085435204</c:v>
                </c:pt>
                <c:pt idx="6">
                  <c:v>3089.6089753148426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2-F84B-A98A-6202B3DA9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802208"/>
        <c:axId val="460892288"/>
      </c:lineChart>
      <c:catAx>
        <c:axId val="478802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60892288"/>
        <c:crosses val="autoZero"/>
        <c:auto val="1"/>
        <c:lblAlgn val="ctr"/>
        <c:lblOffset val="100"/>
        <c:noMultiLvlLbl val="0"/>
      </c:catAx>
      <c:valAx>
        <c:axId val="4608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788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180975</xdr:rowOff>
    </xdr:from>
    <xdr:to>
      <xdr:col>6</xdr:col>
      <xdr:colOff>590550</xdr:colOff>
      <xdr:row>7</xdr:row>
      <xdr:rowOff>76200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14700" y="1304925"/>
          <a:ext cx="12001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/>
            <a:t>Pgto no início do ano</a:t>
          </a:r>
        </a:p>
        <a:p>
          <a:endParaRPr lang="pt-BR" sz="800"/>
        </a:p>
      </xdr:txBody>
    </xdr:sp>
    <xdr:clientData/>
  </xdr:twoCellAnchor>
  <xdr:twoCellAnchor>
    <xdr:from>
      <xdr:col>5</xdr:col>
      <xdr:colOff>38101</xdr:colOff>
      <xdr:row>7</xdr:row>
      <xdr:rowOff>85725</xdr:rowOff>
    </xdr:from>
    <xdr:to>
      <xdr:col>5</xdr:col>
      <xdr:colOff>466726</xdr:colOff>
      <xdr:row>7</xdr:row>
      <xdr:rowOff>180975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V="1">
          <a:off x="3305176" y="1590675"/>
          <a:ext cx="42862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476253</xdr:colOff>
      <xdr:row>7</xdr:row>
      <xdr:rowOff>76201</xdr:rowOff>
    </xdr:from>
    <xdr:to>
      <xdr:col>5</xdr:col>
      <xdr:colOff>542924</xdr:colOff>
      <xdr:row>8</xdr:row>
      <xdr:rowOff>161929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3638550" y="1685929"/>
          <a:ext cx="276228" cy="666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295276</xdr:colOff>
      <xdr:row>7</xdr:row>
      <xdr:rowOff>95249</xdr:rowOff>
    </xdr:from>
    <xdr:to>
      <xdr:col>6</xdr:col>
      <xdr:colOff>333376</xdr:colOff>
      <xdr:row>10</xdr:row>
      <xdr:rowOff>9524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3995738" y="1824037"/>
          <a:ext cx="48577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552451</xdr:colOff>
      <xdr:row>7</xdr:row>
      <xdr:rowOff>104775</xdr:rowOff>
    </xdr:from>
    <xdr:to>
      <xdr:col>7</xdr:col>
      <xdr:colOff>438150</xdr:colOff>
      <xdr:row>11</xdr:row>
      <xdr:rowOff>19052</xdr:rowOff>
    </xdr:to>
    <xdr:cxnSp macro="">
      <xdr:nvCxnSpPr>
        <xdr:cNvPr id="7" name="Conector de seta re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16200000" flipH="1">
          <a:off x="4386262" y="1700214"/>
          <a:ext cx="676277" cy="495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371475</xdr:colOff>
      <xdr:row>11</xdr:row>
      <xdr:rowOff>161925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533900" y="1600200"/>
          <a:ext cx="981075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6</xdr:row>
      <xdr:rowOff>123825</xdr:rowOff>
    </xdr:from>
    <xdr:to>
      <xdr:col>9</xdr:col>
      <xdr:colOff>400050</xdr:colOff>
      <xdr:row>12</xdr:row>
      <xdr:rowOff>85725</xdr:rowOff>
    </xdr:to>
    <xdr:cxnSp macro="">
      <xdr:nvCxnSpPr>
        <xdr:cNvPr id="17" name="Conector de seta ret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524375" y="1438275"/>
          <a:ext cx="1628775" cy="1104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85725</xdr:rowOff>
    </xdr:from>
    <xdr:to>
      <xdr:col>6</xdr:col>
      <xdr:colOff>252091</xdr:colOff>
      <xdr:row>5</xdr:row>
      <xdr:rowOff>171450</xdr:rowOff>
    </xdr:to>
    <xdr:pic>
      <xdr:nvPicPr>
        <xdr:cNvPr id="2" name="Picture 2" descr="C:\Documents and Settings\Pc Loja\Desktop\Portable_ScreenHunter\ScreenHunter_06 Jun. 09 13.47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727" r="3098"/>
        <a:stretch>
          <a:fillRect/>
        </a:stretch>
      </xdr:blipFill>
      <xdr:spPr bwMode="auto">
        <a:xfrm>
          <a:off x="5118100" y="276225"/>
          <a:ext cx="1585591" cy="873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285750</xdr:colOff>
      <xdr:row>11</xdr:row>
      <xdr:rowOff>171450</xdr:rowOff>
    </xdr:from>
    <xdr:to>
      <xdr:col>12</xdr:col>
      <xdr:colOff>415272</xdr:colOff>
      <xdr:row>14</xdr:row>
      <xdr:rowOff>144566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88350" y="2317750"/>
          <a:ext cx="2821922" cy="595416"/>
        </a:xfrm>
        <a:prstGeom prst="rect">
          <a:avLst/>
        </a:prstGeom>
        <a:solidFill>
          <a:srgbClr val="FFFF00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609600</xdr:colOff>
          <xdr:row>15</xdr:row>
          <xdr:rowOff>190500</xdr:rowOff>
        </xdr:from>
        <xdr:to>
          <xdr:col>11</xdr:col>
          <xdr:colOff>152400</xdr:colOff>
          <xdr:row>19</xdr:row>
          <xdr:rowOff>101600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4</xdr:row>
      <xdr:rowOff>0</xdr:rowOff>
    </xdr:from>
    <xdr:to>
      <xdr:col>15</xdr:col>
      <xdr:colOff>88900</xdr:colOff>
      <xdr:row>14</xdr:row>
      <xdr:rowOff>25400</xdr:rowOff>
    </xdr:to>
    <xdr:pic>
      <xdr:nvPicPr>
        <xdr:cNvPr id="2" name="Picture 1" descr="clip_image00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762000"/>
          <a:ext cx="6248400" cy="193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7</xdr:col>
      <xdr:colOff>88900</xdr:colOff>
      <xdr:row>20</xdr:row>
      <xdr:rowOff>76200</xdr:rowOff>
    </xdr:to>
    <xdr:pic>
      <xdr:nvPicPr>
        <xdr:cNvPr id="2" name="Picture 1" descr="clip_image00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586740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11</xdr:row>
      <xdr:rowOff>171450</xdr:rowOff>
    </xdr:from>
    <xdr:to>
      <xdr:col>11</xdr:col>
      <xdr:colOff>300972</xdr:colOff>
      <xdr:row>15</xdr:row>
      <xdr:rowOff>17566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08850" y="2266950"/>
          <a:ext cx="2821922" cy="608116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2</xdr:row>
      <xdr:rowOff>165100</xdr:rowOff>
    </xdr:from>
    <xdr:to>
      <xdr:col>6</xdr:col>
      <xdr:colOff>425450</xdr:colOff>
      <xdr:row>2</xdr:row>
      <xdr:rowOff>165100</xdr:rowOff>
    </xdr:to>
    <xdr:cxnSp macro="">
      <xdr:nvCxnSpPr>
        <xdr:cNvPr id="2" name="Conector de seta reta 9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109048550" y="819150"/>
          <a:ext cx="4387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609600</xdr:colOff>
      <xdr:row>3</xdr:row>
      <xdr:rowOff>38100</xdr:rowOff>
    </xdr:from>
    <xdr:to>
      <xdr:col>1</xdr:col>
      <xdr:colOff>609600</xdr:colOff>
      <xdr:row>7</xdr:row>
      <xdr:rowOff>88900</xdr:rowOff>
    </xdr:to>
    <xdr:cxnSp macro="">
      <xdr:nvCxnSpPr>
        <xdr:cNvPr id="3" name="Conector de seta reta 1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109569250" y="812800"/>
          <a:ext cx="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444500</xdr:colOff>
      <xdr:row>0</xdr:row>
      <xdr:rowOff>101600</xdr:rowOff>
    </xdr:from>
    <xdr:to>
      <xdr:col>2</xdr:col>
      <xdr:colOff>444500</xdr:colOff>
      <xdr:row>2</xdr:row>
      <xdr:rowOff>120650</xdr:rowOff>
    </xdr:to>
    <xdr:cxnSp macro="">
      <xdr:nvCxnSpPr>
        <xdr:cNvPr id="4" name="Conector de seta reta 16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V="1">
          <a:off x="110232825" y="39687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304800</xdr:colOff>
      <xdr:row>0</xdr:row>
      <xdr:rowOff>101600</xdr:rowOff>
    </xdr:from>
    <xdr:to>
      <xdr:col>3</xdr:col>
      <xdr:colOff>304800</xdr:colOff>
      <xdr:row>2</xdr:row>
      <xdr:rowOff>120650</xdr:rowOff>
    </xdr:to>
    <xdr:cxnSp macro="">
      <xdr:nvCxnSpPr>
        <xdr:cNvPr id="5" name="Conector de seta reta 79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 flipV="1">
          <a:off x="110915450" y="3905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152400</xdr:colOff>
      <xdr:row>0</xdr:row>
      <xdr:rowOff>101600</xdr:rowOff>
    </xdr:from>
    <xdr:to>
      <xdr:col>4</xdr:col>
      <xdr:colOff>152400</xdr:colOff>
      <xdr:row>2</xdr:row>
      <xdr:rowOff>120650</xdr:rowOff>
    </xdr:to>
    <xdr:cxnSp macro="">
      <xdr:nvCxnSpPr>
        <xdr:cNvPr id="6" name="Conector de seta reta 87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 flipV="1">
          <a:off x="111588550" y="3905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0</xdr:row>
      <xdr:rowOff>127000</xdr:rowOff>
    </xdr:from>
    <xdr:to>
      <xdr:col>5</xdr:col>
      <xdr:colOff>0</xdr:colOff>
      <xdr:row>2</xdr:row>
      <xdr:rowOff>146050</xdr:rowOff>
    </xdr:to>
    <xdr:cxnSp macro="">
      <xdr:nvCxnSpPr>
        <xdr:cNvPr id="7" name="Conector de seta reta 88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V="1">
          <a:off x="112268000" y="406400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660400</xdr:colOff>
      <xdr:row>0</xdr:row>
      <xdr:rowOff>127000</xdr:rowOff>
    </xdr:from>
    <xdr:to>
      <xdr:col>5</xdr:col>
      <xdr:colOff>660400</xdr:colOff>
      <xdr:row>2</xdr:row>
      <xdr:rowOff>146050</xdr:rowOff>
    </xdr:to>
    <xdr:cxnSp macro="">
      <xdr:nvCxnSpPr>
        <xdr:cNvPr id="8" name="Conector de seta reta 89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CxnSpPr/>
      </xdr:nvCxnSpPr>
      <xdr:spPr>
        <a:xfrm flipV="1">
          <a:off x="112928400" y="406400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292100</xdr:colOff>
      <xdr:row>0</xdr:row>
      <xdr:rowOff>101600</xdr:rowOff>
    </xdr:from>
    <xdr:to>
      <xdr:col>3</xdr:col>
      <xdr:colOff>292100</xdr:colOff>
      <xdr:row>2</xdr:row>
      <xdr:rowOff>120650</xdr:rowOff>
    </xdr:to>
    <xdr:cxnSp macro="">
      <xdr:nvCxnSpPr>
        <xdr:cNvPr id="9" name="Conector de seta reta 90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CxnSpPr/>
      </xdr:nvCxnSpPr>
      <xdr:spPr>
        <a:xfrm flipV="1">
          <a:off x="110905925" y="39687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139700</xdr:colOff>
      <xdr:row>0</xdr:row>
      <xdr:rowOff>101600</xdr:rowOff>
    </xdr:from>
    <xdr:to>
      <xdr:col>4</xdr:col>
      <xdr:colOff>139700</xdr:colOff>
      <xdr:row>2</xdr:row>
      <xdr:rowOff>120650</xdr:rowOff>
    </xdr:to>
    <xdr:cxnSp macro="">
      <xdr:nvCxnSpPr>
        <xdr:cNvPr id="10" name="Conector de seta reta 92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 flipV="1">
          <a:off x="111579025" y="39687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800100</xdr:colOff>
      <xdr:row>0</xdr:row>
      <xdr:rowOff>101600</xdr:rowOff>
    </xdr:from>
    <xdr:to>
      <xdr:col>4</xdr:col>
      <xdr:colOff>800100</xdr:colOff>
      <xdr:row>2</xdr:row>
      <xdr:rowOff>120650</xdr:rowOff>
    </xdr:to>
    <xdr:cxnSp macro="">
      <xdr:nvCxnSpPr>
        <xdr:cNvPr id="11" name="Conector de seta reta 94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/>
      </xdr:nvCxnSpPr>
      <xdr:spPr>
        <a:xfrm flipV="1">
          <a:off x="112252125" y="39687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660400</xdr:colOff>
      <xdr:row>0</xdr:row>
      <xdr:rowOff>101600</xdr:rowOff>
    </xdr:from>
    <xdr:to>
      <xdr:col>5</xdr:col>
      <xdr:colOff>660400</xdr:colOff>
      <xdr:row>2</xdr:row>
      <xdr:rowOff>120650</xdr:rowOff>
    </xdr:to>
    <xdr:cxnSp macro="">
      <xdr:nvCxnSpPr>
        <xdr:cNvPr id="12" name="Conector de seta reta 105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CxnSpPr/>
      </xdr:nvCxnSpPr>
      <xdr:spPr>
        <a:xfrm flipV="1">
          <a:off x="112925225" y="39687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314325</xdr:colOff>
      <xdr:row>17</xdr:row>
      <xdr:rowOff>62865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673100" y="3276600"/>
              <a:ext cx="4987925" cy="25336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/>
            <a:p>
              <a:pPr indent="450215" algn="just">
                <a:lnSpc>
                  <a:spcPct val="200000"/>
                </a:lnSpc>
              </a:pPr>
              <a:r>
                <a:rPr lang="en-US" sz="1400" kern="12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A</a:t>
              </a:r>
              <a14:m>
                <m:oMath xmlns:m="http://schemas.openxmlformats.org/officeDocument/2006/math"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=[ </m:t>
                  </m:r>
                  <m:d>
                    <m:dPr>
                      <m:ctrlPr>
                        <a:rPr lang="en-BR" sz="1400" i="1" kern="1200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  <a:cs typeface="Times New Roman" panose="02020603050405020304" pitchFamily="18" charset="0"/>
                        </a:rPr>
                      </m:ctrlPr>
                    </m:dPr>
                    <m:e>
                      <m:r>
                        <a:rPr lang="en-US" sz="1400" i="1" kern="1200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  <a:cs typeface="Times New Roman" panose="02020603050405020304" pitchFamily="18" charset="0"/>
                        </a:rPr>
                        <m:t>𝑃</m:t>
                      </m:r>
                      <m:r>
                        <a:rPr lang="en-US" sz="1400" i="1" kern="1200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  <a:cs typeface="Times New Roman" panose="02020603050405020304" pitchFamily="18" charset="0"/>
                        </a:rPr>
                        <m:t>−</m:t>
                      </m:r>
                      <m:r>
                        <a:rPr lang="en-US" sz="1400" i="1" kern="1200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  <a:cs typeface="Times New Roman" panose="02020603050405020304" pitchFamily="18" charset="0"/>
                        </a:rPr>
                        <m:t>𝑉𝑅</m:t>
                      </m:r>
                    </m:e>
                  </m:d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∗(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𝑖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∗ (1+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𝐼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)^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𝑛</m:t>
                  </m:r>
                  <m:r>
                    <a:rPr lang="en-US" sz="1400" i="1" kern="12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m:t>] </m:t>
                  </m:r>
                </m:oMath>
              </a14:m>
              <a:r>
                <a:rPr lang="en-US" sz="14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/[(1+i) ^n]-1] + i*VR</a:t>
              </a:r>
              <a:endParaRPr lang="en-B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120EB07E-95A8-2447-AE0C-C4C73F346A81}"/>
                </a:ext>
              </a:extLst>
            </xdr:cNvPr>
            <xdr:cNvSpPr txBox="1"/>
          </xdr:nvSpPr>
          <xdr:spPr>
            <a:xfrm>
              <a:off x="673100" y="3276600"/>
              <a:ext cx="4987925" cy="25336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/>
            <a:p>
              <a:pPr indent="450215" algn="just">
                <a:lnSpc>
                  <a:spcPct val="200000"/>
                </a:lnSpc>
              </a:pPr>
              <a:r>
                <a:rPr lang="en-US" sz="1400" kern="12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A</a:t>
              </a:r>
              <a:r>
                <a:rPr lang="en-US" sz="1400" i="0" kern="12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=[ </a:t>
              </a:r>
              <a:r>
                <a:rPr lang="en-BR" sz="1400" i="0" kern="12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n-US" sz="1400" i="0" kern="12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𝑃−𝑉𝑅)∗(𝑖∗ (1+𝐼)^𝑛] </a:t>
              </a:r>
              <a:r>
                <a:rPr lang="en-US" sz="14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/[(1+i) ^n]-1] + i*VR</a:t>
              </a:r>
              <a:endParaRPr lang="en-B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141111</xdr:colOff>
      <xdr:row>13</xdr:row>
      <xdr:rowOff>159455</xdr:rowOff>
    </xdr:from>
    <xdr:to>
      <xdr:col>12</xdr:col>
      <xdr:colOff>296334</xdr:colOff>
      <xdr:row>29</xdr:row>
      <xdr:rowOff>80433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115455</xdr:colOff>
      <xdr:row>16</xdr:row>
      <xdr:rowOff>94674</xdr:rowOff>
    </xdr:from>
    <xdr:to>
      <xdr:col>18</xdr:col>
      <xdr:colOff>288636</xdr:colOff>
      <xdr:row>29</xdr:row>
      <xdr:rowOff>43874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427183</xdr:colOff>
      <xdr:row>3</xdr:row>
      <xdr:rowOff>60036</xdr:rowOff>
    </xdr:from>
    <xdr:to>
      <xdr:col>18</xdr:col>
      <xdr:colOff>600364</xdr:colOff>
      <xdr:row>17</xdr:row>
      <xdr:rowOff>9236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depreciacao/planilha%20depreciacoes%20202001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"/>
      <sheetName val="ex 2 custo do capital"/>
      <sheetName val="ex 3 dep tributária e IR"/>
      <sheetName val="ex 4 vida economica VE"/>
      <sheetName val="ex 5 vida economica"/>
      <sheetName val="estudo de caso"/>
      <sheetName val="tipos"/>
    </sheetNames>
    <sheetDataSet>
      <sheetData sheetId="0" refreshError="1"/>
      <sheetData sheetId="1" refreshError="1"/>
      <sheetData sheetId="2" refreshError="1"/>
      <sheetData sheetId="3">
        <row r="6">
          <cell r="E6">
            <v>100</v>
          </cell>
          <cell r="F6">
            <v>80</v>
          </cell>
          <cell r="G6">
            <v>70</v>
          </cell>
          <cell r="H6">
            <v>60</v>
          </cell>
          <cell r="I6">
            <v>50</v>
          </cell>
          <cell r="J6">
            <v>40</v>
          </cell>
          <cell r="K6">
            <v>30</v>
          </cell>
        </row>
        <row r="7">
          <cell r="E7">
            <v>10</v>
          </cell>
          <cell r="F7">
            <v>15</v>
          </cell>
          <cell r="G7">
            <v>18</v>
          </cell>
          <cell r="H7">
            <v>22</v>
          </cell>
          <cell r="I7">
            <v>33</v>
          </cell>
          <cell r="J7">
            <v>45</v>
          </cell>
          <cell r="K7">
            <v>50</v>
          </cell>
        </row>
      </sheetData>
      <sheetData sheetId="4">
        <row r="7">
          <cell r="C7">
            <v>8000</v>
          </cell>
          <cell r="D7">
            <v>7000</v>
          </cell>
          <cell r="E7">
            <v>6000</v>
          </cell>
          <cell r="F7">
            <v>5000</v>
          </cell>
          <cell r="G7">
            <v>4200</v>
          </cell>
          <cell r="H7">
            <v>3800</v>
          </cell>
          <cell r="I7">
            <v>3100</v>
          </cell>
        </row>
        <row r="8">
          <cell r="C8">
            <v>300</v>
          </cell>
          <cell r="D8">
            <v>500</v>
          </cell>
          <cell r="E8">
            <v>700</v>
          </cell>
          <cell r="F8">
            <v>1000</v>
          </cell>
          <cell r="G8">
            <v>1300</v>
          </cell>
          <cell r="H8">
            <v>1700</v>
          </cell>
          <cell r="I8">
            <v>2500</v>
          </cell>
        </row>
        <row r="26">
          <cell r="C26">
            <v>3371.4285714285725</v>
          </cell>
          <cell r="D26">
            <v>2859.8006644518273</v>
          </cell>
          <cell r="E26">
            <v>2729.4456443484519</v>
          </cell>
          <cell r="F26">
            <v>2700.9473266363643</v>
          </cell>
          <cell r="G26">
            <v>2682.6911380265587</v>
          </cell>
          <cell r="H26">
            <v>3047.0967085435204</v>
          </cell>
          <cell r="I26">
            <v>3089.6089753148426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zoomScale="90" zoomScaleNormal="90" workbookViewId="0">
      <selection activeCell="J6" sqref="J6"/>
    </sheetView>
  </sheetViews>
  <sheetFormatPr baseColWidth="10" defaultColWidth="8.83203125" defaultRowHeight="15"/>
  <cols>
    <col min="3" max="3" width="11.5" bestFit="1" customWidth="1"/>
    <col min="4" max="4" width="10" bestFit="1" customWidth="1"/>
    <col min="6" max="6" width="9.83203125" bestFit="1" customWidth="1"/>
    <col min="10" max="10" width="9.83203125" bestFit="1" customWidth="1"/>
    <col min="11" max="11" width="13.83203125" bestFit="1" customWidth="1"/>
  </cols>
  <sheetData>
    <row r="1" spans="1:16">
      <c r="C1" t="s">
        <v>0</v>
      </c>
      <c r="D1" t="s">
        <v>1</v>
      </c>
      <c r="E1" s="1">
        <v>0.05</v>
      </c>
      <c r="G1" t="s">
        <v>2</v>
      </c>
      <c r="H1" s="1">
        <v>0.15</v>
      </c>
    </row>
    <row r="2" spans="1:16">
      <c r="C2" s="2"/>
      <c r="D2" s="1"/>
      <c r="E2" s="1"/>
      <c r="F2" s="1"/>
    </row>
    <row r="3" spans="1:16">
      <c r="C3" s="360" t="s">
        <v>3</v>
      </c>
      <c r="D3" s="360"/>
      <c r="E3" s="360" t="s">
        <v>4</v>
      </c>
      <c r="F3" s="360"/>
    </row>
    <row r="4" spans="1:16">
      <c r="C4" s="4" t="s">
        <v>6</v>
      </c>
      <c r="D4" s="4" t="s">
        <v>5</v>
      </c>
      <c r="E4" s="4" t="s">
        <v>6</v>
      </c>
      <c r="F4" s="4"/>
      <c r="K4" t="s">
        <v>7</v>
      </c>
    </row>
    <row r="5" spans="1:16" ht="29">
      <c r="A5" s="22" t="s">
        <v>21</v>
      </c>
      <c r="C5" s="4"/>
      <c r="D5" s="8">
        <f>SUM(D6:D11)</f>
        <v>1994.4732280426947</v>
      </c>
      <c r="E5" s="9">
        <f>-(PV(H1,10,E9))/(1+$H$1)^A8</f>
        <v>280.83326934538303</v>
      </c>
      <c r="F5" s="9">
        <f>-(PV(H1,10,F10))/(1+H1)^A9</f>
        <v>162.80189527268587</v>
      </c>
      <c r="G5" s="9">
        <f>-(PV(H1,10,G11))/(1+H1)^A10</f>
        <v>123.87100727269575</v>
      </c>
      <c r="H5" s="9">
        <f>-(PV(H1,10,H12))/(1+H1)^A11</f>
        <v>107.71391936756152</v>
      </c>
      <c r="I5" s="9">
        <f>-(PV(H1,10,I13))/(1+H1)^A12</f>
        <v>107.04488881248352</v>
      </c>
      <c r="J5" s="9">
        <f>-(PV(H1,10,J14))/(1+H1)^A13</f>
        <v>151.25908201763977</v>
      </c>
      <c r="K5" s="10">
        <f>SUM(D5:J5)</f>
        <v>2927.9972901311439</v>
      </c>
      <c r="L5" s="5"/>
    </row>
    <row r="6" spans="1:16">
      <c r="A6">
        <v>0</v>
      </c>
      <c r="B6">
        <v>1200</v>
      </c>
      <c r="C6">
        <f>B6/2</f>
        <v>600</v>
      </c>
      <c r="D6" s="6">
        <f>C6</f>
        <v>600</v>
      </c>
      <c r="E6" s="6"/>
      <c r="L6" s="7">
        <f>D6+(SUM(E6:J6))</f>
        <v>600</v>
      </c>
      <c r="M6" s="7">
        <f>L6</f>
        <v>600</v>
      </c>
      <c r="N6" s="7">
        <f>M6</f>
        <v>600</v>
      </c>
    </row>
    <row r="7" spans="1:16">
      <c r="A7">
        <v>1</v>
      </c>
      <c r="B7">
        <v>800</v>
      </c>
      <c r="C7">
        <f t="shared" ref="C7:C11" si="0">B7/2</f>
        <v>400</v>
      </c>
      <c r="D7" s="6">
        <f>C7/(1+$H$1)^A7</f>
        <v>347.82608695652175</v>
      </c>
      <c r="E7" s="6"/>
      <c r="L7" s="7">
        <f t="shared" ref="L7:L23" si="1">D7+(SUM(E7:J7))</f>
        <v>347.82608695652175</v>
      </c>
      <c r="M7" s="6">
        <f>L7/(1+$H$1)^A7</f>
        <v>302.4574669187146</v>
      </c>
      <c r="N7" s="7">
        <f>N6+M7</f>
        <v>902.45746691871454</v>
      </c>
    </row>
    <row r="8" spans="1:16">
      <c r="A8">
        <v>2</v>
      </c>
      <c r="B8">
        <v>700</v>
      </c>
      <c r="C8">
        <f t="shared" si="0"/>
        <v>350</v>
      </c>
      <c r="D8" s="6">
        <f>C8/(1+$H$1)^A8</f>
        <v>264.65028355387528</v>
      </c>
      <c r="E8" s="6"/>
      <c r="L8" s="7">
        <f t="shared" si="1"/>
        <v>264.65028355387528</v>
      </c>
      <c r="M8" s="6">
        <f t="shared" ref="M8:M23" si="2">L8/(1+$H$1)^A8</f>
        <v>200.11363595756168</v>
      </c>
      <c r="N8" s="7">
        <f t="shared" ref="N8:N23" si="3">N7+M8</f>
        <v>1102.5711028762762</v>
      </c>
    </row>
    <row r="9" spans="1:16">
      <c r="A9">
        <v>3</v>
      </c>
      <c r="B9">
        <v>700</v>
      </c>
      <c r="C9">
        <f t="shared" si="0"/>
        <v>350</v>
      </c>
      <c r="D9" s="6">
        <f>C9/(1+$H$1)^A9</f>
        <v>230.13068135119593</v>
      </c>
      <c r="E9" s="3">
        <f>-PMT($E$1,10,$C$6,,1)</f>
        <v>74.002614265975225</v>
      </c>
      <c r="G9" s="3"/>
      <c r="L9" s="7">
        <f t="shared" si="1"/>
        <v>304.13329561717114</v>
      </c>
      <c r="M9" s="6">
        <f t="shared" si="2"/>
        <v>199.97257869132653</v>
      </c>
      <c r="N9" s="7">
        <f t="shared" si="3"/>
        <v>1302.5436815676028</v>
      </c>
    </row>
    <row r="10" spans="1:16">
      <c r="A10">
        <v>4</v>
      </c>
      <c r="B10">
        <v>800</v>
      </c>
      <c r="C10">
        <f t="shared" si="0"/>
        <v>400</v>
      </c>
      <c r="D10" s="6">
        <f>C10/(1+$H$1)^A10</f>
        <v>228.70129823721334</v>
      </c>
      <c r="E10" s="3">
        <f t="shared" ref="E10:E18" si="4">-PMT($E$1,10,$C$6,,1)</f>
        <v>74.002614265975225</v>
      </c>
      <c r="F10" s="3">
        <f>-PMT($E$1,10,$C$7,,1)</f>
        <v>49.335076177316822</v>
      </c>
      <c r="L10" s="7">
        <f t="shared" si="1"/>
        <v>352.03898868050538</v>
      </c>
      <c r="M10" s="6">
        <f t="shared" si="2"/>
        <v>201.27943435336809</v>
      </c>
      <c r="N10" s="7">
        <f t="shared" si="3"/>
        <v>1503.8231159209708</v>
      </c>
    </row>
    <row r="11" spans="1:16">
      <c r="A11">
        <v>5</v>
      </c>
      <c r="B11">
        <v>1300</v>
      </c>
      <c r="C11">
        <f t="shared" si="0"/>
        <v>650</v>
      </c>
      <c r="D11" s="6">
        <f>C11/(1+$H$1)^A11</f>
        <v>323.16487794388843</v>
      </c>
      <c r="E11" s="3">
        <f t="shared" si="4"/>
        <v>74.002614265975225</v>
      </c>
      <c r="F11" s="3">
        <f t="shared" ref="F11:F19" si="5">-PMT($E$1,10,$C$7,,1)</f>
        <v>49.335076177316822</v>
      </c>
      <c r="G11" s="3">
        <f>-PMT($E$1,10,$C$8,,1)</f>
        <v>43.168191655152214</v>
      </c>
      <c r="J11" s="3"/>
      <c r="L11" s="7">
        <f t="shared" si="1"/>
        <v>489.67076004233269</v>
      </c>
      <c r="M11" s="6">
        <f t="shared" si="2"/>
        <v>243.45290984887927</v>
      </c>
      <c r="N11" s="7">
        <f t="shared" si="3"/>
        <v>1747.2760257698501</v>
      </c>
    </row>
    <row r="12" spans="1:16">
      <c r="A12">
        <v>6</v>
      </c>
      <c r="E12" s="3">
        <f t="shared" si="4"/>
        <v>74.002614265975225</v>
      </c>
      <c r="F12" s="3">
        <f t="shared" si="5"/>
        <v>49.335076177316822</v>
      </c>
      <c r="G12" s="3">
        <f t="shared" ref="G12:G20" si="6">-PMT($E$1,10,$C$8,,1)</f>
        <v>43.168191655152214</v>
      </c>
      <c r="H12" s="3">
        <f>-PMT($E$1,10,$C$9,,1)</f>
        <v>43.168191655152214</v>
      </c>
      <c r="L12" s="7">
        <f t="shared" si="1"/>
        <v>209.67407375359647</v>
      </c>
      <c r="M12" s="6">
        <f t="shared" si="2"/>
        <v>90.647888230874742</v>
      </c>
      <c r="N12" s="7">
        <f t="shared" si="3"/>
        <v>1837.9239140007248</v>
      </c>
    </row>
    <row r="13" spans="1:16">
      <c r="A13">
        <v>7</v>
      </c>
      <c r="E13" s="3">
        <f t="shared" si="4"/>
        <v>74.002614265975225</v>
      </c>
      <c r="F13" s="3">
        <f t="shared" si="5"/>
        <v>49.335076177316822</v>
      </c>
      <c r="G13" s="3">
        <f t="shared" si="6"/>
        <v>43.168191655152214</v>
      </c>
      <c r="H13" s="3">
        <f t="shared" ref="H13:H21" si="7">-PMT($E$1,10,$C$9,,1)</f>
        <v>43.168191655152214</v>
      </c>
      <c r="I13" s="3">
        <f>-PMT($E$1,10,$C$10,,1)</f>
        <v>49.335076177316822</v>
      </c>
      <c r="L13" s="7">
        <f t="shared" si="1"/>
        <v>259.00914993091328</v>
      </c>
      <c r="M13" s="6">
        <f t="shared" si="2"/>
        <v>97.371133138024035</v>
      </c>
      <c r="N13" s="7">
        <f t="shared" si="3"/>
        <v>1935.2950471387489</v>
      </c>
      <c r="P13" s="3"/>
    </row>
    <row r="14" spans="1:16">
      <c r="A14">
        <v>8</v>
      </c>
      <c r="E14" s="3">
        <f t="shared" si="4"/>
        <v>74.002614265975225</v>
      </c>
      <c r="F14" s="3">
        <f t="shared" si="5"/>
        <v>49.335076177316822</v>
      </c>
      <c r="G14" s="3">
        <f t="shared" si="6"/>
        <v>43.168191655152214</v>
      </c>
      <c r="H14" s="3">
        <f t="shared" si="7"/>
        <v>43.168191655152214</v>
      </c>
      <c r="I14" s="3">
        <f t="shared" ref="I14:I22" si="8">-PMT($E$1,10,$C$10,,1)</f>
        <v>49.335076177316822</v>
      </c>
      <c r="J14" s="3">
        <f>-PMT($E$1,10,$C$11,,1)</f>
        <v>80.169498788139833</v>
      </c>
      <c r="L14" s="7">
        <f t="shared" si="1"/>
        <v>339.17864871905311</v>
      </c>
      <c r="M14" s="6">
        <f t="shared" si="2"/>
        <v>110.87810191700461</v>
      </c>
      <c r="N14" s="7">
        <f t="shared" si="3"/>
        <v>2046.1731490557536</v>
      </c>
      <c r="O14" s="3"/>
      <c r="P14" s="3"/>
    </row>
    <row r="15" spans="1:16">
      <c r="A15">
        <v>9</v>
      </c>
      <c r="E15" s="3">
        <f t="shared" si="4"/>
        <v>74.002614265975225</v>
      </c>
      <c r="F15" s="3">
        <f>-PMT($E$1,10,$C$7,,1)</f>
        <v>49.335076177316822</v>
      </c>
      <c r="G15" s="3">
        <f t="shared" si="6"/>
        <v>43.168191655152214</v>
      </c>
      <c r="H15" s="3">
        <f t="shared" si="7"/>
        <v>43.168191655152214</v>
      </c>
      <c r="I15" s="3">
        <f t="shared" si="8"/>
        <v>49.335076177316822</v>
      </c>
      <c r="J15" s="3">
        <f t="shared" ref="J15:J23" si="9">-PMT($E$1,10,$C$11,,1)</f>
        <v>80.169498788139833</v>
      </c>
      <c r="L15" s="7">
        <f t="shared" si="1"/>
        <v>339.17864871905311</v>
      </c>
      <c r="M15" s="6">
        <f t="shared" si="2"/>
        <v>96.415740797395316</v>
      </c>
      <c r="N15" s="7">
        <f t="shared" si="3"/>
        <v>2142.5888898531489</v>
      </c>
      <c r="O15" s="3"/>
      <c r="P15" s="3"/>
    </row>
    <row r="16" spans="1:16">
      <c r="A16">
        <v>10</v>
      </c>
      <c r="D16" s="7"/>
      <c r="E16" s="3">
        <f t="shared" si="4"/>
        <v>74.002614265975225</v>
      </c>
      <c r="F16" s="3">
        <f t="shared" si="5"/>
        <v>49.335076177316822</v>
      </c>
      <c r="G16" s="3">
        <f t="shared" si="6"/>
        <v>43.168191655152214</v>
      </c>
      <c r="H16" s="3">
        <f t="shared" si="7"/>
        <v>43.168191655152214</v>
      </c>
      <c r="I16" s="3">
        <f t="shared" si="8"/>
        <v>49.335076177316822</v>
      </c>
      <c r="J16" s="3">
        <f t="shared" si="9"/>
        <v>80.169498788139833</v>
      </c>
      <c r="L16" s="7">
        <f t="shared" si="1"/>
        <v>339.17864871905311</v>
      </c>
      <c r="M16" s="6">
        <f t="shared" si="2"/>
        <v>83.839774606430723</v>
      </c>
      <c r="N16" s="7">
        <f t="shared" si="3"/>
        <v>2226.4286644595795</v>
      </c>
      <c r="O16" s="3"/>
      <c r="P16" s="3"/>
    </row>
    <row r="17" spans="1:16">
      <c r="A17">
        <v>11</v>
      </c>
      <c r="E17" s="3">
        <f t="shared" si="4"/>
        <v>74.002614265975225</v>
      </c>
      <c r="F17" s="3">
        <f t="shared" si="5"/>
        <v>49.335076177316822</v>
      </c>
      <c r="G17" s="3">
        <f t="shared" si="6"/>
        <v>43.168191655152214</v>
      </c>
      <c r="H17" s="3">
        <f t="shared" si="7"/>
        <v>43.168191655152214</v>
      </c>
      <c r="I17" s="3">
        <f t="shared" si="8"/>
        <v>49.335076177316822</v>
      </c>
      <c r="J17" s="3">
        <f t="shared" si="9"/>
        <v>80.169498788139833</v>
      </c>
      <c r="L17" s="7">
        <f t="shared" si="1"/>
        <v>339.17864871905311</v>
      </c>
      <c r="M17" s="6">
        <f t="shared" si="2"/>
        <v>72.904151831678888</v>
      </c>
      <c r="N17" s="7">
        <f t="shared" si="3"/>
        <v>2299.3328162912585</v>
      </c>
      <c r="O17" s="3"/>
      <c r="P17" s="3"/>
    </row>
    <row r="18" spans="1:16">
      <c r="A18">
        <v>12</v>
      </c>
      <c r="E18" s="3">
        <f t="shared" si="4"/>
        <v>74.002614265975225</v>
      </c>
      <c r="F18" s="3">
        <f t="shared" si="5"/>
        <v>49.335076177316822</v>
      </c>
      <c r="G18" s="3">
        <f t="shared" si="6"/>
        <v>43.168191655152214</v>
      </c>
      <c r="H18" s="3">
        <f t="shared" si="7"/>
        <v>43.168191655152214</v>
      </c>
      <c r="I18" s="3">
        <f t="shared" si="8"/>
        <v>49.335076177316822</v>
      </c>
      <c r="J18" s="3">
        <f t="shared" si="9"/>
        <v>80.169498788139833</v>
      </c>
      <c r="L18" s="7">
        <f t="shared" si="1"/>
        <v>339.17864871905311</v>
      </c>
      <c r="M18" s="6">
        <f t="shared" si="2"/>
        <v>63.394914636242525</v>
      </c>
      <c r="N18" s="7">
        <f t="shared" si="3"/>
        <v>2362.7277309275009</v>
      </c>
      <c r="O18" s="3"/>
      <c r="P18" s="3"/>
    </row>
    <row r="19" spans="1:16">
      <c r="A19">
        <v>13</v>
      </c>
      <c r="E19" s="3"/>
      <c r="F19" s="3">
        <f t="shared" si="5"/>
        <v>49.335076177316822</v>
      </c>
      <c r="G19" s="3">
        <f t="shared" si="6"/>
        <v>43.168191655152214</v>
      </c>
      <c r="H19" s="3">
        <f t="shared" si="7"/>
        <v>43.168191655152214</v>
      </c>
      <c r="I19" s="3">
        <f t="shared" si="8"/>
        <v>49.335076177316822</v>
      </c>
      <c r="J19" s="3">
        <f t="shared" si="9"/>
        <v>80.169498788139833</v>
      </c>
      <c r="L19" s="7">
        <f t="shared" si="1"/>
        <v>265.17603445307788</v>
      </c>
      <c r="M19" s="6">
        <f t="shared" si="2"/>
        <v>43.098519041239975</v>
      </c>
      <c r="N19" s="7">
        <f t="shared" si="3"/>
        <v>2405.8262499687407</v>
      </c>
      <c r="O19" s="3"/>
      <c r="P19" s="3"/>
    </row>
    <row r="20" spans="1:16">
      <c r="A20" t="s">
        <v>23</v>
      </c>
      <c r="F20" s="3"/>
      <c r="G20" s="3">
        <f t="shared" si="6"/>
        <v>43.168191655152214</v>
      </c>
      <c r="H20" s="3">
        <f t="shared" si="7"/>
        <v>43.168191655152214</v>
      </c>
      <c r="I20" s="3">
        <f t="shared" si="8"/>
        <v>49.335076177316822</v>
      </c>
      <c r="J20" s="3">
        <f t="shared" si="9"/>
        <v>80.169498788139833</v>
      </c>
      <c r="L20" s="7">
        <f t="shared" si="1"/>
        <v>215.84095827576107</v>
      </c>
      <c r="M20" s="6" t="e">
        <f t="shared" si="2"/>
        <v>#VALUE!</v>
      </c>
      <c r="N20" s="7" t="e">
        <f t="shared" si="3"/>
        <v>#VALUE!</v>
      </c>
      <c r="O20" s="3"/>
      <c r="P20" s="3"/>
    </row>
    <row r="21" spans="1:16">
      <c r="A21">
        <v>15</v>
      </c>
      <c r="G21" s="3"/>
      <c r="H21" s="3">
        <f t="shared" si="7"/>
        <v>43.168191655152214</v>
      </c>
      <c r="I21" s="3">
        <f t="shared" si="8"/>
        <v>49.335076177316822</v>
      </c>
      <c r="J21" s="3">
        <f t="shared" si="9"/>
        <v>80.169498788139833</v>
      </c>
      <c r="L21" s="7">
        <f t="shared" si="1"/>
        <v>172.67276662060885</v>
      </c>
      <c r="M21" s="6">
        <f t="shared" si="2"/>
        <v>21.220530762820935</v>
      </c>
      <c r="N21" s="7" t="e">
        <f t="shared" si="3"/>
        <v>#VALUE!</v>
      </c>
      <c r="O21" s="3"/>
      <c r="P21" s="3"/>
    </row>
    <row r="22" spans="1:16">
      <c r="A22">
        <v>16</v>
      </c>
      <c r="I22" s="3">
        <f t="shared" si="8"/>
        <v>49.335076177316822</v>
      </c>
      <c r="J22" s="3">
        <f t="shared" si="9"/>
        <v>80.169498788139833</v>
      </c>
      <c r="L22" s="7">
        <f t="shared" si="1"/>
        <v>129.50457496545664</v>
      </c>
      <c r="M22" s="6">
        <f t="shared" si="2"/>
        <v>13.839476584448439</v>
      </c>
      <c r="N22" s="7" t="e">
        <f t="shared" si="3"/>
        <v>#VALUE!</v>
      </c>
      <c r="O22" s="3"/>
      <c r="P22" s="3"/>
    </row>
    <row r="23" spans="1:16">
      <c r="A23">
        <v>17</v>
      </c>
      <c r="J23" s="3">
        <f t="shared" si="9"/>
        <v>80.169498788139833</v>
      </c>
      <c r="L23" s="7">
        <f t="shared" si="1"/>
        <v>80.169498788139833</v>
      </c>
      <c r="M23" s="6">
        <f t="shared" si="2"/>
        <v>7.4498217638852893</v>
      </c>
      <c r="N23" s="7" t="e">
        <f t="shared" si="3"/>
        <v>#VALUE!</v>
      </c>
      <c r="O23" s="3"/>
      <c r="P23" s="3"/>
    </row>
    <row r="24" spans="1:16">
      <c r="A24">
        <v>18</v>
      </c>
    </row>
    <row r="25" spans="1:16">
      <c r="A25">
        <v>19</v>
      </c>
    </row>
    <row r="26" spans="1:16">
      <c r="A26">
        <v>20</v>
      </c>
    </row>
  </sheetData>
  <mergeCells count="2">
    <mergeCell ref="C3:D3"/>
    <mergeCell ref="E3:F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475E-2DB0-1F43-8372-023138A40B07}">
  <dimension ref="A1:L39"/>
  <sheetViews>
    <sheetView workbookViewId="0">
      <selection activeCell="D17" sqref="D17"/>
    </sheetView>
  </sheetViews>
  <sheetFormatPr baseColWidth="10" defaultColWidth="8.83203125" defaultRowHeight="15"/>
  <cols>
    <col min="1" max="1" width="5.6640625" customWidth="1"/>
    <col min="4" max="4" width="12.5" bestFit="1" customWidth="1"/>
    <col min="5" max="5" width="10.33203125" bestFit="1" customWidth="1"/>
    <col min="6" max="6" width="14.5" customWidth="1"/>
    <col min="7" max="7" width="17.1640625" customWidth="1"/>
    <col min="8" max="8" width="14.33203125" customWidth="1"/>
    <col min="9" max="9" width="13.1640625" customWidth="1"/>
  </cols>
  <sheetData>
    <row r="1" spans="1:12">
      <c r="A1" s="73"/>
      <c r="B1" s="72" t="s">
        <v>121</v>
      </c>
      <c r="C1" s="107"/>
      <c r="D1" s="73">
        <v>10000</v>
      </c>
      <c r="E1" s="73"/>
      <c r="F1" s="73"/>
      <c r="G1" s="108" t="s">
        <v>122</v>
      </c>
      <c r="H1" s="109">
        <f>-PMT(D3,H2,D4)</f>
        <v>19898.683405595079</v>
      </c>
      <c r="I1" s="73"/>
      <c r="J1" s="73"/>
      <c r="K1" s="73"/>
    </row>
    <row r="2" spans="1:12">
      <c r="A2" s="73"/>
      <c r="B2" s="72" t="s">
        <v>123</v>
      </c>
      <c r="C2" s="73"/>
      <c r="D2" s="73">
        <v>4</v>
      </c>
      <c r="E2" s="73"/>
      <c r="F2" s="73"/>
      <c r="G2" s="73" t="s">
        <v>123</v>
      </c>
      <c r="H2" s="73">
        <v>3</v>
      </c>
      <c r="I2" s="73"/>
      <c r="J2" s="73"/>
      <c r="K2" s="73"/>
      <c r="L2" s="73"/>
    </row>
    <row r="3" spans="1:12">
      <c r="A3" s="73"/>
      <c r="B3" s="72" t="s">
        <v>124</v>
      </c>
      <c r="C3" s="73"/>
      <c r="D3" s="110">
        <v>0.12</v>
      </c>
      <c r="E3" s="111"/>
      <c r="F3" s="73"/>
      <c r="G3" s="73"/>
      <c r="H3" s="112"/>
      <c r="I3" s="73"/>
      <c r="J3" s="113"/>
      <c r="K3" s="73"/>
      <c r="L3" s="73"/>
    </row>
    <row r="4" spans="1:12">
      <c r="B4" s="72" t="s">
        <v>125</v>
      </c>
      <c r="C4" s="73"/>
      <c r="D4" s="114">
        <f>-FV(D3,D2,D1)</f>
        <v>47793.280000000028</v>
      </c>
      <c r="E4" s="73"/>
      <c r="F4" s="73"/>
      <c r="G4" s="73"/>
      <c r="H4" s="72"/>
      <c r="I4" s="73"/>
      <c r="J4" s="73"/>
      <c r="K4" s="73"/>
      <c r="L4" s="73"/>
    </row>
    <row r="6" spans="1:12">
      <c r="A6" s="73"/>
      <c r="B6" s="73"/>
      <c r="C6" s="73"/>
      <c r="D6" s="73"/>
      <c r="E6" s="73"/>
      <c r="F6" s="73"/>
      <c r="G6" s="73"/>
      <c r="H6" s="115"/>
      <c r="I6" s="73"/>
      <c r="J6" s="73"/>
      <c r="K6" s="73"/>
    </row>
    <row r="7" spans="1:12">
      <c r="A7" s="73"/>
      <c r="B7" s="73"/>
      <c r="C7" s="73"/>
      <c r="D7" s="73"/>
      <c r="E7" s="73"/>
      <c r="F7" s="116"/>
      <c r="G7" s="73"/>
      <c r="H7" s="117"/>
      <c r="I7" s="115"/>
      <c r="J7" s="73"/>
      <c r="K7" s="73"/>
      <c r="L7" s="73"/>
    </row>
    <row r="8" spans="1:12">
      <c r="A8" s="73"/>
      <c r="B8" s="73"/>
      <c r="C8" s="73"/>
      <c r="D8" s="73"/>
      <c r="E8" s="73"/>
      <c r="F8" s="116"/>
      <c r="G8" s="73"/>
      <c r="H8" s="73"/>
      <c r="I8" s="117"/>
      <c r="J8" s="73"/>
      <c r="K8" s="73"/>
      <c r="L8" s="73"/>
    </row>
    <row r="9" spans="1:12">
      <c r="A9" s="73"/>
      <c r="B9" s="73"/>
      <c r="C9" s="73"/>
      <c r="D9" s="73"/>
      <c r="E9" s="73"/>
      <c r="F9" s="116"/>
      <c r="G9" s="73"/>
      <c r="H9" s="73"/>
      <c r="I9" s="73"/>
      <c r="J9" s="73"/>
      <c r="K9" s="73"/>
      <c r="L9" s="73"/>
    </row>
    <row r="10" spans="1:12">
      <c r="A10" s="73"/>
      <c r="B10" s="73"/>
      <c r="C10" s="73"/>
      <c r="D10" s="73"/>
      <c r="E10" s="73"/>
      <c r="F10" s="116"/>
      <c r="G10" s="73"/>
      <c r="H10" s="73"/>
      <c r="I10" s="73"/>
      <c r="J10" s="73"/>
      <c r="K10" s="73"/>
      <c r="L10" s="73"/>
    </row>
    <row r="11" spans="1:12">
      <c r="A11" s="73"/>
      <c r="B11" s="73"/>
      <c r="C11" s="73"/>
      <c r="D11" s="73"/>
      <c r="E11" s="73"/>
      <c r="F11" s="116"/>
      <c r="G11" s="73"/>
      <c r="H11" s="73"/>
      <c r="I11" s="73"/>
      <c r="J11" s="73"/>
      <c r="K11" s="73"/>
      <c r="L11" s="73"/>
    </row>
    <row r="12" spans="1:12">
      <c r="A12" s="73"/>
      <c r="B12" s="73"/>
      <c r="C12" s="73"/>
      <c r="D12" s="73"/>
      <c r="E12" s="73"/>
      <c r="F12" s="116"/>
      <c r="G12" s="73"/>
      <c r="H12" s="73"/>
      <c r="I12" s="73"/>
      <c r="J12" s="73"/>
      <c r="K12" s="73"/>
      <c r="L12" s="73"/>
    </row>
    <row r="13" spans="1:12">
      <c r="A13" s="73"/>
      <c r="B13" s="73"/>
      <c r="C13" s="73"/>
      <c r="D13" s="73"/>
      <c r="E13" s="73"/>
      <c r="F13" s="116"/>
      <c r="G13" s="73"/>
      <c r="H13" s="73"/>
      <c r="I13" s="73"/>
      <c r="J13" s="73"/>
      <c r="K13" s="73"/>
      <c r="L13" s="73"/>
    </row>
    <row r="14" spans="1:12">
      <c r="A14" s="73"/>
      <c r="B14" s="73"/>
      <c r="C14" s="73"/>
      <c r="D14" s="73"/>
      <c r="E14" s="73"/>
      <c r="F14" s="116"/>
      <c r="G14" s="116"/>
      <c r="H14" s="73"/>
      <c r="I14" s="73"/>
      <c r="J14" s="73"/>
      <c r="K14" s="73"/>
      <c r="L14" s="73"/>
    </row>
    <row r="15" spans="1:12">
      <c r="A15" s="73"/>
      <c r="B15" s="73"/>
      <c r="C15" s="73"/>
      <c r="D15" s="73"/>
      <c r="E15" s="73"/>
      <c r="F15" s="116"/>
      <c r="G15" s="116"/>
    </row>
    <row r="16" spans="1:12">
      <c r="A16" s="73"/>
      <c r="B16" s="73"/>
      <c r="C16" s="73"/>
      <c r="D16" s="73"/>
      <c r="E16" s="73"/>
      <c r="F16" s="116"/>
      <c r="G16" s="116"/>
    </row>
    <row r="17" spans="1:10">
      <c r="A17" s="73"/>
      <c r="B17" s="73"/>
      <c r="C17" s="73"/>
      <c r="D17" s="73"/>
      <c r="E17" s="73"/>
      <c r="F17" s="116"/>
      <c r="G17" s="116"/>
    </row>
    <row r="18" spans="1:10">
      <c r="A18" s="73"/>
      <c r="B18" s="73"/>
      <c r="C18" s="116"/>
      <c r="D18" s="73"/>
      <c r="E18" s="73"/>
      <c r="F18" s="116"/>
      <c r="G18" s="116"/>
    </row>
    <row r="19" spans="1:10">
      <c r="A19" s="73"/>
      <c r="B19" s="73"/>
      <c r="C19" s="73"/>
      <c r="D19" s="73"/>
      <c r="E19" s="73"/>
      <c r="F19" s="116"/>
      <c r="G19" s="116"/>
    </row>
    <row r="20" spans="1:10">
      <c r="A20" s="73"/>
      <c r="B20" s="73"/>
      <c r="C20" s="73"/>
      <c r="D20" s="73"/>
      <c r="E20" s="73"/>
      <c r="F20" s="116"/>
      <c r="G20" s="116"/>
    </row>
    <row r="21" spans="1:10">
      <c r="A21" s="73"/>
      <c r="B21" s="73"/>
      <c r="C21" s="73"/>
      <c r="D21" s="73"/>
      <c r="E21" s="73"/>
      <c r="F21" s="116"/>
      <c r="G21" s="116"/>
    </row>
    <row r="22" spans="1:10">
      <c r="A22" s="73"/>
      <c r="B22" s="73"/>
      <c r="C22" s="73"/>
      <c r="D22" s="73"/>
      <c r="E22" s="73"/>
      <c r="F22" s="116"/>
      <c r="G22" s="116"/>
    </row>
    <row r="23" spans="1:10">
      <c r="A23" s="73"/>
      <c r="B23" s="73"/>
      <c r="C23" s="73"/>
      <c r="D23" s="73"/>
      <c r="E23" s="73"/>
      <c r="F23" s="116"/>
      <c r="G23" s="116"/>
    </row>
    <row r="24" spans="1:10">
      <c r="A24" s="73"/>
      <c r="B24" s="73"/>
      <c r="C24" s="73"/>
      <c r="D24" s="73"/>
      <c r="E24" s="73"/>
      <c r="F24" s="116"/>
      <c r="G24" s="116"/>
    </row>
    <row r="25" spans="1:10">
      <c r="A25" s="73"/>
      <c r="B25" s="73"/>
      <c r="C25" s="73"/>
      <c r="D25" s="73"/>
      <c r="E25" s="73"/>
      <c r="F25" s="116"/>
      <c r="G25" s="116"/>
    </row>
    <row r="26" spans="1:10">
      <c r="A26" s="73"/>
      <c r="B26" s="73"/>
      <c r="C26" s="73"/>
      <c r="D26" s="73"/>
      <c r="E26" s="73"/>
      <c r="F26" s="116"/>
      <c r="G26" s="116"/>
    </row>
    <row r="27" spans="1:10">
      <c r="A27" s="73"/>
      <c r="B27" s="73"/>
      <c r="C27" s="73"/>
      <c r="D27" s="73"/>
      <c r="E27" s="73"/>
      <c r="F27" s="116"/>
      <c r="G27" s="116"/>
    </row>
    <row r="28" spans="1:10">
      <c r="A28" s="73"/>
      <c r="B28" s="73"/>
      <c r="C28" s="73"/>
      <c r="D28" s="73"/>
      <c r="E28" s="73"/>
      <c r="F28" s="116"/>
      <c r="G28" s="116"/>
    </row>
    <row r="29" spans="1:10">
      <c r="A29" s="73"/>
      <c r="B29" s="73"/>
      <c r="C29" s="73"/>
      <c r="D29" s="73"/>
      <c r="E29" s="73"/>
      <c r="F29" s="116"/>
      <c r="G29" s="116"/>
    </row>
    <row r="30" spans="1:10">
      <c r="B30" s="73"/>
      <c r="C30" s="73"/>
      <c r="D30" s="73"/>
      <c r="E30" s="73"/>
      <c r="F30" s="116"/>
      <c r="G30" s="73"/>
      <c r="H30" s="73"/>
      <c r="I30" s="73"/>
    </row>
    <row r="31" spans="1:10">
      <c r="E31" s="73"/>
      <c r="F31" s="116"/>
      <c r="G31" s="73"/>
      <c r="H31" s="73"/>
      <c r="I31" s="73"/>
      <c r="J31" s="73"/>
    </row>
    <row r="32" spans="1:10">
      <c r="E32" s="73"/>
      <c r="F32" s="116"/>
      <c r="G32" s="73"/>
      <c r="H32" s="73"/>
      <c r="I32" s="73"/>
      <c r="J32" s="73"/>
    </row>
    <row r="33" spans="5:10">
      <c r="E33" s="73"/>
      <c r="F33" s="116"/>
      <c r="G33" s="73"/>
      <c r="H33" s="73"/>
      <c r="I33" s="73"/>
      <c r="J33" s="73"/>
    </row>
    <row r="34" spans="5:10">
      <c r="E34" s="73"/>
      <c r="F34" s="116"/>
      <c r="G34" s="73"/>
      <c r="H34" s="73"/>
      <c r="I34" s="73"/>
      <c r="J34" s="73"/>
    </row>
    <row r="35" spans="5:10">
      <c r="E35" s="73"/>
      <c r="F35" s="116"/>
      <c r="G35" s="73"/>
      <c r="H35" s="73"/>
      <c r="I35" s="73"/>
      <c r="J35" s="73"/>
    </row>
    <row r="36" spans="5:10">
      <c r="E36" s="73"/>
      <c r="F36" s="116"/>
      <c r="G36" s="116"/>
      <c r="H36" s="73"/>
      <c r="I36" s="73"/>
      <c r="J36" s="73"/>
    </row>
    <row r="37" spans="5:10">
      <c r="E37" s="73"/>
      <c r="F37" s="73"/>
      <c r="G37" s="73"/>
      <c r="H37" s="116"/>
      <c r="I37" s="73"/>
      <c r="J37" s="73"/>
    </row>
    <row r="38" spans="5:10">
      <c r="E38" s="73"/>
      <c r="F38" s="73"/>
      <c r="G38" s="73"/>
      <c r="H38" s="73"/>
      <c r="I38" s="73"/>
      <c r="J38" s="73"/>
    </row>
    <row r="39" spans="5:10">
      <c r="F39" s="73"/>
      <c r="G39" s="73"/>
      <c r="H39" s="73"/>
      <c r="I39" s="73"/>
      <c r="J39" s="7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6822-8143-4F44-AA83-BF94BD2F911B}">
  <dimension ref="B4:H18"/>
  <sheetViews>
    <sheetView workbookViewId="0">
      <selection activeCell="C19" sqref="C19"/>
    </sheetView>
  </sheetViews>
  <sheetFormatPr baseColWidth="10" defaultRowHeight="15"/>
  <sheetData>
    <row r="4" spans="2:8" ht="16" thickBot="1"/>
    <row r="5" spans="2:8" ht="52" thickBot="1">
      <c r="B5" s="118" t="s">
        <v>126</v>
      </c>
      <c r="C5" s="119" t="s">
        <v>127</v>
      </c>
      <c r="D5" s="119" t="s">
        <v>128</v>
      </c>
      <c r="E5" s="119" t="s">
        <v>129</v>
      </c>
      <c r="F5" s="119" t="s">
        <v>130</v>
      </c>
      <c r="G5" s="119" t="s">
        <v>131</v>
      </c>
      <c r="H5" s="119" t="s">
        <v>132</v>
      </c>
    </row>
    <row r="6" spans="2:8" ht="17" thickBot="1">
      <c r="B6" s="120">
        <v>0</v>
      </c>
      <c r="C6" s="122">
        <v>-100000</v>
      </c>
      <c r="D6" s="124"/>
      <c r="E6" s="124"/>
      <c r="F6" s="124"/>
      <c r="G6" s="124"/>
      <c r="H6" s="122">
        <v>-100000</v>
      </c>
    </row>
    <row r="7" spans="2:8" ht="17" thickBot="1">
      <c r="B7" s="120">
        <v>1</v>
      </c>
      <c r="C7" s="124"/>
      <c r="D7" s="122">
        <v>45000</v>
      </c>
      <c r="E7" s="122">
        <v>20000</v>
      </c>
      <c r="F7" s="122">
        <v>25000</v>
      </c>
      <c r="G7" s="122">
        <v>7500</v>
      </c>
      <c r="H7" s="122">
        <v>37500</v>
      </c>
    </row>
    <row r="8" spans="2:8" ht="17" thickBot="1">
      <c r="B8" s="120">
        <v>2</v>
      </c>
      <c r="C8" s="124"/>
      <c r="D8" s="122">
        <v>45000</v>
      </c>
      <c r="E8" s="122">
        <v>20000</v>
      </c>
      <c r="F8" s="122">
        <v>25000</v>
      </c>
      <c r="G8" s="122">
        <v>7500</v>
      </c>
      <c r="H8" s="122">
        <v>37500</v>
      </c>
    </row>
    <row r="9" spans="2:8" ht="17" thickBot="1">
      <c r="B9" s="120">
        <v>3</v>
      </c>
      <c r="C9" s="124"/>
      <c r="D9" s="122">
        <v>45000</v>
      </c>
      <c r="E9" s="122">
        <v>20000</v>
      </c>
      <c r="F9" s="122">
        <v>25000</v>
      </c>
      <c r="G9" s="122">
        <v>7500</v>
      </c>
      <c r="H9" s="122">
        <v>37500</v>
      </c>
    </row>
    <row r="10" spans="2:8" ht="17" thickBot="1">
      <c r="B10" s="120">
        <v>4</v>
      </c>
      <c r="C10" s="124"/>
      <c r="D10" s="122">
        <v>45000</v>
      </c>
      <c r="E10" s="122">
        <v>20000</v>
      </c>
      <c r="F10" s="122">
        <v>25000</v>
      </c>
      <c r="G10" s="122">
        <v>7500</v>
      </c>
      <c r="H10" s="122">
        <v>37500</v>
      </c>
    </row>
    <row r="11" spans="2:8" ht="17" thickBot="1">
      <c r="B11" s="120">
        <v>5</v>
      </c>
      <c r="C11" s="124"/>
      <c r="D11" s="122">
        <v>45000</v>
      </c>
      <c r="E11" s="122">
        <v>20000</v>
      </c>
      <c r="F11" s="122">
        <v>25000</v>
      </c>
      <c r="G11" s="122">
        <v>7500</v>
      </c>
      <c r="H11" s="122">
        <v>37500</v>
      </c>
    </row>
    <row r="12" spans="2:8" ht="17" thickBot="1">
      <c r="B12" s="120">
        <v>6</v>
      </c>
      <c r="C12" s="124"/>
      <c r="D12" s="122">
        <v>45000</v>
      </c>
      <c r="E12" s="124"/>
      <c r="F12" s="122">
        <v>45000</v>
      </c>
      <c r="G12" s="122">
        <v>13500</v>
      </c>
      <c r="H12" s="122">
        <v>31500</v>
      </c>
    </row>
    <row r="13" spans="2:8" ht="17" thickBot="1">
      <c r="B13" s="120">
        <v>7</v>
      </c>
      <c r="C13" s="124"/>
      <c r="D13" s="122">
        <v>45000</v>
      </c>
      <c r="E13" s="124"/>
      <c r="F13" s="122">
        <v>45000</v>
      </c>
      <c r="G13" s="122">
        <v>13500</v>
      </c>
      <c r="H13" s="122">
        <v>31500</v>
      </c>
    </row>
    <row r="14" spans="2:8" ht="17" thickBot="1">
      <c r="B14" s="120">
        <v>8</v>
      </c>
      <c r="C14" s="124"/>
      <c r="D14" s="122">
        <v>85000</v>
      </c>
      <c r="E14" s="124"/>
      <c r="F14" s="122">
        <v>85000</v>
      </c>
      <c r="G14" s="122">
        <v>25500</v>
      </c>
      <c r="H14" s="122">
        <v>59500</v>
      </c>
    </row>
    <row r="18" spans="5:5">
      <c r="E18" s="1">
        <f>IRR(H6:H14)</f>
        <v>0.33996011665098003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C0E5-5CC1-7A44-BB1B-E00BE4E548A5}">
  <dimension ref="A1:J20"/>
  <sheetViews>
    <sheetView workbookViewId="0">
      <selection activeCell="F8" sqref="F8"/>
    </sheetView>
  </sheetViews>
  <sheetFormatPr baseColWidth="10" defaultRowHeight="15"/>
  <sheetData>
    <row r="1" spans="1:10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>
      <c r="A2" s="85"/>
      <c r="B2" s="91" t="s">
        <v>30</v>
      </c>
      <c r="C2" s="126">
        <v>0.25</v>
      </c>
      <c r="D2" s="89" t="s">
        <v>133</v>
      </c>
      <c r="E2" s="89"/>
      <c r="F2" s="85"/>
      <c r="G2" s="85"/>
      <c r="H2" s="85"/>
      <c r="I2" s="85"/>
      <c r="J2" s="85"/>
    </row>
    <row r="3" spans="1:10" ht="16" thickBo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6" thickBot="1">
      <c r="A4" s="85"/>
      <c r="B4" s="128" t="s">
        <v>134</v>
      </c>
      <c r="C4" s="129">
        <v>0</v>
      </c>
      <c r="D4" s="129">
        <v>1</v>
      </c>
      <c r="E4" s="129">
        <v>2</v>
      </c>
      <c r="F4" s="129">
        <v>3</v>
      </c>
      <c r="G4" s="129">
        <v>4</v>
      </c>
      <c r="H4" s="85"/>
      <c r="I4" s="85"/>
      <c r="J4" s="85"/>
    </row>
    <row r="5" spans="1:10" ht="17" thickBot="1">
      <c r="A5" s="85"/>
      <c r="B5" s="130" t="s">
        <v>135</v>
      </c>
      <c r="C5" s="131">
        <v>1</v>
      </c>
      <c r="D5" s="131">
        <v>1.25</v>
      </c>
      <c r="E5" s="131">
        <v>1.5625</v>
      </c>
      <c r="F5" s="131">
        <v>1.9531000000000001</v>
      </c>
      <c r="G5" s="131">
        <v>2.4413999999999998</v>
      </c>
      <c r="H5" s="85"/>
      <c r="I5" s="85"/>
      <c r="J5" s="85"/>
    </row>
    <row r="6" spans="1:10" ht="16" thickBot="1">
      <c r="A6" s="85"/>
      <c r="B6" s="130" t="s">
        <v>136</v>
      </c>
      <c r="C6" s="132">
        <v>7000</v>
      </c>
      <c r="D6" s="132">
        <v>5500</v>
      </c>
      <c r="E6" s="132">
        <v>4000</v>
      </c>
      <c r="F6" s="132">
        <v>2500</v>
      </c>
      <c r="G6" s="132">
        <v>1000</v>
      </c>
      <c r="H6" s="85"/>
      <c r="I6" s="85"/>
      <c r="J6" s="85"/>
    </row>
    <row r="7" spans="1:10" ht="16" thickBot="1">
      <c r="A7" s="85"/>
      <c r="B7" s="130" t="s">
        <v>137</v>
      </c>
      <c r="C7" s="133">
        <v>18000</v>
      </c>
      <c r="D7" s="132">
        <v>14000</v>
      </c>
      <c r="E7" s="132">
        <v>10000</v>
      </c>
      <c r="F7" s="132">
        <v>6000</v>
      </c>
      <c r="G7" s="132">
        <v>2000</v>
      </c>
      <c r="H7" s="85"/>
      <c r="I7" s="85"/>
      <c r="J7" s="85"/>
    </row>
    <row r="8" spans="1:10" ht="16" thickBot="1">
      <c r="A8" s="85"/>
      <c r="B8" s="130" t="s">
        <v>138</v>
      </c>
      <c r="C8" s="132">
        <v>7000</v>
      </c>
      <c r="D8" s="132">
        <v>15600</v>
      </c>
      <c r="E8" s="132">
        <v>20160</v>
      </c>
      <c r="F8" s="134">
        <v>21952</v>
      </c>
      <c r="G8" s="132">
        <v>21901</v>
      </c>
      <c r="H8" s="85"/>
      <c r="I8" s="85"/>
      <c r="J8" s="85"/>
    </row>
    <row r="9" spans="1:10">
      <c r="A9" s="85"/>
      <c r="B9" s="85"/>
      <c r="C9" s="135"/>
      <c r="D9" s="135"/>
      <c r="E9" s="135"/>
      <c r="F9" s="135"/>
      <c r="G9" s="135"/>
      <c r="H9" s="85"/>
      <c r="I9" s="85"/>
      <c r="J9" s="85"/>
    </row>
    <row r="10" spans="1:10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>
      <c r="A11" s="85"/>
      <c r="B11" s="85"/>
      <c r="C11" s="85"/>
      <c r="D11" s="89" t="s">
        <v>139</v>
      </c>
      <c r="E11" s="89"/>
      <c r="F11" s="85"/>
      <c r="G11" s="85"/>
      <c r="H11" s="85"/>
      <c r="I11" s="85"/>
      <c r="J11" s="85"/>
    </row>
    <row r="12" spans="1:10" ht="16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6" thickBot="1">
      <c r="A13" s="85"/>
      <c r="B13" s="128" t="s">
        <v>134</v>
      </c>
      <c r="C13" s="129">
        <v>0</v>
      </c>
      <c r="D13" s="129">
        <v>1</v>
      </c>
      <c r="E13" s="129">
        <v>2</v>
      </c>
      <c r="F13" s="129">
        <v>3</v>
      </c>
      <c r="G13" s="129">
        <v>4</v>
      </c>
      <c r="H13" s="102"/>
      <c r="I13" s="102"/>
      <c r="J13" s="102"/>
    </row>
    <row r="14" spans="1:10" ht="17" thickBot="1">
      <c r="A14" s="85"/>
      <c r="B14" s="130" t="s">
        <v>135</v>
      </c>
      <c r="C14" s="131">
        <v>1</v>
      </c>
      <c r="D14" s="131">
        <v>1.25</v>
      </c>
      <c r="E14" s="131">
        <v>1.5625</v>
      </c>
      <c r="F14" s="131">
        <v>1.9531000000000001</v>
      </c>
      <c r="G14" s="131">
        <v>2.4413999999999998</v>
      </c>
      <c r="H14" s="136"/>
      <c r="I14" s="136"/>
      <c r="J14" s="136"/>
    </row>
    <row r="15" spans="1:10" ht="16" thickBot="1">
      <c r="A15" s="85"/>
      <c r="B15" s="130" t="s">
        <v>136</v>
      </c>
      <c r="C15" s="132">
        <v>7000</v>
      </c>
      <c r="D15" s="132">
        <v>5500</v>
      </c>
      <c r="E15" s="132">
        <v>4000</v>
      </c>
      <c r="F15" s="132">
        <v>2500</v>
      </c>
      <c r="G15" s="132">
        <v>1000</v>
      </c>
      <c r="H15" s="135"/>
      <c r="I15" s="135"/>
      <c r="J15" s="135"/>
    </row>
    <row r="16" spans="1:10" ht="16" thickBot="1">
      <c r="A16" s="85"/>
      <c r="B16" s="130" t="s">
        <v>137</v>
      </c>
      <c r="C16" s="133">
        <v>18000</v>
      </c>
      <c r="D16" s="132">
        <v>14000</v>
      </c>
      <c r="E16" s="132">
        <v>10000</v>
      </c>
      <c r="F16" s="132">
        <v>6000</v>
      </c>
      <c r="G16" s="132">
        <v>2000</v>
      </c>
      <c r="H16" s="85"/>
      <c r="I16" s="85"/>
      <c r="J16" s="85"/>
    </row>
    <row r="17" spans="1:10" ht="16" thickBot="1">
      <c r="A17" s="85"/>
      <c r="B17" s="130" t="s">
        <v>140</v>
      </c>
      <c r="C17" s="132"/>
      <c r="D17" s="132">
        <v>10750</v>
      </c>
      <c r="E17" s="132">
        <v>7125</v>
      </c>
      <c r="F17" s="132">
        <v>3500</v>
      </c>
      <c r="G17" s="132">
        <v>-125</v>
      </c>
      <c r="H17" s="135"/>
      <c r="I17" s="135"/>
      <c r="J17" s="135"/>
    </row>
    <row r="18" spans="1:10" ht="16" thickBot="1">
      <c r="A18" s="85"/>
      <c r="B18" s="130" t="s">
        <v>141</v>
      </c>
      <c r="C18" s="132"/>
      <c r="D18" s="132">
        <v>8600</v>
      </c>
      <c r="E18" s="132">
        <v>4560</v>
      </c>
      <c r="F18" s="134">
        <v>1792</v>
      </c>
      <c r="G18" s="132">
        <v>-51</v>
      </c>
      <c r="H18" s="135"/>
      <c r="I18" s="135"/>
      <c r="J18" s="135"/>
    </row>
    <row r="19" spans="1:10">
      <c r="A19" s="85"/>
      <c r="B19" s="85"/>
      <c r="C19" s="135"/>
      <c r="D19" s="135"/>
      <c r="E19" s="135"/>
      <c r="F19" s="135"/>
      <c r="G19" s="135"/>
      <c r="H19" s="135"/>
      <c r="I19" s="135"/>
      <c r="J19" s="135"/>
    </row>
    <row r="20" spans="1:10">
      <c r="A20" s="85"/>
      <c r="B20" s="85"/>
      <c r="C20" s="135"/>
      <c r="D20" s="135"/>
      <c r="E20" s="135"/>
      <c r="F20" s="135"/>
      <c r="G20" s="135"/>
      <c r="H20" s="135"/>
      <c r="I20" s="135"/>
      <c r="J20" s="13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4E327-9A1B-954B-94F1-D9DA2B73E8C8}">
  <dimension ref="A2:L9"/>
  <sheetViews>
    <sheetView workbookViewId="0">
      <selection activeCell="I9" sqref="I9"/>
    </sheetView>
  </sheetViews>
  <sheetFormatPr baseColWidth="10" defaultRowHeight="15"/>
  <cols>
    <col min="1" max="1" width="28.5" customWidth="1"/>
    <col min="2" max="12" width="7.1640625" customWidth="1"/>
    <col min="13" max="256" width="8.83203125" customWidth="1"/>
    <col min="257" max="257" width="28.5" customWidth="1"/>
    <col min="258" max="268" width="7.1640625" customWidth="1"/>
    <col min="269" max="512" width="8.83203125" customWidth="1"/>
    <col min="513" max="513" width="28.5" customWidth="1"/>
    <col min="514" max="524" width="7.1640625" customWidth="1"/>
    <col min="525" max="768" width="8.83203125" customWidth="1"/>
    <col min="769" max="769" width="28.5" customWidth="1"/>
    <col min="770" max="780" width="7.1640625" customWidth="1"/>
    <col min="781" max="1024" width="8.83203125" customWidth="1"/>
    <col min="1025" max="1025" width="28.5" customWidth="1"/>
    <col min="1026" max="1036" width="7.1640625" customWidth="1"/>
    <col min="1037" max="1280" width="8.83203125" customWidth="1"/>
    <col min="1281" max="1281" width="28.5" customWidth="1"/>
    <col min="1282" max="1292" width="7.1640625" customWidth="1"/>
    <col min="1293" max="1536" width="8.83203125" customWidth="1"/>
    <col min="1537" max="1537" width="28.5" customWidth="1"/>
    <col min="1538" max="1548" width="7.1640625" customWidth="1"/>
    <col min="1549" max="1792" width="8.83203125" customWidth="1"/>
    <col min="1793" max="1793" width="28.5" customWidth="1"/>
    <col min="1794" max="1804" width="7.1640625" customWidth="1"/>
    <col min="1805" max="2048" width="8.83203125" customWidth="1"/>
    <col min="2049" max="2049" width="28.5" customWidth="1"/>
    <col min="2050" max="2060" width="7.1640625" customWidth="1"/>
    <col min="2061" max="2304" width="8.83203125" customWidth="1"/>
    <col min="2305" max="2305" width="28.5" customWidth="1"/>
    <col min="2306" max="2316" width="7.1640625" customWidth="1"/>
    <col min="2317" max="2560" width="8.83203125" customWidth="1"/>
    <col min="2561" max="2561" width="28.5" customWidth="1"/>
    <col min="2562" max="2572" width="7.1640625" customWidth="1"/>
    <col min="2573" max="2816" width="8.83203125" customWidth="1"/>
    <col min="2817" max="2817" width="28.5" customWidth="1"/>
    <col min="2818" max="2828" width="7.1640625" customWidth="1"/>
    <col min="2829" max="3072" width="8.83203125" customWidth="1"/>
    <col min="3073" max="3073" width="28.5" customWidth="1"/>
    <col min="3074" max="3084" width="7.1640625" customWidth="1"/>
    <col min="3085" max="3328" width="8.83203125" customWidth="1"/>
    <col min="3329" max="3329" width="28.5" customWidth="1"/>
    <col min="3330" max="3340" width="7.1640625" customWidth="1"/>
    <col min="3341" max="3584" width="8.83203125" customWidth="1"/>
    <col min="3585" max="3585" width="28.5" customWidth="1"/>
    <col min="3586" max="3596" width="7.1640625" customWidth="1"/>
    <col min="3597" max="3840" width="8.83203125" customWidth="1"/>
    <col min="3841" max="3841" width="28.5" customWidth="1"/>
    <col min="3842" max="3852" width="7.1640625" customWidth="1"/>
    <col min="3853" max="4096" width="8.83203125" customWidth="1"/>
    <col min="4097" max="4097" width="28.5" customWidth="1"/>
    <col min="4098" max="4108" width="7.1640625" customWidth="1"/>
    <col min="4109" max="4352" width="8.83203125" customWidth="1"/>
    <col min="4353" max="4353" width="28.5" customWidth="1"/>
    <col min="4354" max="4364" width="7.1640625" customWidth="1"/>
    <col min="4365" max="4608" width="8.83203125" customWidth="1"/>
    <col min="4609" max="4609" width="28.5" customWidth="1"/>
    <col min="4610" max="4620" width="7.1640625" customWidth="1"/>
    <col min="4621" max="4864" width="8.83203125" customWidth="1"/>
    <col min="4865" max="4865" width="28.5" customWidth="1"/>
    <col min="4866" max="4876" width="7.1640625" customWidth="1"/>
    <col min="4877" max="5120" width="8.83203125" customWidth="1"/>
    <col min="5121" max="5121" width="28.5" customWidth="1"/>
    <col min="5122" max="5132" width="7.1640625" customWidth="1"/>
    <col min="5133" max="5376" width="8.83203125" customWidth="1"/>
    <col min="5377" max="5377" width="28.5" customWidth="1"/>
    <col min="5378" max="5388" width="7.1640625" customWidth="1"/>
    <col min="5389" max="5632" width="8.83203125" customWidth="1"/>
    <col min="5633" max="5633" width="28.5" customWidth="1"/>
    <col min="5634" max="5644" width="7.1640625" customWidth="1"/>
    <col min="5645" max="5888" width="8.83203125" customWidth="1"/>
    <col min="5889" max="5889" width="28.5" customWidth="1"/>
    <col min="5890" max="5900" width="7.1640625" customWidth="1"/>
    <col min="5901" max="6144" width="8.83203125" customWidth="1"/>
    <col min="6145" max="6145" width="28.5" customWidth="1"/>
    <col min="6146" max="6156" width="7.1640625" customWidth="1"/>
    <col min="6157" max="6400" width="8.83203125" customWidth="1"/>
    <col min="6401" max="6401" width="28.5" customWidth="1"/>
    <col min="6402" max="6412" width="7.1640625" customWidth="1"/>
    <col min="6413" max="6656" width="8.83203125" customWidth="1"/>
    <col min="6657" max="6657" width="28.5" customWidth="1"/>
    <col min="6658" max="6668" width="7.1640625" customWidth="1"/>
    <col min="6669" max="6912" width="8.83203125" customWidth="1"/>
    <col min="6913" max="6913" width="28.5" customWidth="1"/>
    <col min="6914" max="6924" width="7.1640625" customWidth="1"/>
    <col min="6925" max="7168" width="8.83203125" customWidth="1"/>
    <col min="7169" max="7169" width="28.5" customWidth="1"/>
    <col min="7170" max="7180" width="7.1640625" customWidth="1"/>
    <col min="7181" max="7424" width="8.83203125" customWidth="1"/>
    <col min="7425" max="7425" width="28.5" customWidth="1"/>
    <col min="7426" max="7436" width="7.1640625" customWidth="1"/>
    <col min="7437" max="7680" width="8.83203125" customWidth="1"/>
    <col min="7681" max="7681" width="28.5" customWidth="1"/>
    <col min="7682" max="7692" width="7.1640625" customWidth="1"/>
    <col min="7693" max="7936" width="8.83203125" customWidth="1"/>
    <col min="7937" max="7937" width="28.5" customWidth="1"/>
    <col min="7938" max="7948" width="7.1640625" customWidth="1"/>
    <col min="7949" max="8192" width="8.83203125" customWidth="1"/>
    <col min="8193" max="8193" width="28.5" customWidth="1"/>
    <col min="8194" max="8204" width="7.1640625" customWidth="1"/>
    <col min="8205" max="8448" width="8.83203125" customWidth="1"/>
    <col min="8449" max="8449" width="28.5" customWidth="1"/>
    <col min="8450" max="8460" width="7.1640625" customWidth="1"/>
    <col min="8461" max="8704" width="8.83203125" customWidth="1"/>
    <col min="8705" max="8705" width="28.5" customWidth="1"/>
    <col min="8706" max="8716" width="7.1640625" customWidth="1"/>
    <col min="8717" max="8960" width="8.83203125" customWidth="1"/>
    <col min="8961" max="8961" width="28.5" customWidth="1"/>
    <col min="8962" max="8972" width="7.1640625" customWidth="1"/>
    <col min="8973" max="9216" width="8.83203125" customWidth="1"/>
    <col min="9217" max="9217" width="28.5" customWidth="1"/>
    <col min="9218" max="9228" width="7.1640625" customWidth="1"/>
    <col min="9229" max="9472" width="8.83203125" customWidth="1"/>
    <col min="9473" max="9473" width="28.5" customWidth="1"/>
    <col min="9474" max="9484" width="7.1640625" customWidth="1"/>
    <col min="9485" max="9728" width="8.83203125" customWidth="1"/>
    <col min="9729" max="9729" width="28.5" customWidth="1"/>
    <col min="9730" max="9740" width="7.1640625" customWidth="1"/>
    <col min="9741" max="9984" width="8.83203125" customWidth="1"/>
    <col min="9985" max="9985" width="28.5" customWidth="1"/>
    <col min="9986" max="9996" width="7.1640625" customWidth="1"/>
    <col min="9997" max="10240" width="8.83203125" customWidth="1"/>
    <col min="10241" max="10241" width="28.5" customWidth="1"/>
    <col min="10242" max="10252" width="7.1640625" customWidth="1"/>
    <col min="10253" max="10496" width="8.83203125" customWidth="1"/>
    <col min="10497" max="10497" width="28.5" customWidth="1"/>
    <col min="10498" max="10508" width="7.1640625" customWidth="1"/>
    <col min="10509" max="10752" width="8.83203125" customWidth="1"/>
    <col min="10753" max="10753" width="28.5" customWidth="1"/>
    <col min="10754" max="10764" width="7.1640625" customWidth="1"/>
    <col min="10765" max="11008" width="8.83203125" customWidth="1"/>
    <col min="11009" max="11009" width="28.5" customWidth="1"/>
    <col min="11010" max="11020" width="7.1640625" customWidth="1"/>
    <col min="11021" max="11264" width="8.83203125" customWidth="1"/>
    <col min="11265" max="11265" width="28.5" customWidth="1"/>
    <col min="11266" max="11276" width="7.1640625" customWidth="1"/>
    <col min="11277" max="11520" width="8.83203125" customWidth="1"/>
    <col min="11521" max="11521" width="28.5" customWidth="1"/>
    <col min="11522" max="11532" width="7.1640625" customWidth="1"/>
    <col min="11533" max="11776" width="8.83203125" customWidth="1"/>
    <col min="11777" max="11777" width="28.5" customWidth="1"/>
    <col min="11778" max="11788" width="7.1640625" customWidth="1"/>
    <col min="11789" max="12032" width="8.83203125" customWidth="1"/>
    <col min="12033" max="12033" width="28.5" customWidth="1"/>
    <col min="12034" max="12044" width="7.1640625" customWidth="1"/>
    <col min="12045" max="12288" width="8.83203125" customWidth="1"/>
    <col min="12289" max="12289" width="28.5" customWidth="1"/>
    <col min="12290" max="12300" width="7.1640625" customWidth="1"/>
    <col min="12301" max="12544" width="8.83203125" customWidth="1"/>
    <col min="12545" max="12545" width="28.5" customWidth="1"/>
    <col min="12546" max="12556" width="7.1640625" customWidth="1"/>
    <col min="12557" max="12800" width="8.83203125" customWidth="1"/>
    <col min="12801" max="12801" width="28.5" customWidth="1"/>
    <col min="12802" max="12812" width="7.1640625" customWidth="1"/>
    <col min="12813" max="13056" width="8.83203125" customWidth="1"/>
    <col min="13057" max="13057" width="28.5" customWidth="1"/>
    <col min="13058" max="13068" width="7.1640625" customWidth="1"/>
    <col min="13069" max="13312" width="8.83203125" customWidth="1"/>
    <col min="13313" max="13313" width="28.5" customWidth="1"/>
    <col min="13314" max="13324" width="7.1640625" customWidth="1"/>
    <col min="13325" max="13568" width="8.83203125" customWidth="1"/>
    <col min="13569" max="13569" width="28.5" customWidth="1"/>
    <col min="13570" max="13580" width="7.1640625" customWidth="1"/>
    <col min="13581" max="13824" width="8.83203125" customWidth="1"/>
    <col min="13825" max="13825" width="28.5" customWidth="1"/>
    <col min="13826" max="13836" width="7.1640625" customWidth="1"/>
    <col min="13837" max="14080" width="8.83203125" customWidth="1"/>
    <col min="14081" max="14081" width="28.5" customWidth="1"/>
    <col min="14082" max="14092" width="7.1640625" customWidth="1"/>
    <col min="14093" max="14336" width="8.83203125" customWidth="1"/>
    <col min="14337" max="14337" width="28.5" customWidth="1"/>
    <col min="14338" max="14348" width="7.1640625" customWidth="1"/>
    <col min="14349" max="14592" width="8.83203125" customWidth="1"/>
    <col min="14593" max="14593" width="28.5" customWidth="1"/>
    <col min="14594" max="14604" width="7.1640625" customWidth="1"/>
    <col min="14605" max="14848" width="8.83203125" customWidth="1"/>
    <col min="14849" max="14849" width="28.5" customWidth="1"/>
    <col min="14850" max="14860" width="7.1640625" customWidth="1"/>
    <col min="14861" max="15104" width="8.83203125" customWidth="1"/>
    <col min="15105" max="15105" width="28.5" customWidth="1"/>
    <col min="15106" max="15116" width="7.1640625" customWidth="1"/>
    <col min="15117" max="15360" width="8.83203125" customWidth="1"/>
    <col min="15361" max="15361" width="28.5" customWidth="1"/>
    <col min="15362" max="15372" width="7.1640625" customWidth="1"/>
    <col min="15373" max="15616" width="8.83203125" customWidth="1"/>
    <col min="15617" max="15617" width="28.5" customWidth="1"/>
    <col min="15618" max="15628" width="7.1640625" customWidth="1"/>
    <col min="15629" max="15872" width="8.83203125" customWidth="1"/>
    <col min="15873" max="15873" width="28.5" customWidth="1"/>
    <col min="15874" max="15884" width="7.1640625" customWidth="1"/>
    <col min="15885" max="16128" width="8.83203125" customWidth="1"/>
    <col min="16129" max="16129" width="28.5" customWidth="1"/>
    <col min="16130" max="16140" width="7.1640625" customWidth="1"/>
    <col min="16141" max="16384" width="8.83203125" customWidth="1"/>
  </cols>
  <sheetData>
    <row r="2" spans="1:12">
      <c r="A2" s="2" t="s">
        <v>30</v>
      </c>
      <c r="B2" s="125">
        <v>0.12</v>
      </c>
      <c r="C2" s="89" t="s">
        <v>142</v>
      </c>
    </row>
    <row r="3" spans="1:12" ht="16" thickBot="1"/>
    <row r="4" spans="1:12" ht="16" thickBot="1">
      <c r="A4" s="127" t="s">
        <v>143</v>
      </c>
      <c r="B4" s="137">
        <v>0</v>
      </c>
      <c r="C4" s="137">
        <v>1</v>
      </c>
      <c r="D4" s="137">
        <v>2</v>
      </c>
      <c r="E4" s="137">
        <v>3</v>
      </c>
      <c r="F4" s="137">
        <v>4</v>
      </c>
      <c r="G4" s="137">
        <v>5</v>
      </c>
      <c r="H4" s="137">
        <v>6</v>
      </c>
      <c r="I4" s="137">
        <v>7</v>
      </c>
      <c r="J4" s="137">
        <v>8</v>
      </c>
      <c r="K4" s="137">
        <v>9</v>
      </c>
      <c r="L4" s="137">
        <v>10</v>
      </c>
    </row>
    <row r="5" spans="1:12" ht="17" thickBot="1">
      <c r="A5" s="127" t="s">
        <v>135</v>
      </c>
      <c r="B5" s="138">
        <f>(1+$B$2)^B4</f>
        <v>1</v>
      </c>
      <c r="C5" s="138">
        <f>(1+$B$2)^C4</f>
        <v>1.1200000000000001</v>
      </c>
      <c r="D5" s="138">
        <f>(1+$B$2)^D4</f>
        <v>1.2544000000000002</v>
      </c>
      <c r="E5" s="138">
        <f>(1+$B$2)^E4</f>
        <v>1.4049280000000004</v>
      </c>
      <c r="F5" s="138">
        <f t="shared" ref="F5:L5" si="0">(1+$B$2)^F4</f>
        <v>1.5735193600000004</v>
      </c>
      <c r="G5" s="138">
        <f t="shared" si="0"/>
        <v>1.7623416832000005</v>
      </c>
      <c r="H5" s="138">
        <f t="shared" si="0"/>
        <v>1.9738226851840008</v>
      </c>
      <c r="I5" s="138">
        <f t="shared" si="0"/>
        <v>2.210681407406081</v>
      </c>
      <c r="J5" s="138">
        <f t="shared" si="0"/>
        <v>2.4759631762948109</v>
      </c>
      <c r="K5" s="138">
        <f t="shared" si="0"/>
        <v>2.7730787574501883</v>
      </c>
      <c r="L5" s="138">
        <f t="shared" si="0"/>
        <v>3.1058482083442112</v>
      </c>
    </row>
    <row r="6" spans="1:12" ht="16" thickBot="1">
      <c r="A6" s="127" t="s">
        <v>144</v>
      </c>
      <c r="B6" s="139">
        <v>10000</v>
      </c>
      <c r="C6" s="139">
        <v>500</v>
      </c>
      <c r="D6" s="139">
        <v>500</v>
      </c>
      <c r="E6" s="139">
        <v>500</v>
      </c>
      <c r="F6" s="139">
        <v>500</v>
      </c>
      <c r="G6" s="139">
        <v>500</v>
      </c>
      <c r="H6" s="139">
        <v>500</v>
      </c>
      <c r="I6" s="139">
        <v>500</v>
      </c>
      <c r="J6" s="139">
        <v>500</v>
      </c>
      <c r="K6" s="139">
        <v>500</v>
      </c>
      <c r="L6" s="139">
        <v>500</v>
      </c>
    </row>
    <row r="7" spans="1:12" ht="16" thickBot="1">
      <c r="A7" s="127" t="s">
        <v>145</v>
      </c>
      <c r="B7" s="127"/>
      <c r="C7" s="139">
        <v>-2000</v>
      </c>
      <c r="D7" s="139">
        <v>-2000</v>
      </c>
      <c r="E7" s="139">
        <f>D7-600</f>
        <v>-2600</v>
      </c>
      <c r="F7" s="139">
        <f>E7-600</f>
        <v>-3200</v>
      </c>
      <c r="G7" s="139">
        <f t="shared" ref="G7:L7" si="1">F7-600</f>
        <v>-3800</v>
      </c>
      <c r="H7" s="139">
        <f t="shared" si="1"/>
        <v>-4400</v>
      </c>
      <c r="I7" s="139">
        <f t="shared" si="1"/>
        <v>-5000</v>
      </c>
      <c r="J7" s="139">
        <f t="shared" si="1"/>
        <v>-5600</v>
      </c>
      <c r="K7" s="139">
        <f t="shared" si="1"/>
        <v>-6200</v>
      </c>
      <c r="L7" s="139">
        <f t="shared" si="1"/>
        <v>-6800</v>
      </c>
    </row>
    <row r="8" spans="1:12" ht="16" thickBot="1">
      <c r="A8" s="127" t="s">
        <v>138</v>
      </c>
      <c r="B8" s="139">
        <f>-B6</f>
        <v>-10000</v>
      </c>
      <c r="C8" s="139">
        <f>B8+(C6+C7)/C5</f>
        <v>-11339.285714285714</v>
      </c>
      <c r="D8" s="140">
        <f>C8+(D6+D7)/D5-C6/C5</f>
        <v>-12981.505102040815</v>
      </c>
      <c r="E8" s="139">
        <f>D8+(E6+E7)/E5-D6/D5</f>
        <v>-14874.84056122449</v>
      </c>
      <c r="F8" s="139">
        <f>E8+(F6+F7)/F5-E6/E5</f>
        <v>-16946.62949682424</v>
      </c>
      <c r="G8" s="139">
        <f t="shared" ref="G8:L8" si="2">F8+(G6+G7)/G5-F6/F5</f>
        <v>-19136.897159898032</v>
      </c>
      <c r="H8" s="139">
        <f t="shared" si="2"/>
        <v>-21396.471960348881</v>
      </c>
      <c r="I8" s="139">
        <f t="shared" si="2"/>
        <v>-23685.358989953562</v>
      </c>
      <c r="J8" s="139">
        <f t="shared" si="2"/>
        <v>-25971.33806031679</v>
      </c>
      <c r="K8" s="139">
        <f t="shared" si="2"/>
        <v>-28228.75681670148</v>
      </c>
      <c r="L8" s="139">
        <f t="shared" si="2"/>
        <v>-30437.493219713655</v>
      </c>
    </row>
    <row r="9" spans="1:12" ht="16" thickBot="1">
      <c r="A9" s="127" t="s">
        <v>146</v>
      </c>
      <c r="B9" s="139"/>
      <c r="C9" s="139">
        <f>PMT($B$2,C4,C8)</f>
        <v>12699.999999999998</v>
      </c>
      <c r="D9" s="139">
        <f>PMT($B$2,D4,D8)</f>
        <v>7681.132075471698</v>
      </c>
      <c r="E9" s="140">
        <f>PMT($B$2,E4,E8)</f>
        <v>6193.1247036510194</v>
      </c>
      <c r="F9" s="139">
        <f>PMT($B$2,F4,F8)</f>
        <v>5579.414009668305</v>
      </c>
      <c r="G9" s="139">
        <f t="shared" ref="G9:L9" si="3">PMT($B$2,G4,G8)</f>
        <v>5308.7615113107331</v>
      </c>
      <c r="H9" s="139">
        <f t="shared" si="3"/>
        <v>5204.1722643082921</v>
      </c>
      <c r="I9" s="141">
        <f t="shared" si="3"/>
        <v>5189.8822358902789</v>
      </c>
      <c r="J9" s="139">
        <f t="shared" si="3"/>
        <v>5228.1041458940117</v>
      </c>
      <c r="K9" s="139">
        <f t="shared" si="3"/>
        <v>5297.9417106228293</v>
      </c>
      <c r="L9" s="139">
        <f t="shared" si="3"/>
        <v>5386.9542966119434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AFD5-0F68-8B40-86F0-0C16FEC47B19}">
  <dimension ref="B1:J23"/>
  <sheetViews>
    <sheetView workbookViewId="0">
      <selection activeCell="G23" sqref="G23"/>
    </sheetView>
  </sheetViews>
  <sheetFormatPr baseColWidth="10" defaultRowHeight="15"/>
  <cols>
    <col min="1" max="1" width="8.83203125" customWidth="1"/>
    <col min="2" max="2" width="26.6640625" customWidth="1"/>
    <col min="3" max="3" width="8.83203125" customWidth="1"/>
    <col min="4" max="4" width="11.5" bestFit="1" customWidth="1"/>
    <col min="5" max="257" width="8.83203125" customWidth="1"/>
    <col min="258" max="258" width="26.6640625" customWidth="1"/>
    <col min="259" max="259" width="8.83203125" customWidth="1"/>
    <col min="260" max="260" width="11.5" bestFit="1" customWidth="1"/>
    <col min="261" max="513" width="8.83203125" customWidth="1"/>
    <col min="514" max="514" width="26.6640625" customWidth="1"/>
    <col min="515" max="515" width="8.83203125" customWidth="1"/>
    <col min="516" max="516" width="11.5" bestFit="1" customWidth="1"/>
    <col min="517" max="769" width="8.83203125" customWidth="1"/>
    <col min="770" max="770" width="26.6640625" customWidth="1"/>
    <col min="771" max="771" width="8.83203125" customWidth="1"/>
    <col min="772" max="772" width="11.5" bestFit="1" customWidth="1"/>
    <col min="773" max="1025" width="8.83203125" customWidth="1"/>
    <col min="1026" max="1026" width="26.6640625" customWidth="1"/>
    <col min="1027" max="1027" width="8.83203125" customWidth="1"/>
    <col min="1028" max="1028" width="11.5" bestFit="1" customWidth="1"/>
    <col min="1029" max="1281" width="8.83203125" customWidth="1"/>
    <col min="1282" max="1282" width="26.6640625" customWidth="1"/>
    <col min="1283" max="1283" width="8.83203125" customWidth="1"/>
    <col min="1284" max="1284" width="11.5" bestFit="1" customWidth="1"/>
    <col min="1285" max="1537" width="8.83203125" customWidth="1"/>
    <col min="1538" max="1538" width="26.6640625" customWidth="1"/>
    <col min="1539" max="1539" width="8.83203125" customWidth="1"/>
    <col min="1540" max="1540" width="11.5" bestFit="1" customWidth="1"/>
    <col min="1541" max="1793" width="8.83203125" customWidth="1"/>
    <col min="1794" max="1794" width="26.6640625" customWidth="1"/>
    <col min="1795" max="1795" width="8.83203125" customWidth="1"/>
    <col min="1796" max="1796" width="11.5" bestFit="1" customWidth="1"/>
    <col min="1797" max="2049" width="8.83203125" customWidth="1"/>
    <col min="2050" max="2050" width="26.6640625" customWidth="1"/>
    <col min="2051" max="2051" width="8.83203125" customWidth="1"/>
    <col min="2052" max="2052" width="11.5" bestFit="1" customWidth="1"/>
    <col min="2053" max="2305" width="8.83203125" customWidth="1"/>
    <col min="2306" max="2306" width="26.6640625" customWidth="1"/>
    <col min="2307" max="2307" width="8.83203125" customWidth="1"/>
    <col min="2308" max="2308" width="11.5" bestFit="1" customWidth="1"/>
    <col min="2309" max="2561" width="8.83203125" customWidth="1"/>
    <col min="2562" max="2562" width="26.6640625" customWidth="1"/>
    <col min="2563" max="2563" width="8.83203125" customWidth="1"/>
    <col min="2564" max="2564" width="11.5" bestFit="1" customWidth="1"/>
    <col min="2565" max="2817" width="8.83203125" customWidth="1"/>
    <col min="2818" max="2818" width="26.6640625" customWidth="1"/>
    <col min="2819" max="2819" width="8.83203125" customWidth="1"/>
    <col min="2820" max="2820" width="11.5" bestFit="1" customWidth="1"/>
    <col min="2821" max="3073" width="8.83203125" customWidth="1"/>
    <col min="3074" max="3074" width="26.6640625" customWidth="1"/>
    <col min="3075" max="3075" width="8.83203125" customWidth="1"/>
    <col min="3076" max="3076" width="11.5" bestFit="1" customWidth="1"/>
    <col min="3077" max="3329" width="8.83203125" customWidth="1"/>
    <col min="3330" max="3330" width="26.6640625" customWidth="1"/>
    <col min="3331" max="3331" width="8.83203125" customWidth="1"/>
    <col min="3332" max="3332" width="11.5" bestFit="1" customWidth="1"/>
    <col min="3333" max="3585" width="8.83203125" customWidth="1"/>
    <col min="3586" max="3586" width="26.6640625" customWidth="1"/>
    <col min="3587" max="3587" width="8.83203125" customWidth="1"/>
    <col min="3588" max="3588" width="11.5" bestFit="1" customWidth="1"/>
    <col min="3589" max="3841" width="8.83203125" customWidth="1"/>
    <col min="3842" max="3842" width="26.6640625" customWidth="1"/>
    <col min="3843" max="3843" width="8.83203125" customWidth="1"/>
    <col min="3844" max="3844" width="11.5" bestFit="1" customWidth="1"/>
    <col min="3845" max="4097" width="8.83203125" customWidth="1"/>
    <col min="4098" max="4098" width="26.6640625" customWidth="1"/>
    <col min="4099" max="4099" width="8.83203125" customWidth="1"/>
    <col min="4100" max="4100" width="11.5" bestFit="1" customWidth="1"/>
    <col min="4101" max="4353" width="8.83203125" customWidth="1"/>
    <col min="4354" max="4354" width="26.6640625" customWidth="1"/>
    <col min="4355" max="4355" width="8.83203125" customWidth="1"/>
    <col min="4356" max="4356" width="11.5" bestFit="1" customWidth="1"/>
    <col min="4357" max="4609" width="8.83203125" customWidth="1"/>
    <col min="4610" max="4610" width="26.6640625" customWidth="1"/>
    <col min="4611" max="4611" width="8.83203125" customWidth="1"/>
    <col min="4612" max="4612" width="11.5" bestFit="1" customWidth="1"/>
    <col min="4613" max="4865" width="8.83203125" customWidth="1"/>
    <col min="4866" max="4866" width="26.6640625" customWidth="1"/>
    <col min="4867" max="4867" width="8.83203125" customWidth="1"/>
    <col min="4868" max="4868" width="11.5" bestFit="1" customWidth="1"/>
    <col min="4869" max="5121" width="8.83203125" customWidth="1"/>
    <col min="5122" max="5122" width="26.6640625" customWidth="1"/>
    <col min="5123" max="5123" width="8.83203125" customWidth="1"/>
    <col min="5124" max="5124" width="11.5" bestFit="1" customWidth="1"/>
    <col min="5125" max="5377" width="8.83203125" customWidth="1"/>
    <col min="5378" max="5378" width="26.6640625" customWidth="1"/>
    <col min="5379" max="5379" width="8.83203125" customWidth="1"/>
    <col min="5380" max="5380" width="11.5" bestFit="1" customWidth="1"/>
    <col min="5381" max="5633" width="8.83203125" customWidth="1"/>
    <col min="5634" max="5634" width="26.6640625" customWidth="1"/>
    <col min="5635" max="5635" width="8.83203125" customWidth="1"/>
    <col min="5636" max="5636" width="11.5" bestFit="1" customWidth="1"/>
    <col min="5637" max="5889" width="8.83203125" customWidth="1"/>
    <col min="5890" max="5890" width="26.6640625" customWidth="1"/>
    <col min="5891" max="5891" width="8.83203125" customWidth="1"/>
    <col min="5892" max="5892" width="11.5" bestFit="1" customWidth="1"/>
    <col min="5893" max="6145" width="8.83203125" customWidth="1"/>
    <col min="6146" max="6146" width="26.6640625" customWidth="1"/>
    <col min="6147" max="6147" width="8.83203125" customWidth="1"/>
    <col min="6148" max="6148" width="11.5" bestFit="1" customWidth="1"/>
    <col min="6149" max="6401" width="8.83203125" customWidth="1"/>
    <col min="6402" max="6402" width="26.6640625" customWidth="1"/>
    <col min="6403" max="6403" width="8.83203125" customWidth="1"/>
    <col min="6404" max="6404" width="11.5" bestFit="1" customWidth="1"/>
    <col min="6405" max="6657" width="8.83203125" customWidth="1"/>
    <col min="6658" max="6658" width="26.6640625" customWidth="1"/>
    <col min="6659" max="6659" width="8.83203125" customWidth="1"/>
    <col min="6660" max="6660" width="11.5" bestFit="1" customWidth="1"/>
    <col min="6661" max="6913" width="8.83203125" customWidth="1"/>
    <col min="6914" max="6914" width="26.6640625" customWidth="1"/>
    <col min="6915" max="6915" width="8.83203125" customWidth="1"/>
    <col min="6916" max="6916" width="11.5" bestFit="1" customWidth="1"/>
    <col min="6917" max="7169" width="8.83203125" customWidth="1"/>
    <col min="7170" max="7170" width="26.6640625" customWidth="1"/>
    <col min="7171" max="7171" width="8.83203125" customWidth="1"/>
    <col min="7172" max="7172" width="11.5" bestFit="1" customWidth="1"/>
    <col min="7173" max="7425" width="8.83203125" customWidth="1"/>
    <col min="7426" max="7426" width="26.6640625" customWidth="1"/>
    <col min="7427" max="7427" width="8.83203125" customWidth="1"/>
    <col min="7428" max="7428" width="11.5" bestFit="1" customWidth="1"/>
    <col min="7429" max="7681" width="8.83203125" customWidth="1"/>
    <col min="7682" max="7682" width="26.6640625" customWidth="1"/>
    <col min="7683" max="7683" width="8.83203125" customWidth="1"/>
    <col min="7684" max="7684" width="11.5" bestFit="1" customWidth="1"/>
    <col min="7685" max="7937" width="8.83203125" customWidth="1"/>
    <col min="7938" max="7938" width="26.6640625" customWidth="1"/>
    <col min="7939" max="7939" width="8.83203125" customWidth="1"/>
    <col min="7940" max="7940" width="11.5" bestFit="1" customWidth="1"/>
    <col min="7941" max="8193" width="8.83203125" customWidth="1"/>
    <col min="8194" max="8194" width="26.6640625" customWidth="1"/>
    <col min="8195" max="8195" width="8.83203125" customWidth="1"/>
    <col min="8196" max="8196" width="11.5" bestFit="1" customWidth="1"/>
    <col min="8197" max="8449" width="8.83203125" customWidth="1"/>
    <col min="8450" max="8450" width="26.6640625" customWidth="1"/>
    <col min="8451" max="8451" width="8.83203125" customWidth="1"/>
    <col min="8452" max="8452" width="11.5" bestFit="1" customWidth="1"/>
    <col min="8453" max="8705" width="8.83203125" customWidth="1"/>
    <col min="8706" max="8706" width="26.6640625" customWidth="1"/>
    <col min="8707" max="8707" width="8.83203125" customWidth="1"/>
    <col min="8708" max="8708" width="11.5" bestFit="1" customWidth="1"/>
    <col min="8709" max="8961" width="8.83203125" customWidth="1"/>
    <col min="8962" max="8962" width="26.6640625" customWidth="1"/>
    <col min="8963" max="8963" width="8.83203125" customWidth="1"/>
    <col min="8964" max="8964" width="11.5" bestFit="1" customWidth="1"/>
    <col min="8965" max="9217" width="8.83203125" customWidth="1"/>
    <col min="9218" max="9218" width="26.6640625" customWidth="1"/>
    <col min="9219" max="9219" width="8.83203125" customWidth="1"/>
    <col min="9220" max="9220" width="11.5" bestFit="1" customWidth="1"/>
    <col min="9221" max="9473" width="8.83203125" customWidth="1"/>
    <col min="9474" max="9474" width="26.6640625" customWidth="1"/>
    <col min="9475" max="9475" width="8.83203125" customWidth="1"/>
    <col min="9476" max="9476" width="11.5" bestFit="1" customWidth="1"/>
    <col min="9477" max="9729" width="8.83203125" customWidth="1"/>
    <col min="9730" max="9730" width="26.6640625" customWidth="1"/>
    <col min="9731" max="9731" width="8.83203125" customWidth="1"/>
    <col min="9732" max="9732" width="11.5" bestFit="1" customWidth="1"/>
    <col min="9733" max="9985" width="8.83203125" customWidth="1"/>
    <col min="9986" max="9986" width="26.6640625" customWidth="1"/>
    <col min="9987" max="9987" width="8.83203125" customWidth="1"/>
    <col min="9988" max="9988" width="11.5" bestFit="1" customWidth="1"/>
    <col min="9989" max="10241" width="8.83203125" customWidth="1"/>
    <col min="10242" max="10242" width="26.6640625" customWidth="1"/>
    <col min="10243" max="10243" width="8.83203125" customWidth="1"/>
    <col min="10244" max="10244" width="11.5" bestFit="1" customWidth="1"/>
    <col min="10245" max="10497" width="8.83203125" customWidth="1"/>
    <col min="10498" max="10498" width="26.6640625" customWidth="1"/>
    <col min="10499" max="10499" width="8.83203125" customWidth="1"/>
    <col min="10500" max="10500" width="11.5" bestFit="1" customWidth="1"/>
    <col min="10501" max="10753" width="8.83203125" customWidth="1"/>
    <col min="10754" max="10754" width="26.6640625" customWidth="1"/>
    <col min="10755" max="10755" width="8.83203125" customWidth="1"/>
    <col min="10756" max="10756" width="11.5" bestFit="1" customWidth="1"/>
    <col min="10757" max="11009" width="8.83203125" customWidth="1"/>
    <col min="11010" max="11010" width="26.6640625" customWidth="1"/>
    <col min="11011" max="11011" width="8.83203125" customWidth="1"/>
    <col min="11012" max="11012" width="11.5" bestFit="1" customWidth="1"/>
    <col min="11013" max="11265" width="8.83203125" customWidth="1"/>
    <col min="11266" max="11266" width="26.6640625" customWidth="1"/>
    <col min="11267" max="11267" width="8.83203125" customWidth="1"/>
    <col min="11268" max="11268" width="11.5" bestFit="1" customWidth="1"/>
    <col min="11269" max="11521" width="8.83203125" customWidth="1"/>
    <col min="11522" max="11522" width="26.6640625" customWidth="1"/>
    <col min="11523" max="11523" width="8.83203125" customWidth="1"/>
    <col min="11524" max="11524" width="11.5" bestFit="1" customWidth="1"/>
    <col min="11525" max="11777" width="8.83203125" customWidth="1"/>
    <col min="11778" max="11778" width="26.6640625" customWidth="1"/>
    <col min="11779" max="11779" width="8.83203125" customWidth="1"/>
    <col min="11780" max="11780" width="11.5" bestFit="1" customWidth="1"/>
    <col min="11781" max="12033" width="8.83203125" customWidth="1"/>
    <col min="12034" max="12034" width="26.6640625" customWidth="1"/>
    <col min="12035" max="12035" width="8.83203125" customWidth="1"/>
    <col min="12036" max="12036" width="11.5" bestFit="1" customWidth="1"/>
    <col min="12037" max="12289" width="8.83203125" customWidth="1"/>
    <col min="12290" max="12290" width="26.6640625" customWidth="1"/>
    <col min="12291" max="12291" width="8.83203125" customWidth="1"/>
    <col min="12292" max="12292" width="11.5" bestFit="1" customWidth="1"/>
    <col min="12293" max="12545" width="8.83203125" customWidth="1"/>
    <col min="12546" max="12546" width="26.6640625" customWidth="1"/>
    <col min="12547" max="12547" width="8.83203125" customWidth="1"/>
    <col min="12548" max="12548" width="11.5" bestFit="1" customWidth="1"/>
    <col min="12549" max="12801" width="8.83203125" customWidth="1"/>
    <col min="12802" max="12802" width="26.6640625" customWidth="1"/>
    <col min="12803" max="12803" width="8.83203125" customWidth="1"/>
    <col min="12804" max="12804" width="11.5" bestFit="1" customWidth="1"/>
    <col min="12805" max="13057" width="8.83203125" customWidth="1"/>
    <col min="13058" max="13058" width="26.6640625" customWidth="1"/>
    <col min="13059" max="13059" width="8.83203125" customWidth="1"/>
    <col min="13060" max="13060" width="11.5" bestFit="1" customWidth="1"/>
    <col min="13061" max="13313" width="8.83203125" customWidth="1"/>
    <col min="13314" max="13314" width="26.6640625" customWidth="1"/>
    <col min="13315" max="13315" width="8.83203125" customWidth="1"/>
    <col min="13316" max="13316" width="11.5" bestFit="1" customWidth="1"/>
    <col min="13317" max="13569" width="8.83203125" customWidth="1"/>
    <col min="13570" max="13570" width="26.6640625" customWidth="1"/>
    <col min="13571" max="13571" width="8.83203125" customWidth="1"/>
    <col min="13572" max="13572" width="11.5" bestFit="1" customWidth="1"/>
    <col min="13573" max="13825" width="8.83203125" customWidth="1"/>
    <col min="13826" max="13826" width="26.6640625" customWidth="1"/>
    <col min="13827" max="13827" width="8.83203125" customWidth="1"/>
    <col min="13828" max="13828" width="11.5" bestFit="1" customWidth="1"/>
    <col min="13829" max="14081" width="8.83203125" customWidth="1"/>
    <col min="14082" max="14082" width="26.6640625" customWidth="1"/>
    <col min="14083" max="14083" width="8.83203125" customWidth="1"/>
    <col min="14084" max="14084" width="11.5" bestFit="1" customWidth="1"/>
    <col min="14085" max="14337" width="8.83203125" customWidth="1"/>
    <col min="14338" max="14338" width="26.6640625" customWidth="1"/>
    <col min="14339" max="14339" width="8.83203125" customWidth="1"/>
    <col min="14340" max="14340" width="11.5" bestFit="1" customWidth="1"/>
    <col min="14341" max="14593" width="8.83203125" customWidth="1"/>
    <col min="14594" max="14594" width="26.6640625" customWidth="1"/>
    <col min="14595" max="14595" width="8.83203125" customWidth="1"/>
    <col min="14596" max="14596" width="11.5" bestFit="1" customWidth="1"/>
    <col min="14597" max="14849" width="8.83203125" customWidth="1"/>
    <col min="14850" max="14850" width="26.6640625" customWidth="1"/>
    <col min="14851" max="14851" width="8.83203125" customWidth="1"/>
    <col min="14852" max="14852" width="11.5" bestFit="1" customWidth="1"/>
    <col min="14853" max="15105" width="8.83203125" customWidth="1"/>
    <col min="15106" max="15106" width="26.6640625" customWidth="1"/>
    <col min="15107" max="15107" width="8.83203125" customWidth="1"/>
    <col min="15108" max="15108" width="11.5" bestFit="1" customWidth="1"/>
    <col min="15109" max="15361" width="8.83203125" customWidth="1"/>
    <col min="15362" max="15362" width="26.6640625" customWidth="1"/>
    <col min="15363" max="15363" width="8.83203125" customWidth="1"/>
    <col min="15364" max="15364" width="11.5" bestFit="1" customWidth="1"/>
    <col min="15365" max="15617" width="8.83203125" customWidth="1"/>
    <col min="15618" max="15618" width="26.6640625" customWidth="1"/>
    <col min="15619" max="15619" width="8.83203125" customWidth="1"/>
    <col min="15620" max="15620" width="11.5" bestFit="1" customWidth="1"/>
    <col min="15621" max="15873" width="8.83203125" customWidth="1"/>
    <col min="15874" max="15874" width="26.6640625" customWidth="1"/>
    <col min="15875" max="15875" width="8.83203125" customWidth="1"/>
    <col min="15876" max="15876" width="11.5" bestFit="1" customWidth="1"/>
    <col min="15877" max="16129" width="8.83203125" customWidth="1"/>
    <col min="16130" max="16130" width="26.6640625" customWidth="1"/>
    <col min="16131" max="16131" width="8.83203125" customWidth="1"/>
    <col min="16132" max="16132" width="11.5" bestFit="1" customWidth="1"/>
    <col min="16133" max="16384" width="8.83203125" customWidth="1"/>
  </cols>
  <sheetData>
    <row r="1" spans="2:10">
      <c r="D1" s="89" t="s">
        <v>147</v>
      </c>
    </row>
    <row r="3" spans="2:10">
      <c r="B3" s="2" t="s">
        <v>30</v>
      </c>
      <c r="C3" s="125">
        <v>0.12</v>
      </c>
      <c r="D3" s="89" t="s">
        <v>148</v>
      </c>
    </row>
    <row r="4" spans="2:10" ht="16" thickBot="1"/>
    <row r="5" spans="2:10" ht="16" thickBot="1">
      <c r="B5" s="127" t="s">
        <v>134</v>
      </c>
      <c r="C5" s="137">
        <v>0</v>
      </c>
      <c r="D5" s="137">
        <v>1</v>
      </c>
      <c r="E5" s="137">
        <v>2</v>
      </c>
      <c r="F5" s="137">
        <v>3</v>
      </c>
      <c r="G5" s="137">
        <v>4</v>
      </c>
    </row>
    <row r="6" spans="2:10" ht="17" thickBot="1">
      <c r="B6" s="127" t="s">
        <v>135</v>
      </c>
      <c r="C6" s="138">
        <f>(1+$C$3)^C5</f>
        <v>1</v>
      </c>
      <c r="D6" s="138">
        <f>(1+$C$3)^D5</f>
        <v>1.1200000000000001</v>
      </c>
      <c r="E6" s="138">
        <f>(1+$C$3)^E5</f>
        <v>1.2544000000000002</v>
      </c>
      <c r="F6" s="138">
        <f>(1+$C$3)^F5</f>
        <v>1.4049280000000004</v>
      </c>
      <c r="G6" s="138">
        <f>(1+$C$3)^G5</f>
        <v>1.5735193600000004</v>
      </c>
    </row>
    <row r="7" spans="2:10" ht="16" thickBot="1">
      <c r="B7" s="127" t="s">
        <v>149</v>
      </c>
      <c r="C7" s="139">
        <v>1000</v>
      </c>
      <c r="D7" s="139">
        <v>900</v>
      </c>
      <c r="E7" s="139">
        <v>800</v>
      </c>
      <c r="F7" s="139">
        <v>700</v>
      </c>
      <c r="G7" s="139">
        <v>500</v>
      </c>
    </row>
    <row r="8" spans="2:10" ht="16" thickBot="1">
      <c r="B8" s="127" t="s">
        <v>150</v>
      </c>
      <c r="C8" s="127"/>
      <c r="D8" s="127">
        <v>-8000</v>
      </c>
      <c r="E8" s="127">
        <v>-8200</v>
      </c>
      <c r="F8" s="127">
        <v>-8400</v>
      </c>
      <c r="G8" s="127">
        <v>-8600</v>
      </c>
    </row>
    <row r="9" spans="2:10" ht="16" thickBot="1">
      <c r="B9" s="127" t="s">
        <v>151</v>
      </c>
      <c r="C9" s="139"/>
      <c r="D9" s="139">
        <f>D7/D6</f>
        <v>803.57142857142844</v>
      </c>
      <c r="E9" s="139">
        <f>E7/E6</f>
        <v>637.75510204081627</v>
      </c>
      <c r="F9" s="139">
        <f>F7/F6</f>
        <v>498.2461734693876</v>
      </c>
      <c r="G9" s="139">
        <f>G7/G6</f>
        <v>317.75903920241558</v>
      </c>
    </row>
    <row r="10" spans="2:10" ht="16" thickBot="1">
      <c r="B10" s="127" t="s">
        <v>152</v>
      </c>
      <c r="C10" s="139"/>
      <c r="D10" s="139">
        <f>D8/D6</f>
        <v>-7142.8571428571422</v>
      </c>
      <c r="E10" s="139">
        <f>E8/E6</f>
        <v>-6536.9897959183663</v>
      </c>
      <c r="F10" s="139">
        <f>F8/F6</f>
        <v>-5978.9540816326517</v>
      </c>
      <c r="G10" s="139">
        <f>G8/G6</f>
        <v>-5465.455474281548</v>
      </c>
    </row>
    <row r="11" spans="2:10" ht="16" thickBot="1">
      <c r="B11" s="127" t="s">
        <v>153</v>
      </c>
      <c r="C11" s="139">
        <f>-C7</f>
        <v>-1000</v>
      </c>
      <c r="D11" s="139">
        <f>C11+D10+D9-C9</f>
        <v>-7339.2857142857138</v>
      </c>
      <c r="E11" s="139">
        <f>D11+E10+E9-D9</f>
        <v>-14042.091836734693</v>
      </c>
      <c r="F11" s="139">
        <f>E11+F10+F9-E9</f>
        <v>-20160.554846938776</v>
      </c>
      <c r="G11" s="139">
        <f>F11+G10+G9-F9</f>
        <v>-25806.497455487297</v>
      </c>
    </row>
    <row r="12" spans="2:10" ht="16" thickBot="1">
      <c r="B12" s="127" t="s">
        <v>154</v>
      </c>
      <c r="C12" s="139"/>
      <c r="D12" s="139">
        <f>PMT($C$3,D5,D11)</f>
        <v>8220</v>
      </c>
      <c r="E12" s="139">
        <f>PMT($C$3,E5,E11)</f>
        <v>8308.6792452830196</v>
      </c>
      <c r="F12" s="139">
        <f>PMT($C$3,F5,F11)</f>
        <v>8393.8264580369851</v>
      </c>
      <c r="G12" s="139">
        <f>PMT($C$3,G5,G11)</f>
        <v>8496.3876427815812</v>
      </c>
    </row>
    <row r="14" spans="2:10">
      <c r="D14" s="89" t="s">
        <v>155</v>
      </c>
    </row>
    <row r="15" spans="2:10" ht="10" customHeight="1" thickBot="1"/>
    <row r="16" spans="2:10" ht="16" thickBot="1">
      <c r="B16" s="127" t="s">
        <v>134</v>
      </c>
      <c r="C16" s="137">
        <v>0</v>
      </c>
      <c r="D16" s="137">
        <v>1</v>
      </c>
      <c r="E16" s="137">
        <v>2</v>
      </c>
      <c r="F16" s="137">
        <v>3</v>
      </c>
      <c r="G16" s="137">
        <v>4</v>
      </c>
      <c r="H16" s="29"/>
      <c r="I16" s="29"/>
      <c r="J16" s="29"/>
    </row>
    <row r="17" spans="2:10" ht="17" thickBot="1">
      <c r="B17" s="127" t="s">
        <v>135</v>
      </c>
      <c r="C17" s="138">
        <f>(1+$C$3)^C16</f>
        <v>1</v>
      </c>
      <c r="D17" s="138">
        <f>(1+$C$3)^D16</f>
        <v>1.1200000000000001</v>
      </c>
      <c r="E17" s="138">
        <f>(1+$C$3)^E16</f>
        <v>1.2544000000000002</v>
      </c>
      <c r="F17" s="138">
        <f>(1+$C$3)^F16</f>
        <v>1.4049280000000004</v>
      </c>
      <c r="G17" s="138">
        <f>(1+$C$3)^G16</f>
        <v>1.5735193600000004</v>
      </c>
      <c r="H17" s="142"/>
      <c r="I17" s="142"/>
      <c r="J17" s="142"/>
    </row>
    <row r="18" spans="2:10" ht="16" thickBot="1">
      <c r="B18" s="127" t="s">
        <v>149</v>
      </c>
      <c r="C18" s="139">
        <v>10000</v>
      </c>
      <c r="D18" s="139">
        <f>C18*0.85</f>
        <v>8500</v>
      </c>
      <c r="E18" s="139">
        <f>D18*0.85</f>
        <v>7225</v>
      </c>
      <c r="F18" s="139">
        <f>E18*0.85</f>
        <v>6141.25</v>
      </c>
      <c r="G18" s="139">
        <f>F18*0.85</f>
        <v>5220.0625</v>
      </c>
      <c r="H18" s="121"/>
      <c r="I18" s="121"/>
      <c r="J18" s="121"/>
    </row>
    <row r="19" spans="2:10" ht="16" thickBot="1">
      <c r="B19" s="127" t="s">
        <v>150</v>
      </c>
      <c r="C19" s="127"/>
      <c r="D19" s="127">
        <v>-5000</v>
      </c>
      <c r="E19" s="127">
        <v>-5150</v>
      </c>
      <c r="F19" s="127">
        <v>-5300</v>
      </c>
      <c r="G19" s="127">
        <v>-5450</v>
      </c>
    </row>
    <row r="20" spans="2:10" ht="16" thickBot="1">
      <c r="B20" s="127" t="s">
        <v>151</v>
      </c>
      <c r="C20" s="139"/>
      <c r="D20" s="139">
        <f>D18/D17</f>
        <v>7589.2857142857138</v>
      </c>
      <c r="E20" s="139">
        <f>E18/E17</f>
        <v>5759.7257653061215</v>
      </c>
      <c r="F20" s="139">
        <f>F18/F17</f>
        <v>4371.2204468841092</v>
      </c>
      <c r="G20" s="139">
        <f>G18/G17</f>
        <v>3317.444089153119</v>
      </c>
      <c r="H20" s="121"/>
      <c r="I20" s="121"/>
      <c r="J20" s="121"/>
    </row>
    <row r="21" spans="2:10" ht="16" thickBot="1">
      <c r="B21" s="127" t="s">
        <v>152</v>
      </c>
      <c r="C21" s="139"/>
      <c r="D21" s="139">
        <f>D19/D17</f>
        <v>-4464.2857142857138</v>
      </c>
      <c r="E21" s="139">
        <f>E19/E17</f>
        <v>-4105.5484693877543</v>
      </c>
      <c r="F21" s="139">
        <f>F19/F17</f>
        <v>-3772.4353134110775</v>
      </c>
      <c r="G21" s="139">
        <f>G19/G17</f>
        <v>-3463.5735273063301</v>
      </c>
      <c r="H21" s="121"/>
      <c r="I21" s="121"/>
      <c r="J21" s="121"/>
    </row>
    <row r="22" spans="2:10" ht="16" thickBot="1">
      <c r="B22" s="127" t="s">
        <v>153</v>
      </c>
      <c r="C22" s="139">
        <f>-C18</f>
        <v>-10000</v>
      </c>
      <c r="D22" s="139">
        <f>C22+D21+D20-C20</f>
        <v>-6875</v>
      </c>
      <c r="E22" s="139">
        <f>D22+E21+E20-D20</f>
        <v>-12810.108418367348</v>
      </c>
      <c r="F22" s="139">
        <f>E22+F21+F20-E20</f>
        <v>-17971.04905020044</v>
      </c>
      <c r="G22" s="139">
        <f>F22+G21+G20-F20</f>
        <v>-22488.398935237758</v>
      </c>
      <c r="H22" s="121"/>
      <c r="I22" s="121"/>
      <c r="J22" s="121"/>
    </row>
    <row r="23" spans="2:10" ht="16" thickBot="1">
      <c r="B23" s="127" t="s">
        <v>154</v>
      </c>
      <c r="C23" s="139"/>
      <c r="D23" s="139">
        <f>PMT($C$3,D16,D22)</f>
        <v>7700</v>
      </c>
      <c r="E23" s="139">
        <f>PMT($C$3,E16,E22)</f>
        <v>7579.7169811320773</v>
      </c>
      <c r="F23" s="139">
        <f>PMT($C$3,F16,F22)</f>
        <v>7482.2279516358476</v>
      </c>
      <c r="G23" s="139">
        <f>PMT($C$3,G16,G22)</f>
        <v>7403.9553468604799</v>
      </c>
      <c r="H23" s="121"/>
      <c r="I23" s="121"/>
      <c r="J23" s="1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9561-24CA-2144-80E2-FE494ACACC23}">
  <dimension ref="B3:N22"/>
  <sheetViews>
    <sheetView topLeftCell="A2" workbookViewId="0">
      <selection activeCell="L35" sqref="L35"/>
    </sheetView>
  </sheetViews>
  <sheetFormatPr baseColWidth="10" defaultColWidth="8.83203125" defaultRowHeight="15"/>
  <cols>
    <col min="2" max="2" width="12.1640625" style="29" bestFit="1" customWidth="1"/>
    <col min="3" max="3" width="11.6640625" bestFit="1" customWidth="1"/>
    <col min="12" max="12" width="18.33203125" bestFit="1" customWidth="1"/>
    <col min="13" max="13" width="21.6640625" bestFit="1" customWidth="1"/>
    <col min="14" max="14" width="19.83203125" bestFit="1" customWidth="1"/>
  </cols>
  <sheetData>
    <row r="3" spans="2:14" ht="16" thickBot="1">
      <c r="C3" s="1">
        <v>0.1</v>
      </c>
      <c r="J3" s="29"/>
    </row>
    <row r="4" spans="2:14" ht="16" thickBot="1">
      <c r="B4" s="184"/>
      <c r="C4" s="185"/>
      <c r="D4" s="369" t="s">
        <v>165</v>
      </c>
      <c r="E4" s="370"/>
      <c r="F4" s="370"/>
      <c r="G4" s="371"/>
      <c r="K4" s="372" t="s">
        <v>8</v>
      </c>
      <c r="L4" s="372" t="s">
        <v>236</v>
      </c>
      <c r="M4" s="186" t="s">
        <v>237</v>
      </c>
      <c r="N4" s="374" t="s">
        <v>238</v>
      </c>
    </row>
    <row r="5" spans="2:14" ht="16" thickBot="1">
      <c r="B5" s="187"/>
      <c r="C5" s="188"/>
      <c r="D5" s="189">
        <v>0</v>
      </c>
      <c r="E5" s="189">
        <v>1</v>
      </c>
      <c r="F5" s="189">
        <v>2</v>
      </c>
      <c r="G5" s="190">
        <v>3</v>
      </c>
      <c r="K5" s="373"/>
      <c r="L5" s="373"/>
      <c r="M5" s="191" t="s">
        <v>239</v>
      </c>
      <c r="N5" s="375"/>
    </row>
    <row r="6" spans="2:14" ht="16" thickBot="1">
      <c r="B6" s="192" t="s">
        <v>12</v>
      </c>
      <c r="C6" s="193" t="s">
        <v>240</v>
      </c>
      <c r="D6" s="194">
        <v>1</v>
      </c>
      <c r="E6" s="194">
        <f>(1+$C$3)^E5</f>
        <v>1.1000000000000001</v>
      </c>
      <c r="F6" s="194">
        <f t="shared" ref="F6:G6" si="0">(1+$C$3)^F5</f>
        <v>1.2100000000000002</v>
      </c>
      <c r="G6" s="195">
        <f t="shared" si="0"/>
        <v>1.3310000000000004</v>
      </c>
      <c r="K6" s="196">
        <v>1</v>
      </c>
      <c r="L6" s="197">
        <v>240</v>
      </c>
      <c r="M6" s="198">
        <v>300</v>
      </c>
      <c r="N6" s="199">
        <v>80</v>
      </c>
    </row>
    <row r="7" spans="2:14" ht="16" thickBot="1">
      <c r="B7" s="192" t="s">
        <v>13</v>
      </c>
      <c r="C7" s="193" t="s">
        <v>136</v>
      </c>
      <c r="D7" s="194">
        <v>400</v>
      </c>
      <c r="E7" s="200">
        <v>250</v>
      </c>
      <c r="F7" s="200">
        <v>200</v>
      </c>
      <c r="G7" s="201">
        <v>120</v>
      </c>
      <c r="K7" s="202">
        <v>2</v>
      </c>
      <c r="L7" s="203">
        <v>220</v>
      </c>
      <c r="M7" s="198">
        <v>200</v>
      </c>
      <c r="N7" s="199">
        <v>100</v>
      </c>
    </row>
    <row r="8" spans="2:14" ht="16" thickBot="1">
      <c r="B8" s="192" t="s">
        <v>241</v>
      </c>
      <c r="C8" s="193" t="s">
        <v>242</v>
      </c>
      <c r="D8" s="200">
        <v>0</v>
      </c>
      <c r="E8" s="200">
        <v>80</v>
      </c>
      <c r="F8" s="200">
        <v>100</v>
      </c>
      <c r="G8" s="201">
        <v>110</v>
      </c>
      <c r="K8" s="197">
        <v>3</v>
      </c>
      <c r="L8" s="198">
        <v>200</v>
      </c>
      <c r="M8" s="199">
        <v>100</v>
      </c>
      <c r="N8" s="199">
        <v>120</v>
      </c>
    </row>
    <row r="9" spans="2:14">
      <c r="B9" s="192" t="s">
        <v>243</v>
      </c>
      <c r="C9" s="193" t="s">
        <v>244</v>
      </c>
      <c r="D9" s="194">
        <v>0</v>
      </c>
      <c r="E9" s="200">
        <v>300</v>
      </c>
      <c r="F9" s="200">
        <v>200</v>
      </c>
      <c r="G9" s="201">
        <v>100</v>
      </c>
    </row>
    <row r="10" spans="2:14">
      <c r="B10" s="192" t="s">
        <v>245</v>
      </c>
      <c r="C10" s="193" t="s">
        <v>246</v>
      </c>
      <c r="D10" s="200">
        <f>D7+D9-D8</f>
        <v>400</v>
      </c>
      <c r="E10" s="200">
        <f>E7+E9-E8</f>
        <v>470</v>
      </c>
      <c r="F10" s="200">
        <f t="shared" ref="F10:G10" si="1">F7+F9-F8</f>
        <v>300</v>
      </c>
      <c r="G10" s="201">
        <f t="shared" si="1"/>
        <v>110</v>
      </c>
    </row>
    <row r="11" spans="2:14">
      <c r="B11" s="192" t="s">
        <v>247</v>
      </c>
      <c r="C11" s="193" t="s">
        <v>248</v>
      </c>
      <c r="D11" s="194"/>
      <c r="E11" s="204">
        <f>E10/E6</f>
        <v>427.27272727272725</v>
      </c>
      <c r="F11" s="204">
        <f>F10/F6</f>
        <v>247.93388429752062</v>
      </c>
      <c r="G11" s="205">
        <f t="shared" ref="G11" si="2">G10/G6</f>
        <v>82.644628099173531</v>
      </c>
    </row>
    <row r="12" spans="2:14" ht="16" thickBot="1">
      <c r="B12" s="206" t="s">
        <v>249</v>
      </c>
      <c r="C12" s="207" t="s">
        <v>250</v>
      </c>
      <c r="D12" s="208"/>
      <c r="E12" s="209">
        <f>-D7+E11</f>
        <v>27.272727272727252</v>
      </c>
      <c r="F12" s="210">
        <f>-E7+F11</f>
        <v>-2.0661157024793795</v>
      </c>
      <c r="G12" s="211">
        <f>-F7+G11</f>
        <v>-117.35537190082647</v>
      </c>
    </row>
    <row r="13" spans="2:14">
      <c r="B13" s="212"/>
      <c r="C13" s="213"/>
      <c r="D13" s="214"/>
      <c r="E13" s="214"/>
      <c r="F13" s="214"/>
      <c r="G13" s="214"/>
    </row>
    <row r="14" spans="2:14">
      <c r="D14" s="29"/>
      <c r="E14" s="215"/>
      <c r="F14" s="215"/>
      <c r="G14" s="215"/>
    </row>
    <row r="15" spans="2:14">
      <c r="E15" s="80"/>
      <c r="F15" s="80"/>
      <c r="G15" s="80"/>
    </row>
    <row r="16" spans="2:14">
      <c r="D16" s="215"/>
      <c r="E16" s="215"/>
      <c r="F16" s="215"/>
      <c r="G16" s="215"/>
    </row>
    <row r="17" spans="3:6" ht="15" customHeight="1">
      <c r="C17" s="216"/>
      <c r="D17" s="216"/>
      <c r="E17" s="217"/>
    </row>
    <row r="18" spans="3:6">
      <c r="C18" s="216"/>
      <c r="D18" s="216"/>
      <c r="E18" s="217"/>
    </row>
    <row r="19" spans="3:6">
      <c r="C19" s="216"/>
      <c r="D19" s="216"/>
      <c r="E19" s="218"/>
    </row>
    <row r="21" spans="3:6">
      <c r="F21" s="121"/>
    </row>
    <row r="22" spans="3:6">
      <c r="F22" s="121"/>
    </row>
  </sheetData>
  <mergeCells count="4">
    <mergeCell ref="D4:G4"/>
    <mergeCell ref="K4:K5"/>
    <mergeCell ref="L4:L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8862-DF6B-374A-A5DF-88D74534C4F4}">
  <dimension ref="A1:J23"/>
  <sheetViews>
    <sheetView workbookViewId="0">
      <selection activeCell="B20" sqref="B20"/>
    </sheetView>
  </sheetViews>
  <sheetFormatPr baseColWidth="10" defaultRowHeight="15"/>
  <cols>
    <col min="1" max="6" width="8.83203125" customWidth="1"/>
    <col min="7" max="7" width="14.5" bestFit="1" customWidth="1"/>
    <col min="8" max="8" width="17.6640625" customWidth="1"/>
    <col min="9" max="9" width="9.5" bestFit="1" customWidth="1"/>
    <col min="10" max="10" width="15.5" bestFit="1" customWidth="1"/>
    <col min="11" max="262" width="8.83203125" customWidth="1"/>
    <col min="263" max="263" width="14.5" bestFit="1" customWidth="1"/>
    <col min="264" max="264" width="17.6640625" customWidth="1"/>
    <col min="265" max="265" width="9.5" bestFit="1" customWidth="1"/>
    <col min="266" max="266" width="15.5" bestFit="1" customWidth="1"/>
    <col min="267" max="518" width="8.83203125" customWidth="1"/>
    <col min="519" max="519" width="14.5" bestFit="1" customWidth="1"/>
    <col min="520" max="520" width="17.6640625" customWidth="1"/>
    <col min="521" max="521" width="9.5" bestFit="1" customWidth="1"/>
    <col min="522" max="522" width="15.5" bestFit="1" customWidth="1"/>
    <col min="523" max="774" width="8.83203125" customWidth="1"/>
    <col min="775" max="775" width="14.5" bestFit="1" customWidth="1"/>
    <col min="776" max="776" width="17.6640625" customWidth="1"/>
    <col min="777" max="777" width="9.5" bestFit="1" customWidth="1"/>
    <col min="778" max="778" width="15.5" bestFit="1" customWidth="1"/>
    <col min="779" max="1030" width="8.83203125" customWidth="1"/>
    <col min="1031" max="1031" width="14.5" bestFit="1" customWidth="1"/>
    <col min="1032" max="1032" width="17.6640625" customWidth="1"/>
    <col min="1033" max="1033" width="9.5" bestFit="1" customWidth="1"/>
    <col min="1034" max="1034" width="15.5" bestFit="1" customWidth="1"/>
    <col min="1035" max="1286" width="8.83203125" customWidth="1"/>
    <col min="1287" max="1287" width="14.5" bestFit="1" customWidth="1"/>
    <col min="1288" max="1288" width="17.6640625" customWidth="1"/>
    <col min="1289" max="1289" width="9.5" bestFit="1" customWidth="1"/>
    <col min="1290" max="1290" width="15.5" bestFit="1" customWidth="1"/>
    <col min="1291" max="1542" width="8.83203125" customWidth="1"/>
    <col min="1543" max="1543" width="14.5" bestFit="1" customWidth="1"/>
    <col min="1544" max="1544" width="17.6640625" customWidth="1"/>
    <col min="1545" max="1545" width="9.5" bestFit="1" customWidth="1"/>
    <col min="1546" max="1546" width="15.5" bestFit="1" customWidth="1"/>
    <col min="1547" max="1798" width="8.83203125" customWidth="1"/>
    <col min="1799" max="1799" width="14.5" bestFit="1" customWidth="1"/>
    <col min="1800" max="1800" width="17.6640625" customWidth="1"/>
    <col min="1801" max="1801" width="9.5" bestFit="1" customWidth="1"/>
    <col min="1802" max="1802" width="15.5" bestFit="1" customWidth="1"/>
    <col min="1803" max="2054" width="8.83203125" customWidth="1"/>
    <col min="2055" max="2055" width="14.5" bestFit="1" customWidth="1"/>
    <col min="2056" max="2056" width="17.6640625" customWidth="1"/>
    <col min="2057" max="2057" width="9.5" bestFit="1" customWidth="1"/>
    <col min="2058" max="2058" width="15.5" bestFit="1" customWidth="1"/>
    <col min="2059" max="2310" width="8.83203125" customWidth="1"/>
    <col min="2311" max="2311" width="14.5" bestFit="1" customWidth="1"/>
    <col min="2312" max="2312" width="17.6640625" customWidth="1"/>
    <col min="2313" max="2313" width="9.5" bestFit="1" customWidth="1"/>
    <col min="2314" max="2314" width="15.5" bestFit="1" customWidth="1"/>
    <col min="2315" max="2566" width="8.83203125" customWidth="1"/>
    <col min="2567" max="2567" width="14.5" bestFit="1" customWidth="1"/>
    <col min="2568" max="2568" width="17.6640625" customWidth="1"/>
    <col min="2569" max="2569" width="9.5" bestFit="1" customWidth="1"/>
    <col min="2570" max="2570" width="15.5" bestFit="1" customWidth="1"/>
    <col min="2571" max="2822" width="8.83203125" customWidth="1"/>
    <col min="2823" max="2823" width="14.5" bestFit="1" customWidth="1"/>
    <col min="2824" max="2824" width="17.6640625" customWidth="1"/>
    <col min="2825" max="2825" width="9.5" bestFit="1" customWidth="1"/>
    <col min="2826" max="2826" width="15.5" bestFit="1" customWidth="1"/>
    <col min="2827" max="3078" width="8.83203125" customWidth="1"/>
    <col min="3079" max="3079" width="14.5" bestFit="1" customWidth="1"/>
    <col min="3080" max="3080" width="17.6640625" customWidth="1"/>
    <col min="3081" max="3081" width="9.5" bestFit="1" customWidth="1"/>
    <col min="3082" max="3082" width="15.5" bestFit="1" customWidth="1"/>
    <col min="3083" max="3334" width="8.83203125" customWidth="1"/>
    <col min="3335" max="3335" width="14.5" bestFit="1" customWidth="1"/>
    <col min="3336" max="3336" width="17.6640625" customWidth="1"/>
    <col min="3337" max="3337" width="9.5" bestFit="1" customWidth="1"/>
    <col min="3338" max="3338" width="15.5" bestFit="1" customWidth="1"/>
    <col min="3339" max="3590" width="8.83203125" customWidth="1"/>
    <col min="3591" max="3591" width="14.5" bestFit="1" customWidth="1"/>
    <col min="3592" max="3592" width="17.6640625" customWidth="1"/>
    <col min="3593" max="3593" width="9.5" bestFit="1" customWidth="1"/>
    <col min="3594" max="3594" width="15.5" bestFit="1" customWidth="1"/>
    <col min="3595" max="3846" width="8.83203125" customWidth="1"/>
    <col min="3847" max="3847" width="14.5" bestFit="1" customWidth="1"/>
    <col min="3848" max="3848" width="17.6640625" customWidth="1"/>
    <col min="3849" max="3849" width="9.5" bestFit="1" customWidth="1"/>
    <col min="3850" max="3850" width="15.5" bestFit="1" customWidth="1"/>
    <col min="3851" max="4102" width="8.83203125" customWidth="1"/>
    <col min="4103" max="4103" width="14.5" bestFit="1" customWidth="1"/>
    <col min="4104" max="4104" width="17.6640625" customWidth="1"/>
    <col min="4105" max="4105" width="9.5" bestFit="1" customWidth="1"/>
    <col min="4106" max="4106" width="15.5" bestFit="1" customWidth="1"/>
    <col min="4107" max="4358" width="8.83203125" customWidth="1"/>
    <col min="4359" max="4359" width="14.5" bestFit="1" customWidth="1"/>
    <col min="4360" max="4360" width="17.6640625" customWidth="1"/>
    <col min="4361" max="4361" width="9.5" bestFit="1" customWidth="1"/>
    <col min="4362" max="4362" width="15.5" bestFit="1" customWidth="1"/>
    <col min="4363" max="4614" width="8.83203125" customWidth="1"/>
    <col min="4615" max="4615" width="14.5" bestFit="1" customWidth="1"/>
    <col min="4616" max="4616" width="17.6640625" customWidth="1"/>
    <col min="4617" max="4617" width="9.5" bestFit="1" customWidth="1"/>
    <col min="4618" max="4618" width="15.5" bestFit="1" customWidth="1"/>
    <col min="4619" max="4870" width="8.83203125" customWidth="1"/>
    <col min="4871" max="4871" width="14.5" bestFit="1" customWidth="1"/>
    <col min="4872" max="4872" width="17.6640625" customWidth="1"/>
    <col min="4873" max="4873" width="9.5" bestFit="1" customWidth="1"/>
    <col min="4874" max="4874" width="15.5" bestFit="1" customWidth="1"/>
    <col min="4875" max="5126" width="8.83203125" customWidth="1"/>
    <col min="5127" max="5127" width="14.5" bestFit="1" customWidth="1"/>
    <col min="5128" max="5128" width="17.6640625" customWidth="1"/>
    <col min="5129" max="5129" width="9.5" bestFit="1" customWidth="1"/>
    <col min="5130" max="5130" width="15.5" bestFit="1" customWidth="1"/>
    <col min="5131" max="5382" width="8.83203125" customWidth="1"/>
    <col min="5383" max="5383" width="14.5" bestFit="1" customWidth="1"/>
    <col min="5384" max="5384" width="17.6640625" customWidth="1"/>
    <col min="5385" max="5385" width="9.5" bestFit="1" customWidth="1"/>
    <col min="5386" max="5386" width="15.5" bestFit="1" customWidth="1"/>
    <col min="5387" max="5638" width="8.83203125" customWidth="1"/>
    <col min="5639" max="5639" width="14.5" bestFit="1" customWidth="1"/>
    <col min="5640" max="5640" width="17.6640625" customWidth="1"/>
    <col min="5641" max="5641" width="9.5" bestFit="1" customWidth="1"/>
    <col min="5642" max="5642" width="15.5" bestFit="1" customWidth="1"/>
    <col min="5643" max="5894" width="8.83203125" customWidth="1"/>
    <col min="5895" max="5895" width="14.5" bestFit="1" customWidth="1"/>
    <col min="5896" max="5896" width="17.6640625" customWidth="1"/>
    <col min="5897" max="5897" width="9.5" bestFit="1" customWidth="1"/>
    <col min="5898" max="5898" width="15.5" bestFit="1" customWidth="1"/>
    <col min="5899" max="6150" width="8.83203125" customWidth="1"/>
    <col min="6151" max="6151" width="14.5" bestFit="1" customWidth="1"/>
    <col min="6152" max="6152" width="17.6640625" customWidth="1"/>
    <col min="6153" max="6153" width="9.5" bestFit="1" customWidth="1"/>
    <col min="6154" max="6154" width="15.5" bestFit="1" customWidth="1"/>
    <col min="6155" max="6406" width="8.83203125" customWidth="1"/>
    <col min="6407" max="6407" width="14.5" bestFit="1" customWidth="1"/>
    <col min="6408" max="6408" width="17.6640625" customWidth="1"/>
    <col min="6409" max="6409" width="9.5" bestFit="1" customWidth="1"/>
    <col min="6410" max="6410" width="15.5" bestFit="1" customWidth="1"/>
    <col min="6411" max="6662" width="8.83203125" customWidth="1"/>
    <col min="6663" max="6663" width="14.5" bestFit="1" customWidth="1"/>
    <col min="6664" max="6664" width="17.6640625" customWidth="1"/>
    <col min="6665" max="6665" width="9.5" bestFit="1" customWidth="1"/>
    <col min="6666" max="6666" width="15.5" bestFit="1" customWidth="1"/>
    <col min="6667" max="6918" width="8.83203125" customWidth="1"/>
    <col min="6919" max="6919" width="14.5" bestFit="1" customWidth="1"/>
    <col min="6920" max="6920" width="17.6640625" customWidth="1"/>
    <col min="6921" max="6921" width="9.5" bestFit="1" customWidth="1"/>
    <col min="6922" max="6922" width="15.5" bestFit="1" customWidth="1"/>
    <col min="6923" max="7174" width="8.83203125" customWidth="1"/>
    <col min="7175" max="7175" width="14.5" bestFit="1" customWidth="1"/>
    <col min="7176" max="7176" width="17.6640625" customWidth="1"/>
    <col min="7177" max="7177" width="9.5" bestFit="1" customWidth="1"/>
    <col min="7178" max="7178" width="15.5" bestFit="1" customWidth="1"/>
    <col min="7179" max="7430" width="8.83203125" customWidth="1"/>
    <col min="7431" max="7431" width="14.5" bestFit="1" customWidth="1"/>
    <col min="7432" max="7432" width="17.6640625" customWidth="1"/>
    <col min="7433" max="7433" width="9.5" bestFit="1" customWidth="1"/>
    <col min="7434" max="7434" width="15.5" bestFit="1" customWidth="1"/>
    <col min="7435" max="7686" width="8.83203125" customWidth="1"/>
    <col min="7687" max="7687" width="14.5" bestFit="1" customWidth="1"/>
    <col min="7688" max="7688" width="17.6640625" customWidth="1"/>
    <col min="7689" max="7689" width="9.5" bestFit="1" customWidth="1"/>
    <col min="7690" max="7690" width="15.5" bestFit="1" customWidth="1"/>
    <col min="7691" max="7942" width="8.83203125" customWidth="1"/>
    <col min="7943" max="7943" width="14.5" bestFit="1" customWidth="1"/>
    <col min="7944" max="7944" width="17.6640625" customWidth="1"/>
    <col min="7945" max="7945" width="9.5" bestFit="1" customWidth="1"/>
    <col min="7946" max="7946" width="15.5" bestFit="1" customWidth="1"/>
    <col min="7947" max="8198" width="8.83203125" customWidth="1"/>
    <col min="8199" max="8199" width="14.5" bestFit="1" customWidth="1"/>
    <col min="8200" max="8200" width="17.6640625" customWidth="1"/>
    <col min="8201" max="8201" width="9.5" bestFit="1" customWidth="1"/>
    <col min="8202" max="8202" width="15.5" bestFit="1" customWidth="1"/>
    <col min="8203" max="8454" width="8.83203125" customWidth="1"/>
    <col min="8455" max="8455" width="14.5" bestFit="1" customWidth="1"/>
    <col min="8456" max="8456" width="17.6640625" customWidth="1"/>
    <col min="8457" max="8457" width="9.5" bestFit="1" customWidth="1"/>
    <col min="8458" max="8458" width="15.5" bestFit="1" customWidth="1"/>
    <col min="8459" max="8710" width="8.83203125" customWidth="1"/>
    <col min="8711" max="8711" width="14.5" bestFit="1" customWidth="1"/>
    <col min="8712" max="8712" width="17.6640625" customWidth="1"/>
    <col min="8713" max="8713" width="9.5" bestFit="1" customWidth="1"/>
    <col min="8714" max="8714" width="15.5" bestFit="1" customWidth="1"/>
    <col min="8715" max="8966" width="8.83203125" customWidth="1"/>
    <col min="8967" max="8967" width="14.5" bestFit="1" customWidth="1"/>
    <col min="8968" max="8968" width="17.6640625" customWidth="1"/>
    <col min="8969" max="8969" width="9.5" bestFit="1" customWidth="1"/>
    <col min="8970" max="8970" width="15.5" bestFit="1" customWidth="1"/>
    <col min="8971" max="9222" width="8.83203125" customWidth="1"/>
    <col min="9223" max="9223" width="14.5" bestFit="1" customWidth="1"/>
    <col min="9224" max="9224" width="17.6640625" customWidth="1"/>
    <col min="9225" max="9225" width="9.5" bestFit="1" customWidth="1"/>
    <col min="9226" max="9226" width="15.5" bestFit="1" customWidth="1"/>
    <col min="9227" max="9478" width="8.83203125" customWidth="1"/>
    <col min="9479" max="9479" width="14.5" bestFit="1" customWidth="1"/>
    <col min="9480" max="9480" width="17.6640625" customWidth="1"/>
    <col min="9481" max="9481" width="9.5" bestFit="1" customWidth="1"/>
    <col min="9482" max="9482" width="15.5" bestFit="1" customWidth="1"/>
    <col min="9483" max="9734" width="8.83203125" customWidth="1"/>
    <col min="9735" max="9735" width="14.5" bestFit="1" customWidth="1"/>
    <col min="9736" max="9736" width="17.6640625" customWidth="1"/>
    <col min="9737" max="9737" width="9.5" bestFit="1" customWidth="1"/>
    <col min="9738" max="9738" width="15.5" bestFit="1" customWidth="1"/>
    <col min="9739" max="9990" width="8.83203125" customWidth="1"/>
    <col min="9991" max="9991" width="14.5" bestFit="1" customWidth="1"/>
    <col min="9992" max="9992" width="17.6640625" customWidth="1"/>
    <col min="9993" max="9993" width="9.5" bestFit="1" customWidth="1"/>
    <col min="9994" max="9994" width="15.5" bestFit="1" customWidth="1"/>
    <col min="9995" max="10246" width="8.83203125" customWidth="1"/>
    <col min="10247" max="10247" width="14.5" bestFit="1" customWidth="1"/>
    <col min="10248" max="10248" width="17.6640625" customWidth="1"/>
    <col min="10249" max="10249" width="9.5" bestFit="1" customWidth="1"/>
    <col min="10250" max="10250" width="15.5" bestFit="1" customWidth="1"/>
    <col min="10251" max="10502" width="8.83203125" customWidth="1"/>
    <col min="10503" max="10503" width="14.5" bestFit="1" customWidth="1"/>
    <col min="10504" max="10504" width="17.6640625" customWidth="1"/>
    <col min="10505" max="10505" width="9.5" bestFit="1" customWidth="1"/>
    <col min="10506" max="10506" width="15.5" bestFit="1" customWidth="1"/>
    <col min="10507" max="10758" width="8.83203125" customWidth="1"/>
    <col min="10759" max="10759" width="14.5" bestFit="1" customWidth="1"/>
    <col min="10760" max="10760" width="17.6640625" customWidth="1"/>
    <col min="10761" max="10761" width="9.5" bestFit="1" customWidth="1"/>
    <col min="10762" max="10762" width="15.5" bestFit="1" customWidth="1"/>
    <col min="10763" max="11014" width="8.83203125" customWidth="1"/>
    <col min="11015" max="11015" width="14.5" bestFit="1" customWidth="1"/>
    <col min="11016" max="11016" width="17.6640625" customWidth="1"/>
    <col min="11017" max="11017" width="9.5" bestFit="1" customWidth="1"/>
    <col min="11018" max="11018" width="15.5" bestFit="1" customWidth="1"/>
    <col min="11019" max="11270" width="8.83203125" customWidth="1"/>
    <col min="11271" max="11271" width="14.5" bestFit="1" customWidth="1"/>
    <col min="11272" max="11272" width="17.6640625" customWidth="1"/>
    <col min="11273" max="11273" width="9.5" bestFit="1" customWidth="1"/>
    <col min="11274" max="11274" width="15.5" bestFit="1" customWidth="1"/>
    <col min="11275" max="11526" width="8.83203125" customWidth="1"/>
    <col min="11527" max="11527" width="14.5" bestFit="1" customWidth="1"/>
    <col min="11528" max="11528" width="17.6640625" customWidth="1"/>
    <col min="11529" max="11529" width="9.5" bestFit="1" customWidth="1"/>
    <col min="11530" max="11530" width="15.5" bestFit="1" customWidth="1"/>
    <col min="11531" max="11782" width="8.83203125" customWidth="1"/>
    <col min="11783" max="11783" width="14.5" bestFit="1" customWidth="1"/>
    <col min="11784" max="11784" width="17.6640625" customWidth="1"/>
    <col min="11785" max="11785" width="9.5" bestFit="1" customWidth="1"/>
    <col min="11786" max="11786" width="15.5" bestFit="1" customWidth="1"/>
    <col min="11787" max="12038" width="8.83203125" customWidth="1"/>
    <col min="12039" max="12039" width="14.5" bestFit="1" customWidth="1"/>
    <col min="12040" max="12040" width="17.6640625" customWidth="1"/>
    <col min="12041" max="12041" width="9.5" bestFit="1" customWidth="1"/>
    <col min="12042" max="12042" width="15.5" bestFit="1" customWidth="1"/>
    <col min="12043" max="12294" width="8.83203125" customWidth="1"/>
    <col min="12295" max="12295" width="14.5" bestFit="1" customWidth="1"/>
    <col min="12296" max="12296" width="17.6640625" customWidth="1"/>
    <col min="12297" max="12297" width="9.5" bestFit="1" customWidth="1"/>
    <col min="12298" max="12298" width="15.5" bestFit="1" customWidth="1"/>
    <col min="12299" max="12550" width="8.83203125" customWidth="1"/>
    <col min="12551" max="12551" width="14.5" bestFit="1" customWidth="1"/>
    <col min="12552" max="12552" width="17.6640625" customWidth="1"/>
    <col min="12553" max="12553" width="9.5" bestFit="1" customWidth="1"/>
    <col min="12554" max="12554" width="15.5" bestFit="1" customWidth="1"/>
    <col min="12555" max="12806" width="8.83203125" customWidth="1"/>
    <col min="12807" max="12807" width="14.5" bestFit="1" customWidth="1"/>
    <col min="12808" max="12808" width="17.6640625" customWidth="1"/>
    <col min="12809" max="12809" width="9.5" bestFit="1" customWidth="1"/>
    <col min="12810" max="12810" width="15.5" bestFit="1" customWidth="1"/>
    <col min="12811" max="13062" width="8.83203125" customWidth="1"/>
    <col min="13063" max="13063" width="14.5" bestFit="1" customWidth="1"/>
    <col min="13064" max="13064" width="17.6640625" customWidth="1"/>
    <col min="13065" max="13065" width="9.5" bestFit="1" customWidth="1"/>
    <col min="13066" max="13066" width="15.5" bestFit="1" customWidth="1"/>
    <col min="13067" max="13318" width="8.83203125" customWidth="1"/>
    <col min="13319" max="13319" width="14.5" bestFit="1" customWidth="1"/>
    <col min="13320" max="13320" width="17.6640625" customWidth="1"/>
    <col min="13321" max="13321" width="9.5" bestFit="1" customWidth="1"/>
    <col min="13322" max="13322" width="15.5" bestFit="1" customWidth="1"/>
    <col min="13323" max="13574" width="8.83203125" customWidth="1"/>
    <col min="13575" max="13575" width="14.5" bestFit="1" customWidth="1"/>
    <col min="13576" max="13576" width="17.6640625" customWidth="1"/>
    <col min="13577" max="13577" width="9.5" bestFit="1" customWidth="1"/>
    <col min="13578" max="13578" width="15.5" bestFit="1" customWidth="1"/>
    <col min="13579" max="13830" width="8.83203125" customWidth="1"/>
    <col min="13831" max="13831" width="14.5" bestFit="1" customWidth="1"/>
    <col min="13832" max="13832" width="17.6640625" customWidth="1"/>
    <col min="13833" max="13833" width="9.5" bestFit="1" customWidth="1"/>
    <col min="13834" max="13834" width="15.5" bestFit="1" customWidth="1"/>
    <col min="13835" max="14086" width="8.83203125" customWidth="1"/>
    <col min="14087" max="14087" width="14.5" bestFit="1" customWidth="1"/>
    <col min="14088" max="14088" width="17.6640625" customWidth="1"/>
    <col min="14089" max="14089" width="9.5" bestFit="1" customWidth="1"/>
    <col min="14090" max="14090" width="15.5" bestFit="1" customWidth="1"/>
    <col min="14091" max="14342" width="8.83203125" customWidth="1"/>
    <col min="14343" max="14343" width="14.5" bestFit="1" customWidth="1"/>
    <col min="14344" max="14344" width="17.6640625" customWidth="1"/>
    <col min="14345" max="14345" width="9.5" bestFit="1" customWidth="1"/>
    <col min="14346" max="14346" width="15.5" bestFit="1" customWidth="1"/>
    <col min="14347" max="14598" width="8.83203125" customWidth="1"/>
    <col min="14599" max="14599" width="14.5" bestFit="1" customWidth="1"/>
    <col min="14600" max="14600" width="17.6640625" customWidth="1"/>
    <col min="14601" max="14601" width="9.5" bestFit="1" customWidth="1"/>
    <col min="14602" max="14602" width="15.5" bestFit="1" customWidth="1"/>
    <col min="14603" max="14854" width="8.83203125" customWidth="1"/>
    <col min="14855" max="14855" width="14.5" bestFit="1" customWidth="1"/>
    <col min="14856" max="14856" width="17.6640625" customWidth="1"/>
    <col min="14857" max="14857" width="9.5" bestFit="1" customWidth="1"/>
    <col min="14858" max="14858" width="15.5" bestFit="1" customWidth="1"/>
    <col min="14859" max="15110" width="8.83203125" customWidth="1"/>
    <col min="15111" max="15111" width="14.5" bestFit="1" customWidth="1"/>
    <col min="15112" max="15112" width="17.6640625" customWidth="1"/>
    <col min="15113" max="15113" width="9.5" bestFit="1" customWidth="1"/>
    <col min="15114" max="15114" width="15.5" bestFit="1" customWidth="1"/>
    <col min="15115" max="15366" width="8.83203125" customWidth="1"/>
    <col min="15367" max="15367" width="14.5" bestFit="1" customWidth="1"/>
    <col min="15368" max="15368" width="17.6640625" customWidth="1"/>
    <col min="15369" max="15369" width="9.5" bestFit="1" customWidth="1"/>
    <col min="15370" max="15370" width="15.5" bestFit="1" customWidth="1"/>
    <col min="15371" max="15622" width="8.83203125" customWidth="1"/>
    <col min="15623" max="15623" width="14.5" bestFit="1" customWidth="1"/>
    <col min="15624" max="15624" width="17.6640625" customWidth="1"/>
    <col min="15625" max="15625" width="9.5" bestFit="1" customWidth="1"/>
    <col min="15626" max="15626" width="15.5" bestFit="1" customWidth="1"/>
    <col min="15627" max="15878" width="8.83203125" customWidth="1"/>
    <col min="15879" max="15879" width="14.5" bestFit="1" customWidth="1"/>
    <col min="15880" max="15880" width="17.6640625" customWidth="1"/>
    <col min="15881" max="15881" width="9.5" bestFit="1" customWidth="1"/>
    <col min="15882" max="15882" width="15.5" bestFit="1" customWidth="1"/>
    <col min="15883" max="16134" width="8.83203125" customWidth="1"/>
    <col min="16135" max="16135" width="14.5" bestFit="1" customWidth="1"/>
    <col min="16136" max="16136" width="17.6640625" customWidth="1"/>
    <col min="16137" max="16137" width="9.5" bestFit="1" customWidth="1"/>
    <col min="16138" max="16138" width="15.5" bestFit="1" customWidth="1"/>
    <col min="16139" max="16384" width="8.83203125" customWidth="1"/>
  </cols>
  <sheetData>
    <row r="1" spans="1:10">
      <c r="A1" t="s">
        <v>156</v>
      </c>
      <c r="C1">
        <v>0.5</v>
      </c>
      <c r="D1" t="s">
        <v>157</v>
      </c>
    </row>
    <row r="2" spans="1:10">
      <c r="A2" t="s">
        <v>158</v>
      </c>
      <c r="C2">
        <v>0.25</v>
      </c>
      <c r="D2" t="s">
        <v>157</v>
      </c>
    </row>
    <row r="3" spans="1:10">
      <c r="A3" t="s">
        <v>159</v>
      </c>
      <c r="C3">
        <v>25000000</v>
      </c>
      <c r="D3" t="s">
        <v>160</v>
      </c>
    </row>
    <row r="4" spans="1:10">
      <c r="A4" t="s">
        <v>161</v>
      </c>
      <c r="C4">
        <v>30000000</v>
      </c>
      <c r="D4" t="s">
        <v>162</v>
      </c>
    </row>
    <row r="5" spans="1:10">
      <c r="A5" t="s">
        <v>163</v>
      </c>
      <c r="C5">
        <v>5</v>
      </c>
      <c r="D5" t="s">
        <v>28</v>
      </c>
    </row>
    <row r="6" spans="1:10">
      <c r="A6" t="s">
        <v>164</v>
      </c>
      <c r="E6" s="1">
        <v>0.12</v>
      </c>
    </row>
    <row r="8" spans="1:10">
      <c r="A8" t="s">
        <v>165</v>
      </c>
      <c r="B8" t="s">
        <v>159</v>
      </c>
      <c r="C8" t="s">
        <v>166</v>
      </c>
      <c r="D8" t="s">
        <v>67</v>
      </c>
      <c r="E8" t="s">
        <v>167</v>
      </c>
      <c r="F8" t="s">
        <v>168</v>
      </c>
      <c r="G8" t="s">
        <v>169</v>
      </c>
      <c r="H8" t="s">
        <v>16</v>
      </c>
      <c r="I8" t="s">
        <v>170</v>
      </c>
    </row>
    <row r="9" spans="1:10">
      <c r="A9">
        <v>0</v>
      </c>
      <c r="B9">
        <f>C3</f>
        <v>25000000</v>
      </c>
      <c r="C9">
        <v>0</v>
      </c>
      <c r="D9">
        <f>0</f>
        <v>0</v>
      </c>
      <c r="E9">
        <f>0</f>
        <v>0</v>
      </c>
      <c r="F9">
        <f t="shared" ref="F9:F14" si="0">D9-E9</f>
        <v>0</v>
      </c>
      <c r="G9">
        <f>-B9</f>
        <v>-25000000</v>
      </c>
      <c r="H9">
        <f t="shared" ref="H9:H14" si="1">G9/(1+$E$6)^A9</f>
        <v>-25000000</v>
      </c>
      <c r="I9">
        <f>H9</f>
        <v>-25000000</v>
      </c>
      <c r="J9" s="143"/>
    </row>
    <row r="10" spans="1:10">
      <c r="A10">
        <v>1</v>
      </c>
      <c r="B10">
        <v>0</v>
      </c>
      <c r="C10">
        <f>$B$9/$C$5</f>
        <v>5000000</v>
      </c>
      <c r="D10">
        <f>C1*C4</f>
        <v>15000000</v>
      </c>
      <c r="E10">
        <f>$C$2*$C$4</f>
        <v>7500000</v>
      </c>
      <c r="F10">
        <f t="shared" si="0"/>
        <v>7500000</v>
      </c>
      <c r="G10">
        <f>F10</f>
        <v>7500000</v>
      </c>
      <c r="H10">
        <f t="shared" si="1"/>
        <v>6696428.5714285709</v>
      </c>
      <c r="I10">
        <f>I9+H10</f>
        <v>-18303571.428571429</v>
      </c>
      <c r="J10" s="143"/>
    </row>
    <row r="11" spans="1:10">
      <c r="A11">
        <v>2</v>
      </c>
      <c r="B11">
        <v>0</v>
      </c>
      <c r="C11">
        <f>$B$9/$C$5</f>
        <v>5000000</v>
      </c>
      <c r="D11">
        <f>$D$10</f>
        <v>15000000</v>
      </c>
      <c r="E11">
        <f>$C$2*$C$4</f>
        <v>7500000</v>
      </c>
      <c r="F11">
        <f t="shared" si="0"/>
        <v>7500000</v>
      </c>
      <c r="G11">
        <f>F11</f>
        <v>7500000</v>
      </c>
      <c r="H11">
        <f t="shared" si="1"/>
        <v>5978954.0816326523</v>
      </c>
      <c r="I11">
        <f>I10+H11</f>
        <v>-12324617.346938778</v>
      </c>
      <c r="J11" s="143"/>
    </row>
    <row r="12" spans="1:10">
      <c r="A12">
        <v>3</v>
      </c>
      <c r="B12">
        <v>0</v>
      </c>
      <c r="C12">
        <f>$B$9/$C$5</f>
        <v>5000000</v>
      </c>
      <c r="D12">
        <f>$D$10</f>
        <v>15000000</v>
      </c>
      <c r="E12">
        <f>$C$2*$C$4</f>
        <v>7500000</v>
      </c>
      <c r="F12">
        <f t="shared" si="0"/>
        <v>7500000</v>
      </c>
      <c r="G12">
        <f>F12</f>
        <v>7500000</v>
      </c>
      <c r="H12">
        <f t="shared" si="1"/>
        <v>5338351.858600582</v>
      </c>
      <c r="I12">
        <f>I11+H12</f>
        <v>-6986265.4883381957</v>
      </c>
      <c r="J12" s="143"/>
    </row>
    <row r="13" spans="1:10">
      <c r="A13">
        <v>4</v>
      </c>
      <c r="B13">
        <v>0</v>
      </c>
      <c r="C13">
        <f>$B$9/$C$5</f>
        <v>5000000</v>
      </c>
      <c r="D13">
        <f>$D$10</f>
        <v>15000000</v>
      </c>
      <c r="E13">
        <f>$C$2*$C$4</f>
        <v>7500000</v>
      </c>
      <c r="F13">
        <f t="shared" si="0"/>
        <v>7500000</v>
      </c>
      <c r="G13">
        <f>F13</f>
        <v>7500000</v>
      </c>
      <c r="H13">
        <f t="shared" si="1"/>
        <v>4766385.5880362336</v>
      </c>
      <c r="I13">
        <f>I12+H13</f>
        <v>-2219879.9003019622</v>
      </c>
      <c r="J13" s="143"/>
    </row>
    <row r="14" spans="1:10">
      <c r="A14">
        <v>5</v>
      </c>
      <c r="B14">
        <v>0</v>
      </c>
      <c r="C14">
        <f>$B$9/$C$5</f>
        <v>5000000</v>
      </c>
      <c r="D14">
        <f>$D$10</f>
        <v>15000000</v>
      </c>
      <c r="E14">
        <f>$C$2*$C$4</f>
        <v>7500000</v>
      </c>
      <c r="F14">
        <f t="shared" si="0"/>
        <v>7500000</v>
      </c>
      <c r="G14">
        <f>F14</f>
        <v>7500000</v>
      </c>
      <c r="H14">
        <f t="shared" si="1"/>
        <v>4255701.4178894944</v>
      </c>
      <c r="I14">
        <f>I13+H14</f>
        <v>2035821.5175875323</v>
      </c>
      <c r="J14" s="143"/>
    </row>
    <row r="15" spans="1:10">
      <c r="G15" s="143"/>
      <c r="H15" s="143"/>
      <c r="J15" s="143"/>
    </row>
    <row r="16" spans="1:10">
      <c r="A16" t="s">
        <v>171</v>
      </c>
      <c r="C16">
        <f>I14</f>
        <v>2035821.5175875323</v>
      </c>
      <c r="H16" s="1"/>
    </row>
    <row r="18" spans="1:7">
      <c r="A18" t="s">
        <v>172</v>
      </c>
    </row>
    <row r="19" spans="1:7">
      <c r="A19" t="s">
        <v>173</v>
      </c>
      <c r="B19" s="1">
        <f>IRR(G9:G14)</f>
        <v>0.15238237116630637</v>
      </c>
    </row>
    <row r="21" spans="1:7">
      <c r="A21" t="s">
        <v>174</v>
      </c>
    </row>
    <row r="22" spans="1:7">
      <c r="A22" t="s">
        <v>175</v>
      </c>
    </row>
    <row r="23" spans="1:7" ht="16">
      <c r="G23" s="144" t="s">
        <v>176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CF4D-86DE-C048-8B16-F462246622B1}">
  <dimension ref="A3:J25"/>
  <sheetViews>
    <sheetView workbookViewId="0">
      <selection activeCell="B16" sqref="B16"/>
    </sheetView>
  </sheetViews>
  <sheetFormatPr baseColWidth="10" defaultRowHeight="15"/>
  <cols>
    <col min="4" max="4" width="15" customWidth="1"/>
  </cols>
  <sheetData>
    <row r="3" spans="1:10">
      <c r="A3" t="s">
        <v>183</v>
      </c>
      <c r="B3" t="s">
        <v>177</v>
      </c>
      <c r="C3" t="s">
        <v>178</v>
      </c>
      <c r="D3" s="29" t="s">
        <v>179</v>
      </c>
      <c r="E3" t="s">
        <v>180</v>
      </c>
      <c r="F3" t="s">
        <v>181</v>
      </c>
    </row>
    <row r="4" spans="1:10">
      <c r="A4" s="145">
        <v>-400000</v>
      </c>
      <c r="B4" s="145"/>
      <c r="C4" s="146"/>
      <c r="D4" s="145"/>
      <c r="E4" s="145"/>
      <c r="F4" s="147">
        <v>-400000</v>
      </c>
    </row>
    <row r="5" spans="1:10" ht="16" thickBot="1">
      <c r="A5" s="145">
        <v>-1200000</v>
      </c>
      <c r="B5" s="145"/>
      <c r="C5" s="145"/>
      <c r="D5" s="145"/>
      <c r="E5" s="145"/>
      <c r="F5" s="147">
        <v>-1200000</v>
      </c>
      <c r="H5" s="40" t="s">
        <v>182</v>
      </c>
    </row>
    <row r="6" spans="1:10" ht="16" thickTop="1">
      <c r="A6" s="145">
        <v>-1050000</v>
      </c>
      <c r="B6" s="145">
        <v>-300000</v>
      </c>
      <c r="C6" s="145">
        <v>150000</v>
      </c>
      <c r="D6" s="145">
        <f>-0.5*(C6-150000)</f>
        <v>0</v>
      </c>
      <c r="E6" s="145"/>
      <c r="F6" s="147">
        <v>-1200000</v>
      </c>
      <c r="J6" t="s">
        <v>183</v>
      </c>
    </row>
    <row r="7" spans="1:10">
      <c r="A7" s="145"/>
      <c r="B7" s="145"/>
      <c r="C7" s="145">
        <v>300000</v>
      </c>
      <c r="D7" s="145">
        <f t="shared" ref="D7:D20" si="0">-0.5*(C7-150000)</f>
        <v>-75000</v>
      </c>
      <c r="E7" s="145"/>
      <c r="F7" s="147">
        <f t="shared" ref="F7:F20" si="1">SUM(A7:E7)</f>
        <v>225000</v>
      </c>
      <c r="I7">
        <v>-1</v>
      </c>
      <c r="J7" s="145">
        <v>-150000</v>
      </c>
    </row>
    <row r="8" spans="1:10">
      <c r="A8" s="145"/>
      <c r="B8" s="145"/>
      <c r="C8" s="145">
        <v>450000</v>
      </c>
      <c r="D8" s="145">
        <f t="shared" si="0"/>
        <v>-150000</v>
      </c>
      <c r="E8" s="145"/>
      <c r="F8" s="147">
        <f t="shared" si="1"/>
        <v>300000</v>
      </c>
      <c r="I8">
        <v>0</v>
      </c>
      <c r="J8" s="145">
        <v>-1200000</v>
      </c>
    </row>
    <row r="9" spans="1:10">
      <c r="A9" s="145"/>
      <c r="B9" s="145"/>
      <c r="C9" s="145">
        <v>600000</v>
      </c>
      <c r="D9" s="145">
        <f t="shared" si="0"/>
        <v>-225000</v>
      </c>
      <c r="E9" s="145"/>
      <c r="F9" s="147">
        <f t="shared" si="1"/>
        <v>375000</v>
      </c>
      <c r="I9">
        <v>1</v>
      </c>
      <c r="J9" s="145">
        <v>-1050000</v>
      </c>
    </row>
    <row r="10" spans="1:10">
      <c r="A10" s="145"/>
      <c r="B10" s="145"/>
      <c r="C10" s="145">
        <v>600000</v>
      </c>
      <c r="D10" s="145">
        <f t="shared" si="0"/>
        <v>-225000</v>
      </c>
      <c r="E10" s="145"/>
      <c r="F10" s="147">
        <f t="shared" si="1"/>
        <v>375000</v>
      </c>
      <c r="I10">
        <v>2</v>
      </c>
      <c r="J10" s="145"/>
    </row>
    <row r="11" spans="1:10">
      <c r="A11" s="145"/>
      <c r="B11" s="145"/>
      <c r="C11" s="145">
        <v>600000</v>
      </c>
      <c r="D11" s="145">
        <f t="shared" si="0"/>
        <v>-225000</v>
      </c>
      <c r="E11" s="145"/>
      <c r="F11" s="147">
        <f t="shared" si="1"/>
        <v>375000</v>
      </c>
      <c r="I11">
        <v>3</v>
      </c>
      <c r="J11" s="145"/>
    </row>
    <row r="12" spans="1:10">
      <c r="A12" s="145"/>
      <c r="B12" s="145"/>
      <c r="C12" s="145">
        <v>600000</v>
      </c>
      <c r="D12" s="145">
        <f t="shared" si="0"/>
        <v>-225000</v>
      </c>
      <c r="E12" s="145"/>
      <c r="F12" s="147">
        <f t="shared" si="1"/>
        <v>375000</v>
      </c>
      <c r="I12">
        <v>4</v>
      </c>
      <c r="J12" s="145"/>
    </row>
    <row r="13" spans="1:10">
      <c r="A13" s="145"/>
      <c r="B13" s="145"/>
      <c r="C13" s="145">
        <v>600000</v>
      </c>
      <c r="D13" s="145">
        <f t="shared" si="0"/>
        <v>-225000</v>
      </c>
      <c r="E13" s="145"/>
      <c r="F13" s="147">
        <f t="shared" si="1"/>
        <v>375000</v>
      </c>
      <c r="I13">
        <v>5</v>
      </c>
      <c r="J13" s="145"/>
    </row>
    <row r="14" spans="1:10">
      <c r="A14" s="145"/>
      <c r="B14" s="145"/>
      <c r="C14" s="145">
        <v>600000</v>
      </c>
      <c r="D14" s="145">
        <f t="shared" si="0"/>
        <v>-225000</v>
      </c>
      <c r="E14" s="145"/>
      <c r="F14" s="147">
        <f t="shared" si="1"/>
        <v>375000</v>
      </c>
      <c r="I14">
        <v>6</v>
      </c>
      <c r="J14" s="145"/>
    </row>
    <row r="15" spans="1:10">
      <c r="A15" s="145"/>
      <c r="B15" s="145"/>
      <c r="C15" s="145">
        <v>600000</v>
      </c>
      <c r="D15" s="145">
        <f t="shared" si="0"/>
        <v>-225000</v>
      </c>
      <c r="E15" s="145"/>
      <c r="F15" s="147">
        <f t="shared" si="1"/>
        <v>375000</v>
      </c>
      <c r="I15">
        <v>7</v>
      </c>
      <c r="J15" s="145"/>
    </row>
    <row r="16" spans="1:10">
      <c r="A16" s="145"/>
      <c r="B16" s="145"/>
      <c r="C16" s="145">
        <v>600000</v>
      </c>
      <c r="D16" s="145">
        <f t="shared" si="0"/>
        <v>-225000</v>
      </c>
      <c r="E16" s="145"/>
      <c r="F16" s="147">
        <f t="shared" si="1"/>
        <v>375000</v>
      </c>
      <c r="I16">
        <v>8</v>
      </c>
      <c r="J16" s="145"/>
    </row>
    <row r="17" spans="1:10">
      <c r="A17" s="145"/>
      <c r="B17" s="145"/>
      <c r="C17" s="145">
        <v>600000</v>
      </c>
      <c r="D17" s="145">
        <f t="shared" si="0"/>
        <v>-225000</v>
      </c>
      <c r="E17" s="145"/>
      <c r="F17" s="147">
        <f t="shared" si="1"/>
        <v>375000</v>
      </c>
      <c r="I17">
        <v>9</v>
      </c>
      <c r="J17" s="145"/>
    </row>
    <row r="18" spans="1:10">
      <c r="A18" s="145"/>
      <c r="B18" s="145"/>
      <c r="C18" s="145">
        <v>600000</v>
      </c>
      <c r="D18" s="145">
        <f t="shared" si="0"/>
        <v>-225000</v>
      </c>
      <c r="E18" s="145"/>
      <c r="F18" s="147">
        <f t="shared" si="1"/>
        <v>375000</v>
      </c>
      <c r="I18">
        <v>10</v>
      </c>
      <c r="J18" s="145"/>
    </row>
    <row r="19" spans="1:10">
      <c r="A19" s="145"/>
      <c r="B19" s="145"/>
      <c r="C19" s="145">
        <v>400000</v>
      </c>
      <c r="D19" s="145">
        <f t="shared" si="0"/>
        <v>-125000</v>
      </c>
      <c r="E19" s="145"/>
      <c r="F19" s="147">
        <f t="shared" si="1"/>
        <v>275000</v>
      </c>
      <c r="I19">
        <v>11</v>
      </c>
      <c r="J19" s="145"/>
    </row>
    <row r="20" spans="1:10">
      <c r="A20" s="145"/>
      <c r="B20" s="145"/>
      <c r="C20" s="145">
        <v>200000</v>
      </c>
      <c r="D20" s="145">
        <f t="shared" si="0"/>
        <v>-25000</v>
      </c>
      <c r="E20" s="145">
        <f>ABS(A4)+ABS(B6)</f>
        <v>700000</v>
      </c>
      <c r="F20" s="147">
        <f t="shared" si="1"/>
        <v>875000</v>
      </c>
      <c r="I20">
        <v>12</v>
      </c>
      <c r="J20" s="145"/>
    </row>
    <row r="21" spans="1:10">
      <c r="I21">
        <v>13</v>
      </c>
      <c r="J21" s="145"/>
    </row>
    <row r="22" spans="1:10" ht="16" thickBot="1">
      <c r="C22" s="2" t="s">
        <v>184</v>
      </c>
      <c r="D22" s="148">
        <f>IRR(F4:F20)</f>
        <v>8.2786354278409302E-2</v>
      </c>
      <c r="I22">
        <v>14</v>
      </c>
      <c r="J22" s="145"/>
    </row>
    <row r="23" spans="1:10" ht="16" thickTop="1">
      <c r="I23">
        <v>15</v>
      </c>
      <c r="J23" s="145"/>
    </row>
    <row r="24" spans="1:10">
      <c r="C24" s="2" t="s">
        <v>185</v>
      </c>
      <c r="D24" s="44">
        <f>NPV(D22,C6:C20)</f>
        <v>4072826.0340256067</v>
      </c>
      <c r="I24" t="s">
        <v>186</v>
      </c>
      <c r="J24" s="149">
        <f>(J7/A4)-1</f>
        <v>-0.625</v>
      </c>
    </row>
    <row r="25" spans="1:10">
      <c r="I25" t="s">
        <v>187</v>
      </c>
      <c r="J25" s="149">
        <f>(M25/D22)-1</f>
        <v>-1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8C4F-05D2-6A47-B6C5-A5C690357A8E}">
  <dimension ref="A1:Q28"/>
  <sheetViews>
    <sheetView workbookViewId="0">
      <selection activeCell="J7" sqref="J7"/>
    </sheetView>
  </sheetViews>
  <sheetFormatPr baseColWidth="10" defaultRowHeight="15"/>
  <cols>
    <col min="1" max="1" width="24" customWidth="1"/>
    <col min="2" max="2" width="14.5" bestFit="1" customWidth="1"/>
    <col min="3" max="3" width="16.1640625" customWidth="1"/>
    <col min="4" max="4" width="11.1640625" bestFit="1" customWidth="1"/>
    <col min="8" max="8" width="15.6640625" customWidth="1"/>
    <col min="10" max="10" width="13.6640625" bestFit="1" customWidth="1"/>
    <col min="11" max="11" width="14.33203125" customWidth="1"/>
    <col min="16" max="16" width="12.1640625" bestFit="1" customWidth="1"/>
    <col min="17" max="17" width="13.1640625" bestFit="1" customWidth="1"/>
  </cols>
  <sheetData>
    <row r="1" spans="1:17" ht="16" thickBot="1">
      <c r="B1" t="s">
        <v>341</v>
      </c>
      <c r="C1" t="s">
        <v>342</v>
      </c>
      <c r="D1" s="2"/>
      <c r="E1" s="148"/>
      <c r="F1" s="150"/>
      <c r="G1" s="150"/>
      <c r="H1" s="150"/>
      <c r="I1" s="150"/>
    </row>
    <row r="2" spans="1:17" ht="16" thickTop="1">
      <c r="A2" t="s">
        <v>343</v>
      </c>
      <c r="B2" s="145">
        <v>-3000000</v>
      </c>
      <c r="C2" s="145">
        <v>-5000000</v>
      </c>
      <c r="F2" s="150"/>
      <c r="G2" s="151"/>
      <c r="H2" s="152"/>
      <c r="I2" s="150"/>
    </row>
    <row r="3" spans="1:17">
      <c r="A3" t="s">
        <v>344</v>
      </c>
      <c r="B3" s="44">
        <f>PV(E5,E4,,B8)</f>
        <v>-465154.20506496367</v>
      </c>
      <c r="C3" s="44">
        <f>PV(E5,E4,,C10)</f>
        <v>-170556.54185715335</v>
      </c>
      <c r="F3" s="150"/>
      <c r="G3" s="155"/>
      <c r="H3" s="156"/>
      <c r="I3" s="150"/>
    </row>
    <row r="4" spans="1:17">
      <c r="A4" t="s">
        <v>345</v>
      </c>
      <c r="B4" s="44">
        <f>B2-B3</f>
        <v>-2534845.7949350365</v>
      </c>
      <c r="C4" s="44">
        <f>C2-C3</f>
        <v>-4829443.4581428468</v>
      </c>
      <c r="D4" s="2" t="s">
        <v>346</v>
      </c>
      <c r="E4" s="145">
        <v>20</v>
      </c>
      <c r="F4" s="150"/>
      <c r="G4" s="150"/>
      <c r="H4" s="150"/>
      <c r="I4" s="150"/>
    </row>
    <row r="5" spans="1:17" ht="16">
      <c r="A5" t="s">
        <v>347</v>
      </c>
      <c r="B5" s="44">
        <f>PMT(E5,E4,B4)</f>
        <v>239271.51089190686</v>
      </c>
      <c r="C5" s="44">
        <f>PMT(E5,E4,C4)</f>
        <v>455865.29772572976</v>
      </c>
      <c r="D5" s="350" t="s">
        <v>188</v>
      </c>
      <c r="E5" s="351">
        <v>7.0000000000000007E-2</v>
      </c>
      <c r="F5" s="150"/>
      <c r="G5" s="150"/>
      <c r="H5" s="158"/>
      <c r="I5" s="150"/>
      <c r="J5" s="63"/>
      <c r="K5" s="349"/>
    </row>
    <row r="6" spans="1:17" ht="16">
      <c r="A6" t="s">
        <v>348</v>
      </c>
      <c r="B6" s="356">
        <v>120000</v>
      </c>
      <c r="C6" s="356">
        <v>90000</v>
      </c>
      <c r="E6" s="352"/>
      <c r="F6" s="150"/>
      <c r="G6" s="150"/>
      <c r="H6" s="158"/>
      <c r="I6" s="150"/>
      <c r="J6" s="143"/>
    </row>
    <row r="7" spans="1:17" ht="16">
      <c r="A7" t="s">
        <v>349</v>
      </c>
      <c r="B7" s="356">
        <v>880000</v>
      </c>
      <c r="C7" s="356">
        <v>660000</v>
      </c>
      <c r="E7" s="352"/>
      <c r="F7" s="150"/>
      <c r="G7" s="150"/>
      <c r="H7" s="150"/>
      <c r="I7" s="150"/>
    </row>
    <row r="8" spans="1:17" ht="16">
      <c r="A8" t="s">
        <v>350</v>
      </c>
      <c r="B8" s="356">
        <f>-0.6*B2</f>
        <v>1800000</v>
      </c>
      <c r="C8" s="356">
        <f>-0.6*C2</f>
        <v>3000000</v>
      </c>
      <c r="E8" s="352"/>
      <c r="F8" s="150"/>
      <c r="G8" s="150"/>
      <c r="H8" s="158"/>
      <c r="I8" s="150"/>
    </row>
    <row r="9" spans="1:17" ht="17" thickBot="1">
      <c r="A9" t="s">
        <v>351</v>
      </c>
      <c r="B9" s="353" t="s">
        <v>362</v>
      </c>
      <c r="C9" s="354">
        <f>C5+C6+C7</f>
        <v>1205865.2977257296</v>
      </c>
      <c r="D9" t="s">
        <v>361</v>
      </c>
      <c r="E9" s="352"/>
      <c r="F9" s="150"/>
      <c r="G9" s="150"/>
      <c r="H9" s="158"/>
      <c r="I9" s="150"/>
      <c r="K9">
        <v>250</v>
      </c>
      <c r="L9" t="s">
        <v>363</v>
      </c>
      <c r="O9" t="s">
        <v>340</v>
      </c>
      <c r="Q9">
        <f>150/7</f>
        <v>21.428571428571427</v>
      </c>
    </row>
    <row r="10" spans="1:17" ht="17" thickTop="1">
      <c r="A10" t="s">
        <v>352</v>
      </c>
      <c r="B10" s="357">
        <v>880000</v>
      </c>
      <c r="C10" s="358">
        <v>660000</v>
      </c>
      <c r="E10" s="352"/>
      <c r="F10" s="155"/>
      <c r="G10" s="150"/>
      <c r="H10" s="158"/>
      <c r="I10" s="150"/>
      <c r="K10">
        <v>150000</v>
      </c>
      <c r="M10">
        <f>K10*0.66</f>
        <v>99000</v>
      </c>
    </row>
    <row r="11" spans="1:17" ht="16">
      <c r="A11" t="s">
        <v>262</v>
      </c>
      <c r="B11" s="353">
        <f>B5+B6</f>
        <v>359271.51089190686</v>
      </c>
      <c r="C11" s="353">
        <f>C5+C6</f>
        <v>545865.29772572976</v>
      </c>
      <c r="D11" s="349"/>
      <c r="E11" s="352"/>
      <c r="F11" s="150"/>
      <c r="G11" s="150"/>
      <c r="H11" s="159"/>
      <c r="I11" s="150"/>
      <c r="Q11" s="143">
        <f>PMT(0.82%,160,150000)</f>
        <v>-1686.6076299854919</v>
      </c>
    </row>
    <row r="12" spans="1:17" ht="16">
      <c r="A12" t="s">
        <v>353</v>
      </c>
      <c r="B12" s="353">
        <f>B10-B11</f>
        <v>520728.48910809314</v>
      </c>
      <c r="C12" s="353">
        <f>C10-C11</f>
        <v>114134.70227427024</v>
      </c>
      <c r="E12" s="352"/>
      <c r="F12" s="155"/>
      <c r="G12" s="155"/>
      <c r="H12" s="158"/>
      <c r="I12" s="150"/>
    </row>
    <row r="13" spans="1:17" ht="16">
      <c r="A13" t="s">
        <v>354</v>
      </c>
      <c r="B13" s="357">
        <f>B10/B11</f>
        <v>2.449401005427239</v>
      </c>
      <c r="C13" s="357">
        <f>C10/C11</f>
        <v>1.2090895001931727</v>
      </c>
      <c r="E13" s="352"/>
      <c r="F13" s="150"/>
      <c r="G13" s="155"/>
      <c r="H13" s="160"/>
      <c r="I13" s="150"/>
      <c r="K13" t="s">
        <v>364</v>
      </c>
      <c r="O13">
        <v>0</v>
      </c>
      <c r="P13">
        <v>-150000</v>
      </c>
    </row>
    <row r="14" spans="1:17" ht="16">
      <c r="A14" t="s">
        <v>355</v>
      </c>
      <c r="B14" s="359">
        <f>B10-C10</f>
        <v>220000</v>
      </c>
      <c r="E14" s="352"/>
      <c r="F14" s="150"/>
      <c r="G14" s="150"/>
      <c r="H14" s="150"/>
      <c r="I14" s="150"/>
      <c r="K14" t="s">
        <v>365</v>
      </c>
      <c r="M14" t="s">
        <v>367</v>
      </c>
      <c r="O14">
        <v>1</v>
      </c>
      <c r="P14" s="143">
        <f>PMT(8%,10,150000)</f>
        <v>-22354.423304561311</v>
      </c>
      <c r="Q14" s="143">
        <f>P14/12</f>
        <v>-1862.8686087134427</v>
      </c>
    </row>
    <row r="15" spans="1:17" ht="16">
      <c r="A15" t="s">
        <v>356</v>
      </c>
      <c r="B15" s="353">
        <f>C11-B11</f>
        <v>186593.7868338229</v>
      </c>
      <c r="E15" s="352"/>
      <c r="F15" s="151"/>
      <c r="G15" s="150"/>
      <c r="H15" s="150"/>
      <c r="I15" s="150"/>
      <c r="K15" t="s">
        <v>366</v>
      </c>
      <c r="L15" t="s">
        <v>368</v>
      </c>
      <c r="M15" s="1">
        <v>0.06</v>
      </c>
      <c r="O15">
        <v>2</v>
      </c>
    </row>
    <row r="16" spans="1:17" ht="17" thickBot="1">
      <c r="A16" t="s">
        <v>357</v>
      </c>
      <c r="B16" s="354">
        <f>B14-B15</f>
        <v>33406.213166177098</v>
      </c>
      <c r="C16" t="s">
        <v>358</v>
      </c>
      <c r="D16" t="s">
        <v>359</v>
      </c>
      <c r="E16" s="352"/>
      <c r="F16" s="150"/>
      <c r="G16" s="150"/>
      <c r="H16" s="150"/>
      <c r="I16" s="150"/>
      <c r="M16">
        <f>M15^(1/15)</f>
        <v>0.82897878566087246</v>
      </c>
      <c r="O16">
        <v>3</v>
      </c>
    </row>
    <row r="17" spans="1:15" ht="17" thickTop="1" thickBot="1">
      <c r="A17" t="s">
        <v>360</v>
      </c>
      <c r="B17" s="355">
        <f xml:space="preserve"> B14/B15</f>
        <v>1.1790317551994809</v>
      </c>
      <c r="C17" t="s">
        <v>189</v>
      </c>
      <c r="F17" s="150"/>
      <c r="G17" s="150"/>
      <c r="H17" s="150"/>
      <c r="I17" s="150"/>
      <c r="O17">
        <v>4</v>
      </c>
    </row>
    <row r="18" spans="1:15" ht="16" thickTop="1">
      <c r="F18" s="150"/>
      <c r="G18" s="150"/>
      <c r="H18" s="150"/>
      <c r="I18" s="150"/>
      <c r="O18">
        <v>5</v>
      </c>
    </row>
    <row r="19" spans="1:15">
      <c r="F19" s="150"/>
      <c r="G19" s="150"/>
      <c r="H19" s="150"/>
      <c r="I19" s="150"/>
      <c r="M19">
        <v>20</v>
      </c>
      <c r="O19">
        <v>6</v>
      </c>
    </row>
    <row r="20" spans="1:15">
      <c r="F20" s="150"/>
      <c r="G20" s="150"/>
      <c r="H20" s="150"/>
      <c r="I20" s="150"/>
      <c r="O20">
        <v>7</v>
      </c>
    </row>
    <row r="21" spans="1:15">
      <c r="F21" s="150"/>
      <c r="G21" s="150"/>
      <c r="H21" s="150"/>
      <c r="I21" s="150"/>
      <c r="L21">
        <f>K10*0.85</f>
        <v>127500</v>
      </c>
      <c r="O21">
        <v>8</v>
      </c>
    </row>
    <row r="22" spans="1:15">
      <c r="F22" s="150"/>
      <c r="G22" s="150"/>
      <c r="H22" s="150"/>
      <c r="I22" s="150"/>
      <c r="O22">
        <v>9</v>
      </c>
    </row>
    <row r="23" spans="1:15">
      <c r="C23" s="150"/>
      <c r="D23" s="156"/>
      <c r="E23" s="157"/>
      <c r="F23" s="150"/>
      <c r="G23" s="150"/>
      <c r="H23" s="150"/>
      <c r="I23" s="150"/>
      <c r="O23">
        <v>10</v>
      </c>
    </row>
    <row r="25" spans="1:15">
      <c r="D25" s="348"/>
      <c r="E25" s="348"/>
    </row>
    <row r="26" spans="1:15">
      <c r="D26" s="348"/>
      <c r="E26" s="348"/>
      <c r="K26">
        <f>K10*M19</f>
        <v>3000000</v>
      </c>
    </row>
    <row r="27" spans="1:15">
      <c r="D27" s="348"/>
      <c r="E27" s="348"/>
      <c r="K27">
        <f>M19*L21</f>
        <v>2550000</v>
      </c>
      <c r="M27">
        <f>K27/K26</f>
        <v>0.85</v>
      </c>
    </row>
    <row r="28" spans="1:15">
      <c r="K28">
        <v>2000000</v>
      </c>
      <c r="M28">
        <f>K28/K26</f>
        <v>0.66666666666666663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66DC-4AC6-4440-B205-BF481F1CB472}">
  <dimension ref="B3:E20"/>
  <sheetViews>
    <sheetView topLeftCell="A2" workbookViewId="0">
      <selection activeCell="B10" sqref="B10"/>
    </sheetView>
  </sheetViews>
  <sheetFormatPr baseColWidth="10" defaultRowHeight="15"/>
  <sheetData>
    <row r="3" spans="2:5">
      <c r="B3" s="150"/>
      <c r="C3" s="150"/>
      <c r="D3" s="150"/>
      <c r="E3" s="150"/>
    </row>
    <row r="4" spans="2:5">
      <c r="B4" s="150" t="s">
        <v>190</v>
      </c>
      <c r="C4" s="151" t="s">
        <v>191</v>
      </c>
      <c r="D4" s="161">
        <v>0.08</v>
      </c>
      <c r="E4" s="155" t="s">
        <v>27</v>
      </c>
    </row>
    <row r="5" spans="2:5">
      <c r="B5" s="162" t="s">
        <v>192</v>
      </c>
      <c r="C5" s="162" t="s">
        <v>193</v>
      </c>
      <c r="D5" s="162" t="s">
        <v>194</v>
      </c>
      <c r="E5" s="162" t="s">
        <v>195</v>
      </c>
    </row>
    <row r="6" spans="2:5">
      <c r="B6" s="163"/>
      <c r="C6" s="153">
        <v>9600</v>
      </c>
      <c r="D6" s="153">
        <v>12000</v>
      </c>
      <c r="E6" s="153">
        <v>14300</v>
      </c>
    </row>
    <row r="7" spans="2:5">
      <c r="B7" s="150"/>
      <c r="C7" s="153">
        <v>3600</v>
      </c>
      <c r="D7" s="153">
        <v>2400</v>
      </c>
      <c r="E7" s="153">
        <v>1360</v>
      </c>
    </row>
    <row r="8" spans="2:5">
      <c r="B8" s="163"/>
      <c r="C8" s="164">
        <v>-13200</v>
      </c>
      <c r="D8" s="164">
        <v>-14400</v>
      </c>
      <c r="E8" s="164">
        <v>-15660</v>
      </c>
    </row>
    <row r="9" spans="2:5">
      <c r="B9" s="150" t="s">
        <v>196</v>
      </c>
      <c r="C9" s="165">
        <v>1542.15</v>
      </c>
      <c r="D9" s="165">
        <v>1682.35</v>
      </c>
      <c r="E9" s="165">
        <v>1829.55</v>
      </c>
    </row>
    <row r="10" spans="2:5">
      <c r="B10" s="166"/>
      <c r="C10" s="153">
        <v>294</v>
      </c>
      <c r="D10" s="153">
        <v>325</v>
      </c>
      <c r="E10" s="153">
        <v>364</v>
      </c>
    </row>
    <row r="11" spans="2:5">
      <c r="B11" s="150" t="s">
        <v>197</v>
      </c>
      <c r="C11" s="156">
        <v>320</v>
      </c>
      <c r="D11" s="157">
        <v>225</v>
      </c>
      <c r="E11" s="157">
        <v>108</v>
      </c>
    </row>
    <row r="12" spans="2:5">
      <c r="B12" s="150"/>
      <c r="C12" s="156">
        <v>780</v>
      </c>
      <c r="D12" s="157">
        <v>450</v>
      </c>
      <c r="E12" s="157">
        <v>290</v>
      </c>
    </row>
    <row r="13" spans="2:5">
      <c r="B13" s="150" t="s">
        <v>198</v>
      </c>
      <c r="C13" s="156">
        <v>396</v>
      </c>
      <c r="D13" s="157">
        <v>432</v>
      </c>
      <c r="E13" s="157">
        <v>469.8</v>
      </c>
    </row>
    <row r="14" spans="2:5">
      <c r="B14" s="150"/>
      <c r="C14" s="156">
        <v>0</v>
      </c>
      <c r="D14" s="157">
        <v>139</v>
      </c>
      <c r="E14" s="157">
        <v>198</v>
      </c>
    </row>
    <row r="15" spans="2:5" ht="16" thickBot="1">
      <c r="B15" s="150"/>
      <c r="C15" s="167">
        <v>3332.15</v>
      </c>
      <c r="D15" s="167">
        <v>3253.35</v>
      </c>
      <c r="E15" s="167">
        <v>3259.35</v>
      </c>
    </row>
    <row r="16" spans="2:5" ht="16" thickTop="1">
      <c r="B16" s="150"/>
      <c r="C16" s="150"/>
      <c r="D16" s="150"/>
      <c r="E16" s="150"/>
    </row>
    <row r="17" spans="2:5">
      <c r="B17" s="150" t="s">
        <v>199</v>
      </c>
      <c r="C17" s="150"/>
      <c r="D17" s="150"/>
      <c r="E17" s="150"/>
    </row>
    <row r="18" spans="2:5">
      <c r="B18" s="150" t="s">
        <v>200</v>
      </c>
      <c r="C18" s="150"/>
      <c r="D18" s="150"/>
      <c r="E18" s="150"/>
    </row>
    <row r="19" spans="2:5">
      <c r="B19" s="150" t="s">
        <v>201</v>
      </c>
      <c r="C19" s="150"/>
      <c r="D19" s="150"/>
      <c r="E19" s="150"/>
    </row>
    <row r="20" spans="2:5">
      <c r="B20" s="150" t="s">
        <v>202</v>
      </c>
      <c r="C20" s="150"/>
      <c r="D20" s="150"/>
      <c r="E20" s="1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6"/>
  <sheetViews>
    <sheetView view="pageBreakPreview" topLeftCell="A6" zoomScale="90" zoomScaleNormal="90" zoomScaleSheetLayoutView="90" workbookViewId="0">
      <selection activeCell="J30" sqref="J30"/>
    </sheetView>
  </sheetViews>
  <sheetFormatPr baseColWidth="10" defaultColWidth="8.83203125" defaultRowHeight="15"/>
  <cols>
    <col min="1" max="1" width="11.83203125" bestFit="1" customWidth="1"/>
    <col min="2" max="2" width="17.5" customWidth="1"/>
    <col min="3" max="3" width="11.5" bestFit="1" customWidth="1"/>
    <col min="6" max="6" width="12" bestFit="1" customWidth="1"/>
    <col min="9" max="9" width="10.5" bestFit="1" customWidth="1"/>
  </cols>
  <sheetData>
    <row r="3" spans="1:9">
      <c r="B3" s="1">
        <v>0.12</v>
      </c>
      <c r="E3" s="17" t="s">
        <v>11</v>
      </c>
    </row>
    <row r="4" spans="1:9" ht="16" thickBot="1">
      <c r="F4">
        <v>1</v>
      </c>
      <c r="G4">
        <v>2</v>
      </c>
      <c r="H4">
        <v>3</v>
      </c>
      <c r="I4">
        <v>4</v>
      </c>
    </row>
    <row r="5" spans="1:9" ht="16" thickBot="1">
      <c r="B5" s="11" t="s">
        <v>8</v>
      </c>
      <c r="C5" s="12">
        <v>1</v>
      </c>
      <c r="D5" s="12">
        <v>2</v>
      </c>
      <c r="E5" s="12">
        <v>3</v>
      </c>
      <c r="F5" s="13">
        <v>4</v>
      </c>
      <c r="G5" s="13">
        <v>5</v>
      </c>
      <c r="H5" s="13">
        <v>6</v>
      </c>
      <c r="I5" s="13">
        <v>7</v>
      </c>
    </row>
    <row r="6" spans="1:9" ht="16" thickBot="1">
      <c r="A6" s="18" t="s">
        <v>12</v>
      </c>
      <c r="B6" s="14" t="s">
        <v>9</v>
      </c>
      <c r="C6" s="15">
        <v>190</v>
      </c>
      <c r="D6" s="15">
        <v>550</v>
      </c>
      <c r="E6" s="15">
        <v>950</v>
      </c>
      <c r="F6" s="16">
        <v>1200</v>
      </c>
      <c r="G6" s="16">
        <v>1500</v>
      </c>
      <c r="H6" s="16">
        <v>1700</v>
      </c>
      <c r="I6" s="16">
        <v>2000</v>
      </c>
    </row>
    <row r="7" spans="1:9" ht="16" thickBot="1">
      <c r="A7" s="18" t="s">
        <v>13</v>
      </c>
      <c r="B7" s="14" t="s">
        <v>10</v>
      </c>
      <c r="C7" s="15">
        <v>2000</v>
      </c>
      <c r="D7" s="15">
        <v>1500</v>
      </c>
      <c r="E7" s="15">
        <v>1200</v>
      </c>
      <c r="F7" s="16">
        <v>900</v>
      </c>
      <c r="G7" s="16">
        <v>700</v>
      </c>
      <c r="H7" s="16">
        <v>500</v>
      </c>
      <c r="I7" s="16">
        <v>400</v>
      </c>
    </row>
    <row r="8" spans="1:9">
      <c r="A8" t="s">
        <v>17</v>
      </c>
      <c r="C8" s="6"/>
      <c r="D8" s="6"/>
      <c r="E8" s="6"/>
      <c r="F8" s="6">
        <f>F6/(1+$B$3)^F4</f>
        <v>1071.4285714285713</v>
      </c>
      <c r="G8" s="6">
        <f>G6/(1+$B$3)^G4</f>
        <v>1195.7908163265304</v>
      </c>
      <c r="H8" s="6">
        <f>H6/(1+$B$3)^H4</f>
        <v>1210.0264212827985</v>
      </c>
      <c r="I8" s="6">
        <f t="shared" ref="I8" si="0">I6/(1+$B$3)^I4</f>
        <v>1271.0361568096623</v>
      </c>
    </row>
    <row r="9" spans="1:9">
      <c r="A9" t="s">
        <v>15</v>
      </c>
      <c r="F9" s="6">
        <f>F8</f>
        <v>1071.4285714285713</v>
      </c>
      <c r="G9" s="6">
        <f>G8+F9</f>
        <v>2267.2193877551017</v>
      </c>
      <c r="H9" s="6">
        <f t="shared" ref="H9:I9" si="1">H8+G9</f>
        <v>3477.2458090379005</v>
      </c>
      <c r="I9" s="6">
        <f t="shared" si="1"/>
        <v>4748.2819658475628</v>
      </c>
    </row>
    <row r="10" spans="1:9">
      <c r="A10" t="s">
        <v>14</v>
      </c>
      <c r="F10" s="7">
        <f>F7/(1+$B$3)^F4</f>
        <v>803.57142857142844</v>
      </c>
      <c r="G10" s="7">
        <f t="shared" ref="G10:I10" si="2">G7/(1+$B$3)^G4</f>
        <v>558.03571428571422</v>
      </c>
      <c r="H10" s="7">
        <f t="shared" si="2"/>
        <v>355.89012390670541</v>
      </c>
      <c r="I10" s="7">
        <f t="shared" si="2"/>
        <v>254.20723136193246</v>
      </c>
    </row>
    <row r="11" spans="1:9">
      <c r="A11" t="s">
        <v>16</v>
      </c>
      <c r="F11" s="7">
        <f>E7+F9-F10</f>
        <v>1467.8571428571431</v>
      </c>
      <c r="G11" s="7">
        <f>E7+G9-G10</f>
        <v>2909.1836734693875</v>
      </c>
      <c r="H11" s="7">
        <f>E7+H9-H10</f>
        <v>4321.3556851311951</v>
      </c>
      <c r="I11" s="7">
        <f>E7+I9-I10</f>
        <v>5694.07473448563</v>
      </c>
    </row>
    <row r="12" spans="1:9" ht="21">
      <c r="A12" t="s">
        <v>18</v>
      </c>
      <c r="F12" s="19">
        <f>-PMT($B$3,F4,F11)</f>
        <v>1644.0000000000005</v>
      </c>
      <c r="G12" s="19">
        <f t="shared" ref="G12:I12" si="3">-PMT($B$3,G4,G11)</f>
        <v>1721.358490566038</v>
      </c>
      <c r="H12" s="19">
        <f t="shared" si="3"/>
        <v>1799.1920341394025</v>
      </c>
      <c r="I12" s="20">
        <f t="shared" si="3"/>
        <v>1874.685485490847</v>
      </c>
    </row>
    <row r="13" spans="1:9">
      <c r="B13" t="s">
        <v>20</v>
      </c>
    </row>
    <row r="15" spans="1:9" ht="16" thickBot="1">
      <c r="B15">
        <v>4000</v>
      </c>
    </row>
    <row r="16" spans="1:9" ht="16" thickBot="1">
      <c r="B16" s="11" t="s">
        <v>8</v>
      </c>
      <c r="C16" s="12">
        <v>1</v>
      </c>
      <c r="D16" s="12">
        <v>2</v>
      </c>
      <c r="E16" s="12">
        <v>3</v>
      </c>
      <c r="F16" s="12">
        <v>4</v>
      </c>
      <c r="G16" s="12">
        <v>5</v>
      </c>
      <c r="H16" s="12">
        <v>6</v>
      </c>
      <c r="I16" s="12">
        <v>7</v>
      </c>
    </row>
    <row r="17" spans="1:9" ht="16" thickBot="1">
      <c r="A17" s="18" t="s">
        <v>12</v>
      </c>
      <c r="B17" s="14" t="s">
        <v>9</v>
      </c>
      <c r="C17" s="15">
        <v>50</v>
      </c>
      <c r="D17" s="15">
        <v>90</v>
      </c>
      <c r="E17" s="15">
        <v>250</v>
      </c>
      <c r="F17" s="15">
        <v>450</v>
      </c>
      <c r="G17" s="15">
        <v>600</v>
      </c>
      <c r="H17" s="15">
        <v>1000</v>
      </c>
      <c r="I17" s="15">
        <v>1200</v>
      </c>
    </row>
    <row r="18" spans="1:9" ht="16" thickBot="1">
      <c r="A18" s="18" t="s">
        <v>13</v>
      </c>
      <c r="B18" s="14" t="s">
        <v>10</v>
      </c>
      <c r="C18" s="15">
        <v>3000</v>
      </c>
      <c r="D18" s="15">
        <v>2000</v>
      </c>
      <c r="E18" s="15">
        <v>1500</v>
      </c>
      <c r="F18" s="15">
        <v>1000</v>
      </c>
      <c r="G18" s="15">
        <v>900</v>
      </c>
      <c r="H18" s="15">
        <v>850</v>
      </c>
      <c r="I18" s="15">
        <v>800</v>
      </c>
    </row>
    <row r="19" spans="1:9">
      <c r="A19" t="s">
        <v>17</v>
      </c>
      <c r="C19" s="6">
        <f>C17/(1+$B$3)^C16</f>
        <v>44.642857142857139</v>
      </c>
      <c r="D19" s="6">
        <f t="shared" ref="D19:I19" si="4">D17/(1+$B$3)^D16</f>
        <v>71.747448979591823</v>
      </c>
      <c r="E19" s="6">
        <f t="shared" si="4"/>
        <v>177.94506195335271</v>
      </c>
      <c r="F19" s="6">
        <f t="shared" si="4"/>
        <v>285.98313528217403</v>
      </c>
      <c r="G19" s="6">
        <f t="shared" si="4"/>
        <v>340.45611343115957</v>
      </c>
      <c r="H19" s="6">
        <f t="shared" si="4"/>
        <v>506.63112117732067</v>
      </c>
      <c r="I19" s="6">
        <f t="shared" si="4"/>
        <v>542.81905840427214</v>
      </c>
    </row>
    <row r="20" spans="1:9">
      <c r="A20" t="s">
        <v>15</v>
      </c>
      <c r="C20" s="7">
        <f>C19</f>
        <v>44.642857142857139</v>
      </c>
      <c r="D20" s="7">
        <f>+C20+D19</f>
        <v>116.39030612244896</v>
      </c>
      <c r="E20" s="7">
        <f t="shared" ref="E20:I20" si="5">+D20+E19</f>
        <v>294.33536807580168</v>
      </c>
      <c r="F20" s="7">
        <f t="shared" si="5"/>
        <v>580.31850335797571</v>
      </c>
      <c r="G20" s="7">
        <f t="shared" si="5"/>
        <v>920.77461678913528</v>
      </c>
      <c r="H20" s="7">
        <f t="shared" si="5"/>
        <v>1427.4057379664559</v>
      </c>
      <c r="I20" s="7">
        <f t="shared" si="5"/>
        <v>1970.2247963707282</v>
      </c>
    </row>
    <row r="21" spans="1:9">
      <c r="A21" t="s">
        <v>14</v>
      </c>
      <c r="C21" s="6">
        <f>C18/(1+$B$3)^C16</f>
        <v>2678.5714285714284</v>
      </c>
      <c r="D21" s="6">
        <f t="shared" ref="D21:I21" si="6">D18/(1+$B$3)^D16</f>
        <v>1594.3877551020405</v>
      </c>
      <c r="E21" s="6">
        <f t="shared" si="6"/>
        <v>1067.6703717201162</v>
      </c>
      <c r="F21" s="6">
        <f t="shared" si="6"/>
        <v>635.51807840483116</v>
      </c>
      <c r="G21" s="6">
        <f t="shared" si="6"/>
        <v>510.68417014673929</v>
      </c>
      <c r="H21" s="6">
        <f t="shared" si="6"/>
        <v>430.63645300072255</v>
      </c>
      <c r="I21" s="6">
        <f t="shared" si="6"/>
        <v>361.87937226951476</v>
      </c>
    </row>
    <row r="22" spans="1:9">
      <c r="A22" t="s">
        <v>16</v>
      </c>
      <c r="C22" s="7">
        <f>$B$15+C20-C21</f>
        <v>1366.0714285714289</v>
      </c>
      <c r="D22" s="7">
        <f>$B$15+D20-D21</f>
        <v>2522.0025510204086</v>
      </c>
      <c r="E22" s="7">
        <f t="shared" ref="E22:I22" si="7">$B$15+E20-E21</f>
        <v>3226.6649963556856</v>
      </c>
      <c r="F22" s="7">
        <f t="shared" si="7"/>
        <v>3944.8004249531446</v>
      </c>
      <c r="G22" s="7">
        <f t="shared" si="7"/>
        <v>4410.0904466423963</v>
      </c>
      <c r="H22" s="7">
        <f t="shared" si="7"/>
        <v>4996.7692849657333</v>
      </c>
      <c r="I22" s="7">
        <f t="shared" si="7"/>
        <v>5608.3454241012141</v>
      </c>
    </row>
    <row r="23" spans="1:9" ht="21">
      <c r="A23" t="s">
        <v>18</v>
      </c>
      <c r="C23" s="6">
        <f>-PMT($B$3,C16,C22)</f>
        <v>1530.0000000000005</v>
      </c>
      <c r="D23" s="6">
        <f t="shared" ref="D23:I23" si="8">-PMT($B$3,D16,D22)</f>
        <v>1492.2641509433968</v>
      </c>
      <c r="E23" s="6">
        <f t="shared" si="8"/>
        <v>1343.4186818397345</v>
      </c>
      <c r="F23" s="6">
        <f t="shared" si="8"/>
        <v>1298.7641442478946</v>
      </c>
      <c r="G23" s="6">
        <f t="shared" si="8"/>
        <v>1223.4020086388477</v>
      </c>
      <c r="H23" s="23">
        <f t="shared" si="8"/>
        <v>1215.3427991379117</v>
      </c>
      <c r="I23" s="24">
        <f t="shared" si="8"/>
        <v>1228.8879514819839</v>
      </c>
    </row>
    <row r="25" spans="1:9">
      <c r="B25" s="17" t="s">
        <v>19</v>
      </c>
      <c r="C25" s="17"/>
      <c r="D25" s="17"/>
      <c r="E25" s="17"/>
      <c r="F25" s="17"/>
      <c r="G25" s="17"/>
    </row>
    <row r="26" spans="1:9">
      <c r="B26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BAF0-327E-814F-AE94-A51CD3FEA097}">
  <dimension ref="A1:D16"/>
  <sheetViews>
    <sheetView workbookViewId="0">
      <selection activeCell="C24" sqref="C24"/>
    </sheetView>
  </sheetViews>
  <sheetFormatPr baseColWidth="10" defaultRowHeight="15"/>
  <cols>
    <col min="3" max="3" width="14.1640625" customWidth="1"/>
    <col min="4" max="4" width="13.33203125" customWidth="1"/>
  </cols>
  <sheetData>
    <row r="1" spans="1:4">
      <c r="C1" t="s">
        <v>203</v>
      </c>
      <c r="D1" t="s">
        <v>213</v>
      </c>
    </row>
    <row r="2" spans="1:4">
      <c r="A2" t="s">
        <v>204</v>
      </c>
      <c r="C2">
        <v>0</v>
      </c>
      <c r="D2">
        <v>-112000</v>
      </c>
    </row>
    <row r="3" spans="1:4">
      <c r="A3" t="s">
        <v>205</v>
      </c>
      <c r="C3">
        <v>0</v>
      </c>
      <c r="D3" s="44">
        <f>PMT(6%,20,D2)</f>
        <v>9764.6703814073626</v>
      </c>
    </row>
    <row r="4" spans="1:4">
      <c r="A4" t="s">
        <v>206</v>
      </c>
      <c r="C4">
        <v>4200</v>
      </c>
      <c r="D4">
        <v>1000</v>
      </c>
    </row>
    <row r="5" spans="1:4">
      <c r="A5" t="s">
        <v>207</v>
      </c>
      <c r="C5">
        <v>10</v>
      </c>
      <c r="D5">
        <f>C5/5</f>
        <v>2</v>
      </c>
    </row>
    <row r="6" spans="1:4">
      <c r="A6" t="s">
        <v>208</v>
      </c>
      <c r="C6">
        <f>16.45*C5</f>
        <v>164.5</v>
      </c>
      <c r="D6">
        <f>16.45*D5</f>
        <v>32.9</v>
      </c>
    </row>
    <row r="7" spans="1:4">
      <c r="A7" t="s">
        <v>209</v>
      </c>
      <c r="C7" s="168">
        <f>SUM(C4:C6)</f>
        <v>4374.5</v>
      </c>
      <c r="D7" s="44">
        <f>SUM(D3:D6)</f>
        <v>10799.570381407362</v>
      </c>
    </row>
    <row r="9" spans="1:4">
      <c r="A9" t="s">
        <v>210</v>
      </c>
    </row>
    <row r="10" spans="1:4">
      <c r="A10" t="s">
        <v>211</v>
      </c>
    </row>
    <row r="11" spans="1:4">
      <c r="A11" t="s">
        <v>212</v>
      </c>
    </row>
    <row r="14" spans="1:4">
      <c r="B14" s="150" t="s">
        <v>210</v>
      </c>
      <c r="C14" s="150"/>
      <c r="D14" s="150"/>
    </row>
    <row r="15" spans="1:4">
      <c r="B15" s="150" t="s">
        <v>211</v>
      </c>
      <c r="C15" s="150"/>
      <c r="D15" s="150"/>
    </row>
    <row r="16" spans="1:4">
      <c r="B16" s="150" t="s">
        <v>212</v>
      </c>
      <c r="C16" s="150"/>
      <c r="D16" s="15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DA6D-9308-7744-86F1-5408FEE1CB98}">
  <dimension ref="A1:I33"/>
  <sheetViews>
    <sheetView workbookViewId="0">
      <selection activeCell="D20" sqref="D20"/>
    </sheetView>
  </sheetViews>
  <sheetFormatPr baseColWidth="10" defaultRowHeight="15"/>
  <sheetData>
    <row r="1" spans="1:9">
      <c r="A1" s="150"/>
      <c r="B1" s="150"/>
      <c r="C1" s="150"/>
      <c r="D1" s="150"/>
      <c r="E1" s="150"/>
      <c r="F1" s="150"/>
      <c r="G1" s="150"/>
      <c r="H1" s="150"/>
      <c r="I1" s="150"/>
    </row>
    <row r="2" spans="1:9">
      <c r="A2" s="101" t="s">
        <v>214</v>
      </c>
      <c r="B2" s="150">
        <v>-30000</v>
      </c>
      <c r="C2" s="153">
        <v>9000</v>
      </c>
      <c r="D2" s="154">
        <v>9000</v>
      </c>
      <c r="E2" s="154">
        <v>9000</v>
      </c>
      <c r="F2" s="154">
        <v>9000</v>
      </c>
      <c r="G2" s="154">
        <v>9000</v>
      </c>
      <c r="H2" s="150"/>
      <c r="I2" s="150"/>
    </row>
    <row r="3" spans="1:9">
      <c r="A3" s="150"/>
      <c r="B3" s="150">
        <v>0</v>
      </c>
      <c r="C3" s="150">
        <v>1</v>
      </c>
      <c r="D3" s="150">
        <v>2</v>
      </c>
      <c r="E3" s="150">
        <v>3</v>
      </c>
      <c r="F3" s="150">
        <v>4</v>
      </c>
      <c r="G3" s="150">
        <v>5</v>
      </c>
      <c r="H3" s="150"/>
      <c r="I3" s="150"/>
    </row>
    <row r="4" spans="1:9">
      <c r="A4" s="150"/>
      <c r="B4" s="150"/>
      <c r="C4" s="150"/>
      <c r="D4" s="150"/>
      <c r="E4" s="150"/>
      <c r="F4" s="150"/>
      <c r="G4" s="150"/>
      <c r="H4" s="150"/>
      <c r="I4" s="150"/>
    </row>
    <row r="5" spans="1:9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6" thickBot="1">
      <c r="A6" s="150"/>
      <c r="B6" s="150"/>
      <c r="C6" s="150"/>
      <c r="D6" s="155" t="s">
        <v>173</v>
      </c>
      <c r="E6" s="169">
        <v>0.15240000000000001</v>
      </c>
      <c r="F6" s="150"/>
      <c r="G6" s="150"/>
      <c r="H6" s="150"/>
      <c r="I6" s="150"/>
    </row>
    <row r="7" spans="1:9" ht="16" thickTop="1">
      <c r="A7" s="150"/>
      <c r="B7" s="153">
        <v>30000</v>
      </c>
      <c r="C7" s="150"/>
      <c r="D7" s="150"/>
      <c r="E7" s="150"/>
      <c r="F7" s="150"/>
      <c r="G7" s="150"/>
      <c r="H7" s="150"/>
      <c r="I7" s="150"/>
    </row>
    <row r="8" spans="1:9">
      <c r="A8" s="150"/>
      <c r="B8" s="150"/>
      <c r="C8" s="150"/>
      <c r="D8" s="150"/>
      <c r="E8" s="150"/>
      <c r="F8" s="150"/>
      <c r="G8" s="150"/>
      <c r="H8" s="150"/>
      <c r="I8" s="150"/>
    </row>
    <row r="9" spans="1:9">
      <c r="A9" s="150"/>
      <c r="B9" s="150"/>
      <c r="C9" s="150"/>
      <c r="D9" s="150"/>
      <c r="E9" s="150"/>
      <c r="F9" s="150"/>
      <c r="G9" s="150"/>
      <c r="H9" s="150"/>
      <c r="I9" s="150"/>
    </row>
    <row r="10" spans="1:9">
      <c r="A10" s="101" t="s">
        <v>215</v>
      </c>
      <c r="B10" s="150"/>
      <c r="C10" s="150" t="s">
        <v>216</v>
      </c>
      <c r="D10" s="150" t="s">
        <v>217</v>
      </c>
      <c r="E10" s="150" t="s">
        <v>218</v>
      </c>
      <c r="F10" s="150" t="s">
        <v>116</v>
      </c>
      <c r="G10" s="150" t="s">
        <v>219</v>
      </c>
      <c r="H10" s="150" t="s">
        <v>220</v>
      </c>
      <c r="I10" s="150"/>
    </row>
    <row r="11" spans="1:9">
      <c r="A11" s="150"/>
      <c r="B11" s="150">
        <v>0</v>
      </c>
      <c r="C11" s="153">
        <v>-15000</v>
      </c>
      <c r="D11" s="150"/>
      <c r="E11" s="164">
        <v>-15000</v>
      </c>
      <c r="F11" s="150"/>
      <c r="G11" s="150"/>
      <c r="H11" s="164">
        <v>-15000</v>
      </c>
      <c r="I11" s="150"/>
    </row>
    <row r="12" spans="1:9">
      <c r="A12" s="150"/>
      <c r="B12" s="150">
        <v>1</v>
      </c>
      <c r="C12" s="150"/>
      <c r="D12" s="170">
        <v>-3000</v>
      </c>
      <c r="E12" s="171">
        <v>-12000</v>
      </c>
      <c r="F12" s="172">
        <v>-1200</v>
      </c>
      <c r="G12" s="173">
        <v>9000</v>
      </c>
      <c r="H12" s="171">
        <v>4800</v>
      </c>
      <c r="I12" s="150"/>
    </row>
    <row r="13" spans="1:9">
      <c r="A13" s="150"/>
      <c r="B13" s="150">
        <v>2</v>
      </c>
      <c r="C13" s="150"/>
      <c r="D13" s="174">
        <v>-3000</v>
      </c>
      <c r="E13" s="171">
        <v>-9000</v>
      </c>
      <c r="F13" s="175">
        <v>-960</v>
      </c>
      <c r="G13" s="176">
        <v>9000</v>
      </c>
      <c r="H13" s="171">
        <v>5040</v>
      </c>
      <c r="I13" s="150"/>
    </row>
    <row r="14" spans="1:9">
      <c r="A14" s="150"/>
      <c r="B14" s="150">
        <v>3</v>
      </c>
      <c r="C14" s="150"/>
      <c r="D14" s="174">
        <v>-3000</v>
      </c>
      <c r="E14" s="171">
        <v>-6000</v>
      </c>
      <c r="F14" s="175">
        <v>-720</v>
      </c>
      <c r="G14" s="176">
        <v>9000</v>
      </c>
      <c r="H14" s="171">
        <v>5280</v>
      </c>
      <c r="I14" s="150"/>
    </row>
    <row r="15" spans="1:9">
      <c r="A15" s="150"/>
      <c r="B15" s="150">
        <v>4</v>
      </c>
      <c r="C15" s="150"/>
      <c r="D15" s="174">
        <v>-3000</v>
      </c>
      <c r="E15" s="171">
        <v>-3000</v>
      </c>
      <c r="F15" s="175">
        <v>-480</v>
      </c>
      <c r="G15" s="176">
        <v>9000</v>
      </c>
      <c r="H15" s="171">
        <v>5520</v>
      </c>
      <c r="I15" s="150"/>
    </row>
    <row r="16" spans="1:9">
      <c r="A16" s="150"/>
      <c r="B16" s="150">
        <v>5</v>
      </c>
      <c r="C16" s="150"/>
      <c r="D16" s="174">
        <v>-3000</v>
      </c>
      <c r="E16" s="171">
        <v>0</v>
      </c>
      <c r="F16" s="175">
        <v>-240</v>
      </c>
      <c r="G16" s="176">
        <v>9000</v>
      </c>
      <c r="H16" s="171">
        <v>5760</v>
      </c>
      <c r="I16" s="150"/>
    </row>
    <row r="17" spans="1:9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6" thickBot="1">
      <c r="A18" s="150"/>
      <c r="B18" s="150"/>
      <c r="C18" s="150"/>
      <c r="D18" s="150"/>
      <c r="E18" s="155" t="s">
        <v>173</v>
      </c>
      <c r="F18" s="169">
        <v>0.2155</v>
      </c>
      <c r="G18" s="150"/>
      <c r="H18" s="150"/>
      <c r="I18" s="150"/>
    </row>
    <row r="19" spans="1:9" ht="16" thickTop="1">
      <c r="A19" s="150"/>
      <c r="B19" s="150" t="s">
        <v>221</v>
      </c>
      <c r="C19" s="150"/>
      <c r="D19" s="150"/>
      <c r="E19" s="150"/>
      <c r="F19" s="150"/>
      <c r="G19" s="150"/>
      <c r="H19" s="150"/>
      <c r="I19" s="150"/>
    </row>
    <row r="20" spans="1:9">
      <c r="A20" s="150"/>
      <c r="B20" s="150" t="s">
        <v>222</v>
      </c>
      <c r="C20" s="150"/>
      <c r="D20" s="150"/>
      <c r="E20" s="150"/>
      <c r="F20" s="150"/>
      <c r="G20" s="150"/>
      <c r="H20" s="150"/>
      <c r="I20" s="150"/>
    </row>
    <row r="21" spans="1:9">
      <c r="A21" s="150"/>
      <c r="B21" s="150"/>
      <c r="C21" s="150"/>
      <c r="D21" s="150"/>
      <c r="E21" s="150"/>
      <c r="F21" s="150"/>
      <c r="G21" s="150"/>
      <c r="H21" s="150"/>
      <c r="I21" s="150"/>
    </row>
    <row r="22" spans="1:9">
      <c r="A22" s="101" t="s">
        <v>223</v>
      </c>
      <c r="B22" s="150"/>
      <c r="C22" s="150"/>
      <c r="D22" s="150"/>
      <c r="E22" s="150"/>
      <c r="F22" s="150"/>
      <c r="G22" s="150"/>
      <c r="H22" s="150"/>
      <c r="I22" s="150"/>
    </row>
    <row r="23" spans="1:9">
      <c r="A23" s="150"/>
      <c r="B23" s="150"/>
      <c r="C23" s="150" t="s">
        <v>216</v>
      </c>
      <c r="D23" s="150" t="s">
        <v>217</v>
      </c>
      <c r="E23" s="150" t="s">
        <v>218</v>
      </c>
      <c r="F23" s="150" t="s">
        <v>116</v>
      </c>
      <c r="G23" s="150" t="s">
        <v>219</v>
      </c>
      <c r="H23" s="150" t="s">
        <v>220</v>
      </c>
      <c r="I23" s="150"/>
    </row>
    <row r="24" spans="1:9">
      <c r="A24" s="150"/>
      <c r="B24" s="150">
        <v>0</v>
      </c>
      <c r="C24" s="153">
        <v>-5000</v>
      </c>
      <c r="D24" s="150"/>
      <c r="E24" s="177">
        <v>-25000</v>
      </c>
      <c r="F24" s="150"/>
      <c r="G24" s="150"/>
      <c r="H24" s="177">
        <v>-5000</v>
      </c>
      <c r="I24" s="150"/>
    </row>
    <row r="25" spans="1:9">
      <c r="A25" s="150"/>
      <c r="B25" s="150">
        <v>1</v>
      </c>
      <c r="C25" s="150"/>
      <c r="D25" s="170">
        <v>-5000</v>
      </c>
      <c r="E25" s="178">
        <v>-20000</v>
      </c>
      <c r="F25" s="179">
        <v>-2000</v>
      </c>
      <c r="G25" s="173">
        <v>9000</v>
      </c>
      <c r="H25" s="178">
        <v>2000</v>
      </c>
      <c r="I25" s="150"/>
    </row>
    <row r="26" spans="1:9">
      <c r="A26" s="150"/>
      <c r="B26" s="150">
        <v>2</v>
      </c>
      <c r="C26" s="150"/>
      <c r="D26" s="174">
        <v>-5000</v>
      </c>
      <c r="E26" s="178">
        <v>-15000</v>
      </c>
      <c r="F26" s="180">
        <v>-1600</v>
      </c>
      <c r="G26" s="176">
        <v>9000</v>
      </c>
      <c r="H26" s="178">
        <v>2400</v>
      </c>
      <c r="I26" s="150"/>
    </row>
    <row r="27" spans="1:9">
      <c r="A27" s="150"/>
      <c r="B27" s="150">
        <v>3</v>
      </c>
      <c r="C27" s="150"/>
      <c r="D27" s="174">
        <v>-5000</v>
      </c>
      <c r="E27" s="178">
        <v>-10000</v>
      </c>
      <c r="F27" s="180">
        <v>-1200</v>
      </c>
      <c r="G27" s="176">
        <v>9000</v>
      </c>
      <c r="H27" s="178">
        <v>2800</v>
      </c>
      <c r="I27" s="150"/>
    </row>
    <row r="28" spans="1:9">
      <c r="A28" s="150"/>
      <c r="B28" s="150">
        <v>4</v>
      </c>
      <c r="C28" s="150"/>
      <c r="D28" s="174">
        <v>-5000</v>
      </c>
      <c r="E28" s="178">
        <v>-5000</v>
      </c>
      <c r="F28" s="180">
        <v>-800</v>
      </c>
      <c r="G28" s="176">
        <v>9000</v>
      </c>
      <c r="H28" s="178">
        <v>3200</v>
      </c>
      <c r="I28" s="150"/>
    </row>
    <row r="29" spans="1:9">
      <c r="A29" s="150"/>
      <c r="B29" s="150">
        <v>5</v>
      </c>
      <c r="C29" s="150"/>
      <c r="D29" s="174">
        <v>-5000</v>
      </c>
      <c r="E29" s="178">
        <v>0</v>
      </c>
      <c r="F29" s="180">
        <v>-400</v>
      </c>
      <c r="G29" s="176">
        <v>9000</v>
      </c>
      <c r="H29" s="178">
        <v>3600</v>
      </c>
      <c r="I29" s="150"/>
    </row>
    <row r="30" spans="1:9">
      <c r="A30" s="150"/>
      <c r="B30" s="150"/>
      <c r="C30" s="150"/>
      <c r="D30" s="150"/>
      <c r="E30" s="150"/>
      <c r="F30" s="150"/>
      <c r="G30" s="150"/>
      <c r="H30" s="150"/>
      <c r="I30" s="150"/>
    </row>
    <row r="31" spans="1:9" ht="16" thickBot="1">
      <c r="A31" s="150"/>
      <c r="B31" s="150"/>
      <c r="C31" s="150"/>
      <c r="D31" s="150"/>
      <c r="E31" s="155" t="s">
        <v>173</v>
      </c>
      <c r="F31" s="169">
        <v>0.41860000000000003</v>
      </c>
      <c r="G31" s="150"/>
      <c r="H31" s="150"/>
      <c r="I31" s="150"/>
    </row>
    <row r="32" spans="1:9" ht="16" thickTop="1">
      <c r="A32" s="150"/>
      <c r="B32" s="150" t="s">
        <v>224</v>
      </c>
      <c r="C32" s="150"/>
      <c r="D32" s="150"/>
      <c r="E32" s="150"/>
      <c r="F32" s="150"/>
      <c r="G32" s="150"/>
      <c r="H32" s="150"/>
      <c r="I32" s="150"/>
    </row>
    <row r="33" spans="1:9">
      <c r="A33" s="150"/>
      <c r="B33" s="150"/>
      <c r="C33" s="150"/>
      <c r="D33" s="150"/>
      <c r="E33" s="150"/>
      <c r="F33" s="150"/>
      <c r="G33" s="150"/>
      <c r="H33" s="150"/>
      <c r="I33" s="18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4887-43EA-9243-A4E4-EF6839A80BE6}">
  <dimension ref="B2:F16"/>
  <sheetViews>
    <sheetView workbookViewId="0">
      <selection activeCell="G29" sqref="G29"/>
    </sheetView>
  </sheetViews>
  <sheetFormatPr baseColWidth="10" defaultColWidth="8.83203125" defaultRowHeight="15"/>
  <cols>
    <col min="2" max="2" width="25.33203125" customWidth="1"/>
    <col min="3" max="3" width="9.5" bestFit="1" customWidth="1"/>
  </cols>
  <sheetData>
    <row r="2" spans="2:6" ht="10" customHeight="1"/>
    <row r="3" spans="2:6" ht="16" customHeight="1"/>
    <row r="4" spans="2:6" ht="16" customHeight="1">
      <c r="B4" t="s">
        <v>225</v>
      </c>
      <c r="C4">
        <v>5000</v>
      </c>
      <c r="E4">
        <v>0</v>
      </c>
      <c r="F4" t="s">
        <v>226</v>
      </c>
    </row>
    <row r="5" spans="2:6" ht="16" customHeight="1">
      <c r="B5" t="s">
        <v>227</v>
      </c>
      <c r="C5">
        <v>10</v>
      </c>
    </row>
    <row r="6" spans="2:6" ht="16" customHeight="1">
      <c r="B6" t="s">
        <v>228</v>
      </c>
      <c r="C6" s="1">
        <v>0.2</v>
      </c>
    </row>
    <row r="7" spans="2:6" ht="16" customHeight="1">
      <c r="B7" t="s">
        <v>229</v>
      </c>
      <c r="C7">
        <v>1.5</v>
      </c>
    </row>
    <row r="8" spans="2:6" ht="16" customHeight="1">
      <c r="B8" t="s">
        <v>230</v>
      </c>
      <c r="C8">
        <v>5000</v>
      </c>
    </row>
    <row r="9" spans="2:6" ht="16" customHeight="1"/>
    <row r="10" spans="2:6" ht="16" customHeight="1">
      <c r="B10" t="s">
        <v>231</v>
      </c>
      <c r="C10" s="182" t="s">
        <v>232</v>
      </c>
    </row>
    <row r="11" spans="2:6" ht="16" customHeight="1"/>
    <row r="12" spans="2:6" ht="16" customHeight="1">
      <c r="B12" t="s">
        <v>233</v>
      </c>
      <c r="C12" s="63">
        <f>-PMT(C6,C5,(C4-E4))+(C6*E4)</f>
        <v>1192.6137844142957</v>
      </c>
    </row>
    <row r="13" spans="2:6" ht="16" customHeight="1">
      <c r="B13" s="25" t="s">
        <v>234</v>
      </c>
      <c r="C13" s="183">
        <f>C12/C8</f>
        <v>0.23852275688285912</v>
      </c>
      <c r="D13" s="21">
        <f>C13/C15</f>
        <v>0.1371985244015593</v>
      </c>
    </row>
    <row r="14" spans="2:6" ht="16" customHeight="1"/>
    <row r="15" spans="2:6" ht="16" customHeight="1">
      <c r="B15" t="s">
        <v>235</v>
      </c>
      <c r="C15" s="66">
        <f>C7+C13</f>
        <v>1.7385227568828592</v>
      </c>
    </row>
    <row r="16" spans="2:6" ht="16" customHeight="1"/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8036-A187-E443-ADD3-6DA282A9BA5B}">
  <dimension ref="A1:N29"/>
  <sheetViews>
    <sheetView workbookViewId="0">
      <selection activeCell="N22" sqref="N22"/>
    </sheetView>
  </sheetViews>
  <sheetFormatPr baseColWidth="10" defaultRowHeight="15"/>
  <sheetData>
    <row r="1" spans="1:14">
      <c r="A1" s="150"/>
      <c r="B1" s="150"/>
      <c r="C1" s="150"/>
      <c r="D1" s="219">
        <v>0.06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>
      <c r="A3" s="150"/>
      <c r="B3" s="220"/>
      <c r="C3" s="221" t="s">
        <v>251</v>
      </c>
      <c r="D3" s="222">
        <v>0</v>
      </c>
      <c r="E3" s="222">
        <v>1</v>
      </c>
      <c r="F3" s="222">
        <v>2</v>
      </c>
      <c r="G3" s="222">
        <v>3</v>
      </c>
      <c r="H3" s="222">
        <v>4</v>
      </c>
      <c r="I3" s="150"/>
      <c r="J3" s="150"/>
      <c r="K3" s="150"/>
      <c r="L3" s="150"/>
      <c r="M3" s="150"/>
      <c r="N3" s="150"/>
    </row>
    <row r="4" spans="1:14">
      <c r="A4" s="150"/>
      <c r="B4" s="223">
        <v>0</v>
      </c>
      <c r="C4" s="224" t="s">
        <v>252</v>
      </c>
      <c r="D4" s="225">
        <v>680</v>
      </c>
      <c r="E4" s="225"/>
      <c r="F4" s="225"/>
      <c r="G4" s="225"/>
      <c r="H4" s="225"/>
      <c r="I4" s="150"/>
      <c r="J4" s="150"/>
      <c r="K4" s="150"/>
      <c r="L4" s="150"/>
      <c r="M4" s="150"/>
      <c r="N4" s="150"/>
    </row>
    <row r="5" spans="1:14">
      <c r="A5" s="150"/>
      <c r="B5" s="223">
        <v>-1</v>
      </c>
      <c r="C5" s="224" t="s">
        <v>253</v>
      </c>
      <c r="D5" s="225"/>
      <c r="E5" s="226">
        <v>400</v>
      </c>
      <c r="F5" s="226">
        <v>300</v>
      </c>
      <c r="G5" s="226">
        <v>280</v>
      </c>
      <c r="H5" s="226">
        <v>200</v>
      </c>
      <c r="I5" s="150"/>
      <c r="J5" s="150"/>
      <c r="K5" s="150"/>
      <c r="L5" s="150"/>
      <c r="M5" s="150"/>
      <c r="N5" s="150"/>
    </row>
    <row r="6" spans="1:14">
      <c r="A6" s="150"/>
      <c r="B6" s="223">
        <v>-2</v>
      </c>
      <c r="C6" s="224" t="s">
        <v>254</v>
      </c>
      <c r="D6" s="225"/>
      <c r="E6" s="225">
        <v>100</v>
      </c>
      <c r="F6" s="226">
        <v>200</v>
      </c>
      <c r="G6" s="226">
        <v>300</v>
      </c>
      <c r="H6" s="226">
        <v>400</v>
      </c>
      <c r="I6" s="150"/>
      <c r="J6" s="150"/>
      <c r="K6" s="150"/>
      <c r="L6" s="150"/>
      <c r="M6" s="150"/>
      <c r="N6" s="150"/>
    </row>
    <row r="7" spans="1:14" ht="17">
      <c r="A7" s="150"/>
      <c r="B7" s="223"/>
      <c r="C7" s="224" t="s">
        <v>255</v>
      </c>
      <c r="D7" s="224"/>
      <c r="E7" s="227">
        <v>1.06</v>
      </c>
      <c r="F7" s="227">
        <v>1.1200000000000001</v>
      </c>
      <c r="G7" s="227">
        <v>1.19</v>
      </c>
      <c r="H7" s="227">
        <v>1.26</v>
      </c>
      <c r="I7" s="150"/>
      <c r="J7" s="150"/>
      <c r="K7" s="150"/>
      <c r="L7" s="150"/>
      <c r="M7" s="150"/>
      <c r="N7" s="150"/>
    </row>
    <row r="8" spans="1:14">
      <c r="A8" s="150"/>
      <c r="B8" s="223">
        <v>-3</v>
      </c>
      <c r="C8" s="224" t="s">
        <v>256</v>
      </c>
      <c r="D8" s="224"/>
      <c r="E8" s="228">
        <v>377.4</v>
      </c>
      <c r="F8" s="228">
        <v>267</v>
      </c>
      <c r="G8" s="228">
        <v>235.1</v>
      </c>
      <c r="H8" s="228">
        <v>158.4</v>
      </c>
      <c r="I8" s="229"/>
      <c r="J8" s="229"/>
      <c r="K8" s="229"/>
      <c r="L8" s="229"/>
      <c r="M8" s="229"/>
      <c r="N8" s="229"/>
    </row>
    <row r="9" spans="1:14">
      <c r="A9" s="150"/>
      <c r="B9" s="223">
        <v>-4</v>
      </c>
      <c r="C9" s="224" t="s">
        <v>257</v>
      </c>
      <c r="D9" s="224"/>
      <c r="E9" s="230">
        <v>94.3</v>
      </c>
      <c r="F9" s="230">
        <v>178</v>
      </c>
      <c r="G9" s="230">
        <v>251.9</v>
      </c>
      <c r="H9" s="230">
        <v>316.8</v>
      </c>
      <c r="I9" s="150"/>
      <c r="J9" s="150"/>
      <c r="K9" s="150"/>
      <c r="L9" s="150"/>
      <c r="M9" s="150"/>
      <c r="N9" s="150"/>
    </row>
    <row r="10" spans="1:14">
      <c r="A10" s="150"/>
      <c r="B10" s="223">
        <v>-5</v>
      </c>
      <c r="C10" s="224" t="s">
        <v>258</v>
      </c>
      <c r="D10" s="224"/>
      <c r="E10" s="230">
        <v>94.3</v>
      </c>
      <c r="F10" s="230">
        <v>272.3</v>
      </c>
      <c r="G10" s="230">
        <v>524.20000000000005</v>
      </c>
      <c r="H10" s="230">
        <v>841.1</v>
      </c>
      <c r="I10" s="150"/>
      <c r="J10" s="150"/>
      <c r="K10" s="150"/>
      <c r="L10" s="150"/>
      <c r="M10" s="150"/>
      <c r="N10" s="150"/>
    </row>
    <row r="11" spans="1:14">
      <c r="A11" s="150"/>
      <c r="B11" s="223">
        <v>-6</v>
      </c>
      <c r="C11" s="224" t="s">
        <v>259</v>
      </c>
      <c r="D11" s="224"/>
      <c r="E11" s="228">
        <v>397</v>
      </c>
      <c r="F11" s="228">
        <v>685.3</v>
      </c>
      <c r="G11" s="228">
        <v>969.1</v>
      </c>
      <c r="H11" s="228">
        <v>1362.6</v>
      </c>
      <c r="I11" s="150"/>
      <c r="J11" s="150"/>
      <c r="K11" s="150"/>
      <c r="L11" s="150"/>
      <c r="M11" s="150"/>
      <c r="N11" s="150"/>
    </row>
    <row r="12" spans="1:14">
      <c r="A12" s="150"/>
      <c r="B12" s="223">
        <v>-7</v>
      </c>
      <c r="C12" s="224" t="s">
        <v>260</v>
      </c>
      <c r="D12" s="224"/>
      <c r="E12" s="228">
        <v>420.8</v>
      </c>
      <c r="F12" s="228">
        <v>373.8</v>
      </c>
      <c r="G12" s="228">
        <v>362.6</v>
      </c>
      <c r="H12" s="228">
        <v>393.2</v>
      </c>
      <c r="I12" s="150"/>
      <c r="J12" s="150"/>
      <c r="K12" s="150"/>
      <c r="L12" s="150"/>
      <c r="M12" s="150"/>
      <c r="N12" s="150"/>
    </row>
    <row r="13" spans="1:14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6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29" thickBot="1">
      <c r="A16" s="150"/>
      <c r="B16" s="232" t="s">
        <v>165</v>
      </c>
      <c r="C16" s="233" t="s">
        <v>261</v>
      </c>
      <c r="D16" s="234" t="s">
        <v>128</v>
      </c>
      <c r="E16" s="233" t="s">
        <v>262</v>
      </c>
      <c r="F16" s="234" t="s">
        <v>24</v>
      </c>
      <c r="G16" s="234" t="s">
        <v>263</v>
      </c>
      <c r="H16" s="233" t="s">
        <v>264</v>
      </c>
      <c r="I16" s="234" t="s">
        <v>130</v>
      </c>
      <c r="J16" s="233" t="s">
        <v>265</v>
      </c>
      <c r="K16" s="234" t="s">
        <v>266</v>
      </c>
      <c r="L16" s="150"/>
      <c r="M16" s="150"/>
      <c r="N16" s="150"/>
    </row>
    <row r="17" spans="1:14" ht="16" thickBot="1">
      <c r="A17" s="150"/>
      <c r="B17" s="235">
        <v>0</v>
      </c>
      <c r="C17" s="198">
        <v>-100</v>
      </c>
      <c r="D17" s="198"/>
      <c r="E17" s="198"/>
      <c r="F17" s="198"/>
      <c r="G17" s="198">
        <v>-100</v>
      </c>
      <c r="H17" s="198"/>
      <c r="I17" s="198"/>
      <c r="J17" s="198"/>
      <c r="K17" s="198">
        <v>-100</v>
      </c>
      <c r="L17" s="150"/>
      <c r="M17" s="150"/>
      <c r="N17" s="150"/>
    </row>
    <row r="18" spans="1:14" ht="16" thickBot="1">
      <c r="A18" s="150"/>
      <c r="B18" s="235">
        <v>1</v>
      </c>
      <c r="C18" s="198"/>
      <c r="D18" s="198">
        <v>50</v>
      </c>
      <c r="E18" s="198">
        <v>-20</v>
      </c>
      <c r="F18" s="198">
        <v>30</v>
      </c>
      <c r="G18" s="198">
        <v>30</v>
      </c>
      <c r="H18" s="198">
        <v>-20</v>
      </c>
      <c r="I18" s="198">
        <v>10</v>
      </c>
      <c r="J18" s="198">
        <v>-3</v>
      </c>
      <c r="K18" s="198">
        <v>27</v>
      </c>
      <c r="L18" s="150"/>
      <c r="M18" s="150"/>
      <c r="N18" s="150"/>
    </row>
    <row r="19" spans="1:14" ht="16" thickBot="1">
      <c r="A19" s="150"/>
      <c r="B19" s="235">
        <v>2</v>
      </c>
      <c r="C19" s="198"/>
      <c r="D19" s="198">
        <v>50</v>
      </c>
      <c r="E19" s="198">
        <v>-20</v>
      </c>
      <c r="F19" s="198">
        <v>30</v>
      </c>
      <c r="G19" s="198">
        <v>30</v>
      </c>
      <c r="H19" s="198">
        <v>-20</v>
      </c>
      <c r="I19" s="198">
        <v>10</v>
      </c>
      <c r="J19" s="198">
        <v>-3</v>
      </c>
      <c r="K19" s="198">
        <v>27</v>
      </c>
      <c r="L19" s="150"/>
      <c r="M19" s="150"/>
      <c r="N19" s="150"/>
    </row>
    <row r="20" spans="1:14" ht="16" thickBot="1">
      <c r="A20" s="150"/>
      <c r="B20" s="235">
        <v>3</v>
      </c>
      <c r="C20" s="198"/>
      <c r="D20" s="198">
        <v>50</v>
      </c>
      <c r="E20" s="198">
        <v>-20</v>
      </c>
      <c r="F20" s="198">
        <v>30</v>
      </c>
      <c r="G20" s="198">
        <v>30</v>
      </c>
      <c r="H20" s="198">
        <v>-20</v>
      </c>
      <c r="I20" s="198">
        <v>10</v>
      </c>
      <c r="J20" s="198">
        <v>-3</v>
      </c>
      <c r="K20" s="198">
        <v>27</v>
      </c>
      <c r="L20" s="150"/>
      <c r="M20" s="150"/>
      <c r="N20" s="150"/>
    </row>
    <row r="21" spans="1:14" ht="16" thickBot="1">
      <c r="A21" s="150"/>
      <c r="B21" s="235">
        <v>4</v>
      </c>
      <c r="C21" s="198"/>
      <c r="D21" s="198">
        <v>50</v>
      </c>
      <c r="E21" s="198">
        <v>-20</v>
      </c>
      <c r="F21" s="198">
        <v>30</v>
      </c>
      <c r="G21" s="198">
        <v>30</v>
      </c>
      <c r="H21" s="198">
        <v>-20</v>
      </c>
      <c r="I21" s="198">
        <v>10</v>
      </c>
      <c r="J21" s="198">
        <v>-3</v>
      </c>
      <c r="K21" s="198">
        <v>27</v>
      </c>
      <c r="L21" s="150"/>
      <c r="M21" s="150"/>
      <c r="N21" s="150"/>
    </row>
    <row r="22" spans="1:14" ht="16" thickBot="1">
      <c r="A22" s="150"/>
      <c r="B22" s="235">
        <v>5</v>
      </c>
      <c r="C22" s="198"/>
      <c r="D22" s="198">
        <v>50</v>
      </c>
      <c r="E22" s="198">
        <v>-20</v>
      </c>
      <c r="F22" s="198">
        <v>30</v>
      </c>
      <c r="G22" s="198">
        <v>30</v>
      </c>
      <c r="H22" s="198">
        <v>-20</v>
      </c>
      <c r="I22" s="198">
        <v>10</v>
      </c>
      <c r="J22" s="198">
        <v>-3</v>
      </c>
      <c r="K22" s="198">
        <v>27</v>
      </c>
      <c r="L22" s="150"/>
      <c r="M22" s="150"/>
      <c r="N22" s="150"/>
    </row>
    <row r="23" spans="1:14" ht="16" thickBot="1">
      <c r="A23" s="150"/>
      <c r="B23" s="235">
        <v>6</v>
      </c>
      <c r="C23" s="198"/>
      <c r="D23" s="198">
        <v>50</v>
      </c>
      <c r="E23" s="198">
        <v>-20</v>
      </c>
      <c r="F23" s="198">
        <v>30</v>
      </c>
      <c r="G23" s="198">
        <v>30</v>
      </c>
      <c r="H23" s="198"/>
      <c r="I23" s="198">
        <v>30</v>
      </c>
      <c r="J23" s="198">
        <v>-9</v>
      </c>
      <c r="K23" s="198">
        <v>21</v>
      </c>
      <c r="L23" s="150"/>
      <c r="M23" s="150"/>
      <c r="N23" s="150"/>
    </row>
    <row r="24" spans="1:14" ht="16" thickBot="1">
      <c r="A24" s="150"/>
      <c r="B24" s="235">
        <v>7</v>
      </c>
      <c r="C24" s="198"/>
      <c r="D24" s="198">
        <v>50</v>
      </c>
      <c r="E24" s="198">
        <v>-20</v>
      </c>
      <c r="F24" s="198">
        <v>30</v>
      </c>
      <c r="G24" s="198">
        <v>30</v>
      </c>
      <c r="H24" s="198"/>
      <c r="I24" s="198">
        <v>30</v>
      </c>
      <c r="J24" s="198">
        <v>-3</v>
      </c>
      <c r="K24" s="198">
        <v>27</v>
      </c>
      <c r="L24" s="150"/>
      <c r="M24" s="150"/>
      <c r="N24" s="150"/>
    </row>
    <row r="25" spans="1:14" ht="16" thickBot="1">
      <c r="A25" s="150"/>
      <c r="B25" s="235">
        <v>8</v>
      </c>
      <c r="C25" s="198">
        <v>40</v>
      </c>
      <c r="D25" s="198">
        <v>50</v>
      </c>
      <c r="E25" s="198">
        <v>-20</v>
      </c>
      <c r="F25" s="198">
        <v>30</v>
      </c>
      <c r="G25" s="198">
        <v>70</v>
      </c>
      <c r="H25" s="198"/>
      <c r="I25" s="198">
        <v>70</v>
      </c>
      <c r="J25" s="198">
        <v>-21</v>
      </c>
      <c r="K25" s="198">
        <v>49</v>
      </c>
      <c r="L25" s="150"/>
      <c r="M25" s="150"/>
      <c r="N25" s="150"/>
    </row>
    <row r="26" spans="1:14">
      <c r="A26" s="150"/>
      <c r="B26" s="236"/>
      <c r="C26" s="236"/>
      <c r="D26" s="236"/>
      <c r="E26" s="236"/>
      <c r="F26" s="237" t="s">
        <v>173</v>
      </c>
      <c r="G26" s="238">
        <v>0.27</v>
      </c>
      <c r="H26" s="236"/>
      <c r="I26" s="217"/>
      <c r="J26" s="237" t="s">
        <v>173</v>
      </c>
      <c r="K26" s="238">
        <v>0.22</v>
      </c>
      <c r="L26" s="150"/>
      <c r="M26" s="150"/>
      <c r="N26" s="150"/>
    </row>
    <row r="27" spans="1:14" ht="16">
      <c r="A27" s="150"/>
      <c r="B27" s="23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ht="64" customHeight="1">
      <c r="A29" s="150"/>
      <c r="B29" s="376" t="s">
        <v>267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150"/>
      <c r="N29" s="150"/>
    </row>
  </sheetData>
  <mergeCells count="1">
    <mergeCell ref="B29:L2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2147-4AD2-EC40-9BF0-EC803B529CC2}">
  <dimension ref="B1:K18"/>
  <sheetViews>
    <sheetView workbookViewId="0">
      <selection activeCell="C25" sqref="C25"/>
    </sheetView>
  </sheetViews>
  <sheetFormatPr baseColWidth="10" defaultColWidth="8.83203125" defaultRowHeight="14"/>
  <cols>
    <col min="1" max="1" width="8.83203125" style="213"/>
    <col min="2" max="2" width="3.1640625" style="213" customWidth="1"/>
    <col min="3" max="3" width="27.5" style="213" customWidth="1"/>
    <col min="4" max="4" width="8.83203125" style="213"/>
    <col min="5" max="5" width="5.6640625" style="213" bestFit="1" customWidth="1"/>
    <col min="6" max="6" width="4.6640625" style="213" bestFit="1" customWidth="1"/>
    <col min="7" max="10" width="5.6640625" style="213" bestFit="1" customWidth="1"/>
    <col min="11" max="11" width="7.5" style="213" bestFit="1" customWidth="1"/>
    <col min="12" max="16384" width="8.83203125" style="213"/>
  </cols>
  <sheetData>
    <row r="1" spans="2:11" s="123" customFormat="1" ht="13">
      <c r="D1" s="240">
        <v>0.12</v>
      </c>
    </row>
    <row r="3" spans="2:11" ht="15" thickBot="1">
      <c r="B3" s="123"/>
      <c r="C3" s="123"/>
      <c r="D3" s="123"/>
      <c r="E3" s="123"/>
      <c r="F3" s="123"/>
      <c r="G3" s="123"/>
      <c r="H3" s="123"/>
      <c r="I3" s="123"/>
      <c r="J3" s="123"/>
      <c r="K3" s="123" t="s">
        <v>268</v>
      </c>
    </row>
    <row r="4" spans="2:11">
      <c r="B4" s="241"/>
      <c r="C4" s="242" t="s">
        <v>251</v>
      </c>
      <c r="D4" s="243">
        <v>0</v>
      </c>
      <c r="E4" s="243">
        <v>1</v>
      </c>
      <c r="F4" s="243">
        <v>2</v>
      </c>
      <c r="G4" s="243">
        <v>3</v>
      </c>
      <c r="H4" s="243">
        <v>4</v>
      </c>
      <c r="I4" s="243">
        <v>5</v>
      </c>
      <c r="J4" s="243">
        <v>6</v>
      </c>
      <c r="K4" s="244">
        <v>7</v>
      </c>
    </row>
    <row r="5" spans="2:11">
      <c r="B5" s="245" t="s">
        <v>269</v>
      </c>
      <c r="C5" s="246" t="s">
        <v>270</v>
      </c>
      <c r="D5" s="247">
        <v>130</v>
      </c>
      <c r="E5" s="248"/>
      <c r="F5" s="248"/>
      <c r="G5" s="248"/>
      <c r="H5" s="248"/>
      <c r="I5" s="248"/>
      <c r="J5" s="248"/>
      <c r="K5" s="249"/>
    </row>
    <row r="6" spans="2:11">
      <c r="B6" s="245" t="s">
        <v>12</v>
      </c>
      <c r="C6" s="246" t="s">
        <v>253</v>
      </c>
      <c r="D6" s="248"/>
      <c r="E6" s="250">
        <v>100</v>
      </c>
      <c r="F6" s="250">
        <v>80</v>
      </c>
      <c r="G6" s="250">
        <v>70</v>
      </c>
      <c r="H6" s="250">
        <v>60</v>
      </c>
      <c r="I6" s="250">
        <v>50</v>
      </c>
      <c r="J6" s="250">
        <v>40</v>
      </c>
      <c r="K6" s="251">
        <v>30</v>
      </c>
    </row>
    <row r="7" spans="2:11">
      <c r="B7" s="245" t="s">
        <v>13</v>
      </c>
      <c r="C7" s="246" t="s">
        <v>271</v>
      </c>
      <c r="D7" s="248"/>
      <c r="E7" s="250">
        <v>10</v>
      </c>
      <c r="F7" s="250">
        <v>15</v>
      </c>
      <c r="G7" s="250">
        <v>18</v>
      </c>
      <c r="H7" s="250">
        <v>22</v>
      </c>
      <c r="I7" s="250">
        <v>33</v>
      </c>
      <c r="J7" s="250">
        <v>45</v>
      </c>
      <c r="K7" s="251">
        <v>50</v>
      </c>
    </row>
    <row r="8" spans="2:11">
      <c r="B8" s="245" t="s">
        <v>241</v>
      </c>
      <c r="C8" s="246" t="s">
        <v>272</v>
      </c>
      <c r="D8" s="248"/>
      <c r="E8" s="252">
        <f>(1+$D$1)^ E4</f>
        <v>1.1200000000000001</v>
      </c>
      <c r="F8" s="252">
        <f>(1+$D$1)^ F4</f>
        <v>1.2544000000000002</v>
      </c>
      <c r="G8" s="252">
        <f t="shared" ref="G8:K8" si="0">(1+$D$1)^ G4</f>
        <v>1.4049280000000004</v>
      </c>
      <c r="H8" s="252">
        <f t="shared" si="0"/>
        <v>1.5735193600000004</v>
      </c>
      <c r="I8" s="252">
        <f t="shared" si="0"/>
        <v>1.7623416832000005</v>
      </c>
      <c r="J8" s="252">
        <f t="shared" si="0"/>
        <v>1.9738226851840008</v>
      </c>
      <c r="K8" s="253">
        <f t="shared" si="0"/>
        <v>2.210681407406081</v>
      </c>
    </row>
    <row r="9" spans="2:11">
      <c r="B9" s="245" t="s">
        <v>243</v>
      </c>
      <c r="C9" s="246" t="s">
        <v>273</v>
      </c>
      <c r="D9" s="248"/>
      <c r="E9" s="250">
        <f>E6/E8</f>
        <v>89.285714285714278</v>
      </c>
      <c r="F9" s="250">
        <f t="shared" ref="F9:K9" si="1">F6/F8</f>
        <v>63.775510204081627</v>
      </c>
      <c r="G9" s="250">
        <f t="shared" si="1"/>
        <v>49.824617346938759</v>
      </c>
      <c r="H9" s="250">
        <f t="shared" si="1"/>
        <v>38.131084704289869</v>
      </c>
      <c r="I9" s="250">
        <f t="shared" si="1"/>
        <v>28.371342785929961</v>
      </c>
      <c r="J9" s="250">
        <f t="shared" si="1"/>
        <v>20.265244847092827</v>
      </c>
      <c r="K9" s="251">
        <f t="shared" si="1"/>
        <v>13.570476460106804</v>
      </c>
    </row>
    <row r="10" spans="2:11">
      <c r="B10" s="245" t="s">
        <v>245</v>
      </c>
      <c r="C10" s="246" t="s">
        <v>274</v>
      </c>
      <c r="D10" s="248"/>
      <c r="E10" s="250">
        <f>E7/E8</f>
        <v>8.928571428571427</v>
      </c>
      <c r="F10" s="250">
        <f t="shared" ref="F10:K10" si="2">F7/F8</f>
        <v>11.957908163265305</v>
      </c>
      <c r="G10" s="250">
        <f t="shared" si="2"/>
        <v>12.812044460641395</v>
      </c>
      <c r="H10" s="250">
        <f t="shared" si="2"/>
        <v>13.981397724906286</v>
      </c>
      <c r="I10" s="250">
        <f t="shared" si="2"/>
        <v>18.725086238713775</v>
      </c>
      <c r="J10" s="250">
        <f t="shared" si="2"/>
        <v>22.798400452979429</v>
      </c>
      <c r="K10" s="251">
        <f t="shared" si="2"/>
        <v>22.617460766844673</v>
      </c>
    </row>
    <row r="11" spans="2:11">
      <c r="B11" s="245" t="s">
        <v>275</v>
      </c>
      <c r="C11" s="246" t="s">
        <v>276</v>
      </c>
      <c r="D11" s="248"/>
      <c r="E11" s="250">
        <f>E10</f>
        <v>8.928571428571427</v>
      </c>
      <c r="F11" s="250">
        <f>F10+E11</f>
        <v>20.886479591836732</v>
      </c>
      <c r="G11" s="250">
        <f t="shared" ref="G11:K11" si="3">G10+F11</f>
        <v>33.698524052478128</v>
      </c>
      <c r="H11" s="250">
        <f t="shared" si="3"/>
        <v>47.679921777384415</v>
      </c>
      <c r="I11" s="250">
        <f t="shared" si="3"/>
        <v>66.405008016098193</v>
      </c>
      <c r="J11" s="250">
        <f t="shared" si="3"/>
        <v>89.20340846907763</v>
      </c>
      <c r="K11" s="251">
        <f t="shared" si="3"/>
        <v>111.8208692359223</v>
      </c>
    </row>
    <row r="12" spans="2:11">
      <c r="B12" s="245" t="s">
        <v>277</v>
      </c>
      <c r="C12" s="246" t="s">
        <v>278</v>
      </c>
      <c r="D12" s="248"/>
      <c r="E12" s="250">
        <f>$D$5+E11-E9</f>
        <v>49.642857142857139</v>
      </c>
      <c r="F12" s="250">
        <f>$D$5+F11-F9</f>
        <v>87.110969387755119</v>
      </c>
      <c r="G12" s="250">
        <f t="shared" ref="G12:K12" si="4">$D$5+G11-G9</f>
        <v>113.87390670553935</v>
      </c>
      <c r="H12" s="250">
        <f>$D$5+H11-H9</f>
        <v>139.54883707309455</v>
      </c>
      <c r="I12" s="250">
        <f t="shared" si="4"/>
        <v>168.03366523016822</v>
      </c>
      <c r="J12" s="250">
        <f t="shared" si="4"/>
        <v>198.93816362198481</v>
      </c>
      <c r="K12" s="251">
        <f t="shared" si="4"/>
        <v>228.2503927758155</v>
      </c>
    </row>
    <row r="13" spans="2:11" ht="15" thickBot="1">
      <c r="B13" s="254" t="s">
        <v>279</v>
      </c>
      <c r="C13" s="255" t="s">
        <v>260</v>
      </c>
      <c r="D13" s="256"/>
      <c r="E13" s="257">
        <f>-PMT($D$1,E4,E12)</f>
        <v>55.599999999999994</v>
      </c>
      <c r="F13" s="257">
        <f>-PMT($D$1,F4,F12)</f>
        <v>51.543396226415112</v>
      </c>
      <c r="G13" s="258">
        <f t="shared" ref="G13:K13" si="5">-PMT($D$1,G4,G12)</f>
        <v>47.411284969179704</v>
      </c>
      <c r="H13" s="259">
        <f t="shared" si="5"/>
        <v>45.944282710874838</v>
      </c>
      <c r="I13" s="257">
        <f t="shared" si="5"/>
        <v>46.614174028572918</v>
      </c>
      <c r="J13" s="257">
        <f t="shared" si="5"/>
        <v>48.38687776903371</v>
      </c>
      <c r="K13" s="260">
        <f t="shared" si="5"/>
        <v>50.013709283639876</v>
      </c>
    </row>
    <row r="15" spans="2:11">
      <c r="C15" s="213">
        <f>100+10.5-51</f>
        <v>59.5</v>
      </c>
      <c r="E15" s="261">
        <f>E12*1.15</f>
        <v>57.089285714285708</v>
      </c>
    </row>
    <row r="16" spans="2:11">
      <c r="H16" s="262">
        <f>H13-H11</f>
        <v>-1.7356390665095773</v>
      </c>
    </row>
    <row r="18" spans="6:6">
      <c r="F18" s="26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7880-3626-9D42-84E8-7BE75919A44C}">
  <dimension ref="A1:T50"/>
  <sheetViews>
    <sheetView tabSelected="1" workbookViewId="0">
      <selection activeCell="F19" sqref="F19"/>
    </sheetView>
  </sheetViews>
  <sheetFormatPr baseColWidth="10" defaultColWidth="8.83203125" defaultRowHeight="15"/>
  <cols>
    <col min="1" max="1" width="19.1640625" style="29" customWidth="1"/>
    <col min="2" max="2" width="26.5" customWidth="1"/>
    <col min="3" max="3" width="8.33203125" bestFit="1" customWidth="1"/>
    <col min="4" max="4" width="7.1640625" customWidth="1"/>
    <col min="5" max="5" width="9.5" bestFit="1" customWidth="1"/>
    <col min="6" max="6" width="9.6640625" customWidth="1"/>
    <col min="7" max="7" width="7" customWidth="1"/>
    <col min="8" max="8" width="6.33203125" customWidth="1"/>
    <col min="9" max="9" width="6.83203125" customWidth="1"/>
    <col min="10" max="10" width="9" bestFit="1" customWidth="1"/>
    <col min="12" max="12" width="13.6640625" customWidth="1"/>
    <col min="13" max="13" width="13.83203125" customWidth="1"/>
  </cols>
  <sheetData>
    <row r="1" spans="1:17" ht="16" thickBot="1">
      <c r="A1" s="264"/>
      <c r="B1" s="265" t="s">
        <v>280</v>
      </c>
      <c r="C1" s="266"/>
      <c r="D1" s="266"/>
      <c r="E1" s="266"/>
      <c r="G1" s="246"/>
      <c r="H1" s="246"/>
      <c r="I1" s="246"/>
    </row>
    <row r="2" spans="1:17">
      <c r="A2" s="267" t="s">
        <v>12</v>
      </c>
      <c r="B2" s="268" t="s">
        <v>281</v>
      </c>
      <c r="C2" s="268"/>
      <c r="D2" s="268">
        <v>130</v>
      </c>
      <c r="E2" s="269"/>
      <c r="F2" s="270"/>
      <c r="H2" s="271"/>
      <c r="I2" s="272"/>
      <c r="J2" s="377" t="s">
        <v>282</v>
      </c>
    </row>
    <row r="3" spans="1:17">
      <c r="A3" s="273" t="s">
        <v>13</v>
      </c>
      <c r="B3" s="271" t="s">
        <v>283</v>
      </c>
      <c r="C3" s="271"/>
      <c r="D3" s="274">
        <v>0.2</v>
      </c>
      <c r="E3" s="275" t="s">
        <v>369</v>
      </c>
      <c r="F3" s="276">
        <f>D3*D2</f>
        <v>26</v>
      </c>
      <c r="G3" s="271" t="s">
        <v>284</v>
      </c>
      <c r="H3" s="271"/>
      <c r="I3" s="272"/>
      <c r="J3" s="378"/>
    </row>
    <row r="4" spans="1:17">
      <c r="A4" s="273" t="s">
        <v>241</v>
      </c>
      <c r="B4" s="271" t="s">
        <v>285</v>
      </c>
      <c r="C4" s="271"/>
      <c r="D4" s="277">
        <v>0.1</v>
      </c>
      <c r="E4" s="278"/>
      <c r="F4" s="270"/>
      <c r="G4" s="271"/>
      <c r="H4" s="271"/>
      <c r="I4" s="272"/>
      <c r="J4" s="378"/>
    </row>
    <row r="5" spans="1:17" ht="16" thickBot="1">
      <c r="A5" s="279" t="s">
        <v>243</v>
      </c>
      <c r="B5" s="280" t="s">
        <v>286</v>
      </c>
      <c r="C5" s="280"/>
      <c r="D5" s="281">
        <v>0.2</v>
      </c>
      <c r="E5" s="282"/>
      <c r="F5" s="283"/>
      <c r="G5" s="284"/>
      <c r="H5" s="284"/>
      <c r="I5" s="285"/>
      <c r="J5" s="378"/>
    </row>
    <row r="6" spans="1:17" ht="16" thickBot="1">
      <c r="A6" s="286"/>
      <c r="B6" s="287" t="s">
        <v>287</v>
      </c>
      <c r="C6" s="288">
        <v>1</v>
      </c>
      <c r="D6" s="288">
        <v>2</v>
      </c>
      <c r="E6" s="288">
        <v>3</v>
      </c>
      <c r="F6" s="288">
        <v>4</v>
      </c>
      <c r="G6" s="288">
        <v>5</v>
      </c>
      <c r="H6" s="288">
        <v>6</v>
      </c>
      <c r="I6" s="289">
        <v>7</v>
      </c>
      <c r="J6" s="378"/>
    </row>
    <row r="7" spans="1:17">
      <c r="A7" s="273" t="s">
        <v>245</v>
      </c>
      <c r="B7" s="290" t="s">
        <v>288</v>
      </c>
      <c r="C7" s="291">
        <v>100</v>
      </c>
      <c r="D7" s="291">
        <v>80</v>
      </c>
      <c r="E7" s="291">
        <v>70</v>
      </c>
      <c r="F7" s="291">
        <v>60</v>
      </c>
      <c r="G7" s="291">
        <v>50</v>
      </c>
      <c r="H7" s="291">
        <v>40</v>
      </c>
      <c r="I7" s="291">
        <v>30</v>
      </c>
      <c r="J7" s="378"/>
      <c r="L7" t="s">
        <v>251</v>
      </c>
      <c r="M7">
        <v>0</v>
      </c>
      <c r="N7">
        <v>1</v>
      </c>
      <c r="O7">
        <v>2</v>
      </c>
      <c r="P7">
        <v>3</v>
      </c>
      <c r="Q7">
        <v>4</v>
      </c>
    </row>
    <row r="8" spans="1:17" ht="16" thickBot="1">
      <c r="A8" s="273" t="s">
        <v>275</v>
      </c>
      <c r="B8" s="271" t="s">
        <v>289</v>
      </c>
      <c r="C8" s="291">
        <v>10</v>
      </c>
      <c r="D8" s="291">
        <v>15</v>
      </c>
      <c r="E8" s="291">
        <v>18</v>
      </c>
      <c r="F8" s="291">
        <v>22</v>
      </c>
      <c r="G8" s="291">
        <v>33</v>
      </c>
      <c r="H8" s="291">
        <v>45</v>
      </c>
      <c r="I8" s="291">
        <v>55</v>
      </c>
      <c r="J8" s="379"/>
      <c r="L8" t="s">
        <v>252</v>
      </c>
      <c r="M8">
        <v>680</v>
      </c>
    </row>
    <row r="9" spans="1:17">
      <c r="A9" s="292" t="s">
        <v>290</v>
      </c>
      <c r="B9" s="246" t="s">
        <v>291</v>
      </c>
      <c r="C9" s="293">
        <f>C7/(1+$D$4)^C6</f>
        <v>90.909090909090907</v>
      </c>
      <c r="D9" s="293">
        <f>D7/(1+$D$4)^D6</f>
        <v>66.115702479338836</v>
      </c>
      <c r="E9" s="293">
        <f>E7/(1+$D$4)^E6</f>
        <v>52.592036063110427</v>
      </c>
      <c r="F9" s="293">
        <f t="shared" ref="F9:I9" si="0">F7/(1+$D$4)^F6</f>
        <v>40.98080732190423</v>
      </c>
      <c r="G9" s="293">
        <f t="shared" si="0"/>
        <v>31.046066152957749</v>
      </c>
      <c r="H9" s="293">
        <f t="shared" si="0"/>
        <v>22.578957202151088</v>
      </c>
      <c r="I9" s="294">
        <f t="shared" si="0"/>
        <v>15.394743546921193</v>
      </c>
      <c r="L9" t="s">
        <v>253</v>
      </c>
      <c r="N9">
        <v>400</v>
      </c>
      <c r="O9">
        <v>300</v>
      </c>
      <c r="P9">
        <v>280</v>
      </c>
      <c r="Q9">
        <v>200</v>
      </c>
    </row>
    <row r="10" spans="1:17">
      <c r="A10" s="292" t="s">
        <v>292</v>
      </c>
      <c r="B10" s="246" t="s">
        <v>293</v>
      </c>
      <c r="C10" s="293">
        <f>C8/(1+$D$4)^C6</f>
        <v>9.0909090909090899</v>
      </c>
      <c r="D10" s="293">
        <f>D8/(1+$D$4)^D6</f>
        <v>12.396694214876032</v>
      </c>
      <c r="E10" s="293">
        <f>E8/(1+$D$4)^E6</f>
        <v>13.523666416228396</v>
      </c>
      <c r="F10" s="293">
        <f t="shared" ref="F10:I10" si="1">F8/(1+$D$4)^F6</f>
        <v>15.026296018031552</v>
      </c>
      <c r="G10" s="293">
        <f t="shared" si="1"/>
        <v>20.490403660952115</v>
      </c>
      <c r="H10" s="293">
        <f t="shared" si="1"/>
        <v>25.401326852419974</v>
      </c>
      <c r="I10" s="294">
        <f t="shared" si="1"/>
        <v>28.223696502688853</v>
      </c>
      <c r="L10" t="s">
        <v>254</v>
      </c>
      <c r="N10">
        <v>100</v>
      </c>
      <c r="O10">
        <v>200</v>
      </c>
      <c r="P10">
        <v>300</v>
      </c>
      <c r="Q10">
        <v>400</v>
      </c>
    </row>
    <row r="11" spans="1:17">
      <c r="A11" s="292" t="s">
        <v>294</v>
      </c>
      <c r="B11" s="246" t="s">
        <v>295</v>
      </c>
      <c r="C11" s="293">
        <f>$F$3</f>
        <v>26</v>
      </c>
      <c r="D11" s="293">
        <f>$F$3</f>
        <v>26</v>
      </c>
      <c r="E11" s="293">
        <f>$F$3</f>
        <v>26</v>
      </c>
      <c r="F11" s="293">
        <f>$F$3</f>
        <v>26</v>
      </c>
      <c r="G11" s="293">
        <f>$F$3</f>
        <v>26</v>
      </c>
      <c r="H11" s="293"/>
      <c r="I11" s="293"/>
      <c r="L11" t="s">
        <v>296</v>
      </c>
      <c r="N11">
        <v>1.06</v>
      </c>
      <c r="O11">
        <v>1.1200000000000001</v>
      </c>
      <c r="P11">
        <v>1.19</v>
      </c>
      <c r="Q11">
        <v>1.26</v>
      </c>
    </row>
    <row r="12" spans="1:17">
      <c r="A12" s="292" t="s">
        <v>297</v>
      </c>
      <c r="B12" s="246" t="s">
        <v>298</v>
      </c>
      <c r="C12" s="293">
        <f>D2-C11</f>
        <v>104</v>
      </c>
      <c r="D12" s="293">
        <f>C12-D11</f>
        <v>78</v>
      </c>
      <c r="E12" s="293">
        <f>D12-E11</f>
        <v>52</v>
      </c>
      <c r="F12" s="293">
        <f>E12-F11</f>
        <v>26</v>
      </c>
      <c r="G12" s="293">
        <f>F12-G11</f>
        <v>0</v>
      </c>
      <c r="H12" s="293">
        <f t="shared" ref="H12:I12" si="2">G12-H11</f>
        <v>0</v>
      </c>
      <c r="I12" s="293">
        <f t="shared" si="2"/>
        <v>0</v>
      </c>
      <c r="L12" t="s">
        <v>256</v>
      </c>
      <c r="N12">
        <v>377.4</v>
      </c>
      <c r="O12">
        <v>267</v>
      </c>
      <c r="P12">
        <v>235.1</v>
      </c>
      <c r="Q12">
        <v>158.4</v>
      </c>
    </row>
    <row r="13" spans="1:17">
      <c r="A13" s="292" t="s">
        <v>299</v>
      </c>
      <c r="B13" s="246" t="s">
        <v>300</v>
      </c>
      <c r="C13" s="293">
        <f>$D$5*C11</f>
        <v>5.2</v>
      </c>
      <c r="D13" s="293">
        <f t="shared" ref="D13:I13" si="3">$D$5*D11</f>
        <v>5.2</v>
      </c>
      <c r="E13" s="293">
        <f t="shared" si="3"/>
        <v>5.2</v>
      </c>
      <c r="F13" s="293">
        <f t="shared" si="3"/>
        <v>5.2</v>
      </c>
      <c r="G13" s="293">
        <f t="shared" si="3"/>
        <v>5.2</v>
      </c>
      <c r="H13" s="293">
        <f t="shared" si="3"/>
        <v>0</v>
      </c>
      <c r="I13" s="293">
        <f t="shared" si="3"/>
        <v>0</v>
      </c>
      <c r="L13" t="s">
        <v>258</v>
      </c>
      <c r="N13">
        <v>94.3</v>
      </c>
      <c r="O13">
        <v>272.3</v>
      </c>
      <c r="P13">
        <v>524.20000000000005</v>
      </c>
      <c r="Q13">
        <v>841.1</v>
      </c>
    </row>
    <row r="14" spans="1:17">
      <c r="A14" s="292" t="s">
        <v>301</v>
      </c>
      <c r="B14" s="246" t="s">
        <v>302</v>
      </c>
      <c r="C14" s="293">
        <f t="shared" ref="C14:I14" si="4">C13/(1+$D$4)^C6</f>
        <v>4.7272727272727266</v>
      </c>
      <c r="D14" s="293">
        <f t="shared" si="4"/>
        <v>4.2975206611570247</v>
      </c>
      <c r="E14" s="293">
        <f t="shared" si="4"/>
        <v>3.9068369646882033</v>
      </c>
      <c r="F14" s="293">
        <f t="shared" si="4"/>
        <v>3.5516699678983668</v>
      </c>
      <c r="G14" s="293">
        <f t="shared" si="4"/>
        <v>3.2287908799076059</v>
      </c>
      <c r="H14" s="293">
        <f t="shared" si="4"/>
        <v>0</v>
      </c>
      <c r="I14" s="294">
        <f t="shared" si="4"/>
        <v>0</v>
      </c>
      <c r="L14" t="s">
        <v>259</v>
      </c>
      <c r="N14">
        <v>397</v>
      </c>
      <c r="O14">
        <v>685.3</v>
      </c>
      <c r="P14">
        <v>969.1</v>
      </c>
      <c r="Q14" s="231">
        <v>1362.6</v>
      </c>
    </row>
    <row r="15" spans="1:17">
      <c r="A15" s="292" t="s">
        <v>303</v>
      </c>
      <c r="B15" s="246" t="s">
        <v>130</v>
      </c>
      <c r="C15" s="293">
        <f t="shared" ref="C15:D15" si="5">C7-C12</f>
        <v>-4</v>
      </c>
      <c r="D15" s="293">
        <f t="shared" si="5"/>
        <v>2</v>
      </c>
      <c r="E15" s="293">
        <f>E7-E12</f>
        <v>18</v>
      </c>
      <c r="F15" s="293">
        <f t="shared" ref="F15:I15" si="6">F7-F12</f>
        <v>34</v>
      </c>
      <c r="G15" s="293">
        <f t="shared" si="6"/>
        <v>50</v>
      </c>
      <c r="H15" s="293">
        <f t="shared" si="6"/>
        <v>40</v>
      </c>
      <c r="I15" s="294">
        <f t="shared" si="6"/>
        <v>30</v>
      </c>
      <c r="L15" t="s">
        <v>260</v>
      </c>
      <c r="N15">
        <v>420.8</v>
      </c>
      <c r="O15">
        <v>373.8</v>
      </c>
      <c r="P15">
        <v>362.6</v>
      </c>
      <c r="Q15">
        <v>393.2</v>
      </c>
    </row>
    <row r="16" spans="1:17">
      <c r="A16" s="292" t="s">
        <v>304</v>
      </c>
      <c r="B16" s="246" t="s">
        <v>305</v>
      </c>
      <c r="C16" s="293">
        <f t="shared" ref="C16:I16" si="7">C15*$D$5</f>
        <v>-0.8</v>
      </c>
      <c r="D16" s="293">
        <f t="shared" si="7"/>
        <v>0.4</v>
      </c>
      <c r="E16" s="293">
        <f t="shared" si="7"/>
        <v>3.6</v>
      </c>
      <c r="F16" s="293">
        <f t="shared" si="7"/>
        <v>6.8000000000000007</v>
      </c>
      <c r="G16" s="293">
        <f t="shared" si="7"/>
        <v>10</v>
      </c>
      <c r="H16" s="293">
        <f t="shared" si="7"/>
        <v>8</v>
      </c>
      <c r="I16" s="294">
        <f t="shared" si="7"/>
        <v>6</v>
      </c>
    </row>
    <row r="17" spans="1:20" ht="16" thickBot="1">
      <c r="A17" s="292" t="s">
        <v>306</v>
      </c>
      <c r="B17" s="246" t="s">
        <v>307</v>
      </c>
      <c r="C17" s="293">
        <f t="shared" ref="C17:I17" si="8">C16/(1+$D$4)^C6</f>
        <v>-0.72727272727272729</v>
      </c>
      <c r="D17" s="293">
        <f t="shared" si="8"/>
        <v>0.33057851239669417</v>
      </c>
      <c r="E17" s="293">
        <f t="shared" si="8"/>
        <v>2.704733283245679</v>
      </c>
      <c r="F17" s="293">
        <f t="shared" si="8"/>
        <v>4.6444914964824795</v>
      </c>
      <c r="G17" s="293">
        <f t="shared" si="8"/>
        <v>6.2092132305915495</v>
      </c>
      <c r="H17" s="293">
        <f t="shared" si="8"/>
        <v>4.5157914404302177</v>
      </c>
      <c r="I17" s="294">
        <f t="shared" si="8"/>
        <v>3.0789487093842385</v>
      </c>
    </row>
    <row r="18" spans="1:20">
      <c r="A18" s="292"/>
      <c r="B18" s="295" t="s">
        <v>308</v>
      </c>
      <c r="C18" s="293">
        <v>1</v>
      </c>
      <c r="D18" s="293">
        <v>2</v>
      </c>
      <c r="E18" s="293">
        <v>3</v>
      </c>
      <c r="F18" s="386">
        <v>4</v>
      </c>
      <c r="G18" s="385">
        <v>5</v>
      </c>
      <c r="H18" s="293">
        <v>6</v>
      </c>
      <c r="I18" s="294">
        <v>7</v>
      </c>
    </row>
    <row r="19" spans="1:20">
      <c r="A19" s="296" t="s">
        <v>12</v>
      </c>
      <c r="B19" s="246" t="s">
        <v>309</v>
      </c>
      <c r="C19" s="293">
        <f>$D$2</f>
        <v>130</v>
      </c>
      <c r="D19" s="293">
        <f t="shared" ref="D19:I19" si="9">$D$2</f>
        <v>130</v>
      </c>
      <c r="E19" s="293">
        <f t="shared" si="9"/>
        <v>130</v>
      </c>
      <c r="F19" s="293">
        <f t="shared" si="9"/>
        <v>130</v>
      </c>
      <c r="G19" s="293">
        <f t="shared" si="9"/>
        <v>130</v>
      </c>
      <c r="H19" s="293">
        <f t="shared" si="9"/>
        <v>130</v>
      </c>
      <c r="I19" s="294">
        <f t="shared" si="9"/>
        <v>130</v>
      </c>
    </row>
    <row r="20" spans="1:20">
      <c r="A20" s="296" t="s">
        <v>310</v>
      </c>
      <c r="B20" s="246" t="s">
        <v>311</v>
      </c>
      <c r="C20" s="293">
        <f>C10</f>
        <v>9.0909090909090899</v>
      </c>
      <c r="D20" s="293">
        <f t="shared" ref="D20:I20" si="10">C20+D10</f>
        <v>21.487603305785122</v>
      </c>
      <c r="E20" s="293">
        <f t="shared" si="10"/>
        <v>35.011269722013516</v>
      </c>
      <c r="F20" s="293">
        <f t="shared" si="10"/>
        <v>50.037565740045068</v>
      </c>
      <c r="G20" s="293">
        <f t="shared" si="10"/>
        <v>70.527969400997179</v>
      </c>
      <c r="H20" s="293">
        <f t="shared" si="10"/>
        <v>95.929296253417149</v>
      </c>
      <c r="I20" s="294">
        <f t="shared" si="10"/>
        <v>124.152992756106</v>
      </c>
    </row>
    <row r="21" spans="1:20">
      <c r="A21" s="296" t="s">
        <v>312</v>
      </c>
      <c r="B21" s="246" t="s">
        <v>313</v>
      </c>
      <c r="C21" s="293">
        <f>C14</f>
        <v>4.7272727272727266</v>
      </c>
      <c r="D21" s="293">
        <f>C14+D14</f>
        <v>9.0247933884297513</v>
      </c>
      <c r="E21" s="293">
        <f>D21+E14</f>
        <v>12.931630353117955</v>
      </c>
      <c r="F21" s="293">
        <f t="shared" ref="F21:G21" si="11">E21+F14</f>
        <v>16.483300321016323</v>
      </c>
      <c r="G21" s="293">
        <f t="shared" si="11"/>
        <v>19.712091200923929</v>
      </c>
      <c r="H21" s="293">
        <v>0</v>
      </c>
      <c r="I21" s="294">
        <f t="shared" ref="I21" si="12">I13</f>
        <v>0</v>
      </c>
    </row>
    <row r="22" spans="1:20">
      <c r="A22" s="296" t="s">
        <v>277</v>
      </c>
      <c r="B22" s="246" t="s">
        <v>291</v>
      </c>
      <c r="C22" s="293">
        <f t="shared" ref="C22:I22" si="13">C9</f>
        <v>90.909090909090907</v>
      </c>
      <c r="D22" s="293">
        <f t="shared" si="13"/>
        <v>66.115702479338836</v>
      </c>
      <c r="E22" s="293">
        <f t="shared" si="13"/>
        <v>52.592036063110427</v>
      </c>
      <c r="F22" s="293">
        <f t="shared" si="13"/>
        <v>40.98080732190423</v>
      </c>
      <c r="G22" s="293">
        <f t="shared" si="13"/>
        <v>31.046066152957749</v>
      </c>
      <c r="H22" s="293">
        <f t="shared" si="13"/>
        <v>22.578957202151088</v>
      </c>
      <c r="I22" s="294">
        <f t="shared" si="13"/>
        <v>15.394743546921193</v>
      </c>
    </row>
    <row r="23" spans="1:20">
      <c r="A23" s="296" t="s">
        <v>314</v>
      </c>
      <c r="B23" s="246" t="s">
        <v>315</v>
      </c>
      <c r="C23" s="293">
        <f>C17</f>
        <v>-0.72727272727272729</v>
      </c>
      <c r="D23" s="293">
        <f t="shared" ref="D23:I23" si="14">D17</f>
        <v>0.33057851239669417</v>
      </c>
      <c r="E23" s="293">
        <f t="shared" si="14"/>
        <v>2.704733283245679</v>
      </c>
      <c r="F23" s="293">
        <f t="shared" si="14"/>
        <v>4.6444914964824795</v>
      </c>
      <c r="G23" s="293">
        <f t="shared" si="14"/>
        <v>6.2092132305915495</v>
      </c>
      <c r="H23" s="293">
        <f t="shared" si="14"/>
        <v>4.5157914404302177</v>
      </c>
      <c r="I23" s="294">
        <f t="shared" si="14"/>
        <v>3.0789487093842385</v>
      </c>
    </row>
    <row r="24" spans="1:20">
      <c r="A24" s="296" t="s">
        <v>316</v>
      </c>
      <c r="B24" s="246" t="s">
        <v>317</v>
      </c>
      <c r="C24" s="293">
        <f>C19+C20-C21-C22</f>
        <v>43.454545454545467</v>
      </c>
      <c r="D24" s="293">
        <f>D19+D20-D21-D22</f>
        <v>76.347107438016536</v>
      </c>
      <c r="E24" s="293">
        <f>E19+E20-E21-E22+E23</f>
        <v>102.1923365890308</v>
      </c>
      <c r="F24" s="293">
        <f t="shared" ref="F24:I24" si="15">F19+F20-F21-F22+F23</f>
        <v>127.217949593607</v>
      </c>
      <c r="G24" s="293">
        <f t="shared" si="15"/>
        <v>155.97902527770702</v>
      </c>
      <c r="H24" s="293">
        <f t="shared" si="15"/>
        <v>207.86613049169625</v>
      </c>
      <c r="I24" s="293">
        <f t="shared" si="15"/>
        <v>241.83719791856905</v>
      </c>
    </row>
    <row r="25" spans="1:20" ht="16" thickBot="1">
      <c r="A25" s="297"/>
      <c r="B25" s="266"/>
      <c r="C25" s="298"/>
      <c r="D25" s="298"/>
      <c r="E25" s="298"/>
      <c r="F25" s="298"/>
      <c r="G25" s="298"/>
      <c r="H25" s="298"/>
      <c r="I25" s="299"/>
    </row>
    <row r="26" spans="1:20" ht="16" thickBot="1">
      <c r="A26" s="300" t="s">
        <v>318</v>
      </c>
      <c r="B26" s="301" t="s">
        <v>319</v>
      </c>
      <c r="C26" s="302">
        <f t="shared" ref="C26:I26" si="16">-PMT($D$4,C6,C24)</f>
        <v>47.800000000000026</v>
      </c>
      <c r="D26" s="303">
        <f t="shared" si="16"/>
        <v>43.990476190476201</v>
      </c>
      <c r="E26" s="303">
        <f t="shared" si="16"/>
        <v>41.093051359516629</v>
      </c>
      <c r="F26" s="304">
        <f t="shared" si="16"/>
        <v>40.133548804137043</v>
      </c>
      <c r="G26" s="303">
        <f t="shared" si="16"/>
        <v>41.146873925079028</v>
      </c>
      <c r="H26" s="302">
        <f t="shared" si="16"/>
        <v>47.72759768832276</v>
      </c>
      <c r="I26" s="305">
        <f t="shared" si="16"/>
        <v>49.674690484655542</v>
      </c>
    </row>
    <row r="27" spans="1:20">
      <c r="A27" s="306"/>
      <c r="B27" s="123"/>
      <c r="C27" s="123"/>
      <c r="D27" s="123" t="s">
        <v>23</v>
      </c>
      <c r="E27" s="123"/>
      <c r="G27" s="307" t="s">
        <v>320</v>
      </c>
      <c r="H27" s="123"/>
      <c r="I27" s="123"/>
    </row>
    <row r="28" spans="1:20">
      <c r="C28" s="26"/>
      <c r="D28" s="26"/>
      <c r="E28" s="26"/>
      <c r="F28" s="26"/>
      <c r="G28" s="26"/>
      <c r="H28" s="26"/>
      <c r="I28" s="26"/>
    </row>
    <row r="29" spans="1:20" ht="30" customHeight="1" thickBot="1">
      <c r="B29" t="s">
        <v>321</v>
      </c>
      <c r="C29" s="26"/>
      <c r="D29" s="26"/>
      <c r="E29" s="26"/>
      <c r="F29" s="26"/>
      <c r="H29" s="26"/>
      <c r="I29" s="26"/>
    </row>
    <row r="30" spans="1:20" ht="16" thickBot="1">
      <c r="A30" s="308"/>
      <c r="B30" s="309"/>
      <c r="C30" s="309"/>
      <c r="D30" s="309"/>
      <c r="E30" s="380" t="s">
        <v>322</v>
      </c>
      <c r="F30" s="380"/>
      <c r="G30" s="309"/>
      <c r="H30" s="310"/>
      <c r="I30" s="311"/>
    </row>
    <row r="31" spans="1:20" ht="16" thickBot="1">
      <c r="A31" s="308"/>
      <c r="B31" s="309"/>
      <c r="C31" s="381" t="s">
        <v>323</v>
      </c>
      <c r="D31" s="382"/>
      <c r="E31" s="382"/>
      <c r="F31" s="382"/>
      <c r="G31" s="383"/>
      <c r="H31" s="312"/>
      <c r="I31" s="313"/>
      <c r="J31" s="314"/>
      <c r="K31" s="309"/>
    </row>
    <row r="32" spans="1:20" ht="17" customHeight="1" thickBot="1">
      <c r="A32" s="315"/>
      <c r="B32" s="316" t="s">
        <v>287</v>
      </c>
      <c r="C32" s="317">
        <v>0</v>
      </c>
      <c r="D32" s="318">
        <v>1</v>
      </c>
      <c r="E32" s="318">
        <v>2</v>
      </c>
      <c r="F32" s="318">
        <v>3</v>
      </c>
      <c r="G32" s="319">
        <v>4</v>
      </c>
      <c r="H32" s="320">
        <v>5</v>
      </c>
      <c r="I32" s="321">
        <v>6</v>
      </c>
      <c r="J32" s="322"/>
      <c r="K32" s="309"/>
      <c r="M32" s="384" t="s">
        <v>324</v>
      </c>
      <c r="N32" s="384"/>
      <c r="O32" s="384"/>
      <c r="P32" s="384"/>
      <c r="Q32" s="384"/>
      <c r="R32" s="384"/>
      <c r="S32" s="384"/>
      <c r="T32" s="384"/>
    </row>
    <row r="33" spans="1:20" ht="16" thickBot="1">
      <c r="A33" s="323" t="s">
        <v>325</v>
      </c>
      <c r="B33" s="324" t="s">
        <v>326</v>
      </c>
      <c r="C33" s="325"/>
      <c r="D33" s="325">
        <f t="shared" ref="D33:I34" si="17">C11</f>
        <v>26</v>
      </c>
      <c r="E33" s="325">
        <f t="shared" si="17"/>
        <v>26</v>
      </c>
      <c r="F33" s="325">
        <f t="shared" si="17"/>
        <v>26</v>
      </c>
      <c r="G33" s="325">
        <f t="shared" si="17"/>
        <v>26</v>
      </c>
      <c r="H33" s="325">
        <f t="shared" si="17"/>
        <v>26</v>
      </c>
      <c r="I33" s="325">
        <f t="shared" si="17"/>
        <v>0</v>
      </c>
      <c r="J33" s="326">
        <v>7</v>
      </c>
      <c r="K33" s="309"/>
      <c r="M33" s="384"/>
      <c r="N33" s="384"/>
      <c r="O33" s="384"/>
      <c r="P33" s="384"/>
      <c r="Q33" s="384"/>
      <c r="R33" s="384"/>
      <c r="S33" s="384"/>
      <c r="T33" s="384"/>
    </row>
    <row r="34" spans="1:20">
      <c r="A34" s="292"/>
      <c r="B34" s="246" t="s">
        <v>327</v>
      </c>
      <c r="C34" s="327">
        <v>130</v>
      </c>
      <c r="D34" s="327">
        <f t="shared" si="17"/>
        <v>104</v>
      </c>
      <c r="E34" s="327">
        <f t="shared" si="17"/>
        <v>78</v>
      </c>
      <c r="F34" s="327">
        <f t="shared" si="17"/>
        <v>52</v>
      </c>
      <c r="G34" s="327">
        <f t="shared" si="17"/>
        <v>26</v>
      </c>
      <c r="H34" s="327">
        <f t="shared" si="17"/>
        <v>0</v>
      </c>
      <c r="I34" s="327">
        <f t="shared" si="17"/>
        <v>0</v>
      </c>
      <c r="J34" s="325">
        <f t="shared" ref="J34:J35" si="18">I11</f>
        <v>0</v>
      </c>
      <c r="K34" s="309"/>
      <c r="M34" s="384"/>
      <c r="N34" s="384"/>
      <c r="O34" s="384"/>
      <c r="P34" s="384"/>
      <c r="Q34" s="384"/>
      <c r="R34" s="384"/>
      <c r="S34" s="384"/>
      <c r="T34" s="384"/>
    </row>
    <row r="35" spans="1:20">
      <c r="A35" s="328"/>
      <c r="B35" s="329" t="s">
        <v>328</v>
      </c>
      <c r="C35" s="330"/>
      <c r="D35" s="330">
        <f>D33</f>
        <v>26</v>
      </c>
      <c r="E35" s="330">
        <f>D35+E33</f>
        <v>52</v>
      </c>
      <c r="F35" s="330">
        <f>E35+F33</f>
        <v>78</v>
      </c>
      <c r="G35" s="330">
        <f>F35+G33</f>
        <v>104</v>
      </c>
      <c r="H35" s="330">
        <f t="shared" ref="H35:I35" si="19">G35+H33</f>
        <v>130</v>
      </c>
      <c r="I35" s="330">
        <f t="shared" si="19"/>
        <v>130</v>
      </c>
      <c r="J35" s="327">
        <f t="shared" si="18"/>
        <v>0</v>
      </c>
      <c r="K35" s="309"/>
      <c r="M35" s="384"/>
      <c r="N35" s="384"/>
      <c r="O35" s="384"/>
      <c r="P35" s="384"/>
      <c r="Q35" s="384"/>
      <c r="R35" s="384"/>
      <c r="S35" s="384"/>
      <c r="T35" s="384"/>
    </row>
    <row r="36" spans="1:20">
      <c r="A36" s="328" t="s">
        <v>329</v>
      </c>
      <c r="B36" s="329" t="s">
        <v>330</v>
      </c>
      <c r="C36" s="330"/>
      <c r="D36" s="330">
        <f>$F$28</f>
        <v>0</v>
      </c>
      <c r="E36" s="330">
        <f>$F$28</f>
        <v>0</v>
      </c>
      <c r="F36" s="330">
        <f>$F$28</f>
        <v>0</v>
      </c>
      <c r="G36" s="330">
        <f>$F$28</f>
        <v>0</v>
      </c>
      <c r="H36" s="331">
        <f>($F$19)/4</f>
        <v>32.5</v>
      </c>
      <c r="I36" s="331">
        <f>($F$19)/4</f>
        <v>32.5</v>
      </c>
      <c r="J36" s="330">
        <f>I35+J34</f>
        <v>130</v>
      </c>
      <c r="K36" s="309"/>
    </row>
    <row r="37" spans="1:20">
      <c r="A37" s="328"/>
      <c r="B37" s="246" t="s">
        <v>331</v>
      </c>
      <c r="C37" s="327">
        <v>130</v>
      </c>
      <c r="D37" s="330">
        <f>C19-D38</f>
        <v>130</v>
      </c>
      <c r="E37" s="330">
        <f>D19-E38</f>
        <v>130</v>
      </c>
      <c r="F37" s="330">
        <f>E19-F38</f>
        <v>130</v>
      </c>
      <c r="G37" s="330">
        <f>F19-G38</f>
        <v>130</v>
      </c>
      <c r="H37" s="331">
        <f t="shared" ref="H37:I37" si="20">G19-H38</f>
        <v>130</v>
      </c>
      <c r="I37" s="331">
        <f t="shared" si="20"/>
        <v>130</v>
      </c>
      <c r="J37" s="332">
        <f>($F$19)/4</f>
        <v>32.5</v>
      </c>
      <c r="K37" s="309"/>
    </row>
    <row r="38" spans="1:20" ht="16" thickBot="1">
      <c r="A38" s="333"/>
      <c r="B38" s="334" t="s">
        <v>332</v>
      </c>
      <c r="C38" s="335"/>
      <c r="D38" s="335">
        <f>D36</f>
        <v>0</v>
      </c>
      <c r="E38" s="335">
        <f>D38+E36</f>
        <v>0</v>
      </c>
      <c r="F38" s="335">
        <f>E38+F36</f>
        <v>0</v>
      </c>
      <c r="G38" s="335">
        <f t="shared" ref="G38" si="21">F38+G36</f>
        <v>0</v>
      </c>
      <c r="H38" s="336">
        <v>0</v>
      </c>
      <c r="I38" s="336">
        <f>D38</f>
        <v>0</v>
      </c>
      <c r="J38" s="331">
        <f>I19-J39</f>
        <v>130</v>
      </c>
      <c r="K38" s="309"/>
    </row>
    <row r="39" spans="1:20" ht="16" thickBot="1">
      <c r="A39" s="308"/>
      <c r="B39" s="309"/>
      <c r="C39" s="309"/>
      <c r="D39" s="309"/>
      <c r="E39" s="309"/>
      <c r="F39" s="309"/>
      <c r="G39" s="309"/>
      <c r="H39" s="309"/>
      <c r="I39" s="309"/>
      <c r="J39" s="337">
        <f>E38</f>
        <v>0</v>
      </c>
      <c r="K39" s="309"/>
    </row>
    <row r="40" spans="1:20">
      <c r="A40" s="308"/>
      <c r="B40" s="309"/>
      <c r="C40" s="309"/>
      <c r="F40" s="309"/>
      <c r="G40" s="309"/>
      <c r="H40" s="309"/>
      <c r="I40" s="309"/>
      <c r="J40" s="309"/>
      <c r="K40" s="309"/>
    </row>
    <row r="41" spans="1:20" ht="17" thickBot="1">
      <c r="A41" s="338" t="s">
        <v>282</v>
      </c>
      <c r="F41" s="309"/>
      <c r="G41" s="309"/>
      <c r="H41" s="309"/>
      <c r="I41" s="309"/>
      <c r="J41" s="309"/>
      <c r="K41" s="309"/>
    </row>
    <row r="42" spans="1:20" ht="16" thickBot="1">
      <c r="A42" s="202">
        <v>-1</v>
      </c>
      <c r="B42" s="339" t="s">
        <v>333</v>
      </c>
      <c r="C42" s="340">
        <v>130</v>
      </c>
      <c r="D42" s="339"/>
      <c r="E42" s="309"/>
      <c r="F42" s="309"/>
      <c r="G42" s="309"/>
      <c r="H42" s="309"/>
      <c r="I42" s="309"/>
      <c r="J42" s="309"/>
      <c r="K42" s="309"/>
    </row>
    <row r="43" spans="1:20" ht="16" thickBot="1">
      <c r="A43" s="197">
        <v>-2</v>
      </c>
      <c r="B43" s="341" t="s">
        <v>283</v>
      </c>
      <c r="C43" s="342">
        <v>0.2</v>
      </c>
      <c r="D43" s="203" t="s">
        <v>334</v>
      </c>
      <c r="J43" s="309"/>
      <c r="K43" s="309"/>
    </row>
    <row r="44" spans="1:20" ht="16" thickBot="1">
      <c r="A44" s="197">
        <v>-3</v>
      </c>
      <c r="B44" s="341" t="s">
        <v>335</v>
      </c>
      <c r="C44" s="342">
        <v>0.1</v>
      </c>
      <c r="D44" s="341" t="s">
        <v>336</v>
      </c>
    </row>
    <row r="45" spans="1:20" ht="17" thickBot="1">
      <c r="A45" s="197">
        <v>-4</v>
      </c>
      <c r="B45" s="341" t="s">
        <v>337</v>
      </c>
      <c r="C45" s="342">
        <v>0.35</v>
      </c>
      <c r="D45" s="341"/>
    </row>
    <row r="47" spans="1:20" ht="16" thickBot="1"/>
    <row r="48" spans="1:20" ht="16" thickBot="1">
      <c r="A48" s="343"/>
      <c r="B48" s="344" t="s">
        <v>287</v>
      </c>
      <c r="C48" s="345">
        <v>1</v>
      </c>
      <c r="D48" s="345">
        <v>2</v>
      </c>
      <c r="E48" s="345">
        <v>3</v>
      </c>
      <c r="F48" s="345">
        <v>4</v>
      </c>
      <c r="G48" s="345">
        <v>5</v>
      </c>
      <c r="H48" s="345">
        <v>6</v>
      </c>
      <c r="I48" s="346">
        <v>7</v>
      </c>
    </row>
    <row r="49" spans="1:9" ht="16" thickBot="1">
      <c r="A49" s="197">
        <v>-5</v>
      </c>
      <c r="B49" s="341" t="s">
        <v>288</v>
      </c>
      <c r="C49" s="198">
        <v>100</v>
      </c>
      <c r="D49" s="198">
        <v>80</v>
      </c>
      <c r="E49" s="198">
        <v>70</v>
      </c>
      <c r="F49" s="198">
        <v>60</v>
      </c>
      <c r="G49" s="198">
        <v>50</v>
      </c>
      <c r="H49" s="198">
        <v>40</v>
      </c>
      <c r="I49" s="198">
        <v>30</v>
      </c>
    </row>
    <row r="50" spans="1:9" ht="16" thickBot="1">
      <c r="A50" s="197">
        <v>-6</v>
      </c>
      <c r="B50" s="341" t="s">
        <v>338</v>
      </c>
      <c r="C50" s="198">
        <v>10</v>
      </c>
      <c r="D50" s="198">
        <v>15</v>
      </c>
      <c r="E50" s="198">
        <v>18</v>
      </c>
      <c r="F50" s="198">
        <v>22</v>
      </c>
      <c r="G50" s="198">
        <v>33</v>
      </c>
      <c r="H50" s="198">
        <v>45</v>
      </c>
      <c r="I50" s="198">
        <v>50</v>
      </c>
    </row>
  </sheetData>
  <mergeCells count="4">
    <mergeCell ref="J2:J8"/>
    <mergeCell ref="E30:F30"/>
    <mergeCell ref="C31:G31"/>
    <mergeCell ref="M32:T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topLeftCell="C1" workbookViewId="0">
      <selection activeCell="A18" sqref="A18"/>
    </sheetView>
  </sheetViews>
  <sheetFormatPr baseColWidth="10" defaultColWidth="8.83203125" defaultRowHeight="15"/>
  <cols>
    <col min="2" max="2" width="13.33203125" customWidth="1"/>
    <col min="3" max="3" width="14" customWidth="1"/>
    <col min="4" max="4" width="18.5" customWidth="1"/>
    <col min="5" max="5" width="11.5" bestFit="1" customWidth="1"/>
    <col min="6" max="6" width="18.5" bestFit="1" customWidth="1"/>
    <col min="7" max="7" width="11.5" bestFit="1" customWidth="1"/>
    <col min="8" max="8" width="10.1640625" bestFit="1" customWidth="1"/>
  </cols>
  <sheetData>
    <row r="1" spans="1:17">
      <c r="B1" s="361" t="s">
        <v>25</v>
      </c>
      <c r="C1" s="361"/>
      <c r="D1" s="361"/>
    </row>
    <row r="2" spans="1:17" ht="17">
      <c r="A2" s="2"/>
      <c r="B2" s="30" t="s">
        <v>26</v>
      </c>
      <c r="C2" s="31">
        <v>100000</v>
      </c>
      <c r="D2" s="17"/>
    </row>
    <row r="3" spans="1:17">
      <c r="B3" s="30" t="s">
        <v>27</v>
      </c>
      <c r="C3" s="17">
        <v>2</v>
      </c>
      <c r="D3" s="17" t="s">
        <v>28</v>
      </c>
      <c r="L3" s="362" t="s">
        <v>29</v>
      </c>
      <c r="M3" s="363"/>
      <c r="N3" s="363"/>
      <c r="O3" s="363"/>
      <c r="P3" s="363"/>
      <c r="Q3" s="363"/>
    </row>
    <row r="4" spans="1:17">
      <c r="B4" s="30" t="s">
        <v>30</v>
      </c>
      <c r="C4" s="32">
        <v>0.12</v>
      </c>
      <c r="D4" s="17" t="s">
        <v>31</v>
      </c>
      <c r="L4" s="363"/>
      <c r="M4" s="363"/>
      <c r="N4" s="363"/>
      <c r="O4" s="363"/>
      <c r="P4" s="363"/>
      <c r="Q4" s="363"/>
    </row>
    <row r="5" spans="1:17">
      <c r="B5" s="30" t="s">
        <v>32</v>
      </c>
      <c r="C5" s="17" t="s">
        <v>33</v>
      </c>
      <c r="D5" s="17"/>
      <c r="L5" s="363"/>
      <c r="M5" s="363"/>
      <c r="N5" s="363"/>
      <c r="O5" s="363"/>
      <c r="P5" s="363"/>
      <c r="Q5" s="363"/>
    </row>
    <row r="6" spans="1:17">
      <c r="B6" s="2">
        <v>1</v>
      </c>
      <c r="C6" s="29" t="s">
        <v>34</v>
      </c>
      <c r="D6" s="29">
        <v>2</v>
      </c>
      <c r="E6" t="s">
        <v>35</v>
      </c>
      <c r="L6" s="363"/>
      <c r="M6" s="363"/>
      <c r="N6" s="363"/>
      <c r="O6" s="363"/>
      <c r="P6" s="363"/>
      <c r="Q6" s="363"/>
    </row>
    <row r="7" spans="1:17">
      <c r="B7" s="2"/>
      <c r="C7" s="29"/>
      <c r="L7" s="363"/>
      <c r="M7" s="363"/>
      <c r="N7" s="363"/>
      <c r="O7" s="363"/>
      <c r="P7" s="363"/>
      <c r="Q7" s="363"/>
    </row>
    <row r="8" spans="1:17" ht="17">
      <c r="B8" s="2" t="s">
        <v>36</v>
      </c>
      <c r="C8" s="33" t="s">
        <v>37</v>
      </c>
      <c r="D8" s="34">
        <f>C2*(1+C4/D6)^(D6*C3)</f>
        <v>126247.69600000003</v>
      </c>
      <c r="L8" s="363"/>
      <c r="M8" s="363"/>
      <c r="N8" s="363"/>
      <c r="O8" s="363"/>
      <c r="P8" s="363"/>
      <c r="Q8" s="363"/>
    </row>
    <row r="9" spans="1:17">
      <c r="L9" s="363"/>
      <c r="M9" s="363"/>
      <c r="N9" s="363"/>
      <c r="O9" s="363"/>
      <c r="P9" s="363"/>
      <c r="Q9" s="363"/>
    </row>
    <row r="10" spans="1:17">
      <c r="L10" s="363"/>
      <c r="M10" s="363"/>
      <c r="N10" s="363"/>
      <c r="O10" s="363"/>
      <c r="P10" s="363"/>
      <c r="Q10" s="363"/>
    </row>
    <row r="11" spans="1:17">
      <c r="B11" s="361" t="s">
        <v>38</v>
      </c>
      <c r="C11" s="361"/>
      <c r="D11" s="361"/>
      <c r="L11" s="363"/>
      <c r="M11" s="363"/>
      <c r="N11" s="363"/>
      <c r="O11" s="363"/>
      <c r="P11" s="363"/>
      <c r="Q11" s="363"/>
    </row>
    <row r="12" spans="1:17" ht="17">
      <c r="B12" s="30" t="s">
        <v>26</v>
      </c>
      <c r="C12" s="31">
        <f>D8</f>
        <v>126247.69600000003</v>
      </c>
      <c r="D12" s="17"/>
      <c r="L12" s="363"/>
      <c r="M12" s="363"/>
      <c r="N12" s="363"/>
      <c r="O12" s="363"/>
      <c r="P12" s="363"/>
      <c r="Q12" s="363"/>
    </row>
    <row r="13" spans="1:17">
      <c r="B13" s="30" t="s">
        <v>27</v>
      </c>
      <c r="C13" s="17">
        <v>3</v>
      </c>
      <c r="D13" s="17" t="s">
        <v>28</v>
      </c>
      <c r="E13" s="35" t="s">
        <v>39</v>
      </c>
      <c r="F13" s="2" t="s">
        <v>27</v>
      </c>
      <c r="G13">
        <f>3*4</f>
        <v>12</v>
      </c>
      <c r="H13" t="s">
        <v>40</v>
      </c>
      <c r="L13" s="363"/>
      <c r="M13" s="363"/>
      <c r="N13" s="363"/>
      <c r="O13" s="363"/>
      <c r="P13" s="363"/>
      <c r="Q13" s="363"/>
    </row>
    <row r="14" spans="1:17" ht="17">
      <c r="B14" s="30" t="s">
        <v>41</v>
      </c>
      <c r="C14" s="32">
        <v>0.16</v>
      </c>
      <c r="D14" s="17" t="s">
        <v>31</v>
      </c>
      <c r="F14" s="2" t="s">
        <v>41</v>
      </c>
      <c r="G14" s="36">
        <f>((1+C14)^(B16/D16))-1</f>
        <v>3.7801985653766579E-2</v>
      </c>
      <c r="H14" t="s">
        <v>42</v>
      </c>
      <c r="L14" s="363"/>
      <c r="M14" s="363"/>
      <c r="N14" s="363"/>
      <c r="O14" s="363"/>
      <c r="P14" s="363"/>
      <c r="Q14" s="363"/>
    </row>
    <row r="15" spans="1:17">
      <c r="B15" s="30" t="s">
        <v>32</v>
      </c>
      <c r="C15" s="17" t="s">
        <v>43</v>
      </c>
      <c r="D15" s="17"/>
      <c r="F15" s="30" t="s">
        <v>32</v>
      </c>
      <c r="G15" s="17" t="s">
        <v>44</v>
      </c>
    </row>
    <row r="16" spans="1:17">
      <c r="B16" s="2">
        <v>1</v>
      </c>
      <c r="C16" s="29" t="s">
        <v>34</v>
      </c>
      <c r="D16" s="29">
        <v>4</v>
      </c>
      <c r="E16" t="s">
        <v>40</v>
      </c>
    </row>
    <row r="17" spans="2:6">
      <c r="B17" s="2"/>
      <c r="C17" s="29"/>
    </row>
    <row r="18" spans="2:6" ht="19">
      <c r="B18" s="2" t="s">
        <v>45</v>
      </c>
      <c r="C18" s="37" t="s">
        <v>46</v>
      </c>
      <c r="D18" s="38">
        <f>C12*((1+C14)^C13)</f>
        <v>197059.52369561602</v>
      </c>
      <c r="E18" s="35" t="s">
        <v>39</v>
      </c>
      <c r="F18" s="39">
        <f>C12*((1+G14)^G13)</f>
        <v>197059.52369561602</v>
      </c>
    </row>
    <row r="30" spans="2:6">
      <c r="C30" t="s">
        <v>47</v>
      </c>
      <c r="D30" s="1">
        <v>0.12</v>
      </c>
    </row>
    <row r="31" spans="2:6">
      <c r="C31" t="s">
        <v>48</v>
      </c>
      <c r="D31">
        <f>(1+D30)^(1/2)</f>
        <v>1.0583005244258363</v>
      </c>
      <c r="E31" s="27">
        <f>D30/2</f>
        <v>0.06</v>
      </c>
    </row>
    <row r="32" spans="2:6">
      <c r="C32">
        <v>0</v>
      </c>
      <c r="D32">
        <v>100</v>
      </c>
    </row>
    <row r="33" spans="3:6">
      <c r="C33">
        <v>1</v>
      </c>
    </row>
    <row r="34" spans="3:6">
      <c r="C34">
        <v>2</v>
      </c>
      <c r="F34" s="1">
        <v>0.16</v>
      </c>
    </row>
    <row r="35" spans="3:6">
      <c r="F35">
        <f>(1+F34)^(1/12)</f>
        <v>1.0124451379197135</v>
      </c>
    </row>
    <row r="36" spans="3:6">
      <c r="D36" s="3">
        <f>D32*((1+E31)^4)</f>
        <v>126.24769600000003</v>
      </c>
      <c r="F36" s="28">
        <f>F35-1</f>
        <v>1.2445137919713467E-2</v>
      </c>
    </row>
    <row r="38" spans="3:6">
      <c r="F38">
        <f>D36*((1+F36)^36)</f>
        <v>197.05952369561587</v>
      </c>
    </row>
  </sheetData>
  <mergeCells count="3">
    <mergeCell ref="B1:D1"/>
    <mergeCell ref="L3:Q14"/>
    <mergeCell ref="B11:D11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6</xdr:col>
                <xdr:colOff>609600</xdr:colOff>
                <xdr:row>15</xdr:row>
                <xdr:rowOff>190500</xdr:rowOff>
              </from>
              <to>
                <xdr:col>11</xdr:col>
                <xdr:colOff>152400</xdr:colOff>
                <xdr:row>19</xdr:row>
                <xdr:rowOff>101600</xdr:rowOff>
              </to>
            </anchor>
          </objectPr>
        </oleObject>
      </mc:Choice>
      <mc:Fallback>
        <oleObject progId="Equation.3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G18" sqref="G18"/>
    </sheetView>
  </sheetViews>
  <sheetFormatPr baseColWidth="10" defaultColWidth="8.83203125" defaultRowHeight="15"/>
  <cols>
    <col min="1" max="1" width="10.6640625" bestFit="1" customWidth="1"/>
    <col min="3" max="3" width="12.5" bestFit="1" customWidth="1"/>
    <col min="7" max="7" width="11.5" bestFit="1" customWidth="1"/>
    <col min="8" max="8" width="12.5" bestFit="1" customWidth="1"/>
    <col min="10" max="10" width="11.5" bestFit="1" customWidth="1"/>
  </cols>
  <sheetData>
    <row r="1" spans="1:10" ht="16" thickBot="1">
      <c r="A1" s="40" t="s">
        <v>49</v>
      </c>
      <c r="D1" t="s">
        <v>50</v>
      </c>
    </row>
    <row r="2" spans="1:10" ht="16" thickTop="1">
      <c r="C2" s="29" t="s">
        <v>51</v>
      </c>
      <c r="D2" s="29" t="s">
        <v>52</v>
      </c>
      <c r="E2" s="29" t="s">
        <v>53</v>
      </c>
      <c r="F2" s="29" t="s">
        <v>54</v>
      </c>
    </row>
    <row r="3" spans="1:10">
      <c r="B3">
        <v>0</v>
      </c>
      <c r="C3">
        <v>10000</v>
      </c>
      <c r="D3">
        <v>10000</v>
      </c>
      <c r="E3">
        <v>10000</v>
      </c>
      <c r="F3">
        <v>10000</v>
      </c>
    </row>
    <row r="4" spans="1:10">
      <c r="B4">
        <v>1</v>
      </c>
      <c r="C4">
        <v>-600</v>
      </c>
      <c r="D4">
        <v>-1600</v>
      </c>
      <c r="E4">
        <v>-1358.68</v>
      </c>
      <c r="F4">
        <v>0</v>
      </c>
    </row>
    <row r="5" spans="1:10">
      <c r="B5">
        <v>2</v>
      </c>
      <c r="C5">
        <v>-600</v>
      </c>
      <c r="D5">
        <v>-1540</v>
      </c>
      <c r="E5">
        <v>-1358.68</v>
      </c>
      <c r="F5">
        <v>0</v>
      </c>
    </row>
    <row r="6" spans="1:10">
      <c r="B6">
        <v>3</v>
      </c>
      <c r="C6">
        <v>-600</v>
      </c>
      <c r="D6">
        <v>-1480</v>
      </c>
      <c r="E6">
        <v>-1358.68</v>
      </c>
      <c r="F6">
        <v>0</v>
      </c>
    </row>
    <row r="7" spans="1:10" ht="24" customHeight="1">
      <c r="B7">
        <v>4</v>
      </c>
      <c r="C7">
        <v>-600</v>
      </c>
      <c r="D7">
        <v>-1420</v>
      </c>
      <c r="E7">
        <v>-1358.68</v>
      </c>
      <c r="F7">
        <v>0</v>
      </c>
    </row>
    <row r="8" spans="1:10">
      <c r="B8">
        <v>5</v>
      </c>
      <c r="C8">
        <v>-600</v>
      </c>
      <c r="D8">
        <v>-1360</v>
      </c>
      <c r="E8">
        <v>-1358.68</v>
      </c>
      <c r="F8">
        <v>0</v>
      </c>
    </row>
    <row r="9" spans="1:10">
      <c r="B9">
        <v>6</v>
      </c>
      <c r="C9">
        <v>-600</v>
      </c>
      <c r="D9">
        <v>-1300</v>
      </c>
      <c r="E9">
        <v>-1358.68</v>
      </c>
      <c r="F9">
        <v>0</v>
      </c>
    </row>
    <row r="10" spans="1:10">
      <c r="B10">
        <v>7</v>
      </c>
      <c r="C10">
        <v>-600</v>
      </c>
      <c r="D10">
        <v>-1240</v>
      </c>
      <c r="E10">
        <v>-1358.68</v>
      </c>
      <c r="F10">
        <v>0</v>
      </c>
    </row>
    <row r="11" spans="1:10">
      <c r="B11">
        <v>8</v>
      </c>
      <c r="C11">
        <v>-600</v>
      </c>
      <c r="D11">
        <v>-1180</v>
      </c>
      <c r="E11">
        <v>-1358.68</v>
      </c>
      <c r="F11">
        <v>0</v>
      </c>
    </row>
    <row r="12" spans="1:10" ht="16" customHeight="1">
      <c r="B12">
        <v>9</v>
      </c>
      <c r="C12">
        <v>-600</v>
      </c>
      <c r="D12">
        <v>-1120</v>
      </c>
      <c r="E12">
        <v>-1358.68</v>
      </c>
      <c r="F12">
        <v>0</v>
      </c>
      <c r="H12">
        <f>F13/(1.06)^10</f>
        <v>-10000.00727843662</v>
      </c>
    </row>
    <row r="13" spans="1:10" ht="16" customHeight="1">
      <c r="A13" s="1">
        <v>0.06</v>
      </c>
      <c r="B13">
        <v>10</v>
      </c>
      <c r="C13">
        <v>-10600</v>
      </c>
      <c r="D13">
        <v>-1060</v>
      </c>
      <c r="E13">
        <v>-1358.68</v>
      </c>
      <c r="F13">
        <v>-17908.490000000002</v>
      </c>
    </row>
    <row r="14" spans="1:10" ht="16" thickBot="1">
      <c r="A14" s="1">
        <v>0.12</v>
      </c>
      <c r="B14" s="41" t="s">
        <v>55</v>
      </c>
      <c r="C14" s="42">
        <v>-16000</v>
      </c>
      <c r="D14" s="42">
        <v>-13300</v>
      </c>
      <c r="E14" s="42">
        <v>-13586.800000000001</v>
      </c>
      <c r="F14" s="42">
        <v>-17908.490000000002</v>
      </c>
    </row>
    <row r="15" spans="1:10" ht="16" thickTop="1"/>
    <row r="16" spans="1:10" ht="16" customHeight="1">
      <c r="A16" t="s">
        <v>56</v>
      </c>
      <c r="B16" t="s">
        <v>57</v>
      </c>
      <c r="C16" s="43">
        <f>PV(6%,9,600)+((C13/(1.06)^10))</f>
        <v>-10000</v>
      </c>
      <c r="E16" t="s">
        <v>58</v>
      </c>
      <c r="F16" t="s">
        <v>57</v>
      </c>
      <c r="G16" s="43">
        <f>NPV(12%,C4:C13)</f>
        <v>-6609.8661829534767</v>
      </c>
      <c r="H16" s="44">
        <f>NPV(12%,C3:C13)</f>
        <v>3026.9051937915392</v>
      </c>
      <c r="J16" s="44">
        <f>-PV(12%,10,600)+(10000/(1.12)^10)</f>
        <v>6609.8661829534813</v>
      </c>
    </row>
    <row r="17" spans="1:8" ht="16" customHeight="1">
      <c r="B17" t="s">
        <v>59</v>
      </c>
      <c r="C17" s="43">
        <f>NPV(6%,D4:D13)</f>
        <v>-9999.9999999999982</v>
      </c>
      <c r="F17" t="s">
        <v>59</v>
      </c>
      <c r="G17" s="43">
        <f>NPV(12%,D4:D13)</f>
        <v>-7825.1115142054286</v>
      </c>
      <c r="H17" s="44">
        <f>NPV(12%,D3:D13)</f>
        <v>1941.8647194594389</v>
      </c>
    </row>
    <row r="18" spans="1:8" ht="16" customHeight="1">
      <c r="B18" t="s">
        <v>60</v>
      </c>
      <c r="C18" s="43">
        <f>NPV(6%,E4:E13)</f>
        <v>-10000.003075016119</v>
      </c>
      <c r="F18" t="s">
        <v>60</v>
      </c>
      <c r="G18" s="43">
        <f>NPV(12%,E4:E13)</f>
        <v>-7676.8450242412709</v>
      </c>
      <c r="H18" s="44">
        <f>NPV(12%,E3:E13)</f>
        <v>2074.2455140702932</v>
      </c>
    </row>
    <row r="19" spans="1:8">
      <c r="B19" t="s">
        <v>61</v>
      </c>
      <c r="C19" s="43">
        <f>F13/(1.06)^10</f>
        <v>-10000.00727843662</v>
      </c>
      <c r="F19" t="s">
        <v>61</v>
      </c>
      <c r="G19" s="43">
        <f>NPV(12%,F4:F13)</f>
        <v>-5766.0544877521124</v>
      </c>
      <c r="H19" s="43">
        <f>NPV(12%,F3:F13)</f>
        <v>3780.3084930784707</v>
      </c>
    </row>
    <row r="20" spans="1:8" ht="16" customHeight="1"/>
    <row r="21" spans="1:8">
      <c r="B21" s="1"/>
      <c r="C21" s="45"/>
      <c r="D21" s="45"/>
      <c r="E21" s="45"/>
      <c r="F21" s="45"/>
    </row>
    <row r="22" spans="1:8">
      <c r="B22" s="1"/>
      <c r="C22" s="45"/>
      <c r="D22" s="45"/>
      <c r="E22" s="45"/>
      <c r="F22" s="45"/>
    </row>
    <row r="24" spans="1:8">
      <c r="A24" s="2" t="s">
        <v>51</v>
      </c>
      <c r="C24" s="1"/>
      <c r="F24" s="1"/>
      <c r="G24" s="1"/>
    </row>
    <row r="25" spans="1:8">
      <c r="A25" s="2" t="s">
        <v>52</v>
      </c>
      <c r="C25" s="1"/>
    </row>
    <row r="26" spans="1:8">
      <c r="A26" s="2" t="s">
        <v>53</v>
      </c>
      <c r="C26" s="1"/>
    </row>
    <row r="27" spans="1:8">
      <c r="A27" s="2" t="s">
        <v>54</v>
      </c>
      <c r="C27" s="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66DC-8C8A-8748-AD99-42934A8D0121}">
  <dimension ref="A3:O421"/>
  <sheetViews>
    <sheetView topLeftCell="B2" workbookViewId="0">
      <selection activeCell="D19" sqref="D19"/>
    </sheetView>
  </sheetViews>
  <sheetFormatPr baseColWidth="10" defaultColWidth="8.83203125" defaultRowHeight="15"/>
  <sheetData>
    <row r="3" spans="1:10">
      <c r="A3" t="s">
        <v>62</v>
      </c>
      <c r="C3" t="s">
        <v>63</v>
      </c>
      <c r="D3" s="347">
        <v>0.1</v>
      </c>
      <c r="H3" t="s">
        <v>339</v>
      </c>
      <c r="I3" s="347">
        <f>IRR(H7:H17)</f>
        <v>0.11880598965612221</v>
      </c>
    </row>
    <row r="4" spans="1:10">
      <c r="B4">
        <v>200000</v>
      </c>
    </row>
    <row r="5" spans="1:10">
      <c r="A5" t="s">
        <v>64</v>
      </c>
      <c r="B5">
        <v>50000</v>
      </c>
      <c r="C5" t="s">
        <v>65</v>
      </c>
    </row>
    <row r="6" spans="1:10">
      <c r="E6" t="s">
        <v>66</v>
      </c>
      <c r="F6" t="s">
        <v>67</v>
      </c>
      <c r="G6" t="s">
        <v>68</v>
      </c>
      <c r="H6" s="29" t="s">
        <v>69</v>
      </c>
      <c r="I6" s="29" t="s">
        <v>70</v>
      </c>
      <c r="J6" t="s">
        <v>71</v>
      </c>
    </row>
    <row r="7" spans="1:10">
      <c r="D7">
        <v>0</v>
      </c>
      <c r="E7">
        <v>-50000</v>
      </c>
      <c r="H7">
        <f>E7</f>
        <v>-50000</v>
      </c>
      <c r="I7">
        <v>-50000</v>
      </c>
      <c r="J7" s="46">
        <v>-50000</v>
      </c>
    </row>
    <row r="8" spans="1:10">
      <c r="D8">
        <v>1</v>
      </c>
      <c r="E8">
        <v>-50000</v>
      </c>
      <c r="F8">
        <v>300000</v>
      </c>
      <c r="G8">
        <v>-270000</v>
      </c>
      <c r="H8">
        <f>E8+F8+G8</f>
        <v>-20000</v>
      </c>
      <c r="I8">
        <f t="shared" ref="I8:I16" si="0">H8/(1+$D$3)^D8</f>
        <v>-18181.81818181818</v>
      </c>
      <c r="J8" s="46">
        <f>J7+I8</f>
        <v>-68181.818181818177</v>
      </c>
    </row>
    <row r="9" spans="1:10">
      <c r="D9">
        <v>2</v>
      </c>
      <c r="E9">
        <v>-50000</v>
      </c>
      <c r="F9">
        <v>300000</v>
      </c>
      <c r="G9">
        <v>-270000</v>
      </c>
      <c r="H9">
        <f t="shared" ref="H9:H17" si="1">E9+F9+G9</f>
        <v>-20000</v>
      </c>
      <c r="I9">
        <f t="shared" si="0"/>
        <v>-16528.925619834707</v>
      </c>
      <c r="J9" s="46">
        <f t="shared" ref="J9:J16" si="2">J8+I9</f>
        <v>-84710.74380165289</v>
      </c>
    </row>
    <row r="10" spans="1:10">
      <c r="D10">
        <v>3</v>
      </c>
      <c r="E10">
        <v>-50000</v>
      </c>
      <c r="F10">
        <v>300000</v>
      </c>
      <c r="G10">
        <v>-270000</v>
      </c>
      <c r="H10">
        <f t="shared" si="1"/>
        <v>-20000</v>
      </c>
      <c r="I10">
        <f t="shared" si="0"/>
        <v>-15026.296018031551</v>
      </c>
      <c r="J10" s="46">
        <f t="shared" si="2"/>
        <v>-99737.039819684447</v>
      </c>
    </row>
    <row r="11" spans="1:10">
      <c r="D11">
        <v>4</v>
      </c>
      <c r="E11">
        <v>0</v>
      </c>
      <c r="F11">
        <v>300000</v>
      </c>
      <c r="G11">
        <v>-270000</v>
      </c>
      <c r="H11">
        <f t="shared" si="1"/>
        <v>30000</v>
      </c>
      <c r="I11">
        <f t="shared" si="0"/>
        <v>20490.403660952114</v>
      </c>
      <c r="J11" s="46">
        <f t="shared" si="2"/>
        <v>-79246.636158732334</v>
      </c>
    </row>
    <row r="12" spans="1:10">
      <c r="D12">
        <v>5</v>
      </c>
      <c r="E12">
        <v>0</v>
      </c>
      <c r="F12">
        <v>300000</v>
      </c>
      <c r="G12">
        <v>-270000</v>
      </c>
      <c r="H12">
        <f t="shared" si="1"/>
        <v>30000</v>
      </c>
      <c r="I12">
        <f t="shared" si="0"/>
        <v>18627.63969177465</v>
      </c>
      <c r="J12" s="46">
        <f t="shared" si="2"/>
        <v>-60618.996466957688</v>
      </c>
    </row>
    <row r="13" spans="1:10">
      <c r="D13">
        <v>6</v>
      </c>
      <c r="E13">
        <v>0</v>
      </c>
      <c r="F13">
        <v>300000</v>
      </c>
      <c r="G13">
        <v>-270000</v>
      </c>
      <c r="H13">
        <f t="shared" si="1"/>
        <v>30000</v>
      </c>
      <c r="I13">
        <f t="shared" si="0"/>
        <v>16934.217901613316</v>
      </c>
      <c r="J13" s="46">
        <f t="shared" si="2"/>
        <v>-43684.778565344372</v>
      </c>
    </row>
    <row r="14" spans="1:10">
      <c r="D14">
        <v>7</v>
      </c>
      <c r="E14">
        <v>0</v>
      </c>
      <c r="F14">
        <v>300000</v>
      </c>
      <c r="G14">
        <v>-270000</v>
      </c>
      <c r="H14">
        <f t="shared" si="1"/>
        <v>30000</v>
      </c>
      <c r="I14">
        <f t="shared" si="0"/>
        <v>15394.743546921192</v>
      </c>
      <c r="J14" s="46">
        <f t="shared" si="2"/>
        <v>-28290.035018423179</v>
      </c>
    </row>
    <row r="15" spans="1:10">
      <c r="D15">
        <v>8</v>
      </c>
      <c r="E15">
        <v>0</v>
      </c>
      <c r="F15">
        <v>300000</v>
      </c>
      <c r="G15">
        <v>-270000</v>
      </c>
      <c r="H15">
        <f t="shared" si="1"/>
        <v>30000</v>
      </c>
      <c r="I15">
        <f t="shared" si="0"/>
        <v>13995.221406291996</v>
      </c>
      <c r="J15" s="46">
        <f t="shared" si="2"/>
        <v>-14294.813612131184</v>
      </c>
    </row>
    <row r="16" spans="1:10">
      <c r="D16" s="17">
        <v>9</v>
      </c>
      <c r="E16" s="17">
        <v>0</v>
      </c>
      <c r="F16" s="17">
        <v>300000</v>
      </c>
      <c r="G16" s="17">
        <v>-270000</v>
      </c>
      <c r="H16">
        <f t="shared" si="1"/>
        <v>30000</v>
      </c>
      <c r="I16">
        <f t="shared" si="0"/>
        <v>12722.92855117454</v>
      </c>
      <c r="J16" s="46">
        <f t="shared" si="2"/>
        <v>-1571.8850609566434</v>
      </c>
    </row>
    <row r="17" spans="4:15">
      <c r="D17" s="17">
        <v>10</v>
      </c>
      <c r="E17" s="17">
        <v>0</v>
      </c>
      <c r="F17" s="17">
        <v>300000</v>
      </c>
      <c r="G17" s="17">
        <v>-270000</v>
      </c>
      <c r="H17">
        <f t="shared" si="1"/>
        <v>30000</v>
      </c>
      <c r="I17">
        <f>H17/(1+$D$3)^D17</f>
        <v>11566.298682885945</v>
      </c>
      <c r="J17" s="47">
        <f>J16+I17</f>
        <v>9994.4136219293014</v>
      </c>
    </row>
    <row r="18" spans="4:15">
      <c r="E18" t="s">
        <v>72</v>
      </c>
    </row>
    <row r="20" spans="4:15" ht="16" thickBot="1">
      <c r="F20" s="48"/>
      <c r="K20" s="48"/>
    </row>
    <row r="21" spans="4:15">
      <c r="F21" s="49"/>
      <c r="G21" s="50"/>
      <c r="H21" s="51"/>
      <c r="I21" s="50"/>
      <c r="J21" s="52"/>
      <c r="K21" s="364"/>
      <c r="L21" s="365"/>
      <c r="M21" s="365"/>
      <c r="N21" s="366"/>
      <c r="O21" s="53"/>
    </row>
    <row r="22" spans="4:15" ht="16" thickBot="1">
      <c r="F22" s="54"/>
      <c r="G22" s="55"/>
      <c r="H22" s="55"/>
      <c r="I22" s="55"/>
      <c r="J22" s="56"/>
      <c r="K22" s="57"/>
      <c r="L22" s="58"/>
      <c r="M22" s="58"/>
      <c r="N22" s="59"/>
      <c r="O22" s="17"/>
    </row>
    <row r="23" spans="4:15">
      <c r="D23" s="1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4:15"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4:15">
      <c r="D25" s="1"/>
      <c r="F25" s="29"/>
      <c r="G25" s="29"/>
      <c r="H25" s="46"/>
      <c r="I25" s="29"/>
      <c r="J25" s="29"/>
      <c r="K25" s="29"/>
      <c r="L25" s="29"/>
      <c r="M25" s="29"/>
    </row>
    <row r="26" spans="4:15">
      <c r="F26" s="29"/>
      <c r="G26" s="29"/>
      <c r="H26" s="29"/>
      <c r="I26" s="29"/>
      <c r="J26" s="29"/>
      <c r="K26" s="29"/>
      <c r="L26" s="29"/>
      <c r="M26" s="29"/>
    </row>
    <row r="27" spans="4:15">
      <c r="D27" s="19"/>
      <c r="F27" s="29"/>
      <c r="G27" s="29"/>
      <c r="H27" s="29"/>
      <c r="I27" s="29"/>
      <c r="J27" s="29"/>
      <c r="K27" s="29"/>
      <c r="L27" s="29"/>
      <c r="M27" s="29"/>
    </row>
    <row r="28" spans="4:15">
      <c r="F28" s="60"/>
      <c r="G28" s="29"/>
      <c r="H28" s="29"/>
      <c r="I28" s="60"/>
      <c r="J28" s="29"/>
      <c r="K28" s="29"/>
      <c r="L28" s="29"/>
      <c r="M28" s="29"/>
    </row>
    <row r="29" spans="4:15">
      <c r="F29" s="29"/>
      <c r="G29" s="29"/>
      <c r="H29" s="29"/>
      <c r="I29" s="29"/>
      <c r="J29" s="29"/>
      <c r="K29" s="29"/>
      <c r="L29" s="29"/>
      <c r="M29" s="29"/>
    </row>
    <row r="30" spans="4:15">
      <c r="F30" s="29"/>
      <c r="G30" s="9"/>
      <c r="H30" s="29"/>
      <c r="I30" s="29"/>
      <c r="J30" s="29"/>
      <c r="K30" s="29"/>
      <c r="L30" s="29"/>
      <c r="M30" s="29"/>
    </row>
    <row r="31" spans="4:15">
      <c r="F31" s="29"/>
      <c r="G31" s="61"/>
      <c r="H31" s="29"/>
      <c r="I31" s="29"/>
      <c r="J31" s="29"/>
      <c r="K31" s="29"/>
      <c r="L31" s="29"/>
      <c r="M31" s="29"/>
    </row>
    <row r="32" spans="4:15">
      <c r="D32" s="1"/>
      <c r="F32" s="29"/>
    </row>
    <row r="33" spans="6:15">
      <c r="F33" s="29"/>
      <c r="G33" s="6"/>
    </row>
    <row r="35" spans="6:15" ht="16" thickBot="1">
      <c r="F35" s="48"/>
      <c r="K35" s="48"/>
    </row>
    <row r="36" spans="6:15">
      <c r="F36" s="49"/>
      <c r="G36" s="50"/>
      <c r="H36" s="51"/>
      <c r="I36" s="50"/>
      <c r="J36" s="52"/>
      <c r="K36" s="364"/>
      <c r="L36" s="365"/>
      <c r="M36" s="365"/>
      <c r="N36" s="366"/>
    </row>
    <row r="37" spans="6:15" ht="16" thickBot="1">
      <c r="F37" s="54"/>
      <c r="G37" s="55"/>
      <c r="H37" s="55"/>
      <c r="I37" s="55"/>
      <c r="J37" s="56"/>
      <c r="K37" s="57"/>
      <c r="L37" s="58"/>
      <c r="M37" s="58"/>
      <c r="N37" s="59"/>
    </row>
    <row r="38" spans="6:15">
      <c r="F38" s="29"/>
      <c r="G38" s="7"/>
      <c r="H38" s="29"/>
      <c r="I38" s="29"/>
      <c r="J38" s="62"/>
      <c r="K38" s="29"/>
      <c r="L38" s="29"/>
      <c r="M38" s="29"/>
      <c r="N38" s="29"/>
      <c r="O38" s="3"/>
    </row>
    <row r="39" spans="6:15">
      <c r="G39" s="7"/>
      <c r="H39" s="29"/>
      <c r="I39" s="29"/>
      <c r="J39" s="62"/>
      <c r="O39" s="3"/>
    </row>
    <row r="40" spans="6:15">
      <c r="G40" s="7"/>
      <c r="H40" s="29"/>
      <c r="I40" s="29"/>
      <c r="J40" s="62"/>
      <c r="O40" s="3"/>
    </row>
    <row r="41" spans="6:15">
      <c r="G41" s="7"/>
      <c r="H41" s="29"/>
      <c r="I41" s="29"/>
      <c r="J41" s="62"/>
      <c r="O41" s="3"/>
    </row>
    <row r="42" spans="6:15">
      <c r="G42" s="7"/>
      <c r="H42" s="29"/>
      <c r="I42" s="29"/>
      <c r="J42" s="62"/>
      <c r="O42" s="3"/>
    </row>
    <row r="43" spans="6:15">
      <c r="G43" s="7"/>
      <c r="H43" s="29"/>
      <c r="I43" s="29"/>
      <c r="J43" s="62"/>
      <c r="O43" s="3"/>
    </row>
    <row r="44" spans="6:15">
      <c r="G44" s="7"/>
      <c r="H44" s="29"/>
      <c r="I44" s="29"/>
      <c r="J44" s="62"/>
      <c r="O44" s="3"/>
    </row>
    <row r="45" spans="6:15">
      <c r="G45" s="7"/>
      <c r="H45" s="29"/>
      <c r="I45" s="29"/>
      <c r="J45" s="62"/>
      <c r="O45" s="3"/>
    </row>
    <row r="46" spans="6:15">
      <c r="G46" s="7"/>
      <c r="H46" s="29"/>
      <c r="I46" s="29"/>
      <c r="J46" s="62"/>
      <c r="O46" s="3"/>
    </row>
    <row r="47" spans="6:15">
      <c r="G47" s="7"/>
      <c r="H47" s="29"/>
      <c r="I47" s="29"/>
      <c r="J47" s="62"/>
      <c r="O47" s="3"/>
    </row>
    <row r="48" spans="6:15">
      <c r="G48" s="7"/>
      <c r="H48" s="29"/>
      <c r="I48" s="29"/>
      <c r="J48" s="62"/>
      <c r="O48" s="3"/>
    </row>
    <row r="56" spans="1:11">
      <c r="A56" s="48"/>
    </row>
    <row r="59" spans="1:11">
      <c r="F59" s="29"/>
    </row>
    <row r="60" spans="1:11">
      <c r="C60" s="1"/>
      <c r="F60" s="29"/>
      <c r="G60" s="63"/>
      <c r="J60" s="29"/>
      <c r="K60" s="63"/>
    </row>
    <row r="61" spans="1:11">
      <c r="F61" s="29"/>
      <c r="J61" s="29"/>
      <c r="K61" s="63"/>
    </row>
    <row r="62" spans="1:11">
      <c r="C62" s="1"/>
      <c r="F62" s="29"/>
      <c r="G62" s="64"/>
      <c r="J62" s="29"/>
      <c r="K62" s="63"/>
    </row>
    <row r="63" spans="1:11">
      <c r="C63" s="27"/>
      <c r="F63" s="29"/>
      <c r="J63" s="29"/>
      <c r="K63" s="63"/>
    </row>
    <row r="64" spans="1:11">
      <c r="C64" s="1"/>
      <c r="F64" s="29"/>
      <c r="J64" s="29"/>
      <c r="K64" s="63"/>
    </row>
    <row r="65" spans="3:11">
      <c r="C65" s="28"/>
      <c r="F65" s="29"/>
      <c r="J65" s="29"/>
      <c r="K65" s="63"/>
    </row>
    <row r="66" spans="3:11">
      <c r="D66" s="18"/>
      <c r="F66" s="29"/>
      <c r="J66" s="29"/>
      <c r="K66" s="63"/>
    </row>
    <row r="67" spans="3:11">
      <c r="F67" s="29"/>
      <c r="J67" s="29"/>
      <c r="K67" s="63"/>
    </row>
    <row r="68" spans="3:11">
      <c r="F68" s="29"/>
      <c r="J68" s="29"/>
      <c r="K68" s="63"/>
    </row>
    <row r="69" spans="3:11">
      <c r="C69" s="1"/>
      <c r="F69" s="29"/>
      <c r="J69" s="29"/>
      <c r="K69" s="63"/>
    </row>
    <row r="70" spans="3:11">
      <c r="C70" s="1"/>
      <c r="F70" s="65"/>
      <c r="G70" s="44"/>
      <c r="J70" s="29"/>
      <c r="K70" s="63"/>
    </row>
    <row r="71" spans="3:11">
      <c r="F71" s="29"/>
      <c r="G71" s="66"/>
      <c r="J71" s="29"/>
      <c r="K71" s="63"/>
    </row>
    <row r="72" spans="3:11">
      <c r="F72" s="67"/>
      <c r="G72" s="44"/>
      <c r="J72" s="29"/>
      <c r="K72" s="63"/>
    </row>
    <row r="73" spans="3:11">
      <c r="F73" s="29"/>
      <c r="J73" s="29"/>
      <c r="K73" s="63"/>
    </row>
    <row r="74" spans="3:11">
      <c r="F74" s="29"/>
      <c r="J74" s="29"/>
      <c r="K74" s="63"/>
    </row>
    <row r="75" spans="3:11">
      <c r="F75" s="29"/>
      <c r="J75" s="29"/>
      <c r="K75" s="63"/>
    </row>
    <row r="76" spans="3:11">
      <c r="C76" s="1"/>
      <c r="F76" s="29"/>
      <c r="J76" s="29"/>
      <c r="K76" s="63"/>
    </row>
    <row r="77" spans="3:11">
      <c r="F77" s="29"/>
      <c r="J77" s="29"/>
      <c r="K77" s="63"/>
    </row>
    <row r="78" spans="3:11">
      <c r="F78" s="29"/>
      <c r="J78" s="29"/>
      <c r="K78" s="63"/>
    </row>
    <row r="79" spans="3:11">
      <c r="F79" s="29"/>
      <c r="J79" s="29"/>
      <c r="K79" s="63"/>
    </row>
    <row r="80" spans="3:11">
      <c r="F80" s="29"/>
      <c r="J80" s="29"/>
      <c r="K80" s="63"/>
    </row>
    <row r="81" spans="1:13">
      <c r="F81" s="29"/>
      <c r="J81" s="29"/>
      <c r="K81" s="63"/>
    </row>
    <row r="82" spans="1:13">
      <c r="F82" s="29"/>
      <c r="J82" s="29"/>
      <c r="K82" s="63"/>
    </row>
    <row r="83" spans="1:13">
      <c r="A83" s="48"/>
      <c r="F83" s="29"/>
      <c r="J83" s="29"/>
      <c r="K83" s="63"/>
    </row>
    <row r="84" spans="1:13">
      <c r="E84" s="29"/>
      <c r="G84" s="29"/>
      <c r="H84" s="29"/>
      <c r="I84" s="29"/>
      <c r="J84" s="63"/>
    </row>
    <row r="85" spans="1:13">
      <c r="A85" s="2"/>
      <c r="D85" s="29"/>
      <c r="E85" s="29"/>
      <c r="G85" s="29"/>
      <c r="H85" s="29"/>
      <c r="I85" s="29"/>
      <c r="J85" s="63"/>
    </row>
    <row r="86" spans="1:13">
      <c r="D86" s="68"/>
      <c r="E86" s="68"/>
      <c r="G86" s="29"/>
      <c r="H86" s="29"/>
      <c r="I86" s="29"/>
      <c r="J86" s="63"/>
      <c r="K86" s="63"/>
      <c r="L86" s="63"/>
    </row>
    <row r="87" spans="1:13">
      <c r="B87" s="21"/>
      <c r="D87" s="68"/>
      <c r="E87" s="68"/>
      <c r="G87" s="29"/>
      <c r="H87" s="29"/>
      <c r="I87" s="29"/>
      <c r="J87" s="63"/>
      <c r="K87" s="63"/>
      <c r="L87" s="63"/>
    </row>
    <row r="88" spans="1:13">
      <c r="D88" s="68"/>
      <c r="E88" s="68"/>
      <c r="G88" s="29"/>
      <c r="H88" s="29"/>
      <c r="I88" s="29"/>
      <c r="J88" s="63"/>
      <c r="K88" s="63"/>
      <c r="L88" s="63"/>
    </row>
    <row r="89" spans="1:13">
      <c r="D89" s="68"/>
      <c r="E89" s="68"/>
      <c r="G89" s="29"/>
      <c r="H89" s="29"/>
      <c r="I89" s="29"/>
      <c r="J89" s="63"/>
      <c r="K89" s="63"/>
      <c r="L89" s="63"/>
    </row>
    <row r="90" spans="1:13">
      <c r="D90" s="68"/>
      <c r="E90" s="68"/>
      <c r="G90" s="29"/>
      <c r="H90" s="29"/>
      <c r="I90" s="29"/>
      <c r="J90" s="63"/>
      <c r="K90" s="63"/>
      <c r="L90" s="63"/>
    </row>
    <row r="91" spans="1:13">
      <c r="D91" s="68"/>
      <c r="E91" s="69"/>
      <c r="F91" s="70"/>
      <c r="I91" s="29"/>
      <c r="J91" s="63"/>
      <c r="K91" s="69"/>
      <c r="L91" s="71"/>
      <c r="M91" s="70"/>
    </row>
    <row r="92" spans="1:13">
      <c r="F92" s="29"/>
      <c r="J92" s="29"/>
      <c r="K92" s="63"/>
    </row>
    <row r="93" spans="1:13">
      <c r="J93" s="29"/>
      <c r="K93" s="63"/>
    </row>
    <row r="94" spans="1:13">
      <c r="J94" s="29"/>
      <c r="K94" s="63"/>
    </row>
    <row r="95" spans="1:13">
      <c r="J95" s="29"/>
      <c r="K95" s="63"/>
    </row>
    <row r="96" spans="1:13">
      <c r="J96" s="29"/>
      <c r="K96" s="63"/>
    </row>
    <row r="97" spans="10:11">
      <c r="J97" s="29"/>
      <c r="K97" s="63"/>
    </row>
    <row r="98" spans="10:11">
      <c r="J98" s="29"/>
      <c r="K98" s="63"/>
    </row>
    <row r="99" spans="10:11">
      <c r="J99" s="29"/>
      <c r="K99" s="63"/>
    </row>
    <row r="100" spans="10:11">
      <c r="J100" s="29"/>
      <c r="K100" s="63"/>
    </row>
    <row r="101" spans="10:11">
      <c r="J101" s="29"/>
      <c r="K101" s="63"/>
    </row>
    <row r="102" spans="10:11">
      <c r="J102" s="29"/>
      <c r="K102" s="63"/>
    </row>
    <row r="103" spans="10:11">
      <c r="J103" s="29"/>
      <c r="K103" s="63"/>
    </row>
    <row r="104" spans="10:11">
      <c r="J104" s="29"/>
      <c r="K104" s="63"/>
    </row>
    <row r="105" spans="10:11">
      <c r="J105" s="29"/>
      <c r="K105" s="63"/>
    </row>
    <row r="106" spans="10:11">
      <c r="J106" s="29"/>
      <c r="K106" s="63"/>
    </row>
    <row r="107" spans="10:11">
      <c r="J107" s="29"/>
      <c r="K107" s="63"/>
    </row>
    <row r="108" spans="10:11">
      <c r="J108" s="29"/>
      <c r="K108" s="63"/>
    </row>
    <row r="109" spans="10:11">
      <c r="J109" s="29"/>
      <c r="K109" s="63"/>
    </row>
    <row r="110" spans="10:11">
      <c r="J110" s="29"/>
      <c r="K110" s="63"/>
    </row>
    <row r="111" spans="10:11">
      <c r="J111" s="29"/>
      <c r="K111" s="63"/>
    </row>
    <row r="112" spans="10:11">
      <c r="J112" s="29"/>
      <c r="K112" s="63"/>
    </row>
    <row r="113" spans="10:11">
      <c r="J113" s="29"/>
      <c r="K113" s="63"/>
    </row>
    <row r="114" spans="10:11">
      <c r="J114" s="29"/>
      <c r="K114" s="63"/>
    </row>
    <row r="115" spans="10:11">
      <c r="J115" s="29"/>
      <c r="K115" s="63"/>
    </row>
    <row r="116" spans="10:11">
      <c r="J116" s="29"/>
      <c r="K116" s="63"/>
    </row>
    <row r="117" spans="10:11">
      <c r="J117" s="29"/>
      <c r="K117" s="63"/>
    </row>
    <row r="118" spans="10:11">
      <c r="J118" s="29"/>
      <c r="K118" s="63"/>
    </row>
    <row r="119" spans="10:11">
      <c r="J119" s="29"/>
      <c r="K119" s="63"/>
    </row>
    <row r="120" spans="10:11">
      <c r="J120" s="29"/>
      <c r="K120" s="63"/>
    </row>
    <row r="121" spans="10:11">
      <c r="J121" s="29"/>
      <c r="K121" s="63"/>
    </row>
    <row r="122" spans="10:11">
      <c r="J122" s="29"/>
      <c r="K122" s="63"/>
    </row>
    <row r="123" spans="10:11">
      <c r="J123" s="29"/>
      <c r="K123" s="63"/>
    </row>
    <row r="124" spans="10:11">
      <c r="J124" s="29"/>
      <c r="K124" s="63"/>
    </row>
    <row r="125" spans="10:11">
      <c r="J125" s="29"/>
      <c r="K125" s="63"/>
    </row>
    <row r="126" spans="10:11">
      <c r="J126" s="29"/>
      <c r="K126" s="63"/>
    </row>
    <row r="127" spans="10:11">
      <c r="J127" s="29"/>
      <c r="K127" s="63"/>
    </row>
    <row r="128" spans="10:11">
      <c r="J128" s="29"/>
      <c r="K128" s="63"/>
    </row>
    <row r="129" spans="10:11">
      <c r="J129" s="29"/>
      <c r="K129" s="63"/>
    </row>
    <row r="130" spans="10:11">
      <c r="J130" s="29"/>
      <c r="K130" s="63"/>
    </row>
    <row r="131" spans="10:11">
      <c r="J131" s="29"/>
      <c r="K131" s="63"/>
    </row>
    <row r="132" spans="10:11">
      <c r="J132" s="29"/>
      <c r="K132" s="63"/>
    </row>
    <row r="133" spans="10:11">
      <c r="J133" s="29"/>
      <c r="K133" s="63"/>
    </row>
    <row r="134" spans="10:11">
      <c r="J134" s="29"/>
      <c r="K134" s="63"/>
    </row>
    <row r="135" spans="10:11">
      <c r="J135" s="29"/>
      <c r="K135" s="63"/>
    </row>
    <row r="136" spans="10:11">
      <c r="J136" s="29"/>
      <c r="K136" s="63"/>
    </row>
    <row r="137" spans="10:11">
      <c r="J137" s="29"/>
      <c r="K137" s="63"/>
    </row>
    <row r="138" spans="10:11">
      <c r="J138" s="29"/>
      <c r="K138" s="63"/>
    </row>
    <row r="139" spans="10:11">
      <c r="J139" s="29"/>
      <c r="K139" s="63"/>
    </row>
    <row r="140" spans="10:11">
      <c r="J140" s="29"/>
      <c r="K140" s="63"/>
    </row>
    <row r="141" spans="10:11">
      <c r="J141" s="29"/>
      <c r="K141" s="63"/>
    </row>
    <row r="142" spans="10:11">
      <c r="J142" s="29"/>
      <c r="K142" s="63"/>
    </row>
    <row r="143" spans="10:11">
      <c r="J143" s="29"/>
      <c r="K143" s="63"/>
    </row>
    <row r="144" spans="10:11">
      <c r="J144" s="29"/>
      <c r="K144" s="63"/>
    </row>
    <row r="145" spans="10:11">
      <c r="J145" s="29"/>
      <c r="K145" s="63"/>
    </row>
    <row r="146" spans="10:11">
      <c r="J146" s="29"/>
      <c r="K146" s="63"/>
    </row>
    <row r="147" spans="10:11">
      <c r="J147" s="29"/>
      <c r="K147" s="63"/>
    </row>
    <row r="148" spans="10:11">
      <c r="J148" s="29"/>
      <c r="K148" s="63"/>
    </row>
    <row r="149" spans="10:11">
      <c r="J149" s="29"/>
      <c r="K149" s="63"/>
    </row>
    <row r="150" spans="10:11">
      <c r="J150" s="29"/>
      <c r="K150" s="63"/>
    </row>
    <row r="151" spans="10:11">
      <c r="J151" s="29"/>
      <c r="K151" s="63"/>
    </row>
    <row r="152" spans="10:11">
      <c r="J152" s="29"/>
      <c r="K152" s="63"/>
    </row>
    <row r="153" spans="10:11">
      <c r="J153" s="29"/>
      <c r="K153" s="63"/>
    </row>
    <row r="154" spans="10:11">
      <c r="J154" s="29"/>
      <c r="K154" s="63"/>
    </row>
    <row r="155" spans="10:11">
      <c r="J155" s="29"/>
      <c r="K155" s="63"/>
    </row>
    <row r="156" spans="10:11">
      <c r="J156" s="29"/>
      <c r="K156" s="63"/>
    </row>
    <row r="157" spans="10:11">
      <c r="J157" s="29"/>
      <c r="K157" s="63"/>
    </row>
    <row r="158" spans="10:11">
      <c r="J158" s="29"/>
      <c r="K158" s="63"/>
    </row>
    <row r="159" spans="10:11">
      <c r="J159" s="29"/>
      <c r="K159" s="63"/>
    </row>
    <row r="160" spans="10:11">
      <c r="J160" s="29"/>
      <c r="K160" s="63"/>
    </row>
    <row r="161" spans="10:11">
      <c r="J161" s="29"/>
      <c r="K161" s="63"/>
    </row>
    <row r="162" spans="10:11">
      <c r="J162" s="29"/>
      <c r="K162" s="63"/>
    </row>
    <row r="163" spans="10:11">
      <c r="J163" s="29"/>
      <c r="K163" s="63"/>
    </row>
    <row r="164" spans="10:11">
      <c r="J164" s="29"/>
      <c r="K164" s="63"/>
    </row>
    <row r="165" spans="10:11">
      <c r="J165" s="29"/>
      <c r="K165" s="63"/>
    </row>
    <row r="166" spans="10:11">
      <c r="J166" s="29"/>
      <c r="K166" s="63"/>
    </row>
    <row r="167" spans="10:11">
      <c r="J167" s="29"/>
      <c r="K167" s="63"/>
    </row>
    <row r="168" spans="10:11">
      <c r="J168" s="29"/>
      <c r="K168" s="63"/>
    </row>
    <row r="169" spans="10:11">
      <c r="J169" s="29"/>
      <c r="K169" s="63"/>
    </row>
    <row r="170" spans="10:11">
      <c r="J170" s="29"/>
      <c r="K170" s="63"/>
    </row>
    <row r="171" spans="10:11">
      <c r="J171" s="29"/>
      <c r="K171" s="63"/>
    </row>
    <row r="172" spans="10:11">
      <c r="J172" s="29"/>
      <c r="K172" s="63"/>
    </row>
    <row r="173" spans="10:11">
      <c r="J173" s="29"/>
      <c r="K173" s="63"/>
    </row>
    <row r="174" spans="10:11">
      <c r="J174" s="29"/>
      <c r="K174" s="63"/>
    </row>
    <row r="175" spans="10:11">
      <c r="J175" s="29"/>
      <c r="K175" s="63"/>
    </row>
    <row r="176" spans="10:11">
      <c r="J176" s="29"/>
      <c r="K176" s="63"/>
    </row>
    <row r="177" spans="10:11">
      <c r="J177" s="29"/>
      <c r="K177" s="63"/>
    </row>
    <row r="178" spans="10:11">
      <c r="J178" s="29"/>
      <c r="K178" s="63"/>
    </row>
    <row r="179" spans="10:11">
      <c r="J179" s="29"/>
      <c r="K179" s="63"/>
    </row>
    <row r="180" spans="10:11">
      <c r="J180" s="29"/>
      <c r="K180" s="63"/>
    </row>
    <row r="181" spans="10:11">
      <c r="J181" s="29"/>
      <c r="K181" s="63"/>
    </row>
    <row r="182" spans="10:11">
      <c r="J182" s="29"/>
      <c r="K182" s="63"/>
    </row>
    <row r="183" spans="10:11">
      <c r="J183" s="29"/>
      <c r="K183" s="63"/>
    </row>
    <row r="184" spans="10:11">
      <c r="J184" s="29"/>
      <c r="K184" s="63"/>
    </row>
    <row r="185" spans="10:11">
      <c r="J185" s="29"/>
      <c r="K185" s="63"/>
    </row>
    <row r="186" spans="10:11">
      <c r="J186" s="29"/>
      <c r="K186" s="63"/>
    </row>
    <row r="187" spans="10:11">
      <c r="J187" s="29"/>
      <c r="K187" s="63"/>
    </row>
    <row r="188" spans="10:11">
      <c r="J188" s="29"/>
      <c r="K188" s="63"/>
    </row>
    <row r="189" spans="10:11">
      <c r="J189" s="29"/>
      <c r="K189" s="63"/>
    </row>
    <row r="190" spans="10:11">
      <c r="J190" s="29"/>
      <c r="K190" s="63"/>
    </row>
    <row r="191" spans="10:11">
      <c r="J191" s="29"/>
      <c r="K191" s="63"/>
    </row>
    <row r="192" spans="10:11">
      <c r="J192" s="29"/>
      <c r="K192" s="63"/>
    </row>
    <row r="193" spans="10:11">
      <c r="J193" s="29"/>
      <c r="K193" s="63"/>
    </row>
    <row r="194" spans="10:11">
      <c r="J194" s="29"/>
      <c r="K194" s="63"/>
    </row>
    <row r="195" spans="10:11">
      <c r="J195" s="29"/>
      <c r="K195" s="63"/>
    </row>
    <row r="196" spans="10:11">
      <c r="J196" s="29"/>
      <c r="K196" s="63"/>
    </row>
    <row r="197" spans="10:11">
      <c r="J197" s="29"/>
      <c r="K197" s="63"/>
    </row>
    <row r="198" spans="10:11">
      <c r="J198" s="29"/>
      <c r="K198" s="63"/>
    </row>
    <row r="199" spans="10:11">
      <c r="J199" s="29"/>
      <c r="K199" s="63"/>
    </row>
    <row r="200" spans="10:11">
      <c r="J200" s="29"/>
      <c r="K200" s="63"/>
    </row>
    <row r="201" spans="10:11">
      <c r="J201" s="29"/>
      <c r="K201" s="63"/>
    </row>
    <row r="202" spans="10:11">
      <c r="J202" s="29"/>
      <c r="K202" s="63"/>
    </row>
    <row r="203" spans="10:11">
      <c r="J203" s="29"/>
      <c r="K203" s="63"/>
    </row>
    <row r="204" spans="10:11">
      <c r="J204" s="29"/>
      <c r="K204" s="63"/>
    </row>
    <row r="205" spans="10:11">
      <c r="J205" s="29"/>
      <c r="K205" s="63"/>
    </row>
    <row r="206" spans="10:11">
      <c r="J206" s="29"/>
      <c r="K206" s="63"/>
    </row>
    <row r="207" spans="10:11">
      <c r="J207" s="29"/>
      <c r="K207" s="63"/>
    </row>
    <row r="208" spans="10:11">
      <c r="J208" s="29"/>
      <c r="K208" s="63"/>
    </row>
    <row r="209" spans="10:11">
      <c r="J209" s="29"/>
      <c r="K209" s="63"/>
    </row>
    <row r="210" spans="10:11">
      <c r="J210" s="29"/>
      <c r="K210" s="63"/>
    </row>
    <row r="211" spans="10:11">
      <c r="J211" s="29"/>
      <c r="K211" s="63"/>
    </row>
    <row r="212" spans="10:11">
      <c r="J212" s="29"/>
      <c r="K212" s="63"/>
    </row>
    <row r="213" spans="10:11">
      <c r="J213" s="29"/>
      <c r="K213" s="63"/>
    </row>
    <row r="214" spans="10:11">
      <c r="J214" s="29"/>
      <c r="K214" s="63"/>
    </row>
    <row r="215" spans="10:11">
      <c r="J215" s="29"/>
      <c r="K215" s="63"/>
    </row>
    <row r="216" spans="10:11">
      <c r="J216" s="29"/>
      <c r="K216" s="63"/>
    </row>
    <row r="217" spans="10:11">
      <c r="J217" s="29"/>
      <c r="K217" s="63"/>
    </row>
    <row r="218" spans="10:11">
      <c r="J218" s="29"/>
      <c r="K218" s="63"/>
    </row>
    <row r="219" spans="10:11">
      <c r="J219" s="29"/>
      <c r="K219" s="63"/>
    </row>
    <row r="220" spans="10:11">
      <c r="J220" s="29"/>
      <c r="K220" s="63"/>
    </row>
    <row r="221" spans="10:11">
      <c r="J221" s="29"/>
      <c r="K221" s="63"/>
    </row>
    <row r="222" spans="10:11">
      <c r="J222" s="29"/>
      <c r="K222" s="63"/>
    </row>
    <row r="223" spans="10:11">
      <c r="J223" s="29"/>
      <c r="K223" s="63"/>
    </row>
    <row r="224" spans="10:11">
      <c r="J224" s="29"/>
      <c r="K224" s="63"/>
    </row>
    <row r="225" spans="10:11">
      <c r="J225" s="29"/>
      <c r="K225" s="63"/>
    </row>
    <row r="226" spans="10:11">
      <c r="J226" s="29"/>
      <c r="K226" s="63"/>
    </row>
    <row r="227" spans="10:11">
      <c r="J227" s="29"/>
      <c r="K227" s="63"/>
    </row>
    <row r="228" spans="10:11">
      <c r="J228" s="29"/>
      <c r="K228" s="63"/>
    </row>
    <row r="229" spans="10:11">
      <c r="J229" s="29"/>
      <c r="K229" s="63"/>
    </row>
    <row r="230" spans="10:11">
      <c r="J230" s="29"/>
      <c r="K230" s="63"/>
    </row>
    <row r="231" spans="10:11">
      <c r="J231" s="29"/>
      <c r="K231" s="63"/>
    </row>
    <row r="232" spans="10:11">
      <c r="J232" s="29"/>
      <c r="K232" s="63"/>
    </row>
    <row r="233" spans="10:11">
      <c r="J233" s="29"/>
      <c r="K233" s="63"/>
    </row>
    <row r="234" spans="10:11">
      <c r="J234" s="29"/>
      <c r="K234" s="63"/>
    </row>
    <row r="235" spans="10:11">
      <c r="J235" s="29"/>
      <c r="K235" s="63"/>
    </row>
    <row r="236" spans="10:11">
      <c r="J236" s="29"/>
      <c r="K236" s="63"/>
    </row>
    <row r="237" spans="10:11">
      <c r="J237" s="29"/>
      <c r="K237" s="63"/>
    </row>
    <row r="238" spans="10:11">
      <c r="J238" s="29"/>
      <c r="K238" s="63"/>
    </row>
    <row r="239" spans="10:11">
      <c r="J239" s="29"/>
      <c r="K239" s="63"/>
    </row>
    <row r="240" spans="10:11">
      <c r="J240" s="29"/>
      <c r="K240" s="63"/>
    </row>
    <row r="241" spans="10:11">
      <c r="J241" s="29"/>
      <c r="K241" s="63"/>
    </row>
    <row r="242" spans="10:11">
      <c r="J242" s="29"/>
      <c r="K242" s="63"/>
    </row>
    <row r="243" spans="10:11">
      <c r="J243" s="29"/>
      <c r="K243" s="63"/>
    </row>
    <row r="244" spans="10:11">
      <c r="J244" s="29"/>
      <c r="K244" s="63"/>
    </row>
    <row r="245" spans="10:11">
      <c r="J245" s="29"/>
      <c r="K245" s="63"/>
    </row>
    <row r="246" spans="10:11">
      <c r="J246" s="29"/>
      <c r="K246" s="63"/>
    </row>
    <row r="247" spans="10:11">
      <c r="J247" s="29"/>
      <c r="K247" s="63"/>
    </row>
    <row r="248" spans="10:11">
      <c r="J248" s="29"/>
      <c r="K248" s="63"/>
    </row>
    <row r="249" spans="10:11">
      <c r="J249" s="29"/>
      <c r="K249" s="63"/>
    </row>
    <row r="250" spans="10:11">
      <c r="J250" s="29"/>
      <c r="K250" s="63"/>
    </row>
    <row r="251" spans="10:11">
      <c r="J251" s="29"/>
      <c r="K251" s="63"/>
    </row>
    <row r="252" spans="10:11">
      <c r="J252" s="29"/>
      <c r="K252" s="63"/>
    </row>
    <row r="253" spans="10:11">
      <c r="J253" s="29"/>
      <c r="K253" s="63"/>
    </row>
    <row r="254" spans="10:11">
      <c r="J254" s="29"/>
      <c r="K254" s="63"/>
    </row>
    <row r="255" spans="10:11">
      <c r="J255" s="29"/>
      <c r="K255" s="63"/>
    </row>
    <row r="256" spans="10:11">
      <c r="J256" s="29"/>
      <c r="K256" s="63"/>
    </row>
    <row r="257" spans="10:11">
      <c r="J257" s="29"/>
      <c r="K257" s="63"/>
    </row>
    <row r="258" spans="10:11">
      <c r="J258" s="29"/>
      <c r="K258" s="63"/>
    </row>
    <row r="259" spans="10:11">
      <c r="J259" s="29"/>
      <c r="K259" s="63"/>
    </row>
    <row r="260" spans="10:11">
      <c r="J260" s="29"/>
      <c r="K260" s="63"/>
    </row>
    <row r="261" spans="10:11">
      <c r="J261" s="29"/>
      <c r="K261" s="63"/>
    </row>
    <row r="262" spans="10:11">
      <c r="J262" s="29"/>
      <c r="K262" s="63"/>
    </row>
    <row r="263" spans="10:11">
      <c r="J263" s="29"/>
      <c r="K263" s="63"/>
    </row>
    <row r="264" spans="10:11">
      <c r="J264" s="29"/>
      <c r="K264" s="63"/>
    </row>
    <row r="265" spans="10:11">
      <c r="J265" s="29"/>
      <c r="K265" s="63"/>
    </row>
    <row r="266" spans="10:11">
      <c r="J266" s="29"/>
      <c r="K266" s="63"/>
    </row>
    <row r="267" spans="10:11">
      <c r="J267" s="29"/>
      <c r="K267" s="63"/>
    </row>
    <row r="268" spans="10:11">
      <c r="J268" s="29"/>
      <c r="K268" s="63"/>
    </row>
    <row r="269" spans="10:11">
      <c r="J269" s="29"/>
      <c r="K269" s="63"/>
    </row>
    <row r="270" spans="10:11">
      <c r="J270" s="29"/>
      <c r="K270" s="63"/>
    </row>
    <row r="271" spans="10:11">
      <c r="J271" s="29"/>
      <c r="K271" s="63"/>
    </row>
    <row r="272" spans="10:11">
      <c r="J272" s="29"/>
      <c r="K272" s="63"/>
    </row>
    <row r="273" spans="10:11">
      <c r="J273" s="29"/>
      <c r="K273" s="63"/>
    </row>
    <row r="274" spans="10:11">
      <c r="J274" s="29"/>
      <c r="K274" s="63"/>
    </row>
    <row r="275" spans="10:11">
      <c r="J275" s="29"/>
      <c r="K275" s="63"/>
    </row>
    <row r="276" spans="10:11">
      <c r="J276" s="29"/>
      <c r="K276" s="63"/>
    </row>
    <row r="277" spans="10:11">
      <c r="J277" s="29"/>
      <c r="K277" s="63"/>
    </row>
    <row r="278" spans="10:11">
      <c r="J278" s="29"/>
      <c r="K278" s="63"/>
    </row>
    <row r="279" spans="10:11">
      <c r="J279" s="29"/>
      <c r="K279" s="63"/>
    </row>
    <row r="280" spans="10:11">
      <c r="J280" s="29"/>
      <c r="K280" s="63"/>
    </row>
    <row r="281" spans="10:11">
      <c r="J281" s="29"/>
      <c r="K281" s="63"/>
    </row>
    <row r="282" spans="10:11">
      <c r="J282" s="29"/>
      <c r="K282" s="63"/>
    </row>
    <row r="283" spans="10:11">
      <c r="J283" s="29"/>
      <c r="K283" s="63"/>
    </row>
    <row r="284" spans="10:11">
      <c r="J284" s="29"/>
      <c r="K284" s="63"/>
    </row>
    <row r="285" spans="10:11">
      <c r="J285" s="29"/>
      <c r="K285" s="63"/>
    </row>
    <row r="286" spans="10:11">
      <c r="J286" s="29"/>
      <c r="K286" s="63"/>
    </row>
    <row r="287" spans="10:11">
      <c r="J287" s="29"/>
      <c r="K287" s="63"/>
    </row>
    <row r="288" spans="10:11">
      <c r="J288" s="29"/>
      <c r="K288" s="63"/>
    </row>
    <row r="289" spans="10:11">
      <c r="J289" s="29"/>
      <c r="K289" s="63"/>
    </row>
    <row r="290" spans="10:11">
      <c r="J290" s="29"/>
      <c r="K290" s="63"/>
    </row>
    <row r="291" spans="10:11">
      <c r="J291" s="29"/>
      <c r="K291" s="63"/>
    </row>
    <row r="292" spans="10:11">
      <c r="J292" s="29"/>
      <c r="K292" s="63"/>
    </row>
    <row r="293" spans="10:11">
      <c r="J293" s="29"/>
      <c r="K293" s="63"/>
    </row>
    <row r="294" spans="10:11">
      <c r="J294" s="29"/>
      <c r="K294" s="63"/>
    </row>
    <row r="295" spans="10:11">
      <c r="J295" s="29"/>
      <c r="K295" s="63"/>
    </row>
    <row r="296" spans="10:11">
      <c r="J296" s="29"/>
      <c r="K296" s="63"/>
    </row>
    <row r="297" spans="10:11">
      <c r="J297" s="29"/>
      <c r="K297" s="63"/>
    </row>
    <row r="298" spans="10:11">
      <c r="J298" s="29"/>
      <c r="K298" s="63"/>
    </row>
    <row r="299" spans="10:11">
      <c r="J299" s="29"/>
      <c r="K299" s="63"/>
    </row>
    <row r="300" spans="10:11">
      <c r="J300" s="29"/>
      <c r="K300" s="63"/>
    </row>
    <row r="301" spans="10:11">
      <c r="J301" s="29"/>
      <c r="K301" s="63"/>
    </row>
    <row r="302" spans="10:11">
      <c r="J302" s="29"/>
      <c r="K302" s="63"/>
    </row>
    <row r="303" spans="10:11">
      <c r="J303" s="29"/>
      <c r="K303" s="63"/>
    </row>
    <row r="304" spans="10:11">
      <c r="J304" s="29"/>
      <c r="K304" s="63"/>
    </row>
    <row r="305" spans="10:11">
      <c r="J305" s="29"/>
      <c r="K305" s="63"/>
    </row>
    <row r="306" spans="10:11">
      <c r="J306" s="29"/>
      <c r="K306" s="63"/>
    </row>
    <row r="307" spans="10:11">
      <c r="J307" s="29"/>
      <c r="K307" s="63"/>
    </row>
    <row r="308" spans="10:11">
      <c r="J308" s="29"/>
      <c r="K308" s="63"/>
    </row>
    <row r="309" spans="10:11">
      <c r="J309" s="29"/>
      <c r="K309" s="63"/>
    </row>
    <row r="310" spans="10:11">
      <c r="J310" s="29"/>
      <c r="K310" s="63"/>
    </row>
    <row r="311" spans="10:11">
      <c r="J311" s="29"/>
      <c r="K311" s="63"/>
    </row>
    <row r="312" spans="10:11">
      <c r="J312" s="29"/>
      <c r="K312" s="63"/>
    </row>
    <row r="313" spans="10:11">
      <c r="J313" s="29"/>
      <c r="K313" s="63"/>
    </row>
    <row r="314" spans="10:11">
      <c r="J314" s="29"/>
      <c r="K314" s="63"/>
    </row>
    <row r="315" spans="10:11">
      <c r="J315" s="29"/>
      <c r="K315" s="63"/>
    </row>
    <row r="316" spans="10:11">
      <c r="J316" s="29"/>
      <c r="K316" s="63"/>
    </row>
    <row r="317" spans="10:11">
      <c r="J317" s="29"/>
      <c r="K317" s="63"/>
    </row>
    <row r="318" spans="10:11">
      <c r="J318" s="29"/>
      <c r="K318" s="63"/>
    </row>
    <row r="319" spans="10:11">
      <c r="J319" s="29"/>
      <c r="K319" s="63"/>
    </row>
    <row r="320" spans="10:11">
      <c r="J320" s="29"/>
      <c r="K320" s="63"/>
    </row>
    <row r="321" spans="10:11">
      <c r="J321" s="29"/>
      <c r="K321" s="63"/>
    </row>
    <row r="322" spans="10:11">
      <c r="J322" s="29"/>
      <c r="K322" s="63"/>
    </row>
    <row r="323" spans="10:11">
      <c r="J323" s="29"/>
      <c r="K323" s="63"/>
    </row>
    <row r="324" spans="10:11">
      <c r="J324" s="29"/>
      <c r="K324" s="63"/>
    </row>
    <row r="325" spans="10:11">
      <c r="J325" s="29"/>
      <c r="K325" s="63"/>
    </row>
    <row r="326" spans="10:11">
      <c r="J326" s="29"/>
      <c r="K326" s="63"/>
    </row>
    <row r="327" spans="10:11">
      <c r="J327" s="29"/>
      <c r="K327" s="63"/>
    </row>
    <row r="328" spans="10:11">
      <c r="J328" s="29"/>
      <c r="K328" s="63"/>
    </row>
    <row r="329" spans="10:11">
      <c r="J329" s="29"/>
      <c r="K329" s="63"/>
    </row>
    <row r="330" spans="10:11">
      <c r="J330" s="29"/>
      <c r="K330" s="63"/>
    </row>
    <row r="331" spans="10:11">
      <c r="J331" s="29"/>
      <c r="K331" s="63"/>
    </row>
    <row r="332" spans="10:11">
      <c r="J332" s="29"/>
      <c r="K332" s="63"/>
    </row>
    <row r="333" spans="10:11">
      <c r="J333" s="29"/>
      <c r="K333" s="63"/>
    </row>
    <row r="334" spans="10:11">
      <c r="J334" s="29"/>
      <c r="K334" s="63"/>
    </row>
    <row r="335" spans="10:11">
      <c r="J335" s="29"/>
      <c r="K335" s="63"/>
    </row>
    <row r="336" spans="10:11">
      <c r="J336" s="29"/>
      <c r="K336" s="63"/>
    </row>
    <row r="337" spans="10:11">
      <c r="J337" s="29"/>
      <c r="K337" s="63"/>
    </row>
    <row r="338" spans="10:11">
      <c r="J338" s="29"/>
      <c r="K338" s="63"/>
    </row>
    <row r="339" spans="10:11">
      <c r="J339" s="29"/>
      <c r="K339" s="63"/>
    </row>
    <row r="340" spans="10:11">
      <c r="J340" s="29"/>
      <c r="K340" s="63"/>
    </row>
    <row r="341" spans="10:11">
      <c r="J341" s="29"/>
      <c r="K341" s="63"/>
    </row>
    <row r="342" spans="10:11">
      <c r="J342" s="29"/>
      <c r="K342" s="63"/>
    </row>
    <row r="343" spans="10:11">
      <c r="J343" s="29"/>
      <c r="K343" s="63"/>
    </row>
    <row r="344" spans="10:11">
      <c r="J344" s="29"/>
      <c r="K344" s="63"/>
    </row>
    <row r="345" spans="10:11">
      <c r="J345" s="29"/>
      <c r="K345" s="63"/>
    </row>
    <row r="346" spans="10:11">
      <c r="J346" s="29"/>
      <c r="K346" s="63"/>
    </row>
    <row r="347" spans="10:11">
      <c r="J347" s="29"/>
      <c r="K347" s="63"/>
    </row>
    <row r="348" spans="10:11">
      <c r="J348" s="29"/>
      <c r="K348" s="63"/>
    </row>
    <row r="349" spans="10:11">
      <c r="J349" s="29"/>
      <c r="K349" s="63"/>
    </row>
    <row r="350" spans="10:11">
      <c r="J350" s="29"/>
      <c r="K350" s="63"/>
    </row>
    <row r="351" spans="10:11">
      <c r="J351" s="29"/>
      <c r="K351" s="63"/>
    </row>
    <row r="352" spans="10:11">
      <c r="J352" s="29"/>
      <c r="K352" s="63"/>
    </row>
    <row r="353" spans="10:11">
      <c r="J353" s="29"/>
      <c r="K353" s="63"/>
    </row>
    <row r="354" spans="10:11">
      <c r="J354" s="29"/>
      <c r="K354" s="63"/>
    </row>
    <row r="355" spans="10:11">
      <c r="J355" s="29"/>
      <c r="K355" s="63"/>
    </row>
    <row r="356" spans="10:11">
      <c r="J356" s="29"/>
      <c r="K356" s="63"/>
    </row>
    <row r="357" spans="10:11">
      <c r="J357" s="29"/>
      <c r="K357" s="63"/>
    </row>
    <row r="358" spans="10:11">
      <c r="J358" s="29"/>
      <c r="K358" s="63"/>
    </row>
    <row r="359" spans="10:11">
      <c r="J359" s="29"/>
      <c r="K359" s="63"/>
    </row>
    <row r="360" spans="10:11">
      <c r="J360" s="29"/>
      <c r="K360" s="63"/>
    </row>
    <row r="361" spans="10:11">
      <c r="J361" s="29"/>
      <c r="K361" s="63"/>
    </row>
    <row r="362" spans="10:11">
      <c r="J362" s="29"/>
      <c r="K362" s="63"/>
    </row>
    <row r="363" spans="10:11">
      <c r="J363" s="29"/>
      <c r="K363" s="63"/>
    </row>
    <row r="364" spans="10:11">
      <c r="J364" s="29"/>
      <c r="K364" s="63"/>
    </row>
    <row r="365" spans="10:11">
      <c r="J365" s="29"/>
      <c r="K365" s="63"/>
    </row>
    <row r="366" spans="10:11">
      <c r="J366" s="29"/>
      <c r="K366" s="63"/>
    </row>
    <row r="367" spans="10:11">
      <c r="J367" s="29"/>
      <c r="K367" s="63"/>
    </row>
    <row r="368" spans="10:11">
      <c r="J368" s="29"/>
      <c r="K368" s="63"/>
    </row>
    <row r="369" spans="10:11">
      <c r="J369" s="29"/>
      <c r="K369" s="63"/>
    </row>
    <row r="370" spans="10:11">
      <c r="J370" s="29"/>
      <c r="K370" s="63"/>
    </row>
    <row r="371" spans="10:11">
      <c r="J371" s="29"/>
      <c r="K371" s="63"/>
    </row>
    <row r="372" spans="10:11">
      <c r="J372" s="29"/>
      <c r="K372" s="63"/>
    </row>
    <row r="373" spans="10:11">
      <c r="J373" s="29"/>
      <c r="K373" s="63"/>
    </row>
    <row r="374" spans="10:11">
      <c r="J374" s="29"/>
      <c r="K374" s="63"/>
    </row>
    <row r="375" spans="10:11">
      <c r="J375" s="29"/>
      <c r="K375" s="63"/>
    </row>
    <row r="376" spans="10:11">
      <c r="J376" s="29"/>
      <c r="K376" s="63"/>
    </row>
    <row r="377" spans="10:11">
      <c r="J377" s="29"/>
      <c r="K377" s="63"/>
    </row>
    <row r="378" spans="10:11">
      <c r="J378" s="29"/>
      <c r="K378" s="63"/>
    </row>
    <row r="379" spans="10:11">
      <c r="J379" s="29"/>
      <c r="K379" s="63"/>
    </row>
    <row r="380" spans="10:11">
      <c r="J380" s="29"/>
      <c r="K380" s="63"/>
    </row>
    <row r="381" spans="10:11">
      <c r="J381" s="29"/>
      <c r="K381" s="63"/>
    </row>
    <row r="382" spans="10:11">
      <c r="J382" s="29"/>
      <c r="K382" s="63"/>
    </row>
    <row r="383" spans="10:11">
      <c r="J383" s="29"/>
      <c r="K383" s="63"/>
    </row>
    <row r="384" spans="10:11">
      <c r="J384" s="29"/>
      <c r="K384" s="63"/>
    </row>
    <row r="385" spans="10:11">
      <c r="J385" s="29"/>
      <c r="K385" s="63"/>
    </row>
    <row r="386" spans="10:11">
      <c r="J386" s="29"/>
      <c r="K386" s="63"/>
    </row>
    <row r="387" spans="10:11">
      <c r="J387" s="29"/>
      <c r="K387" s="63"/>
    </row>
    <row r="388" spans="10:11">
      <c r="J388" s="29"/>
      <c r="K388" s="63"/>
    </row>
    <row r="389" spans="10:11">
      <c r="J389" s="29"/>
      <c r="K389" s="63"/>
    </row>
    <row r="390" spans="10:11">
      <c r="J390" s="29"/>
      <c r="K390" s="63"/>
    </row>
    <row r="391" spans="10:11">
      <c r="J391" s="29"/>
      <c r="K391" s="63"/>
    </row>
    <row r="392" spans="10:11">
      <c r="J392" s="29"/>
      <c r="K392" s="63"/>
    </row>
    <row r="393" spans="10:11">
      <c r="J393" s="29"/>
      <c r="K393" s="63"/>
    </row>
    <row r="394" spans="10:11">
      <c r="J394" s="29"/>
      <c r="K394" s="63"/>
    </row>
    <row r="395" spans="10:11">
      <c r="J395" s="29"/>
      <c r="K395" s="63"/>
    </row>
    <row r="396" spans="10:11">
      <c r="J396" s="29"/>
      <c r="K396" s="63"/>
    </row>
    <row r="397" spans="10:11">
      <c r="J397" s="29"/>
      <c r="K397" s="63"/>
    </row>
    <row r="398" spans="10:11">
      <c r="J398" s="29"/>
      <c r="K398" s="63"/>
    </row>
    <row r="399" spans="10:11">
      <c r="J399" s="29"/>
      <c r="K399" s="63"/>
    </row>
    <row r="400" spans="10:11">
      <c r="J400" s="29"/>
      <c r="K400" s="63"/>
    </row>
    <row r="401" spans="10:11">
      <c r="J401" s="29"/>
      <c r="K401" s="63"/>
    </row>
    <row r="402" spans="10:11">
      <c r="J402" s="29"/>
      <c r="K402" s="63"/>
    </row>
    <row r="403" spans="10:11">
      <c r="J403" s="29"/>
      <c r="K403" s="63"/>
    </row>
    <row r="404" spans="10:11">
      <c r="J404" s="29"/>
      <c r="K404" s="63"/>
    </row>
    <row r="405" spans="10:11">
      <c r="J405" s="29"/>
      <c r="K405" s="63"/>
    </row>
    <row r="406" spans="10:11">
      <c r="J406" s="29"/>
      <c r="K406" s="63"/>
    </row>
    <row r="407" spans="10:11">
      <c r="J407" s="29"/>
      <c r="K407" s="63"/>
    </row>
    <row r="408" spans="10:11">
      <c r="J408" s="29"/>
      <c r="K408" s="63"/>
    </row>
    <row r="409" spans="10:11">
      <c r="J409" s="29"/>
      <c r="K409" s="63"/>
    </row>
    <row r="410" spans="10:11">
      <c r="J410" s="29"/>
      <c r="K410" s="63"/>
    </row>
    <row r="411" spans="10:11">
      <c r="J411" s="29"/>
      <c r="K411" s="63"/>
    </row>
    <row r="412" spans="10:11">
      <c r="J412" s="29"/>
      <c r="K412" s="63"/>
    </row>
    <row r="413" spans="10:11">
      <c r="J413" s="29"/>
      <c r="K413" s="63"/>
    </row>
    <row r="414" spans="10:11">
      <c r="J414" s="29"/>
      <c r="K414" s="63"/>
    </row>
    <row r="415" spans="10:11">
      <c r="J415" s="29"/>
      <c r="K415" s="63"/>
    </row>
    <row r="416" spans="10:11">
      <c r="J416" s="29"/>
      <c r="K416" s="63"/>
    </row>
    <row r="417" spans="10:13">
      <c r="J417" s="29"/>
      <c r="K417" s="63"/>
    </row>
    <row r="418" spans="10:13">
      <c r="J418" s="29"/>
      <c r="K418" s="63"/>
    </row>
    <row r="419" spans="10:13">
      <c r="J419" s="29"/>
      <c r="K419" s="63"/>
      <c r="M419" t="s">
        <v>73</v>
      </c>
    </row>
    <row r="420" spans="10:13">
      <c r="J420" s="3"/>
      <c r="L420" s="66">
        <v>0</v>
      </c>
      <c r="M420" s="66">
        <v>0</v>
      </c>
    </row>
    <row r="421" spans="10:13">
      <c r="M421" s="66"/>
    </row>
  </sheetData>
  <mergeCells count="2">
    <mergeCell ref="K21:N21"/>
    <mergeCell ref="K36:N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D04F-2F60-2F45-B8CB-6BA8D512E977}">
  <dimension ref="A1:L10"/>
  <sheetViews>
    <sheetView topLeftCell="A2" workbookViewId="0">
      <selection activeCell="F13" sqref="F13"/>
    </sheetView>
  </sheetViews>
  <sheetFormatPr baseColWidth="10" defaultColWidth="8.83203125" defaultRowHeight="15"/>
  <cols>
    <col min="1" max="1" width="15.5" customWidth="1"/>
    <col min="7" max="7" width="12.5" bestFit="1" customWidth="1"/>
    <col min="9" max="9" width="13.5" bestFit="1" customWidth="1"/>
  </cols>
  <sheetData>
    <row r="1" spans="1:12">
      <c r="A1" s="48"/>
    </row>
    <row r="4" spans="1:12">
      <c r="B4" t="s">
        <v>74</v>
      </c>
      <c r="C4">
        <v>500</v>
      </c>
      <c r="F4" s="29" t="s">
        <v>75</v>
      </c>
      <c r="H4">
        <f>25*12</f>
        <v>300</v>
      </c>
      <c r="K4" t="s">
        <v>76</v>
      </c>
    </row>
    <row r="5" spans="1:12">
      <c r="C5" s="1">
        <v>0.08</v>
      </c>
      <c r="F5" s="29" t="s">
        <v>77</v>
      </c>
      <c r="G5" s="44">
        <f>FV(C8,(30*12),40)</f>
        <v>-56342.0234852992</v>
      </c>
      <c r="L5" s="17"/>
    </row>
    <row r="6" spans="1:12">
      <c r="C6">
        <f>C5*C4</f>
        <v>40</v>
      </c>
      <c r="F6" s="29"/>
    </row>
    <row r="7" spans="1:12">
      <c r="B7" t="s">
        <v>78</v>
      </c>
      <c r="C7" s="1">
        <v>0.08</v>
      </c>
      <c r="F7" s="29" t="s">
        <v>79</v>
      </c>
      <c r="G7" s="64">
        <f>PMT(C10,(25*12),G5)</f>
        <v>357.55822502456698</v>
      </c>
      <c r="K7" t="s">
        <v>80</v>
      </c>
    </row>
    <row r="8" spans="1:12">
      <c r="A8" t="s">
        <v>81</v>
      </c>
      <c r="B8" t="s">
        <v>82</v>
      </c>
      <c r="C8" s="27">
        <f>(1+C7)^(1/12)-1</f>
        <v>6.4340301100034303E-3</v>
      </c>
      <c r="F8" s="29"/>
    </row>
    <row r="9" spans="1:12">
      <c r="A9" t="s">
        <v>83</v>
      </c>
      <c r="B9" t="s">
        <v>78</v>
      </c>
      <c r="C9" s="1">
        <v>0.06</v>
      </c>
      <c r="F9" s="29"/>
    </row>
    <row r="10" spans="1:12">
      <c r="B10" t="s">
        <v>82</v>
      </c>
      <c r="C10" s="27">
        <f>(1+C9)^(1/12)-1</f>
        <v>4.8675505653430484E-3</v>
      </c>
      <c r="F10" s="29"/>
      <c r="G10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6354-7F6C-F143-A4E7-E51B3C93A98C}">
  <dimension ref="A3:P33"/>
  <sheetViews>
    <sheetView topLeftCell="F2" workbookViewId="0">
      <selection activeCell="E14" sqref="E14"/>
    </sheetView>
  </sheetViews>
  <sheetFormatPr baseColWidth="10" defaultColWidth="8.83203125" defaultRowHeight="15"/>
  <cols>
    <col min="2" max="2" width="10.5" bestFit="1" customWidth="1"/>
    <col min="6" max="6" width="10.5" bestFit="1" customWidth="1"/>
    <col min="7" max="7" width="11.6640625" bestFit="1" customWidth="1"/>
    <col min="8" max="10" width="10.5" bestFit="1" customWidth="1"/>
    <col min="13" max="15" width="9.5" bestFit="1" customWidth="1"/>
    <col min="16" max="16" width="10.5" bestFit="1" customWidth="1"/>
  </cols>
  <sheetData>
    <row r="3" spans="1:16">
      <c r="A3" s="72"/>
      <c r="B3" s="73"/>
      <c r="C3" s="73"/>
      <c r="D3" s="73"/>
      <c r="E3" s="74"/>
      <c r="F3" s="75"/>
      <c r="G3" s="73"/>
      <c r="H3" s="73"/>
      <c r="I3" s="73"/>
    </row>
    <row r="4" spans="1:16">
      <c r="A4" s="74"/>
      <c r="B4" s="76"/>
      <c r="C4" s="76"/>
      <c r="D4" s="76"/>
      <c r="E4" s="76"/>
      <c r="F4" s="76"/>
      <c r="G4" s="73"/>
      <c r="H4" s="73"/>
      <c r="I4" s="73"/>
    </row>
    <row r="5" spans="1:16">
      <c r="A5" s="76"/>
      <c r="B5" s="77"/>
      <c r="C5" s="77"/>
      <c r="D5" s="77"/>
      <c r="E5" s="77"/>
      <c r="G5" s="73"/>
      <c r="H5" s="73"/>
      <c r="I5" s="73"/>
    </row>
    <row r="6" spans="1:16">
      <c r="A6" s="76"/>
      <c r="B6" s="77"/>
      <c r="C6" s="77"/>
      <c r="D6" s="77"/>
      <c r="E6" s="77"/>
      <c r="F6" s="78" t="s">
        <v>84</v>
      </c>
      <c r="G6" s="74" t="s">
        <v>85</v>
      </c>
      <c r="H6" s="74" t="s">
        <v>86</v>
      </c>
      <c r="I6" s="74" t="s">
        <v>87</v>
      </c>
      <c r="J6" s="74" t="s">
        <v>88</v>
      </c>
      <c r="L6" s="74" t="s">
        <v>89</v>
      </c>
      <c r="M6" s="74" t="s">
        <v>85</v>
      </c>
      <c r="N6" s="74" t="s">
        <v>86</v>
      </c>
      <c r="O6" s="74" t="s">
        <v>87</v>
      </c>
      <c r="P6" s="74" t="s">
        <v>88</v>
      </c>
    </row>
    <row r="7" spans="1:16">
      <c r="A7" s="76"/>
      <c r="B7" s="77"/>
      <c r="C7" s="77"/>
      <c r="D7" s="77">
        <v>30000</v>
      </c>
      <c r="E7" s="77"/>
      <c r="F7" s="78">
        <v>0</v>
      </c>
      <c r="G7" s="74"/>
      <c r="H7" s="74"/>
      <c r="I7" s="74"/>
      <c r="J7" s="79">
        <f>D7</f>
        <v>30000</v>
      </c>
      <c r="L7" s="80">
        <f>F7</f>
        <v>0</v>
      </c>
      <c r="M7" s="81"/>
      <c r="N7" s="46"/>
      <c r="O7" s="46"/>
      <c r="P7" s="46">
        <f>D7</f>
        <v>30000</v>
      </c>
    </row>
    <row r="8" spans="1:16">
      <c r="A8" s="76"/>
      <c r="B8" s="77"/>
      <c r="C8" s="77"/>
      <c r="D8" s="77">
        <v>0.1</v>
      </c>
      <c r="E8" s="77"/>
      <c r="F8" s="78">
        <v>1</v>
      </c>
      <c r="G8" s="82">
        <f>-PMT($D$8,$D$9,$D$7)</f>
        <v>7913.9244238423626</v>
      </c>
      <c r="H8" s="82">
        <f>G8-I8</f>
        <v>4913.9244238423626</v>
      </c>
      <c r="I8" s="82">
        <f>$D$8*J7</f>
        <v>3000</v>
      </c>
      <c r="J8" s="81">
        <f>J7-H8</f>
        <v>25086.075576157637</v>
      </c>
      <c r="L8" s="80">
        <f t="shared" ref="L8:L12" si="0">F8</f>
        <v>1</v>
      </c>
      <c r="M8" s="81">
        <f>N8+O8</f>
        <v>9000</v>
      </c>
      <c r="N8" s="46">
        <f>$D$7/5</f>
        <v>6000</v>
      </c>
      <c r="O8" s="46">
        <f>$D$8*P7</f>
        <v>3000</v>
      </c>
      <c r="P8" s="46">
        <f>P7-N8</f>
        <v>24000</v>
      </c>
    </row>
    <row r="9" spans="1:16">
      <c r="A9" s="76"/>
      <c r="B9" s="77"/>
      <c r="C9" s="77"/>
      <c r="D9" s="83">
        <v>5</v>
      </c>
      <c r="E9" s="77"/>
      <c r="F9" s="78">
        <v>2</v>
      </c>
      <c r="G9" s="82">
        <f t="shared" ref="G9:G12" si="1">-PMT($D$8,$D$9,$D$7)</f>
        <v>7913.9244238423626</v>
      </c>
      <c r="H9" s="82">
        <f t="shared" ref="H9:H12" si="2">G9-I9</f>
        <v>5405.3168662265989</v>
      </c>
      <c r="I9" s="82">
        <f t="shared" ref="I9:I12" si="3">$D$8*J8</f>
        <v>2508.6075576157637</v>
      </c>
      <c r="J9" s="81">
        <f t="shared" ref="J9:J12" si="4">J8-H9</f>
        <v>19680.758709931037</v>
      </c>
      <c r="L9" s="80">
        <f t="shared" si="0"/>
        <v>2</v>
      </c>
      <c r="M9" s="81">
        <f t="shared" ref="M9:M12" si="5">N9+O9</f>
        <v>8400</v>
      </c>
      <c r="N9" s="46">
        <f t="shared" ref="N9:N12" si="6">$D$7/5</f>
        <v>6000</v>
      </c>
      <c r="O9" s="46">
        <f t="shared" ref="O9:O12" si="7">$D$8*P8</f>
        <v>2400</v>
      </c>
      <c r="P9" s="46">
        <f t="shared" ref="P9:P12" si="8">P8-N9</f>
        <v>18000</v>
      </c>
    </row>
    <row r="10" spans="1:16">
      <c r="A10" s="76"/>
      <c r="B10" s="77"/>
      <c r="C10" s="77"/>
      <c r="D10" s="77"/>
      <c r="E10" s="77"/>
      <c r="F10" s="78">
        <v>3</v>
      </c>
      <c r="G10" s="82">
        <f t="shared" si="1"/>
        <v>7913.9244238423626</v>
      </c>
      <c r="H10" s="82">
        <f t="shared" si="2"/>
        <v>5945.8485528492583</v>
      </c>
      <c r="I10" s="82">
        <f t="shared" si="3"/>
        <v>1968.0758709931038</v>
      </c>
      <c r="J10" s="81">
        <f t="shared" si="4"/>
        <v>13734.910157081778</v>
      </c>
      <c r="L10" s="80">
        <f t="shared" si="0"/>
        <v>3</v>
      </c>
      <c r="M10" s="81">
        <f t="shared" si="5"/>
        <v>7800</v>
      </c>
      <c r="N10" s="46">
        <f t="shared" si="6"/>
        <v>6000</v>
      </c>
      <c r="O10" s="46">
        <f t="shared" si="7"/>
        <v>1800</v>
      </c>
      <c r="P10" s="46">
        <f t="shared" si="8"/>
        <v>12000</v>
      </c>
    </row>
    <row r="11" spans="1:16">
      <c r="A11" s="76"/>
      <c r="B11" s="77"/>
      <c r="C11" s="77"/>
      <c r="D11" s="77"/>
      <c r="E11" s="77"/>
      <c r="F11" s="78">
        <v>4</v>
      </c>
      <c r="G11" s="82">
        <f t="shared" si="1"/>
        <v>7913.9244238423626</v>
      </c>
      <c r="H11" s="82">
        <f t="shared" si="2"/>
        <v>6540.4334081341849</v>
      </c>
      <c r="I11" s="82">
        <f t="shared" si="3"/>
        <v>1373.4910157081779</v>
      </c>
      <c r="J11" s="81">
        <f t="shared" si="4"/>
        <v>7194.4767489475935</v>
      </c>
      <c r="L11" s="80">
        <f t="shared" si="0"/>
        <v>4</v>
      </c>
      <c r="M11" s="81">
        <f t="shared" si="5"/>
        <v>7200</v>
      </c>
      <c r="N11" s="46">
        <f t="shared" si="6"/>
        <v>6000</v>
      </c>
      <c r="O11" s="46">
        <f t="shared" si="7"/>
        <v>1200</v>
      </c>
      <c r="P11" s="46">
        <f t="shared" si="8"/>
        <v>6000</v>
      </c>
    </row>
    <row r="12" spans="1:16">
      <c r="A12" s="76"/>
      <c r="B12" s="77"/>
      <c r="C12" s="77"/>
      <c r="D12" s="77"/>
      <c r="E12" s="77"/>
      <c r="F12" s="78">
        <v>5</v>
      </c>
      <c r="G12" s="82">
        <f t="shared" si="1"/>
        <v>7913.9244238423626</v>
      </c>
      <c r="H12" s="82">
        <f t="shared" si="2"/>
        <v>7194.4767489476035</v>
      </c>
      <c r="I12" s="82">
        <f t="shared" si="3"/>
        <v>719.44767489475942</v>
      </c>
      <c r="J12" s="81">
        <f t="shared" si="4"/>
        <v>-1.0004441719502211E-11</v>
      </c>
      <c r="L12" s="80">
        <f t="shared" si="0"/>
        <v>5</v>
      </c>
      <c r="M12" s="81">
        <f t="shared" si="5"/>
        <v>6600</v>
      </c>
      <c r="N12" s="46">
        <f t="shared" si="6"/>
        <v>6000</v>
      </c>
      <c r="O12" s="46">
        <f t="shared" si="7"/>
        <v>600</v>
      </c>
      <c r="P12" s="46">
        <f t="shared" si="8"/>
        <v>0</v>
      </c>
    </row>
    <row r="13" spans="1:16">
      <c r="A13" s="76"/>
      <c r="B13" s="77"/>
      <c r="C13" s="77"/>
      <c r="D13" s="77"/>
      <c r="E13" s="77"/>
      <c r="F13" s="77"/>
      <c r="G13" s="73"/>
      <c r="H13" s="73"/>
      <c r="I13" s="73"/>
    </row>
    <row r="14" spans="1:16">
      <c r="A14" s="76"/>
      <c r="B14" s="77"/>
      <c r="C14" s="77"/>
      <c r="D14" s="77"/>
      <c r="E14" s="77"/>
      <c r="F14" s="77"/>
      <c r="G14" s="73"/>
      <c r="H14" s="73"/>
      <c r="I14" s="73"/>
    </row>
    <row r="15" spans="1:16">
      <c r="A15" s="76"/>
      <c r="B15" s="77"/>
      <c r="C15" s="77"/>
      <c r="D15" s="77"/>
      <c r="E15" s="77"/>
      <c r="F15" s="77"/>
      <c r="G15" s="73"/>
      <c r="H15" s="73"/>
      <c r="I15" s="73"/>
    </row>
    <row r="16" spans="1:16">
      <c r="A16" s="73"/>
      <c r="B16" s="73"/>
      <c r="C16" s="73"/>
      <c r="D16" s="73"/>
      <c r="E16" s="84"/>
      <c r="F16" s="73"/>
      <c r="G16" s="73"/>
      <c r="H16" s="73"/>
      <c r="I16" s="73"/>
    </row>
    <row r="18" spans="1:10">
      <c r="A18" s="72"/>
      <c r="B18" s="73"/>
      <c r="C18" s="73"/>
      <c r="D18" s="73"/>
      <c r="E18" s="73"/>
      <c r="F18" s="73"/>
      <c r="G18" s="73"/>
      <c r="H18" s="74"/>
      <c r="I18" s="75"/>
    </row>
    <row r="19" spans="1:10">
      <c r="A19" s="74"/>
      <c r="B19" s="76"/>
      <c r="C19" s="76"/>
      <c r="D19" s="76"/>
      <c r="E19" s="76"/>
      <c r="F19" s="76"/>
      <c r="G19" s="76"/>
      <c r="H19" s="76"/>
      <c r="I19" s="76"/>
    </row>
    <row r="20" spans="1:10">
      <c r="A20" s="76"/>
      <c r="B20" s="77"/>
      <c r="C20" s="77"/>
      <c r="D20" s="77"/>
      <c r="E20" s="77"/>
      <c r="F20" s="77"/>
      <c r="G20" s="77"/>
      <c r="H20" s="77"/>
      <c r="I20" s="77"/>
      <c r="J20" t="s">
        <v>90</v>
      </c>
    </row>
    <row r="21" spans="1:10">
      <c r="A21" s="76"/>
      <c r="B21" s="77"/>
      <c r="C21" s="77"/>
      <c r="D21" s="77"/>
      <c r="E21" s="77"/>
      <c r="F21" s="77"/>
      <c r="G21" s="77"/>
      <c r="H21" s="77"/>
      <c r="I21" s="77"/>
    </row>
    <row r="22" spans="1:10">
      <c r="A22" s="76"/>
      <c r="B22" s="77"/>
      <c r="C22" s="77"/>
      <c r="D22" s="77"/>
      <c r="E22" s="77"/>
      <c r="F22" s="77"/>
      <c r="G22" s="77"/>
      <c r="H22" s="77"/>
      <c r="I22" s="77"/>
    </row>
    <row r="23" spans="1:10">
      <c r="A23" s="76"/>
      <c r="B23" s="77"/>
      <c r="C23" s="77"/>
      <c r="D23" s="77"/>
      <c r="E23" s="77"/>
      <c r="F23" s="77"/>
      <c r="G23" s="77"/>
      <c r="H23" s="77"/>
      <c r="I23" s="77"/>
    </row>
    <row r="24" spans="1:10">
      <c r="A24" s="76"/>
      <c r="B24" s="77"/>
      <c r="C24" s="77"/>
      <c r="D24" s="77"/>
      <c r="E24" s="77"/>
      <c r="F24" s="77"/>
      <c r="G24" s="77"/>
      <c r="H24" s="77"/>
      <c r="I24" s="77"/>
    </row>
    <row r="25" spans="1:10">
      <c r="A25" s="76"/>
      <c r="B25" s="77"/>
      <c r="C25" s="77"/>
      <c r="D25" s="77"/>
      <c r="E25" s="77"/>
      <c r="F25" s="77"/>
      <c r="G25" s="77"/>
      <c r="H25" s="77"/>
      <c r="I25" s="77"/>
    </row>
    <row r="26" spans="1:10">
      <c r="A26" s="76"/>
      <c r="B26" s="77"/>
      <c r="C26" s="77"/>
      <c r="D26" s="77"/>
      <c r="E26" s="77"/>
      <c r="F26" s="77"/>
      <c r="G26" s="77"/>
      <c r="H26" s="77"/>
      <c r="I26" s="77"/>
    </row>
    <row r="27" spans="1:10">
      <c r="A27" s="76"/>
      <c r="B27" s="77"/>
      <c r="C27" s="77"/>
      <c r="D27" s="77"/>
      <c r="E27" s="77"/>
      <c r="F27" s="77"/>
      <c r="G27" s="77"/>
      <c r="H27" s="77"/>
      <c r="I27" s="77"/>
    </row>
    <row r="28" spans="1:10">
      <c r="A28" s="76"/>
      <c r="B28" s="77"/>
      <c r="C28" s="77"/>
      <c r="D28" s="77"/>
      <c r="E28" s="77"/>
      <c r="F28" s="77"/>
      <c r="G28" s="77"/>
      <c r="H28" s="77"/>
      <c r="I28" s="77"/>
    </row>
    <row r="29" spans="1:10">
      <c r="A29" s="76"/>
      <c r="B29" s="77"/>
      <c r="C29" s="77"/>
      <c r="D29" s="77"/>
      <c r="E29" s="77"/>
      <c r="F29" s="77"/>
      <c r="G29" s="77"/>
      <c r="H29" s="77"/>
      <c r="I29" s="77"/>
    </row>
    <row r="30" spans="1:10">
      <c r="A30" s="76"/>
      <c r="B30" s="77"/>
      <c r="C30" s="77"/>
      <c r="D30" s="77"/>
      <c r="E30" s="77"/>
      <c r="F30" s="77"/>
      <c r="G30" s="77"/>
      <c r="H30" s="77"/>
      <c r="I30" s="77"/>
    </row>
    <row r="31" spans="1:10">
      <c r="A31" s="73"/>
      <c r="B31" s="73"/>
      <c r="C31" s="73"/>
      <c r="D31" s="73"/>
      <c r="E31" s="73"/>
      <c r="F31" s="73"/>
      <c r="G31" s="73"/>
      <c r="H31" s="84"/>
      <c r="I31" s="73"/>
    </row>
    <row r="33" spans="1:1">
      <c r="A33" s="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11A1-AD89-EA40-8B3F-DBA1D54B8A68}">
  <dimension ref="A1:O30"/>
  <sheetViews>
    <sheetView topLeftCell="A16" workbookViewId="0">
      <selection activeCell="E17" sqref="E17"/>
    </sheetView>
  </sheetViews>
  <sheetFormatPr baseColWidth="10" defaultColWidth="11.5" defaultRowHeight="15"/>
  <cols>
    <col min="8" max="8" width="11.6640625" bestFit="1" customWidth="1"/>
  </cols>
  <sheetData>
    <row r="1" spans="1: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>
      <c r="A2" s="85"/>
      <c r="B2" s="367" t="s">
        <v>91</v>
      </c>
      <c r="C2" s="367"/>
      <c r="D2" s="367"/>
      <c r="E2" s="85">
        <v>8000</v>
      </c>
      <c r="F2" s="85"/>
      <c r="G2" s="86">
        <v>0.09</v>
      </c>
      <c r="H2" s="85" t="s">
        <v>92</v>
      </c>
      <c r="I2" s="85"/>
      <c r="J2" s="85"/>
      <c r="K2" s="85"/>
      <c r="L2" s="85"/>
      <c r="M2" s="85"/>
      <c r="N2" s="85"/>
      <c r="O2" s="85"/>
    </row>
    <row r="3" spans="1:15">
      <c r="A3" s="85"/>
      <c r="B3" s="367" t="s">
        <v>93</v>
      </c>
      <c r="C3" s="367"/>
      <c r="D3" s="85"/>
      <c r="E3" s="85">
        <v>5000</v>
      </c>
      <c r="F3" s="85"/>
      <c r="G3" s="86">
        <v>7.0000000000000007E-2</v>
      </c>
      <c r="H3" s="85" t="s">
        <v>92</v>
      </c>
      <c r="I3" s="85"/>
      <c r="J3" s="85"/>
      <c r="K3" s="85"/>
      <c r="L3" s="85"/>
      <c r="M3" s="85"/>
      <c r="N3" s="85"/>
      <c r="O3" s="85"/>
    </row>
    <row r="4" spans="1:15">
      <c r="A4" s="85"/>
      <c r="B4" s="85"/>
      <c r="C4" s="85"/>
      <c r="D4" s="85"/>
      <c r="E4" s="85"/>
      <c r="F4" s="85"/>
    </row>
    <row r="5" spans="1:15">
      <c r="A5" s="85"/>
      <c r="B5" s="367" t="s">
        <v>94</v>
      </c>
      <c r="C5" s="367"/>
      <c r="D5" s="367"/>
      <c r="E5" s="85">
        <v>720</v>
      </c>
      <c r="F5" s="85"/>
      <c r="G5" s="85"/>
      <c r="H5" s="85"/>
    </row>
    <row r="6" spans="1:15">
      <c r="A6" s="85"/>
      <c r="B6" s="367" t="s">
        <v>95</v>
      </c>
      <c r="C6" s="367"/>
      <c r="D6" s="85"/>
      <c r="E6" s="85">
        <v>350</v>
      </c>
      <c r="F6" s="85"/>
    </row>
    <row r="7" spans="1:15">
      <c r="A7" s="85"/>
      <c r="B7" s="367" t="s">
        <v>96</v>
      </c>
      <c r="C7" s="367"/>
      <c r="D7" s="367"/>
      <c r="E7" s="87">
        <f>E5+E6</f>
        <v>1070</v>
      </c>
    </row>
    <row r="8" spans="1:15">
      <c r="A8" s="85"/>
      <c r="B8" s="85"/>
      <c r="C8" s="85"/>
      <c r="D8" s="85"/>
      <c r="E8" s="85"/>
    </row>
    <row r="9" spans="1:15">
      <c r="A9" s="85"/>
      <c r="B9" s="367" t="s">
        <v>97</v>
      </c>
      <c r="C9" s="367"/>
      <c r="D9" s="85"/>
      <c r="E9" s="85">
        <v>3200</v>
      </c>
      <c r="F9">
        <v>2400</v>
      </c>
      <c r="G9" t="s">
        <v>98</v>
      </c>
    </row>
    <row r="10" spans="1:15">
      <c r="A10" s="85"/>
      <c r="B10" s="367" t="s">
        <v>99</v>
      </c>
      <c r="C10" s="367"/>
      <c r="D10" s="85"/>
      <c r="E10" s="85">
        <f>E9-F9</f>
        <v>800</v>
      </c>
    </row>
    <row r="11" spans="1:15">
      <c r="A11" s="85"/>
      <c r="B11" s="85"/>
      <c r="C11" s="85"/>
      <c r="D11" s="85"/>
      <c r="E11" s="85"/>
    </row>
    <row r="12" spans="1:15">
      <c r="A12" s="85"/>
      <c r="B12" s="367" t="s">
        <v>100</v>
      </c>
      <c r="C12" s="367"/>
      <c r="D12" s="85"/>
      <c r="E12" s="85">
        <v>20000</v>
      </c>
    </row>
    <row r="13" spans="1:15">
      <c r="A13" s="85"/>
      <c r="B13" s="367" t="s">
        <v>101</v>
      </c>
      <c r="C13" s="367"/>
      <c r="D13" s="85"/>
      <c r="E13" s="88">
        <f>E12-F13</f>
        <v>7500</v>
      </c>
      <c r="F13">
        <v>12500</v>
      </c>
      <c r="G13" t="s">
        <v>102</v>
      </c>
    </row>
    <row r="14" spans="1:15">
      <c r="A14" s="85"/>
      <c r="B14" s="89" t="s">
        <v>103</v>
      </c>
      <c r="C14" s="85"/>
      <c r="D14" s="85"/>
      <c r="E14" s="90">
        <f>E10+E13+G15+F14</f>
        <v>8300</v>
      </c>
    </row>
    <row r="15" spans="1:15">
      <c r="A15" s="85"/>
      <c r="B15" s="85"/>
      <c r="C15" s="85"/>
      <c r="D15" s="85"/>
      <c r="E15" s="85"/>
    </row>
    <row r="16" spans="1:15">
      <c r="A16" s="85"/>
      <c r="B16" s="85"/>
      <c r="C16" s="85"/>
      <c r="D16" s="85"/>
      <c r="E16" s="85"/>
      <c r="F16" s="91" t="s">
        <v>104</v>
      </c>
      <c r="G16" s="91" t="s">
        <v>105</v>
      </c>
      <c r="H16" s="91" t="s">
        <v>106</v>
      </c>
      <c r="I16" s="85"/>
      <c r="J16" s="85"/>
      <c r="K16" s="85"/>
      <c r="L16" s="85"/>
      <c r="M16" s="85"/>
      <c r="N16" s="85"/>
      <c r="O16" s="85"/>
    </row>
    <row r="17" spans="1:15">
      <c r="A17" s="85"/>
      <c r="B17" s="367" t="s">
        <v>107</v>
      </c>
      <c r="C17" s="367"/>
      <c r="D17" s="92">
        <v>0.01</v>
      </c>
      <c r="E17" s="85">
        <v>25000</v>
      </c>
      <c r="F17" s="85">
        <v>12500</v>
      </c>
      <c r="G17" s="93">
        <v>588.41999999999996</v>
      </c>
      <c r="H17" s="89">
        <v>24</v>
      </c>
      <c r="I17" s="85"/>
      <c r="J17" s="85"/>
      <c r="K17" s="85"/>
      <c r="L17" s="85"/>
      <c r="M17" s="85"/>
      <c r="N17" s="85"/>
      <c r="O17" s="85"/>
    </row>
    <row r="18" spans="1:15">
      <c r="A18" s="85"/>
      <c r="B18" s="85"/>
      <c r="C18" s="85"/>
      <c r="D18" s="85"/>
      <c r="E18" s="85"/>
      <c r="F18" s="85"/>
      <c r="G18" s="94">
        <f>PMT(D17,H17,F17)</f>
        <v>-588.41840279080873</v>
      </c>
      <c r="H18" s="85"/>
      <c r="I18" s="85"/>
      <c r="J18" s="85"/>
      <c r="K18" s="85"/>
      <c r="L18" s="85"/>
      <c r="M18" s="85"/>
      <c r="N18" s="85"/>
      <c r="O18" s="85"/>
    </row>
    <row r="19" spans="1:15">
      <c r="A19" s="85"/>
      <c r="B19" s="85"/>
      <c r="C19" s="85"/>
      <c r="D19" s="95"/>
      <c r="E19" s="85"/>
      <c r="F19" s="85">
        <v>0.5</v>
      </c>
      <c r="G19" s="85"/>
      <c r="H19" s="85"/>
      <c r="I19" s="85"/>
      <c r="J19" s="85"/>
      <c r="K19" s="85"/>
      <c r="L19" s="85"/>
      <c r="M19" s="85"/>
      <c r="N19" s="85"/>
      <c r="O19" s="85"/>
    </row>
    <row r="20" spans="1:15">
      <c r="A20" s="85"/>
      <c r="B20" s="368" t="s">
        <v>108</v>
      </c>
      <c r="C20" s="368"/>
      <c r="D20" s="368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>
      <c r="A21" s="85"/>
      <c r="B21" s="367" t="s">
        <v>109</v>
      </c>
      <c r="C21" s="367"/>
      <c r="D21" s="85"/>
      <c r="E21" s="85">
        <v>0</v>
      </c>
      <c r="F21" s="90"/>
      <c r="G21" s="85"/>
      <c r="H21" s="85"/>
      <c r="I21" s="96"/>
      <c r="J21" s="85"/>
      <c r="K21" s="85"/>
      <c r="L21" s="85"/>
      <c r="M21" s="85"/>
      <c r="N21" s="85"/>
      <c r="O21" s="85"/>
    </row>
    <row r="22" spans="1:15">
      <c r="A22" s="85"/>
      <c r="B22" s="85" t="s">
        <v>110</v>
      </c>
      <c r="C22" s="85"/>
      <c r="D22" s="85"/>
      <c r="E22" s="85">
        <v>4700</v>
      </c>
      <c r="F22" s="90"/>
      <c r="G22" s="85"/>
      <c r="H22" s="85"/>
      <c r="I22" s="85"/>
      <c r="J22" s="85"/>
      <c r="K22" s="85"/>
      <c r="L22" s="85"/>
      <c r="M22" s="85"/>
      <c r="N22" s="85"/>
      <c r="O22" s="85"/>
    </row>
    <row r="23" spans="1:15">
      <c r="A23" s="85"/>
      <c r="B23" s="85"/>
      <c r="C23" s="85"/>
      <c r="D23" s="85"/>
      <c r="E23" s="85"/>
      <c r="F23" s="97"/>
      <c r="G23" s="85"/>
      <c r="H23" s="85"/>
      <c r="I23" s="85"/>
      <c r="J23" s="85"/>
      <c r="K23" s="85"/>
      <c r="L23" s="85"/>
      <c r="M23" s="85"/>
      <c r="N23" s="85"/>
      <c r="O23" s="85"/>
    </row>
    <row r="24" spans="1:15">
      <c r="A24" s="85"/>
      <c r="B24" s="367" t="s">
        <v>94</v>
      </c>
      <c r="C24" s="367"/>
      <c r="D24" s="367"/>
      <c r="E24" s="85">
        <f>E21*G2</f>
        <v>0</v>
      </c>
      <c r="F24" s="97"/>
      <c r="G24" s="85"/>
      <c r="H24" s="98"/>
      <c r="I24" s="85"/>
      <c r="J24" s="85"/>
      <c r="K24" s="85"/>
      <c r="L24" s="85"/>
      <c r="M24" s="85"/>
      <c r="N24" s="85"/>
      <c r="O24" s="85"/>
    </row>
    <row r="25" spans="1:15">
      <c r="A25" s="85"/>
      <c r="B25" s="367" t="s">
        <v>111</v>
      </c>
      <c r="C25" s="367"/>
      <c r="D25" s="85"/>
      <c r="E25" s="85">
        <f>E22*G3</f>
        <v>329.00000000000006</v>
      </c>
      <c r="F25" s="90">
        <f>F22*G3</f>
        <v>0</v>
      </c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25">
      <c r="A26" s="85"/>
      <c r="B26" s="367" t="s">
        <v>96</v>
      </c>
      <c r="C26" s="367"/>
      <c r="D26" s="367"/>
      <c r="E26" s="85">
        <f>SUM(E24:E25)</f>
        <v>329.00000000000006</v>
      </c>
      <c r="F26" s="90">
        <f>SUM(F24:F25)</f>
        <v>0</v>
      </c>
      <c r="G26" s="93">
        <f>G17+E26</f>
        <v>917.42000000000007</v>
      </c>
      <c r="H26" s="99"/>
      <c r="I26" s="100">
        <f>800-H26</f>
        <v>800</v>
      </c>
      <c r="J26" s="85"/>
      <c r="K26" s="85"/>
      <c r="L26" s="85"/>
      <c r="M26" s="85"/>
      <c r="N26" s="85"/>
      <c r="O26" s="85"/>
    </row>
    <row r="29" spans="1:15">
      <c r="C29" t="s">
        <v>112</v>
      </c>
    </row>
    <row r="30" spans="1:15">
      <c r="C30" t="s">
        <v>113</v>
      </c>
    </row>
  </sheetData>
  <mergeCells count="15">
    <mergeCell ref="B24:D24"/>
    <mergeCell ref="B25:C25"/>
    <mergeCell ref="B26:D26"/>
    <mergeCell ref="B10:C10"/>
    <mergeCell ref="B12:C12"/>
    <mergeCell ref="B13:C13"/>
    <mergeCell ref="B17:C17"/>
    <mergeCell ref="B20:D20"/>
    <mergeCell ref="B21:C21"/>
    <mergeCell ref="B9:C9"/>
    <mergeCell ref="B2:D2"/>
    <mergeCell ref="B3:C3"/>
    <mergeCell ref="B5:D5"/>
    <mergeCell ref="B6:C6"/>
    <mergeCell ref="B7:D7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D635-B0AE-2A4A-B05B-B22CAB1E755B}">
  <dimension ref="A1:K21"/>
  <sheetViews>
    <sheetView workbookViewId="0">
      <selection activeCell="B5" sqref="B5"/>
    </sheetView>
  </sheetViews>
  <sheetFormatPr baseColWidth="10" defaultRowHeight="15"/>
  <sheetData>
    <row r="1" spans="1:11">
      <c r="A1" s="85"/>
      <c r="B1" s="85"/>
      <c r="C1" s="85"/>
      <c r="D1" s="85"/>
      <c r="E1" s="85"/>
      <c r="F1" s="85"/>
      <c r="G1" s="85"/>
      <c r="H1" s="85"/>
      <c r="I1" s="86">
        <v>0.12</v>
      </c>
      <c r="J1" s="85"/>
      <c r="K1" s="85"/>
    </row>
    <row r="2" spans="1:11">
      <c r="A2" s="101" t="s">
        <v>114</v>
      </c>
      <c r="B2" s="101"/>
      <c r="C2" s="85"/>
      <c r="D2" s="85" t="s">
        <v>84</v>
      </c>
      <c r="E2" s="85"/>
      <c r="F2" s="102"/>
      <c r="G2" s="85" t="s">
        <v>89</v>
      </c>
      <c r="H2" s="85"/>
      <c r="I2" s="85"/>
      <c r="J2" s="102"/>
      <c r="K2" s="103"/>
    </row>
    <row r="3" spans="1:11">
      <c r="A3" s="85"/>
      <c r="B3" s="85"/>
      <c r="C3" s="85"/>
      <c r="D3" s="85" t="s">
        <v>85</v>
      </c>
      <c r="E3" s="102"/>
      <c r="F3" s="85"/>
      <c r="G3" s="102" t="s">
        <v>115</v>
      </c>
      <c r="H3" s="102" t="s">
        <v>116</v>
      </c>
      <c r="I3" s="102" t="s">
        <v>117</v>
      </c>
      <c r="J3" s="103" t="s">
        <v>118</v>
      </c>
      <c r="K3" s="85"/>
    </row>
    <row r="4" spans="1:11">
      <c r="A4" s="91" t="s">
        <v>119</v>
      </c>
      <c r="B4" s="85">
        <v>10000</v>
      </c>
      <c r="C4" s="85">
        <v>0</v>
      </c>
      <c r="D4" s="102">
        <f>0.05*B4</f>
        <v>500</v>
      </c>
      <c r="E4" s="102"/>
      <c r="F4" s="85">
        <v>0</v>
      </c>
      <c r="G4" s="102"/>
      <c r="H4" s="102"/>
      <c r="I4" s="102">
        <f>B4</f>
        <v>10000</v>
      </c>
      <c r="J4" s="103"/>
      <c r="K4" s="85"/>
    </row>
    <row r="5" spans="1:11">
      <c r="A5" s="85" t="s">
        <v>340</v>
      </c>
      <c r="B5" s="86">
        <v>0.1</v>
      </c>
      <c r="C5" s="85">
        <v>1</v>
      </c>
      <c r="D5" s="104">
        <f>-PMT($B$5,5,$B$4)</f>
        <v>2637.9748079474539</v>
      </c>
      <c r="E5" s="104"/>
      <c r="F5" s="85">
        <v>1</v>
      </c>
      <c r="G5" s="102">
        <f>$B$4/5</f>
        <v>2000</v>
      </c>
      <c r="H5" s="102">
        <f>I4*$I$1</f>
        <v>1200</v>
      </c>
      <c r="I5" s="102">
        <f>I4-G5</f>
        <v>8000</v>
      </c>
      <c r="J5" s="103">
        <f>G5+H5</f>
        <v>3200</v>
      </c>
      <c r="K5" s="103"/>
    </row>
    <row r="6" spans="1:11">
      <c r="A6" s="85"/>
      <c r="B6" s="86"/>
      <c r="C6" s="85">
        <v>2</v>
      </c>
      <c r="D6" s="104">
        <f t="shared" ref="D6:D9" si="0">-PMT($B$5,5,$B$4)</f>
        <v>2637.9748079474539</v>
      </c>
      <c r="E6" s="104"/>
      <c r="F6" s="85">
        <v>2</v>
      </c>
      <c r="G6" s="102">
        <f t="shared" ref="G6:G9" si="1">$B$4/5</f>
        <v>2000</v>
      </c>
      <c r="H6" s="102">
        <f t="shared" ref="H6:H9" si="2">I5*$I$1</f>
        <v>960</v>
      </c>
      <c r="I6" s="102">
        <f t="shared" ref="I6:I9" si="3">I5-G6</f>
        <v>6000</v>
      </c>
      <c r="J6" s="103">
        <f t="shared" ref="J6:J9" si="4">G6+H6</f>
        <v>2960</v>
      </c>
      <c r="K6" s="103"/>
    </row>
    <row r="7" spans="1:11">
      <c r="A7" s="85"/>
      <c r="B7" s="85"/>
      <c r="C7" s="85">
        <v>3</v>
      </c>
      <c r="D7" s="104">
        <f t="shared" si="0"/>
        <v>2637.9748079474539</v>
      </c>
      <c r="E7" s="104"/>
      <c r="F7" s="85">
        <v>3</v>
      </c>
      <c r="G7" s="102">
        <f t="shared" si="1"/>
        <v>2000</v>
      </c>
      <c r="H7" s="102">
        <f t="shared" si="2"/>
        <v>720</v>
      </c>
      <c r="I7" s="102">
        <f t="shared" si="3"/>
        <v>4000</v>
      </c>
      <c r="J7" s="103">
        <f t="shared" si="4"/>
        <v>2720</v>
      </c>
      <c r="K7" s="103"/>
    </row>
    <row r="8" spans="1:11">
      <c r="A8" s="85"/>
      <c r="B8" s="85"/>
      <c r="C8" s="85">
        <v>4</v>
      </c>
      <c r="D8" s="104">
        <f t="shared" si="0"/>
        <v>2637.9748079474539</v>
      </c>
      <c r="E8" s="104"/>
      <c r="F8" s="85">
        <v>4</v>
      </c>
      <c r="G8" s="102">
        <f t="shared" si="1"/>
        <v>2000</v>
      </c>
      <c r="H8" s="102">
        <f t="shared" si="2"/>
        <v>480</v>
      </c>
      <c r="I8" s="102">
        <f t="shared" si="3"/>
        <v>2000</v>
      </c>
      <c r="J8" s="103">
        <f t="shared" si="4"/>
        <v>2480</v>
      </c>
      <c r="K8" s="103"/>
    </row>
    <row r="9" spans="1:11">
      <c r="A9" s="85"/>
      <c r="B9" s="85"/>
      <c r="C9" s="85">
        <v>5</v>
      </c>
      <c r="D9" s="104">
        <f t="shared" si="0"/>
        <v>2637.9748079474539</v>
      </c>
      <c r="E9" s="104"/>
      <c r="F9" s="85">
        <v>5</v>
      </c>
      <c r="G9" s="102">
        <f t="shared" si="1"/>
        <v>2000</v>
      </c>
      <c r="H9" s="102">
        <f t="shared" si="2"/>
        <v>240</v>
      </c>
      <c r="I9" s="102">
        <f t="shared" si="3"/>
        <v>0</v>
      </c>
      <c r="J9" s="103">
        <f t="shared" si="4"/>
        <v>2240</v>
      </c>
      <c r="K9" s="103"/>
    </row>
    <row r="10" spans="1:11">
      <c r="A10" s="85"/>
      <c r="B10" s="85"/>
      <c r="C10" s="85"/>
      <c r="D10" s="104">
        <f>SUM(D4:D9)</f>
        <v>13689.874039737269</v>
      </c>
      <c r="E10" s="105" t="s">
        <v>120</v>
      </c>
      <c r="F10" s="106"/>
      <c r="G10" s="85"/>
      <c r="H10" s="85"/>
      <c r="I10" s="102"/>
      <c r="J10" s="103">
        <f>SUM(J4:J9)</f>
        <v>13600</v>
      </c>
      <c r="K10" s="105" t="s">
        <v>120</v>
      </c>
    </row>
    <row r="11" spans="1:1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2010-11-02T15:22:27Z</dcterms:created>
  <dcterms:modified xsi:type="dcterms:W3CDTF">2020-09-28T17:58:51Z</dcterms:modified>
</cp:coreProperties>
</file>