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362/2020/ENGENHARIA ECONÔMICA/EXERCICIOS/"/>
    </mc:Choice>
  </mc:AlternateContent>
  <xr:revisionPtr revIDLastSave="0" documentId="13_ncr:1_{BBF28F3A-DF93-C94E-A72D-B51532ED2945}" xr6:coauthVersionLast="45" xr6:coauthVersionMax="45" xr10:uidLastSave="{00000000-0000-0000-0000-000000000000}"/>
  <bookViews>
    <workbookView xWindow="2120" yWindow="460" windowWidth="11860" windowHeight="16300" activeTab="4" xr2:uid="{00000000-000D-0000-FFFF-FFFF00000000}"/>
  </bookViews>
  <sheets>
    <sheet name="CAP IV FADIGAS" sheetId="1" r:id="rId1"/>
    <sheet name="L 4 - EX 1" sheetId="2" r:id="rId2"/>
    <sheet name="EXERC1 P1" sheetId="3" r:id="rId3"/>
    <sheet name="EXER2 P1" sheetId="5" r:id="rId4"/>
    <sheet name="L4 - PLURALIDADE DE ÓTICAS" sheetId="6" r:id="rId5"/>
  </sheets>
  <definedNames>
    <definedName name="solver_adj" localSheetId="1" hidden="1">'L 4 - EX 1'!$E$3:$E$12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'L 4 - EX 1'!$E$14:$E$17</definedName>
    <definedName name="solver_lhs2" localSheetId="1" hidden="1">'L 4 - EX 1'!$E$14:$E$17</definedName>
    <definedName name="solver_lhs3" localSheetId="1" hidden="1">'L 4 - EX 1'!$E$19</definedName>
    <definedName name="solver_lhs4" localSheetId="1" hidden="1">'L 4 - EX 1'!$E$3:$E$12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'L 4 - EX 1'!$F$22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el4" localSheetId="1" hidden="1">5</definedName>
    <definedName name="solver_rhs1" localSheetId="1" hidden="1">1</definedName>
    <definedName name="solver_rhs2" localSheetId="1" hidden="1">0</definedName>
    <definedName name="solver_rhs3" localSheetId="1" hidden="1">'L 4 - EX 1'!$H$18</definedName>
    <definedName name="solver_rhs4" localSheetId="1" hidden="1">binary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4" i="6" l="1"/>
  <c r="N42" i="6"/>
  <c r="N38" i="6"/>
  <c r="Q35" i="6"/>
  <c r="AP18" i="6" l="1"/>
  <c r="AO16" i="6"/>
  <c r="AP16" i="6" s="1"/>
  <c r="AO17" i="6"/>
  <c r="AP17" i="6" s="1"/>
  <c r="AQ17" i="6" s="1"/>
  <c r="AO18" i="6"/>
  <c r="AO19" i="6"/>
  <c r="AP19" i="6" s="1"/>
  <c r="AQ19" i="6" s="1"/>
  <c r="AO20" i="6"/>
  <c r="AP20" i="6" s="1"/>
  <c r="AH5" i="6"/>
  <c r="AF5" i="6"/>
  <c r="O5" i="6"/>
  <c r="AA5" i="6" s="1"/>
  <c r="X5" i="6"/>
  <c r="AN5" i="6" s="1"/>
  <c r="AP5" i="6" s="1"/>
  <c r="AH21" i="6"/>
  <c r="E20" i="6"/>
  <c r="F20" i="6" s="1"/>
  <c r="F19" i="6"/>
  <c r="E19" i="6"/>
  <c r="R19" i="6" s="1"/>
  <c r="E18" i="6"/>
  <c r="F18" i="6" s="1"/>
  <c r="E17" i="6"/>
  <c r="R17" i="6" s="1"/>
  <c r="R16" i="6"/>
  <c r="AG16" i="6" s="1"/>
  <c r="AH16" i="6" s="1"/>
  <c r="AI16" i="6" s="1"/>
  <c r="E16" i="6"/>
  <c r="F16" i="6" s="1"/>
  <c r="G15" i="6"/>
  <c r="T15" i="6" s="1"/>
  <c r="E15" i="6"/>
  <c r="F15" i="6" s="1"/>
  <c r="G14" i="6"/>
  <c r="T14" i="6" s="1"/>
  <c r="E14" i="6"/>
  <c r="F14" i="6" s="1"/>
  <c r="G13" i="6"/>
  <c r="T13" i="6" s="1"/>
  <c r="E13" i="6"/>
  <c r="F13" i="6" s="1"/>
  <c r="G12" i="6"/>
  <c r="H12" i="6" s="1"/>
  <c r="I12" i="6" s="1"/>
  <c r="F12" i="6"/>
  <c r="E12" i="6"/>
  <c r="R12" i="6" s="1"/>
  <c r="G11" i="6"/>
  <c r="T11" i="6" s="1"/>
  <c r="E11" i="6"/>
  <c r="R11" i="6" s="1"/>
  <c r="AH10" i="6"/>
  <c r="AI10" i="6" s="1"/>
  <c r="S10" i="6"/>
  <c r="G10" i="6"/>
  <c r="T10" i="6" s="1"/>
  <c r="E10" i="6"/>
  <c r="F10" i="6" s="1"/>
  <c r="AH9" i="6"/>
  <c r="AI9" i="6" s="1"/>
  <c r="T9" i="6"/>
  <c r="S9" i="6"/>
  <c r="G9" i="6"/>
  <c r="E9" i="6"/>
  <c r="F9" i="6" s="1"/>
  <c r="AH8" i="6"/>
  <c r="AI8" i="6" s="1"/>
  <c r="S8" i="6"/>
  <c r="G8" i="6"/>
  <c r="T8" i="6" s="1"/>
  <c r="E8" i="6"/>
  <c r="F8" i="6" s="1"/>
  <c r="AI7" i="6"/>
  <c r="AH7" i="6"/>
  <c r="S7" i="6"/>
  <c r="G7" i="6"/>
  <c r="T7" i="6" s="1"/>
  <c r="E7" i="6"/>
  <c r="F7" i="6" s="1"/>
  <c r="AH6" i="6"/>
  <c r="AI6" i="6" s="1"/>
  <c r="V6" i="6"/>
  <c r="Y6" i="6" s="1"/>
  <c r="Z6" i="6" s="1"/>
  <c r="T6" i="6"/>
  <c r="S6" i="6"/>
  <c r="G6" i="6"/>
  <c r="E6" i="6"/>
  <c r="F6" i="6" s="1"/>
  <c r="AC5" i="6"/>
  <c r="AB5" i="6"/>
  <c r="J5" i="6"/>
  <c r="K5" i="6" s="1"/>
  <c r="W2" i="6"/>
  <c r="V2" i="6"/>
  <c r="U10" i="6" s="1"/>
  <c r="AO10" i="6" s="1"/>
  <c r="AP10" i="6" s="1"/>
  <c r="I2" i="6"/>
  <c r="I1" i="6"/>
  <c r="I3" i="6" s="1"/>
  <c r="G22" i="2"/>
  <c r="G3" i="2"/>
  <c r="F22" i="2"/>
  <c r="R18" i="6" l="1"/>
  <c r="AG18" i="6" s="1"/>
  <c r="AH18" i="6" s="1"/>
  <c r="AI18" i="6" s="1"/>
  <c r="F17" i="6"/>
  <c r="H17" i="6" s="1"/>
  <c r="I17" i="6" s="1"/>
  <c r="J17" i="6" s="1"/>
  <c r="K17" i="6" s="1"/>
  <c r="R20" i="6"/>
  <c r="AG20" i="6" s="1"/>
  <c r="AH20" i="6" s="1"/>
  <c r="AI20" i="6" s="1"/>
  <c r="AQ20" i="6"/>
  <c r="AQ16" i="6"/>
  <c r="AQ18" i="6"/>
  <c r="U8" i="6"/>
  <c r="AO8" i="6" s="1"/>
  <c r="AP8" i="6" s="1"/>
  <c r="U6" i="6"/>
  <c r="H7" i="6"/>
  <c r="I7" i="6" s="1"/>
  <c r="J7" i="6" s="1"/>
  <c r="K7" i="6" s="1"/>
  <c r="H8" i="6"/>
  <c r="I8" i="6" s="1"/>
  <c r="J8" i="6" s="1"/>
  <c r="K8" i="6" s="1"/>
  <c r="AG11" i="6"/>
  <c r="AH11" i="6" s="1"/>
  <c r="AI11" i="6" s="1"/>
  <c r="S11" i="6"/>
  <c r="L5" i="6"/>
  <c r="AJ6" i="6"/>
  <c r="AJ7" i="6" s="1"/>
  <c r="AJ8" i="6" s="1"/>
  <c r="AJ9" i="6" s="1"/>
  <c r="AJ10" i="6" s="1"/>
  <c r="H10" i="6"/>
  <c r="I10" i="6" s="1"/>
  <c r="J10" i="6" s="1"/>
  <c r="K10" i="6" s="1"/>
  <c r="H6" i="6"/>
  <c r="I6" i="6" s="1"/>
  <c r="J6" i="6" s="1"/>
  <c r="K6" i="6" s="1"/>
  <c r="AQ10" i="6"/>
  <c r="AQ5" i="6"/>
  <c r="AR5" i="6" s="1"/>
  <c r="H18" i="6"/>
  <c r="I18" i="6" s="1"/>
  <c r="J18" i="6"/>
  <c r="K18" i="6" s="1"/>
  <c r="H9" i="6"/>
  <c r="I9" i="6" s="1"/>
  <c r="J9" i="6" s="1"/>
  <c r="K9" i="6" s="1"/>
  <c r="F11" i="6"/>
  <c r="S12" i="6"/>
  <c r="AG12" i="6"/>
  <c r="AH12" i="6" s="1"/>
  <c r="AI12" i="6" s="1"/>
  <c r="T12" i="6"/>
  <c r="S19" i="6"/>
  <c r="AG19" i="6"/>
  <c r="AH19" i="6" s="1"/>
  <c r="AI19" i="6" s="1"/>
  <c r="U11" i="6"/>
  <c r="AO11" i="6" s="1"/>
  <c r="AP11" i="6" s="1"/>
  <c r="U15" i="6"/>
  <c r="AO15" i="6" s="1"/>
  <c r="AP15" i="6" s="1"/>
  <c r="U14" i="6"/>
  <c r="AO14" i="6" s="1"/>
  <c r="AP14" i="6" s="1"/>
  <c r="U13" i="6"/>
  <c r="AO13" i="6" s="1"/>
  <c r="AP13" i="6" s="1"/>
  <c r="U7" i="6"/>
  <c r="AO7" i="6" s="1"/>
  <c r="AP7" i="6" s="1"/>
  <c r="AQ8" i="6"/>
  <c r="J12" i="6"/>
  <c r="K12" i="6" s="1"/>
  <c r="H13" i="6"/>
  <c r="I13" i="6" s="1"/>
  <c r="J13" i="6" s="1"/>
  <c r="K13" i="6" s="1"/>
  <c r="H14" i="6"/>
  <c r="I14" i="6" s="1"/>
  <c r="J14" i="6" s="1"/>
  <c r="K14" i="6" s="1"/>
  <c r="H15" i="6"/>
  <c r="I15" i="6" s="1"/>
  <c r="J15" i="6" s="1"/>
  <c r="K15" i="6" s="1"/>
  <c r="H16" i="6"/>
  <c r="I16" i="6" s="1"/>
  <c r="J16" i="6" s="1"/>
  <c r="K16" i="6" s="1"/>
  <c r="S17" i="6"/>
  <c r="AG17" i="6"/>
  <c r="AH17" i="6" s="1"/>
  <c r="AI17" i="6" s="1"/>
  <c r="U9" i="6"/>
  <c r="AO9" i="6" s="1"/>
  <c r="AP9" i="6" s="1"/>
  <c r="U12" i="6"/>
  <c r="AO12" i="6" s="1"/>
  <c r="AP12" i="6" s="1"/>
  <c r="H20" i="6"/>
  <c r="I20" i="6" s="1"/>
  <c r="J20" i="6" s="1"/>
  <c r="K20" i="6" s="1"/>
  <c r="R13" i="6"/>
  <c r="R14" i="6"/>
  <c r="R15" i="6"/>
  <c r="S16" i="6"/>
  <c r="S18" i="6"/>
  <c r="H19" i="6"/>
  <c r="I19" i="6" s="1"/>
  <c r="J19" i="6" s="1"/>
  <c r="K19" i="6" s="1"/>
  <c r="S20" i="6"/>
  <c r="E19" i="2"/>
  <c r="E17" i="2"/>
  <c r="E16" i="2"/>
  <c r="E15" i="2"/>
  <c r="E14" i="2"/>
  <c r="H6" i="2"/>
  <c r="H7" i="2"/>
  <c r="H10" i="2"/>
  <c r="H11" i="2"/>
  <c r="G4" i="2"/>
  <c r="H4" i="2" s="1"/>
  <c r="G5" i="2"/>
  <c r="H5" i="2" s="1"/>
  <c r="G6" i="2"/>
  <c r="G7" i="2"/>
  <c r="G8" i="2"/>
  <c r="H8" i="2" s="1"/>
  <c r="G9" i="2"/>
  <c r="H9" i="2" s="1"/>
  <c r="G10" i="2"/>
  <c r="G11" i="2"/>
  <c r="G12" i="2"/>
  <c r="H12" i="2" s="1"/>
  <c r="H3" i="2"/>
  <c r="AD17" i="5"/>
  <c r="AF17" i="5" s="1"/>
  <c r="J17" i="5"/>
  <c r="C17" i="5"/>
  <c r="AD16" i="5"/>
  <c r="AF16" i="5" s="1"/>
  <c r="AF15" i="5"/>
  <c r="J15" i="5"/>
  <c r="C15" i="5"/>
  <c r="AG14" i="5"/>
  <c r="AG15" i="5" s="1"/>
  <c r="AG16" i="5" s="1"/>
  <c r="AG17" i="5" s="1"/>
  <c r="AA11" i="5"/>
  <c r="AA12" i="5" s="1"/>
  <c r="J11" i="5"/>
  <c r="J13" i="5" s="1"/>
  <c r="J21" i="5" s="1"/>
  <c r="J22" i="5" s="1"/>
  <c r="AD9" i="5"/>
  <c r="AD8" i="5"/>
  <c r="AJ7" i="5"/>
  <c r="AG7" i="5"/>
  <c r="C5" i="5"/>
  <c r="C11" i="5" s="1"/>
  <c r="C13" i="5" s="1"/>
  <c r="C21" i="5" s="1"/>
  <c r="C22" i="5" s="1"/>
  <c r="AA6" i="6" l="1"/>
  <c r="AO6" i="6"/>
  <c r="AP6" i="6" s="1"/>
  <c r="AB6" i="6"/>
  <c r="AC6" i="6" s="1"/>
  <c r="S13" i="6"/>
  <c r="AG13" i="6"/>
  <c r="AH13" i="6" s="1"/>
  <c r="AI13" i="6" s="1"/>
  <c r="AQ14" i="6"/>
  <c r="H11" i="6"/>
  <c r="I11" i="6" s="1"/>
  <c r="J11" i="6" s="1"/>
  <c r="K11" i="6" s="1"/>
  <c r="L6" i="6"/>
  <c r="L7" i="6" s="1"/>
  <c r="L8" i="6" s="1"/>
  <c r="L9" i="6" s="1"/>
  <c r="L10" i="6" s="1"/>
  <c r="S15" i="6"/>
  <c r="AG15" i="6"/>
  <c r="AH15" i="6" s="1"/>
  <c r="AI15" i="6" s="1"/>
  <c r="AQ7" i="6"/>
  <c r="AQ12" i="6"/>
  <c r="Y19" i="6"/>
  <c r="Y20" i="6"/>
  <c r="Z20" i="6" s="1"/>
  <c r="AA20" i="6" s="1"/>
  <c r="AB20" i="6" s="1"/>
  <c r="Y16" i="6"/>
  <c r="Z16" i="6" s="1"/>
  <c r="AA16" i="6"/>
  <c r="AB16" i="6" s="1"/>
  <c r="AQ9" i="6"/>
  <c r="AQ15" i="6"/>
  <c r="W6" i="6"/>
  <c r="X6" i="6" s="1"/>
  <c r="AQ11" i="6"/>
  <c r="Y18" i="6"/>
  <c r="S14" i="6"/>
  <c r="AG14" i="6"/>
  <c r="AH14" i="6" s="1"/>
  <c r="AI14" i="6" s="1"/>
  <c r="Y17" i="6"/>
  <c r="Z17" i="6" s="1"/>
  <c r="AA17" i="6" s="1"/>
  <c r="AB17" i="6" s="1"/>
  <c r="AQ13" i="6"/>
  <c r="AI21" i="6"/>
  <c r="AJ3" i="6"/>
  <c r="H22" i="2"/>
  <c r="AG8" i="5"/>
  <c r="AG9" i="5" s="1"/>
  <c r="AH7" i="5"/>
  <c r="Z18" i="6" l="1"/>
  <c r="AA18" i="6" s="1"/>
  <c r="AB18" i="6" s="1"/>
  <c r="Z19" i="6"/>
  <c r="AA19" i="6" s="1"/>
  <c r="AB19" i="6" s="1"/>
  <c r="L3" i="6"/>
  <c r="V7" i="6"/>
  <c r="L11" i="6"/>
  <c r="L12" i="6" s="1"/>
  <c r="L13" i="6" s="1"/>
  <c r="L14" i="6" s="1"/>
  <c r="L15" i="6" s="1"/>
  <c r="L16" i="6" s="1"/>
  <c r="L17" i="6" s="1"/>
  <c r="L18" i="6" s="1"/>
  <c r="L19" i="6" s="1"/>
  <c r="L20" i="6" s="1"/>
  <c r="AQ6" i="6"/>
  <c r="AR6" i="6" s="1"/>
  <c r="AR7" i="6" s="1"/>
  <c r="AR8" i="6" s="1"/>
  <c r="AR9" i="6" s="1"/>
  <c r="AR10" i="6" s="1"/>
  <c r="AR11" i="6" s="1"/>
  <c r="AR12" i="6" s="1"/>
  <c r="AR13" i="6" s="1"/>
  <c r="AR14" i="6" s="1"/>
  <c r="AR15" i="6" s="1"/>
  <c r="AR16" i="6" s="1"/>
  <c r="AR17" i="6" s="1"/>
  <c r="AR18" i="6" s="1"/>
  <c r="AR19" i="6" s="1"/>
  <c r="AR20" i="6" s="1"/>
  <c r="AR3" i="6"/>
  <c r="AJ11" i="6"/>
  <c r="AJ12" i="6" s="1"/>
  <c r="AJ13" i="6" s="1"/>
  <c r="AJ14" i="6" s="1"/>
  <c r="AJ15" i="6" s="1"/>
  <c r="AJ16" i="6" s="1"/>
  <c r="AJ17" i="6" s="1"/>
  <c r="AJ18" i="6" s="1"/>
  <c r="AJ19" i="6" s="1"/>
  <c r="AJ20" i="6" s="1"/>
  <c r="AJ8" i="5"/>
  <c r="AH8" i="5"/>
  <c r="AI7" i="5"/>
  <c r="Y7" i="6" l="1"/>
  <c r="Z7" i="6" s="1"/>
  <c r="AA7" i="6" s="1"/>
  <c r="AB7" i="6" s="1"/>
  <c r="AC7" i="6" s="1"/>
  <c r="W7" i="6"/>
  <c r="X7" i="6" s="1"/>
  <c r="AJ9" i="5"/>
  <c r="AI8" i="5"/>
  <c r="L15" i="3"/>
  <c r="J13" i="3"/>
  <c r="K13" i="3" s="1"/>
  <c r="J15" i="3"/>
  <c r="K15" i="3" s="1"/>
  <c r="I12" i="3"/>
  <c r="J12" i="3" s="1"/>
  <c r="I13" i="3"/>
  <c r="I14" i="3"/>
  <c r="J14" i="3" s="1"/>
  <c r="I15" i="3"/>
  <c r="I16" i="3"/>
  <c r="J16" i="3" s="1"/>
  <c r="I11" i="3"/>
  <c r="J11" i="3" s="1"/>
  <c r="E15" i="1"/>
  <c r="D15" i="1"/>
  <c r="C15" i="1"/>
  <c r="E101" i="1"/>
  <c r="E100" i="1"/>
  <c r="E102" i="1" s="1"/>
  <c r="D100" i="1"/>
  <c r="D101" i="1" s="1"/>
  <c r="C13" i="1"/>
  <c r="C78" i="1"/>
  <c r="C79" i="1" s="1"/>
  <c r="E78" i="1"/>
  <c r="E79" i="1" s="1"/>
  <c r="D78" i="1"/>
  <c r="D77" i="1" s="1"/>
  <c r="H37" i="1"/>
  <c r="K37" i="1"/>
  <c r="H27" i="1"/>
  <c r="I27" i="1"/>
  <c r="H28" i="1"/>
  <c r="I28" i="1"/>
  <c r="I29" i="1"/>
  <c r="H30" i="1"/>
  <c r="I30" i="1"/>
  <c r="H31" i="1"/>
  <c r="H32" i="1"/>
  <c r="I32" i="1"/>
  <c r="I33" i="1"/>
  <c r="H34" i="1"/>
  <c r="I34" i="1"/>
  <c r="H35" i="1"/>
  <c r="I35" i="1"/>
  <c r="H36" i="1"/>
  <c r="I36" i="1"/>
  <c r="I37" i="1"/>
  <c r="I26" i="1"/>
  <c r="H26" i="1"/>
  <c r="G26" i="1"/>
  <c r="G27" i="1"/>
  <c r="G29" i="1"/>
  <c r="G30" i="1"/>
  <c r="G32" i="1"/>
  <c r="G33" i="1"/>
  <c r="G35" i="1"/>
  <c r="G36" i="1"/>
  <c r="G37" i="1"/>
  <c r="E13" i="1"/>
  <c r="D13" i="1"/>
  <c r="E12" i="1"/>
  <c r="E14" i="1" s="1"/>
  <c r="D12" i="1"/>
  <c r="D14" i="1" s="1"/>
  <c r="C12" i="1"/>
  <c r="C34" i="1" s="1"/>
  <c r="V8" i="6" l="1"/>
  <c r="L14" i="3"/>
  <c r="K14" i="3"/>
  <c r="L12" i="3"/>
  <c r="K12" i="3"/>
  <c r="L16" i="3"/>
  <c r="K16" i="3"/>
  <c r="L13" i="3"/>
  <c r="D102" i="1"/>
  <c r="L11" i="3"/>
  <c r="K11" i="3"/>
  <c r="J19" i="3"/>
  <c r="C25" i="1"/>
  <c r="E31" i="1"/>
  <c r="I31" i="1" s="1"/>
  <c r="D79" i="1"/>
  <c r="C31" i="1"/>
  <c r="G31" i="1" s="1"/>
  <c r="C14" i="1"/>
  <c r="C77" i="1"/>
  <c r="C100" i="1" s="1"/>
  <c r="K34" i="1"/>
  <c r="G34" i="1"/>
  <c r="D25" i="1"/>
  <c r="D33" i="1"/>
  <c r="H33" i="1" s="1"/>
  <c r="G25" i="1"/>
  <c r="K25" i="1"/>
  <c r="E77" i="1"/>
  <c r="C28" i="1"/>
  <c r="D29" i="1"/>
  <c r="H29" i="1" s="1"/>
  <c r="E25" i="1"/>
  <c r="W8" i="6" l="1"/>
  <c r="X8" i="6" s="1"/>
  <c r="Y8" i="6"/>
  <c r="Z8" i="6" s="1"/>
  <c r="AA8" i="6" s="1"/>
  <c r="AB8" i="6" s="1"/>
  <c r="AC8" i="6" s="1"/>
  <c r="K31" i="1"/>
  <c r="C38" i="1"/>
  <c r="C40" i="1" s="1"/>
  <c r="C101" i="1"/>
  <c r="C102" i="1"/>
  <c r="E23" i="3"/>
  <c r="L19" i="3"/>
  <c r="C39" i="1"/>
  <c r="E39" i="1"/>
  <c r="I25" i="1"/>
  <c r="I38" i="1" s="1"/>
  <c r="E38" i="1" s="1"/>
  <c r="E40" i="1" s="1"/>
  <c r="K28" i="1"/>
  <c r="G28" i="1"/>
  <c r="G38" i="1" s="1"/>
  <c r="H25" i="1"/>
  <c r="H38" i="1" s="1"/>
  <c r="D38" i="1" s="1"/>
  <c r="D40" i="1" s="1"/>
  <c r="D39" i="1"/>
  <c r="K38" i="1"/>
  <c r="V9" i="6" l="1"/>
  <c r="Y9" i="6" l="1"/>
  <c r="Z9" i="6" s="1"/>
  <c r="AA9" i="6" s="1"/>
  <c r="AB9" i="6" s="1"/>
  <c r="AC9" i="6" s="1"/>
  <c r="W9" i="6"/>
  <c r="X9" i="6" s="1"/>
  <c r="V10" i="6" l="1"/>
  <c r="W10" i="6" l="1"/>
  <c r="X10" i="6" s="1"/>
  <c r="Y10" i="6"/>
  <c r="Z10" i="6" s="1"/>
  <c r="AA10" i="6" s="1"/>
  <c r="AB10" i="6" s="1"/>
  <c r="AC10" i="6" s="1"/>
  <c r="V11" i="6" l="1"/>
  <c r="W11" i="6" l="1"/>
  <c r="X11" i="6" s="1"/>
  <c r="Y11" i="6"/>
  <c r="Z11" i="6" s="1"/>
  <c r="AA11" i="6" s="1"/>
  <c r="AB11" i="6" s="1"/>
  <c r="AC11" i="6" s="1"/>
  <c r="V12" i="6" l="1"/>
  <c r="W12" i="6" l="1"/>
  <c r="X12" i="6" s="1"/>
  <c r="Y12" i="6"/>
  <c r="Z12" i="6" s="1"/>
  <c r="AA12" i="6" s="1"/>
  <c r="AB12" i="6" s="1"/>
  <c r="AC12" i="6" s="1"/>
  <c r="V13" i="6" l="1"/>
  <c r="W13" i="6" l="1"/>
  <c r="X13" i="6" s="1"/>
  <c r="Y13" i="6"/>
  <c r="Z13" i="6" l="1"/>
  <c r="AA13" i="6" s="1"/>
  <c r="AB13" i="6" s="1"/>
  <c r="AC13" i="6" s="1"/>
  <c r="V14" i="6"/>
  <c r="W14" i="6" l="1"/>
  <c r="X14" i="6" s="1"/>
  <c r="Y14" i="6"/>
  <c r="Z14" i="6" l="1"/>
  <c r="AA14" i="6" s="1"/>
  <c r="AB14" i="6" s="1"/>
  <c r="AC14" i="6" s="1"/>
  <c r="V15" i="6"/>
  <c r="W15" i="6" l="1"/>
  <c r="X15" i="6" s="1"/>
  <c r="Y15" i="6"/>
  <c r="Z15" i="6" l="1"/>
  <c r="AA15" i="6" s="1"/>
  <c r="AB15" i="6" l="1"/>
  <c r="AC15" i="6" s="1"/>
  <c r="AC16" i="6" s="1"/>
  <c r="AC17" i="6" s="1"/>
  <c r="AC18" i="6" s="1"/>
  <c r="AC19" i="6" s="1"/>
  <c r="AC20" i="6" s="1"/>
  <c r="AC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K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Período de 3 meses da operação financeira.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<sst xmlns="http://schemas.openxmlformats.org/spreadsheetml/2006/main" count="243" uniqueCount="160">
  <si>
    <t>A</t>
  </si>
  <si>
    <t>B</t>
  </si>
  <si>
    <t>C</t>
  </si>
  <si>
    <t>VAL (i) =</t>
  </si>
  <si>
    <t>VF(i) =</t>
  </si>
  <si>
    <t>BUE(i) =</t>
  </si>
  <si>
    <t>TMA</t>
  </si>
  <si>
    <t>isto é, quando todos se iniciam no mesmo instante  0  e terminam no mesmo instante  n .</t>
  </si>
  <si>
    <t>3 POSSIBILIDADES</t>
  </si>
  <si>
    <t>4.2 - Modelo I ou modelo de atividade permanente  (repetição).</t>
  </si>
  <si>
    <t xml:space="preserve">somente podem ser comparados corretamente projetos que tenham horizontes idênticos, </t>
  </si>
  <si>
    <t>Vamos repetir somente o VAL de cada projeto, sabendo que os demais fluxos t podem ser repetidos</t>
  </si>
  <si>
    <t>OS BUE"s são iguais aos projetos anteriores.</t>
  </si>
  <si>
    <t xml:space="preserve">Em conseqüência, se adotarmos o BUE como critério, podemos deixar implícita a repetição para igualar </t>
  </si>
  <si>
    <t>os horizontes, mas não devemos esquecer que estamos comparando os projetos modificados.</t>
  </si>
  <si>
    <t>4.2.1 - Infinitas repetições. Critério do beneficio uniforme capitalizado.</t>
  </si>
  <si>
    <t xml:space="preserve">Sabemos que:    </t>
  </si>
  <si>
    <t xml:space="preserve">Podemos usar o  BUC(i)  como critério de decisão no modelo I, </t>
  </si>
  <si>
    <t>mas geralmente não há vantagem, visto que para calculá-lo temos de usar o  BUE(i)  e este já nos permite decidir.</t>
  </si>
  <si>
    <t>4.3 - Modelo II ou modelo de atividade cessante  (aplicação do resultado).</t>
  </si>
  <si>
    <t>Este modelo se aplica aos casos em que o horizonte dos projetos é da mesma ordem de grandeza do horizonte da atividade, como , por exemplo, a exploração de uma jazida mineral.</t>
  </si>
  <si>
    <t xml:space="preserve">Neste caso podemos igualar os horizontes supondo que o resultado final  X (valor futuro) de cada projeto é aplicado no mercado à taxa  i, pelo prazo necessário para igualar os horizontes. </t>
  </si>
  <si>
    <t>B2; A2; C2</t>
  </si>
  <si>
    <t>A1; B1; c1</t>
  </si>
  <si>
    <t>B;A;C</t>
  </si>
  <si>
    <t>C;B;A</t>
  </si>
  <si>
    <t>A;B;C</t>
  </si>
  <si>
    <t>4.4 - Modelo III ou do prazo final.</t>
  </si>
  <si>
    <t>4.1 - Necessidade de horizonte igual</t>
  </si>
  <si>
    <t xml:space="preserve">Este modelo supõe que os projetos de investimento destinam-se a atender a uma atividade que continua alem da vida útil do projeto, isto é, </t>
  </si>
  <si>
    <t>o horizonte do empreendimento é muito maior que o do projeto. Isto significa que os investimentos deverão ser renovados para manter a atividade.</t>
  </si>
  <si>
    <t xml:space="preserve">Este modelo se aplica em situações em que também o horizonte dos projetos é da mesma ordem de grandeza do horizonte da atividade, o que exclui a repetição, porem há um prazo final para o projeto ser terminado. </t>
  </si>
  <si>
    <t>Por exemplo, uma construtora comparando diversos projetos de execução de uma mesma obra, que deve terminar numa certa data.</t>
  </si>
  <si>
    <t>Neste caso podemos igualar os horizontes supondo que todos os projetos terminam no mesmo prazo  n , e que o investimento inicial  X  do projeto, devidamente descontado, é aplicado no mercado à taxa  i , enquanto espera o inicio.</t>
  </si>
  <si>
    <t>C4; B4; A4</t>
  </si>
  <si>
    <t xml:space="preserve">TIR </t>
  </si>
  <si>
    <t>proposta</t>
  </si>
  <si>
    <t>inv. inicial</t>
  </si>
  <si>
    <t>receita líquida anual</t>
  </si>
  <si>
    <t>taxa de retorno (%)</t>
  </si>
  <si>
    <t>VAL</t>
  </si>
  <si>
    <t>VF</t>
  </si>
  <si>
    <t>BUE</t>
  </si>
  <si>
    <t>A1</t>
  </si>
  <si>
    <t>A2</t>
  </si>
  <si>
    <t>A3</t>
  </si>
  <si>
    <t>A4</t>
  </si>
  <si>
    <t>B1</t>
  </si>
  <si>
    <t>B2</t>
  </si>
  <si>
    <t>B3</t>
  </si>
  <si>
    <t>C1</t>
  </si>
  <si>
    <t>C2</t>
  </si>
  <si>
    <t>D</t>
  </si>
  <si>
    <t>Investimento total</t>
  </si>
  <si>
    <t>TIR Total</t>
  </si>
  <si>
    <t>A1, B2, C1, D</t>
  </si>
  <si>
    <t>RECEITA  LIQ</t>
  </si>
  <si>
    <t>FLUXO</t>
  </si>
  <si>
    <t>Projeto</t>
  </si>
  <si>
    <t>Inv. Inicial</t>
  </si>
  <si>
    <t>N (período)</t>
  </si>
  <si>
    <t>B/C</t>
  </si>
  <si>
    <t>SOLU</t>
  </si>
  <si>
    <t>a VP</t>
  </si>
  <si>
    <t xml:space="preserve">t juros = </t>
  </si>
  <si>
    <t>OTIMIZA'CAO</t>
  </si>
  <si>
    <t>restrição</t>
  </si>
  <si>
    <t>5, 3, 1, 6, 2, 4</t>
  </si>
  <si>
    <t>2, 4, 6, 1, 3, 5</t>
  </si>
  <si>
    <t>IGUALAR OS HORIZONTES E APLICAR A UMA TMA (FAZER TODOS OS PROJETOS N = 8)</t>
  </si>
  <si>
    <t>Defasar os projetos para que todos terminem no mesmo n</t>
  </si>
  <si>
    <t>juros</t>
  </si>
  <si>
    <t>inflação</t>
  </si>
  <si>
    <t>P</t>
  </si>
  <si>
    <t>F</t>
  </si>
  <si>
    <t>Regime Composto</t>
  </si>
  <si>
    <t xml:space="preserve">2) A indústria Moleza D+ dos empresários Rommel, Júlia e Vinícius captou $ 40.000,00 pelo prazo de três meses, o que ocasionou um pagamento de juros no valor de $ 12.000. Se a taxa de juros real da operação foi igual a 2% a.m. e a taxa inflacionária do primeiro mês foi igual a 1% a.m., calcule as taxas inflacionárias dos meses 2 e 3, sabendo que estas taxas são iguais. (1,5 PONTO)
</t>
  </si>
  <si>
    <t>VP =</t>
  </si>
  <si>
    <t>J =</t>
  </si>
  <si>
    <t>n</t>
  </si>
  <si>
    <t>VF =</t>
  </si>
  <si>
    <t>f</t>
  </si>
  <si>
    <t>i</t>
  </si>
  <si>
    <t>r</t>
  </si>
  <si>
    <t>índice</t>
  </si>
  <si>
    <t>n =</t>
  </si>
  <si>
    <t>meses</t>
  </si>
  <si>
    <r>
      <t>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=</t>
    </r>
  </si>
  <si>
    <r>
      <t>a.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.</t>
    </r>
  </si>
  <si>
    <t>i ef [am]=</t>
  </si>
  <si>
    <r>
      <t>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</si>
  <si>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a.</t>
    </r>
    <r>
      <rPr>
        <b/>
        <sz val="12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.</t>
    </r>
  </si>
  <si>
    <r>
      <t>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I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</t>
    </r>
  </si>
  <si>
    <t>??</t>
  </si>
  <si>
    <t>F = P (1 + ic) ^3</t>
  </si>
  <si>
    <r>
      <t>i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</t>
    </r>
  </si>
  <si>
    <r>
      <t>a.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.</t>
    </r>
  </si>
  <si>
    <t>taxa corrente</t>
  </si>
  <si>
    <r>
      <t>(1 + i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</t>
    </r>
    <r>
      <rPr>
        <b/>
        <vertAlign val="superscript"/>
        <sz val="11"/>
        <color rgb="FF0000FF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=</t>
    </r>
  </si>
  <si>
    <r>
      <t>(1 + i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=</t>
    </r>
  </si>
  <si>
    <t>no período</t>
  </si>
  <si>
    <t>ic</t>
  </si>
  <si>
    <t>SD</t>
  </si>
  <si>
    <r>
      <t>(1 + 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</t>
    </r>
  </si>
  <si>
    <t>OU</t>
  </si>
  <si>
    <r>
      <t>(1 + 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=</t>
    </r>
  </si>
  <si>
    <r>
      <t>(1 + 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=</t>
    </r>
  </si>
  <si>
    <t>?</t>
  </si>
  <si>
    <t>=</t>
  </si>
  <si>
    <r>
      <t>(1 + I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1"/>
        <color rgb="FFFF0000"/>
        <rFont val="Calibri"/>
        <family val="2"/>
        <scheme val="minor"/>
      </rPr>
      <t>)</t>
    </r>
    <r>
      <rPr>
        <b/>
        <vertAlign val="superscript"/>
        <sz val="11"/>
        <color rgb="FFFF0000"/>
        <rFont val="Calibri"/>
        <family val="2"/>
        <scheme val="minor"/>
      </rPr>
      <t>2</t>
    </r>
  </si>
  <si>
    <r>
      <t>(1 + I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=</t>
    </r>
  </si>
  <si>
    <r>
      <t>(1 + I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=</t>
    </r>
  </si>
  <si>
    <r>
      <t>I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= I</t>
    </r>
    <r>
      <rPr>
        <vertAlign val="subscript"/>
        <sz val="14"/>
        <color theme="1"/>
        <rFont val="Calibri"/>
        <family val="2"/>
        <scheme val="minor"/>
      </rPr>
      <t>3</t>
    </r>
  </si>
  <si>
    <r>
      <t>a.</t>
    </r>
    <r>
      <rPr>
        <b/>
        <sz val="14"/>
        <color theme="1"/>
        <rFont val="Calibri"/>
        <family val="2"/>
        <scheme val="minor"/>
      </rPr>
      <t>m</t>
    </r>
    <r>
      <rPr>
        <sz val="14"/>
        <color theme="1"/>
        <rFont val="Calibri"/>
        <family val="2"/>
        <scheme val="minor"/>
      </rPr>
      <t>.</t>
    </r>
  </si>
  <si>
    <r>
      <t>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I</t>
    </r>
    <r>
      <rPr>
        <vertAlign val="subscript"/>
        <sz val="11"/>
        <color theme="1"/>
        <rFont val="Calibri"/>
        <family val="2"/>
        <scheme val="minor"/>
      </rPr>
      <t>3</t>
    </r>
  </si>
  <si>
    <t>tir</t>
  </si>
  <si>
    <t>A1, C2, D</t>
  </si>
  <si>
    <t>K disp</t>
  </si>
  <si>
    <t>K &lt; 130mil</t>
  </si>
  <si>
    <t>K &lt; 140mil</t>
  </si>
  <si>
    <t>otimizando com maior BUE</t>
  </si>
  <si>
    <t>A1, C2 D</t>
  </si>
  <si>
    <t>A1, B2, C2, D</t>
  </si>
  <si>
    <t>PRO 3662 - Reinaldo - Ex. 1 (aula)</t>
  </si>
  <si>
    <t>DEBITO</t>
  </si>
  <si>
    <t>Inv=</t>
  </si>
  <si>
    <t>A) SOB O PONTO DE VISTA EMPRESARIAL SEM AS FACILIDADES</t>
  </si>
  <si>
    <t>CRÉDITO</t>
  </si>
  <si>
    <t>B) SOB O PONTO DE VISTA EMPRESARIAL COM AS FACILIDADES</t>
  </si>
  <si>
    <t>pmt=</t>
  </si>
  <si>
    <t>C) SOB O PONTO DE VISTA DO ESTADO 1</t>
  </si>
  <si>
    <t>D) SOB O PONTO DE VISTA DO BANCO 1</t>
  </si>
  <si>
    <t>ir =</t>
  </si>
  <si>
    <t>IMPOSTO</t>
  </si>
  <si>
    <t>TIR =</t>
  </si>
  <si>
    <t>FINANCIAMENTO</t>
  </si>
  <si>
    <t>ANO</t>
  </si>
  <si>
    <t>(INVEST)</t>
  </si>
  <si>
    <t>RT</t>
  </si>
  <si>
    <t>(CO)</t>
  </si>
  <si>
    <t>(ICM)</t>
  </si>
  <si>
    <t>RL</t>
  </si>
  <si>
    <t>(DEPREC)</t>
  </si>
  <si>
    <t>LT*</t>
  </si>
  <si>
    <t>(IR)</t>
  </si>
  <si>
    <t>FCF</t>
  </si>
  <si>
    <t>VPL</t>
  </si>
  <si>
    <t>VPLacumul</t>
  </si>
  <si>
    <t>INVEST</t>
  </si>
  <si>
    <t>CO</t>
  </si>
  <si>
    <t>ICM</t>
  </si>
  <si>
    <t>DEPREC</t>
  </si>
  <si>
    <t>PMT</t>
  </si>
  <si>
    <t>JURO</t>
  </si>
  <si>
    <t>AMORTIZ</t>
  </si>
  <si>
    <t>CAP VIVO</t>
  </si>
  <si>
    <t>IR</t>
  </si>
  <si>
    <t xml:space="preserve"> </t>
  </si>
  <si>
    <t>i  [%aa] =</t>
  </si>
  <si>
    <t>receita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</si>
</sst>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R$&quot;#,##0.00_);[Red]\(&quot;R$&quot;#,##0.00\)"/>
    <numFmt numFmtId="43" formatCode="_(* #,##0.00_);_(* \(#,##0.00\);_(* &quot;-&quot;??_);_(@_)"/>
    <numFmt numFmtId="164" formatCode="&quot;R$&quot;\ #,##0.00;[Red]\-&quot;R$&quot;\ #,##0.00"/>
    <numFmt numFmtId="165" formatCode="_-* #,##0.00_-;\-* #,##0.00_-;_-* &quot;-&quot;??_-;_-@_-"/>
    <numFmt numFmtId="166" formatCode="_-* #,##0.00\ _D_M_-;\-* #,##0.00\ _D_M_-;_-* &quot;-&quot;??\ _D_M_-;_-@_-"/>
    <numFmt numFmtId="167" formatCode="0.000%"/>
    <numFmt numFmtId="168" formatCode="_(* #,##0.00000_);_(* \(#,##0.00000\);_(* &quot;-&quot;??_);_(@_)"/>
    <numFmt numFmtId="169" formatCode="_-* #,##0\ _D_M_-;\-* #,##0\ _D_M_-;_-* &quot;-&quot;??\ _D_M_-;_-@_-"/>
    <numFmt numFmtId="170" formatCode="[$$-409]#,##0.00"/>
    <numFmt numFmtId="171" formatCode="0.0000%"/>
    <numFmt numFmtId="172" formatCode="0.0000"/>
    <numFmt numFmtId="173" formatCode="0.000"/>
    <numFmt numFmtId="174" formatCode="0.00000"/>
    <numFmt numFmtId="175" formatCode="_(&quot;R$ &quot;* #,##0.00_);_(&quot;R$ &quot;* \(#,##0.00\);_(&quot;R$ &quot;* &quot;-&quot;??_);_(@_)"/>
    <numFmt numFmtId="176" formatCode="0.0%"/>
    <numFmt numFmtId="177" formatCode="&quot;R$ &quot;#,##0_);[Red]\(&quot;R$ &quot;#,##0\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perscript"/>
      <sz val="11"/>
      <color rgb="FF0000F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9" fontId="0" fillId="0" borderId="0" xfId="0" applyNumberFormat="1"/>
    <xf numFmtId="0" fontId="4" fillId="0" borderId="0" xfId="0" applyFont="1"/>
    <xf numFmtId="0" fontId="4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6" fillId="0" borderId="0" xfId="0" applyFont="1"/>
    <xf numFmtId="165" fontId="0" fillId="0" borderId="0" xfId="1" applyFont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0" borderId="0" xfId="1" applyFont="1"/>
    <xf numFmtId="165" fontId="0" fillId="2" borderId="0" xfId="1" applyFont="1" applyFill="1" applyAlignment="1">
      <alignment horizontal="center"/>
    </xf>
    <xf numFmtId="165" fontId="2" fillId="2" borderId="0" xfId="1" applyFont="1" applyFill="1" applyAlignment="1">
      <alignment horizontal="center"/>
    </xf>
    <xf numFmtId="165" fontId="2" fillId="3" borderId="0" xfId="1" applyFont="1" applyFill="1" applyAlignment="1">
      <alignment horizontal="center"/>
    </xf>
    <xf numFmtId="0" fontId="0" fillId="4" borderId="0" xfId="0" applyFill="1"/>
    <xf numFmtId="165" fontId="0" fillId="4" borderId="0" xfId="1" applyFont="1" applyFill="1"/>
    <xf numFmtId="0" fontId="8" fillId="0" borderId="0" xfId="0" applyFont="1"/>
    <xf numFmtId="0" fontId="7" fillId="2" borderId="0" xfId="0" applyFont="1" applyFill="1"/>
    <xf numFmtId="165" fontId="0" fillId="4" borderId="0" xfId="0" applyNumberFormat="1" applyFill="1"/>
    <xf numFmtId="9" fontId="0" fillId="0" borderId="0" xfId="0" applyNumberFormat="1" applyAlignment="1">
      <alignment horizontal="center"/>
    </xf>
    <xf numFmtId="0" fontId="9" fillId="0" borderId="0" xfId="3"/>
    <xf numFmtId="0" fontId="10" fillId="0" borderId="0" xfId="3" applyFont="1"/>
    <xf numFmtId="0" fontId="9" fillId="0" borderId="0" xfId="3" applyFont="1"/>
    <xf numFmtId="43" fontId="9" fillId="0" borderId="0" xfId="5" applyNumberFormat="1" applyFont="1"/>
    <xf numFmtId="0" fontId="10" fillId="0" borderId="0" xfId="3" applyFont="1" applyAlignment="1">
      <alignment horizontal="center"/>
    </xf>
    <xf numFmtId="10" fontId="9" fillId="0" borderId="0" xfId="3" applyNumberFormat="1" applyFont="1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left"/>
    </xf>
    <xf numFmtId="9" fontId="9" fillId="0" borderId="0" xfId="3" applyNumberFormat="1" applyFont="1"/>
    <xf numFmtId="2" fontId="9" fillId="0" borderId="0" xfId="5" applyNumberFormat="1" applyFont="1" applyAlignment="1">
      <alignment horizontal="center"/>
    </xf>
    <xf numFmtId="1" fontId="9" fillId="0" borderId="0" xfId="5" applyNumberFormat="1" applyFont="1" applyAlignment="1">
      <alignment horizontal="center"/>
    </xf>
    <xf numFmtId="1" fontId="9" fillId="0" borderId="0" xfId="3" applyNumberFormat="1" applyFont="1" applyAlignment="1">
      <alignment horizontal="center"/>
    </xf>
    <xf numFmtId="169" fontId="9" fillId="0" borderId="0" xfId="5" applyNumberFormat="1" applyFont="1"/>
    <xf numFmtId="169" fontId="9" fillId="2" borderId="0" xfId="5" applyNumberFormat="1" applyFont="1" applyFill="1"/>
    <xf numFmtId="1" fontId="9" fillId="2" borderId="0" xfId="3" applyNumberFormat="1" applyFont="1" applyFill="1" applyAlignment="1">
      <alignment horizontal="center"/>
    </xf>
    <xf numFmtId="169" fontId="9" fillId="0" borderId="0" xfId="3" applyNumberFormat="1" applyFont="1"/>
    <xf numFmtId="169" fontId="9" fillId="2" borderId="0" xfId="3" applyNumberFormat="1" applyFont="1" applyFill="1"/>
    <xf numFmtId="2" fontId="9" fillId="0" borderId="0" xfId="3" applyNumberFormat="1" applyFont="1" applyAlignment="1">
      <alignment horizontal="center"/>
    </xf>
    <xf numFmtId="169" fontId="9" fillId="0" borderId="0" xfId="5" applyNumberFormat="1" applyFont="1" applyAlignment="1">
      <alignment horizontal="center"/>
    </xf>
    <xf numFmtId="169" fontId="9" fillId="0" borderId="0" xfId="5" applyNumberFormat="1" applyFont="1"/>
    <xf numFmtId="0" fontId="9" fillId="0" borderId="0" xfId="3"/>
    <xf numFmtId="9" fontId="9" fillId="0" borderId="0" xfId="3" applyNumberFormat="1"/>
    <xf numFmtId="0" fontId="9" fillId="0" borderId="0" xfId="3" applyFont="1"/>
    <xf numFmtId="169" fontId="11" fillId="0" borderId="0" xfId="5" applyNumberFormat="1" applyFont="1" applyAlignment="1">
      <alignment horizontal="center"/>
    </xf>
    <xf numFmtId="0" fontId="9" fillId="0" borderId="0" xfId="3" applyFont="1" applyAlignment="1">
      <alignment horizontal="center"/>
    </xf>
    <xf numFmtId="169" fontId="9" fillId="0" borderId="0" xfId="5" applyNumberFormat="1" applyFont="1"/>
    <xf numFmtId="0" fontId="11" fillId="0" borderId="1" xfId="3" applyFont="1" applyBorder="1" applyAlignment="1">
      <alignment horizontal="center" vertical="top" wrapText="1"/>
    </xf>
    <xf numFmtId="0" fontId="11" fillId="0" borderId="2" xfId="3" applyFont="1" applyBorder="1" applyAlignment="1">
      <alignment horizontal="center" vertical="top" wrapText="1"/>
    </xf>
    <xf numFmtId="0" fontId="11" fillId="0" borderId="3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0" xfId="3" applyFont="1" applyFill="1" applyBorder="1" applyAlignment="1">
      <alignment horizontal="center" vertical="top" wrapText="1"/>
    </xf>
    <xf numFmtId="0" fontId="11" fillId="0" borderId="0" xfId="3" applyFont="1"/>
    <xf numFmtId="0" fontId="9" fillId="0" borderId="0" xfId="3" applyFont="1" applyFill="1" applyBorder="1" applyAlignment="1">
      <alignment horizontal="center" vertical="top" wrapText="1"/>
    </xf>
    <xf numFmtId="169" fontId="11" fillId="0" borderId="0" xfId="5" applyNumberFormat="1" applyFont="1"/>
    <xf numFmtId="0" fontId="12" fillId="0" borderId="0" xfId="3" applyFont="1" applyAlignment="1">
      <alignment horizontal="left"/>
    </xf>
    <xf numFmtId="0" fontId="11" fillId="0" borderId="5" xfId="3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170" fontId="0" fillId="2" borderId="0" xfId="0" applyNumberFormat="1" applyFill="1" applyAlignment="1">
      <alignment horizontal="center"/>
    </xf>
    <xf numFmtId="170" fontId="0" fillId="0" borderId="0" xfId="0" applyNumberFormat="1"/>
    <xf numFmtId="1" fontId="3" fillId="2" borderId="0" xfId="2" applyNumberFormat="1" applyFont="1" applyFill="1" applyAlignment="1">
      <alignment horizontal="center"/>
    </xf>
    <xf numFmtId="0" fontId="0" fillId="2" borderId="0" xfId="0" applyFill="1"/>
    <xf numFmtId="9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0" borderId="0" xfId="0" applyFill="1" applyAlignment="1">
      <alignment horizontal="right" vertical="center"/>
    </xf>
    <xf numFmtId="171" fontId="0" fillId="5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10" fontId="0" fillId="0" borderId="0" xfId="2" applyNumberFormat="1" applyFont="1"/>
    <xf numFmtId="10" fontId="0" fillId="5" borderId="0" xfId="0" applyNumberFormat="1" applyFill="1" applyAlignment="1">
      <alignment horizontal="center" vertical="center"/>
    </xf>
    <xf numFmtId="167" fontId="0" fillId="0" borderId="0" xfId="2" applyNumberFormat="1" applyFont="1"/>
    <xf numFmtId="0" fontId="0" fillId="0" borderId="0" xfId="0" applyFill="1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0" xfId="0" applyFill="1"/>
    <xf numFmtId="173" fontId="0" fillId="0" borderId="0" xfId="0" applyNumberFormat="1"/>
    <xf numFmtId="9" fontId="0" fillId="0" borderId="0" xfId="2" applyFont="1"/>
    <xf numFmtId="174" fontId="0" fillId="0" borderId="0" xfId="2" applyNumberFormat="1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0" fontId="20" fillId="0" borderId="0" xfId="0" applyFont="1" applyAlignment="1">
      <alignment horizontal="right"/>
    </xf>
    <xf numFmtId="172" fontId="0" fillId="0" borderId="0" xfId="2" applyNumberFormat="1" applyFont="1" applyFill="1" applyAlignment="1">
      <alignment horizontal="center"/>
    </xf>
    <xf numFmtId="172" fontId="0" fillId="0" borderId="0" xfId="0" applyNumberFormat="1"/>
    <xf numFmtId="172" fontId="2" fillId="0" borderId="0" xfId="0" applyNumberFormat="1" applyFont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right"/>
    </xf>
    <xf numFmtId="0" fontId="25" fillId="0" borderId="0" xfId="0" applyFont="1" applyFill="1" applyAlignment="1">
      <alignment horizontal="right"/>
    </xf>
    <xf numFmtId="171" fontId="27" fillId="5" borderId="0" xfId="2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71" fontId="3" fillId="5" borderId="0" xfId="2" applyNumberFormat="1" applyFont="1" applyFill="1" applyAlignment="1">
      <alignment vertical="center"/>
    </xf>
    <xf numFmtId="169" fontId="0" fillId="0" borderId="0" xfId="0" applyNumberFormat="1"/>
    <xf numFmtId="9" fontId="12" fillId="0" borderId="0" xfId="3" applyNumberFormat="1" applyFont="1" applyAlignment="1">
      <alignment horizontal="left"/>
    </xf>
    <xf numFmtId="165" fontId="9" fillId="0" borderId="0" xfId="1" applyFont="1"/>
    <xf numFmtId="0" fontId="9" fillId="0" borderId="0" xfId="3"/>
    <xf numFmtId="0" fontId="30" fillId="0" borderId="0" xfId="3" applyFont="1"/>
    <xf numFmtId="9" fontId="30" fillId="0" borderId="0" xfId="3" applyNumberFormat="1" applyFont="1"/>
    <xf numFmtId="0" fontId="31" fillId="0" borderId="0" xfId="3" applyFont="1"/>
    <xf numFmtId="43" fontId="30" fillId="0" borderId="0" xfId="7" applyFont="1"/>
    <xf numFmtId="0" fontId="31" fillId="0" borderId="0" xfId="3" applyFont="1" applyAlignment="1">
      <alignment horizontal="center"/>
    </xf>
    <xf numFmtId="10" fontId="30" fillId="0" borderId="0" xfId="3" applyNumberFormat="1" applyFont="1"/>
    <xf numFmtId="0" fontId="30" fillId="0" borderId="0" xfId="3" applyFont="1" applyAlignment="1">
      <alignment horizontal="center"/>
    </xf>
    <xf numFmtId="0" fontId="31" fillId="0" borderId="0" xfId="3" applyFont="1" applyAlignment="1">
      <alignment horizontal="right"/>
    </xf>
    <xf numFmtId="0" fontId="30" fillId="0" borderId="0" xfId="3" applyFont="1" applyAlignment="1">
      <alignment horizontal="justify"/>
    </xf>
    <xf numFmtId="43" fontId="30" fillId="0" borderId="0" xfId="7" applyFont="1" applyAlignment="1">
      <alignment horizontal="justify"/>
    </xf>
    <xf numFmtId="10" fontId="30" fillId="0" borderId="0" xfId="4" applyNumberFormat="1" applyFont="1" applyAlignment="1">
      <alignment horizontal="right"/>
    </xf>
    <xf numFmtId="10" fontId="30" fillId="0" borderId="0" xfId="4" applyNumberFormat="1" applyFont="1"/>
    <xf numFmtId="167" fontId="30" fillId="0" borderId="0" xfId="4" applyNumberFormat="1" applyFont="1"/>
    <xf numFmtId="168" fontId="30" fillId="0" borderId="0" xfId="3" applyNumberFormat="1" applyFont="1"/>
    <xf numFmtId="9" fontId="30" fillId="0" borderId="0" xfId="3" applyNumberFormat="1" applyFont="1" applyAlignment="1">
      <alignment horizontal="center"/>
    </xf>
    <xf numFmtId="43" fontId="30" fillId="0" borderId="0" xfId="7" applyFont="1" applyAlignment="1">
      <alignment horizontal="center"/>
    </xf>
    <xf numFmtId="2" fontId="30" fillId="0" borderId="0" xfId="3" applyNumberFormat="1" applyFont="1" applyAlignment="1">
      <alignment horizontal="center"/>
    </xf>
    <xf numFmtId="165" fontId="30" fillId="0" borderId="0" xfId="1" applyFont="1"/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176" fontId="30" fillId="0" borderId="0" xfId="4" applyNumberFormat="1" applyFont="1" applyFill="1"/>
    <xf numFmtId="0" fontId="9" fillId="0" borderId="0" xfId="0" applyFont="1"/>
    <xf numFmtId="0" fontId="32" fillId="0" borderId="0" xfId="0" quotePrefix="1" applyFont="1" applyAlignment="1">
      <alignment horizontal="right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right"/>
    </xf>
    <xf numFmtId="4" fontId="0" fillId="0" borderId="0" xfId="0" applyNumberFormat="1"/>
    <xf numFmtId="177" fontId="0" fillId="0" borderId="0" xfId="0" applyNumberFormat="1"/>
    <xf numFmtId="8" fontId="0" fillId="0" borderId="0" xfId="0" applyNumberFormat="1"/>
    <xf numFmtId="0" fontId="34" fillId="0" borderId="0" xfId="0" applyFont="1"/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0" fontId="34" fillId="0" borderId="0" xfId="0" applyNumberFormat="1" applyFont="1"/>
    <xf numFmtId="0" fontId="9" fillId="0" borderId="0" xfId="0" applyFont="1" applyAlignment="1">
      <alignment horizontal="center"/>
    </xf>
    <xf numFmtId="10" fontId="9" fillId="0" borderId="0" xfId="0" applyNumberFormat="1" applyFont="1"/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" fontId="37" fillId="0" borderId="0" xfId="0" applyNumberFormat="1" applyFont="1"/>
    <xf numFmtId="4" fontId="36" fillId="0" borderId="0" xfId="0" applyNumberFormat="1" applyFont="1"/>
    <xf numFmtId="4" fontId="32" fillId="0" borderId="0" xfId="0" applyNumberFormat="1" applyFont="1"/>
    <xf numFmtId="4" fontId="38" fillId="0" borderId="0" xfId="0" applyNumberFormat="1" applyFont="1"/>
    <xf numFmtId="4" fontId="37" fillId="0" borderId="6" xfId="0" applyNumberFormat="1" applyFont="1" applyBorder="1"/>
    <xf numFmtId="0" fontId="36" fillId="0" borderId="0" xfId="0" applyFont="1"/>
    <xf numFmtId="4" fontId="39" fillId="0" borderId="0" xfId="0" applyNumberFormat="1" applyFont="1"/>
    <xf numFmtId="176" fontId="10" fillId="0" borderId="0" xfId="0" applyNumberFormat="1" applyFont="1"/>
    <xf numFmtId="4" fontId="37" fillId="2" borderId="0" xfId="0" applyNumberFormat="1" applyFont="1" applyFill="1"/>
  </cellXfs>
  <cellStyles count="8">
    <cellStyle name="Comma" xfId="1" builtinId="3"/>
    <cellStyle name="Moeda 2" xfId="6" xr:uid="{00000000-0005-0000-0000-000000000000}"/>
    <cellStyle name="Normal" xfId="0" builtinId="0"/>
    <cellStyle name="Normal 2" xfId="3" xr:uid="{00000000-0005-0000-0000-000002000000}"/>
    <cellStyle name="Percent" xfId="2" builtinId="5"/>
    <cellStyle name="Porcentagem 2" xfId="4" xr:uid="{00000000-0005-0000-0000-000004000000}"/>
    <cellStyle name="Separador de milhares 2" xfId="5" xr:uid="{00000000-0005-0000-0000-000006000000}"/>
    <cellStyle name="Separador de milhares 3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51</xdr:row>
          <xdr:rowOff>0</xdr:rowOff>
        </xdr:from>
        <xdr:to>
          <xdr:col>4</xdr:col>
          <xdr:colOff>609600</xdr:colOff>
          <xdr:row>53</xdr:row>
          <xdr:rowOff>139700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68042</xdr:colOff>
      <xdr:row>0</xdr:row>
      <xdr:rowOff>2</xdr:rowOff>
    </xdr:from>
    <xdr:to>
      <xdr:col>7</xdr:col>
      <xdr:colOff>122471</xdr:colOff>
      <xdr:row>8</xdr:row>
      <xdr:rowOff>13843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042" y="2"/>
          <a:ext cx="4544786" cy="15378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</xdr:row>
      <xdr:rowOff>171450</xdr:rowOff>
    </xdr:from>
    <xdr:to>
      <xdr:col>13</xdr:col>
      <xdr:colOff>285750</xdr:colOff>
      <xdr:row>5</xdr:row>
      <xdr:rowOff>114300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552450"/>
          <a:ext cx="5724525" cy="5143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9524</xdr:rowOff>
    </xdr:from>
    <xdr:to>
      <xdr:col>9</xdr:col>
      <xdr:colOff>238124</xdr:colOff>
      <xdr:row>9</xdr:row>
      <xdr:rowOff>133349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3683000" y="581024"/>
          <a:ext cx="2930524" cy="1343025"/>
          <a:chOff x="4143375" y="3019425"/>
          <a:chExt cx="2695574" cy="1565845"/>
        </a:xfrm>
      </xdr:grpSpPr>
      <xdr:cxnSp macro="">
        <xdr:nvCxnSpPr>
          <xdr:cNvPr id="4" name="Conector de seta reta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>
            <a:stCxn id="6" idx="4"/>
          </xdr:cNvCxnSpPr>
        </xdr:nvCxnSpPr>
        <xdr:spPr>
          <a:xfrm rot="16200000" flipH="1">
            <a:off x="4267200" y="3571874"/>
            <a:ext cx="295275" cy="16192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4190998" y="3819524"/>
            <a:ext cx="2647951" cy="76574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CA" sz="11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Se i</a:t>
            </a:r>
            <a:r>
              <a:rPr lang="en-CA" sz="1100" baseline="-25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</a:t>
            </a:r>
            <a:r>
              <a:rPr lang="en-CA" sz="11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for p</a:t>
            </a:r>
            <a:r>
              <a:rPr lang="en-CA" sz="1100" baseline="0"/>
              <a:t>or mês! </a:t>
            </a:r>
            <a:r>
              <a:rPr lang="en-CA" sz="1100" baseline="0">
                <a:sym typeface="Symbol"/>
              </a:rPr>
              <a:t> </a:t>
            </a:r>
            <a:r>
              <a:rPr lang="en-CA" sz="1100" baseline="0"/>
              <a:t>manter "n".</a:t>
            </a:r>
          </a:p>
          <a:p>
            <a:endParaRPr lang="en-CA" sz="1100" baseline="0"/>
          </a:p>
          <a:p>
            <a:r>
              <a:rPr lang="en-CA" sz="1100" baseline="0"/>
              <a:t>Se i</a:t>
            </a:r>
            <a:r>
              <a:rPr lang="en-CA" sz="1100" baseline="-25000"/>
              <a:t>a</a:t>
            </a:r>
            <a:r>
              <a:rPr lang="en-CA" sz="1100" baseline="0"/>
              <a:t> for do total do período, então desconsiderar "n" do termo (1 + </a:t>
            </a:r>
            <a:r>
              <a:rPr lang="en-CA" sz="11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</a:t>
            </a:r>
            <a:r>
              <a:rPr lang="en-CA" sz="1100" baseline="-25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</a:t>
            </a:r>
            <a:r>
              <a:rPr lang="en-CA" sz="11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).</a:t>
            </a:r>
            <a:endParaRPr lang="en-CA" sz="1100" baseline="0"/>
          </a:p>
        </xdr:txBody>
      </xdr:sp>
      <xdr:sp macro="" textlink="">
        <xdr:nvSpPr>
          <xdr:cNvPr id="6" name="Elipse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4143375" y="3019425"/>
            <a:ext cx="381000" cy="48577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sp macro="" textlink="">
        <xdr:nvSpPr>
          <xdr:cNvPr id="7" name="Elipse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5391150" y="3048000"/>
            <a:ext cx="381000" cy="485775"/>
          </a:xfrm>
          <a:prstGeom prst="ellips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CA" sz="1100"/>
          </a:p>
        </xdr:txBody>
      </xdr:sp>
      <xdr:cxnSp macro="">
        <xdr:nvCxnSpPr>
          <xdr:cNvPr id="8" name="Conector de seta reta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CxnSpPr>
            <a:stCxn id="7" idx="4"/>
          </xdr:cNvCxnSpPr>
        </xdr:nvCxnSpPr>
        <xdr:spPr>
          <a:xfrm rot="5400000">
            <a:off x="5348288" y="3586163"/>
            <a:ext cx="285750" cy="18097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552450</xdr:colOff>
      <xdr:row>16</xdr:row>
      <xdr:rowOff>228599</xdr:rowOff>
    </xdr:from>
    <xdr:to>
      <xdr:col>3</xdr:col>
      <xdr:colOff>47625</xdr:colOff>
      <xdr:row>18</xdr:row>
      <xdr:rowOff>238124</xdr:rowOff>
    </xdr:to>
    <xdr:sp macro="" textlink="">
      <xdr:nvSpPr>
        <xdr:cNvPr id="9" name="Chave direita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743075" y="3524249"/>
          <a:ext cx="409575" cy="46672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9</xdr:col>
      <xdr:colOff>552450</xdr:colOff>
      <xdr:row>16</xdr:row>
      <xdr:rowOff>228599</xdr:rowOff>
    </xdr:from>
    <xdr:to>
      <xdr:col>10</xdr:col>
      <xdr:colOff>47625</xdr:colOff>
      <xdr:row>18</xdr:row>
      <xdr:rowOff>238124</xdr:rowOff>
    </xdr:to>
    <xdr:sp macro="" textlink="">
      <xdr:nvSpPr>
        <xdr:cNvPr id="10" name="Chave direita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248400" y="3524249"/>
          <a:ext cx="104775" cy="46672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0</xdr:row>
          <xdr:rowOff>0</xdr:rowOff>
        </xdr:from>
        <xdr:to>
          <xdr:col>13</xdr:col>
          <xdr:colOff>381000</xdr:colOff>
          <xdr:row>2</xdr:row>
          <xdr:rowOff>177800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12700</xdr:colOff>
          <xdr:row>10</xdr:row>
          <xdr:rowOff>0</xdr:rowOff>
        </xdr:from>
        <xdr:to>
          <xdr:col>6</xdr:col>
          <xdr:colOff>317500</xdr:colOff>
          <xdr:row>12</xdr:row>
          <xdr:rowOff>127000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7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image" Target="../media/image4.emf"/><Relationship Id="rId5" Type="http://schemas.openxmlformats.org/officeDocument/2006/relationships/oleObject" Target="../embeddings/oleObject3.bin"/><Relationship Id="rId4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topLeftCell="A71" zoomScaleNormal="100" workbookViewId="0">
      <selection activeCell="B7" sqref="B7"/>
    </sheetView>
  </sheetViews>
  <sheetFormatPr baseColWidth="10" defaultColWidth="8.83203125" defaultRowHeight="15"/>
  <cols>
    <col min="3" max="3" width="11.6640625" bestFit="1" customWidth="1"/>
    <col min="4" max="4" width="10.5" bestFit="1" customWidth="1"/>
    <col min="5" max="5" width="12.1640625" customWidth="1"/>
    <col min="7" max="9" width="9.5" bestFit="1" customWidth="1"/>
    <col min="11" max="11" width="10.5" style="11" bestFit="1" customWidth="1"/>
  </cols>
  <sheetData>
    <row r="1" spans="1:11" ht="18">
      <c r="A1" s="113" t="s">
        <v>28</v>
      </c>
      <c r="B1" s="113"/>
      <c r="C1" s="113"/>
      <c r="D1" s="113"/>
      <c r="E1" s="113"/>
      <c r="F1" s="113"/>
      <c r="G1" s="113"/>
    </row>
    <row r="2" spans="1:11">
      <c r="A2" t="s">
        <v>6</v>
      </c>
      <c r="B2" s="4">
        <v>0.15</v>
      </c>
    </row>
    <row r="3" spans="1:11">
      <c r="C3" s="1" t="s">
        <v>0</v>
      </c>
      <c r="D3" s="1" t="s">
        <v>1</v>
      </c>
      <c r="E3" s="1" t="s">
        <v>2</v>
      </c>
      <c r="F3" s="1"/>
    </row>
    <row r="4" spans="1:11">
      <c r="B4">
        <v>0</v>
      </c>
      <c r="C4">
        <v>-1000</v>
      </c>
      <c r="D4">
        <v>-1100</v>
      </c>
      <c r="E4">
        <v>-900</v>
      </c>
    </row>
    <row r="5" spans="1:11">
      <c r="B5">
        <v>1</v>
      </c>
      <c r="C5">
        <v>900</v>
      </c>
      <c r="D5">
        <v>800</v>
      </c>
      <c r="E5">
        <v>500</v>
      </c>
    </row>
    <row r="6" spans="1:11">
      <c r="B6">
        <v>2</v>
      </c>
      <c r="C6">
        <v>900</v>
      </c>
      <c r="D6">
        <v>800</v>
      </c>
      <c r="E6">
        <v>500</v>
      </c>
    </row>
    <row r="7" spans="1:11">
      <c r="B7">
        <v>3</v>
      </c>
      <c r="C7">
        <v>900</v>
      </c>
      <c r="D7">
        <v>800</v>
      </c>
      <c r="E7">
        <v>500</v>
      </c>
    </row>
    <row r="8" spans="1:11">
      <c r="B8">
        <v>4</v>
      </c>
      <c r="D8">
        <v>800</v>
      </c>
      <c r="E8">
        <v>500</v>
      </c>
    </row>
    <row r="9" spans="1:11">
      <c r="B9">
        <v>5</v>
      </c>
      <c r="E9">
        <v>500</v>
      </c>
    </row>
    <row r="10" spans="1:11">
      <c r="B10">
        <v>6</v>
      </c>
      <c r="E10">
        <v>500</v>
      </c>
    </row>
    <row r="12" spans="1:11">
      <c r="B12" t="s">
        <v>3</v>
      </c>
      <c r="C12" s="3">
        <f>-PV($B$2,B7,C5)+C4</f>
        <v>1054.90260540807</v>
      </c>
      <c r="D12" s="10">
        <f>-PV($B$2,B8,D5)+D4</f>
        <v>1183.9826901704891</v>
      </c>
      <c r="E12" s="3">
        <f>-PV($B$2,B10,E5)+E4</f>
        <v>992.24134696147871</v>
      </c>
      <c r="F12" t="s">
        <v>24</v>
      </c>
    </row>
    <row r="13" spans="1:11">
      <c r="B13" t="s">
        <v>4</v>
      </c>
      <c r="C13" s="3">
        <f>-FV($B$2,B7,C5)+(C4*(1+$B$2)^3)</f>
        <v>1604.3749999999977</v>
      </c>
      <c r="D13" s="3">
        <f>-FV($B$2,B8,D5)+(D4*(1+$B$2)^4)</f>
        <v>2070.7931249999983</v>
      </c>
      <c r="E13" s="10">
        <f>-FV($B$2,B10,E5)+(E4*(1+$B$2)^6)</f>
        <v>2295.1145296874984</v>
      </c>
      <c r="F13" t="s">
        <v>25</v>
      </c>
    </row>
    <row r="14" spans="1:11">
      <c r="B14" t="s">
        <v>5</v>
      </c>
      <c r="C14" s="10">
        <f>-PMT($B$2,B7,C12)</f>
        <v>462.02303815694711</v>
      </c>
      <c r="D14" s="3">
        <f>-PMT($B$2,B8,D12)</f>
        <v>414.70811325005616</v>
      </c>
      <c r="E14" s="3">
        <f>-PMT($B$2,B10,E12)</f>
        <v>262.18678408935489</v>
      </c>
      <c r="F14" t="s">
        <v>26</v>
      </c>
    </row>
    <row r="15" spans="1:11">
      <c r="B15" t="s">
        <v>35</v>
      </c>
      <c r="C15" s="20">
        <f>IRR(C4:C7)</f>
        <v>0.7245140806522099</v>
      </c>
      <c r="D15" s="20">
        <f t="shared" ref="D15:E15" si="0">IRR(D4:D7)</f>
        <v>0.52030298633468597</v>
      </c>
      <c r="E15" s="20">
        <f t="shared" si="0"/>
        <v>0.30636190446396427</v>
      </c>
    </row>
    <row r="16" spans="1:11" ht="16">
      <c r="B16" s="115" t="s">
        <v>10</v>
      </c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>
      <c r="B17" t="s">
        <v>7</v>
      </c>
      <c r="C17" s="2"/>
    </row>
    <row r="19" spans="1:11">
      <c r="B19" t="s">
        <v>8</v>
      </c>
    </row>
    <row r="21" spans="1:11" ht="18">
      <c r="B21" s="18" t="s">
        <v>9</v>
      </c>
    </row>
    <row r="22" spans="1:11">
      <c r="B22" t="s">
        <v>11</v>
      </c>
    </row>
    <row r="23" spans="1:11">
      <c r="A23" s="1" t="s">
        <v>6</v>
      </c>
      <c r="B23" s="1">
        <v>0.15</v>
      </c>
      <c r="C23" s="1"/>
      <c r="D23" s="1"/>
      <c r="E23" s="1"/>
    </row>
    <row r="24" spans="1:11">
      <c r="A24" s="1"/>
      <c r="B24" s="1"/>
      <c r="C24" s="1" t="s">
        <v>0</v>
      </c>
      <c r="D24" s="1" t="s">
        <v>1</v>
      </c>
      <c r="E24" s="1" t="s">
        <v>2</v>
      </c>
      <c r="G24" s="1" t="s">
        <v>0</v>
      </c>
      <c r="H24" s="1" t="s">
        <v>1</v>
      </c>
      <c r="I24" s="1" t="s">
        <v>2</v>
      </c>
    </row>
    <row r="25" spans="1:11">
      <c r="A25" s="1"/>
      <c r="B25" s="1">
        <v>0</v>
      </c>
      <c r="C25" s="9">
        <f>$C$12</f>
        <v>1054.90260540807</v>
      </c>
      <c r="D25" s="9">
        <f>$D$12</f>
        <v>1183.9826901704891</v>
      </c>
      <c r="E25" s="9">
        <f>$E$12</f>
        <v>992.24134696147871</v>
      </c>
      <c r="F25" s="11"/>
      <c r="G25" s="11">
        <f>C25</f>
        <v>1054.90260540807</v>
      </c>
      <c r="H25" s="11">
        <f>D25</f>
        <v>1183.9826901704891</v>
      </c>
      <c r="I25" s="11">
        <f t="shared" ref="I25" si="1">E25</f>
        <v>992.24134696147871</v>
      </c>
      <c r="K25" s="11">
        <f>C25*(1.15)^($B$37-B25)</f>
        <v>5643.992775849013</v>
      </c>
    </row>
    <row r="26" spans="1:11">
      <c r="A26" s="1"/>
      <c r="B26" s="1">
        <v>1</v>
      </c>
      <c r="C26" s="9">
        <v>0</v>
      </c>
      <c r="D26" s="9">
        <v>0</v>
      </c>
      <c r="E26" s="9">
        <v>0</v>
      </c>
      <c r="F26" s="11"/>
      <c r="G26" s="11">
        <f>C26/(1.15)^B26</f>
        <v>0</v>
      </c>
      <c r="H26" s="11">
        <f>D26/(1.15)^B26</f>
        <v>0</v>
      </c>
      <c r="I26" s="11">
        <f>E26/(1.15)^B26</f>
        <v>0</v>
      </c>
    </row>
    <row r="27" spans="1:11">
      <c r="A27" s="1"/>
      <c r="B27" s="1">
        <v>2</v>
      </c>
      <c r="C27" s="9">
        <v>0</v>
      </c>
      <c r="D27" s="9">
        <v>0</v>
      </c>
      <c r="E27" s="9">
        <v>0</v>
      </c>
      <c r="F27" s="11"/>
      <c r="G27" s="11">
        <f t="shared" ref="G27:G37" si="2">C27/(1.15)^B27</f>
        <v>0</v>
      </c>
      <c r="H27" s="11">
        <f t="shared" ref="H27:H36" si="3">D27/(1.15)^B27</f>
        <v>0</v>
      </c>
      <c r="I27" s="11">
        <f t="shared" ref="I27:I37" si="4">E27/(1.15)^B27</f>
        <v>0</v>
      </c>
    </row>
    <row r="28" spans="1:11">
      <c r="A28" s="1"/>
      <c r="B28" s="1">
        <v>3</v>
      </c>
      <c r="C28" s="9">
        <f>$C$12</f>
        <v>1054.90260540807</v>
      </c>
      <c r="D28" s="9">
        <v>0</v>
      </c>
      <c r="E28" s="9">
        <v>0</v>
      </c>
      <c r="F28" s="11"/>
      <c r="G28" s="11">
        <f t="shared" si="2"/>
        <v>693.61558669060264</v>
      </c>
      <c r="H28" s="11">
        <f t="shared" si="3"/>
        <v>0</v>
      </c>
      <c r="I28" s="11">
        <f t="shared" si="4"/>
        <v>0</v>
      </c>
      <c r="K28" s="11">
        <f>C28*(1.15)^($B$37-B28)</f>
        <v>3711.0168658496032</v>
      </c>
    </row>
    <row r="29" spans="1:11">
      <c r="A29" s="1"/>
      <c r="B29" s="1">
        <v>4</v>
      </c>
      <c r="C29" s="9">
        <v>0</v>
      </c>
      <c r="D29" s="9">
        <f>$D$12</f>
        <v>1183.9826901704891</v>
      </c>
      <c r="E29" s="9">
        <v>0</v>
      </c>
      <c r="F29" s="11"/>
      <c r="G29" s="11">
        <f t="shared" si="2"/>
        <v>0</v>
      </c>
      <c r="H29" s="11">
        <f>D29/(1.15)^B29</f>
        <v>676.94594583094806</v>
      </c>
      <c r="I29" s="11">
        <f t="shared" si="4"/>
        <v>0</v>
      </c>
    </row>
    <row r="30" spans="1:11">
      <c r="A30" s="1"/>
      <c r="B30" s="1">
        <v>5</v>
      </c>
      <c r="C30" s="9">
        <v>0</v>
      </c>
      <c r="D30" s="9">
        <v>0</v>
      </c>
      <c r="E30" s="9">
        <v>0</v>
      </c>
      <c r="F30" s="11"/>
      <c r="G30" s="11">
        <f t="shared" si="2"/>
        <v>0</v>
      </c>
      <c r="H30" s="11">
        <f t="shared" si="3"/>
        <v>0</v>
      </c>
      <c r="I30" s="11">
        <f t="shared" si="4"/>
        <v>0</v>
      </c>
    </row>
    <row r="31" spans="1:11">
      <c r="A31" s="1"/>
      <c r="B31" s="1">
        <v>6</v>
      </c>
      <c r="C31" s="9">
        <f>$C$12</f>
        <v>1054.90260540807</v>
      </c>
      <c r="D31" s="9">
        <v>0</v>
      </c>
      <c r="E31" s="9">
        <f>$E$12</f>
        <v>992.24134696147871</v>
      </c>
      <c r="F31" s="11"/>
      <c r="G31" s="11">
        <f t="shared" si="2"/>
        <v>456.06350731690821</v>
      </c>
      <c r="H31" s="11">
        <f t="shared" si="3"/>
        <v>0</v>
      </c>
      <c r="I31" s="11">
        <f t="shared" si="4"/>
        <v>428.97331609590066</v>
      </c>
      <c r="K31" s="11">
        <f>C31*(1.15)^($B$37-B31)</f>
        <v>2440.0538281249969</v>
      </c>
    </row>
    <row r="32" spans="1:11">
      <c r="A32" s="1"/>
      <c r="B32" s="1">
        <v>7</v>
      </c>
      <c r="C32" s="9">
        <v>0</v>
      </c>
      <c r="D32" s="9">
        <v>0</v>
      </c>
      <c r="E32" s="9">
        <v>0</v>
      </c>
      <c r="F32" s="11"/>
      <c r="G32" s="11">
        <f t="shared" si="2"/>
        <v>0</v>
      </c>
      <c r="H32" s="11">
        <f t="shared" si="3"/>
        <v>0</v>
      </c>
      <c r="I32" s="11">
        <f t="shared" si="4"/>
        <v>0</v>
      </c>
    </row>
    <row r="33" spans="1:11">
      <c r="A33" s="1"/>
      <c r="B33" s="1">
        <v>8</v>
      </c>
      <c r="C33" s="9">
        <v>0</v>
      </c>
      <c r="D33" s="9">
        <f>$D$12</f>
        <v>1183.9826901704891</v>
      </c>
      <c r="E33" s="9">
        <v>0</v>
      </c>
      <c r="F33" s="11"/>
      <c r="G33" s="11">
        <f t="shared" si="2"/>
        <v>0</v>
      </c>
      <c r="H33" s="11">
        <f>D33/(1.15)^B33</f>
        <v>387.04604161989033</v>
      </c>
      <c r="I33" s="11">
        <f t="shared" si="4"/>
        <v>0</v>
      </c>
    </row>
    <row r="34" spans="1:11">
      <c r="A34" s="1"/>
      <c r="B34" s="1">
        <v>9</v>
      </c>
      <c r="C34" s="9">
        <f>$C$12</f>
        <v>1054.90260540807</v>
      </c>
      <c r="D34" s="9">
        <v>0</v>
      </c>
      <c r="E34" s="9">
        <v>0</v>
      </c>
      <c r="F34" s="11"/>
      <c r="G34" s="11">
        <f t="shared" si="2"/>
        <v>299.86915908073206</v>
      </c>
      <c r="H34" s="11">
        <f t="shared" si="3"/>
        <v>0</v>
      </c>
      <c r="I34" s="11">
        <f t="shared" si="4"/>
        <v>0</v>
      </c>
      <c r="K34" s="11">
        <f>C34*(1.15)^($B$37-B34)</f>
        <v>1604.374999999998</v>
      </c>
    </row>
    <row r="35" spans="1:11">
      <c r="A35" s="1"/>
      <c r="B35" s="1">
        <v>10</v>
      </c>
      <c r="C35" s="9">
        <v>0</v>
      </c>
      <c r="D35" s="9">
        <v>0</v>
      </c>
      <c r="E35" s="9">
        <v>0</v>
      </c>
      <c r="F35" s="11"/>
      <c r="G35" s="11">
        <f t="shared" si="2"/>
        <v>0</v>
      </c>
      <c r="H35" s="11">
        <f t="shared" si="3"/>
        <v>0</v>
      </c>
      <c r="I35" s="11">
        <f t="shared" si="4"/>
        <v>0</v>
      </c>
    </row>
    <row r="36" spans="1:11">
      <c r="A36" s="1"/>
      <c r="B36" s="1">
        <v>11</v>
      </c>
      <c r="C36" s="9">
        <v>0</v>
      </c>
      <c r="D36" s="9">
        <v>0</v>
      </c>
      <c r="E36" s="9">
        <v>0</v>
      </c>
      <c r="F36" s="11"/>
      <c r="G36" s="11">
        <f t="shared" si="2"/>
        <v>0</v>
      </c>
      <c r="H36" s="11">
        <f t="shared" si="3"/>
        <v>0</v>
      </c>
      <c r="I36" s="11">
        <f t="shared" si="4"/>
        <v>0</v>
      </c>
    </row>
    <row r="37" spans="1:11">
      <c r="A37" s="1"/>
      <c r="B37" s="1">
        <v>12</v>
      </c>
      <c r="C37" s="9"/>
      <c r="D37" s="9"/>
      <c r="E37" s="9"/>
      <c r="F37" s="11"/>
      <c r="G37" s="11">
        <f t="shared" si="2"/>
        <v>0</v>
      </c>
      <c r="H37" s="11">
        <f>D37/(1.15)^B37</f>
        <v>0</v>
      </c>
      <c r="I37" s="11">
        <f t="shared" si="4"/>
        <v>0</v>
      </c>
      <c r="K37" s="11">
        <f>C37*(1.15)^($B$37-B37)</f>
        <v>0</v>
      </c>
    </row>
    <row r="38" spans="1:11">
      <c r="A38" s="1"/>
      <c r="B38" s="1" t="s">
        <v>3</v>
      </c>
      <c r="C38" s="12">
        <f>C37/(1.15)^B37+C34/(1.15)^B34+C31/(1.15)^B31+C28/(1.15)^B28+C25</f>
        <v>2504.4508584963132</v>
      </c>
      <c r="D38" s="9">
        <f>H38</f>
        <v>2247.9746776213274</v>
      </c>
      <c r="E38" s="9">
        <f>I38</f>
        <v>1421.2146630573793</v>
      </c>
      <c r="F38" s="11"/>
      <c r="G38" s="11">
        <f>SUM(G25:G37)</f>
        <v>2504.4508584963128</v>
      </c>
      <c r="H38" s="11">
        <f>SUM(H25:H37)</f>
        <v>2247.9746776213274</v>
      </c>
      <c r="I38" s="11">
        <f t="shared" ref="I38" si="5">SUM(I25:I37)</f>
        <v>1421.2146630573793</v>
      </c>
      <c r="K38" s="11">
        <f>SUM(K25:K37)</f>
        <v>13399.438469823612</v>
      </c>
    </row>
    <row r="39" spans="1:11">
      <c r="A39" s="1"/>
      <c r="B39" s="1" t="s">
        <v>4</v>
      </c>
      <c r="C39" s="13">
        <f>(C25*1.15^12)+(C28*1.15^9)+(C31*1.15^6)+(C34*1.15^3)+C37</f>
        <v>13399.438469823612</v>
      </c>
      <c r="D39" s="14">
        <f>(D25*1.15^12)+(D29*1.15^8)+(D33*1.15^4)+(D37*(1.15)^0)</f>
        <v>12027.226756045728</v>
      </c>
      <c r="E39" s="14">
        <f>(E25*1.15^12)+(E31*1.15^6)+(E37*1.15^0)</f>
        <v>7603.853900923521</v>
      </c>
      <c r="F39" s="11"/>
      <c r="G39" s="11"/>
      <c r="H39" s="11"/>
      <c r="I39" s="11"/>
    </row>
    <row r="40" spans="1:11">
      <c r="A40" s="1"/>
      <c r="B40" s="1" t="s">
        <v>5</v>
      </c>
      <c r="C40" s="13">
        <f>-PMT(15%,12,C38)</f>
        <v>462.02303815694717</v>
      </c>
      <c r="D40" s="14">
        <f t="shared" ref="D40:E40" si="6">-PMT(15%,12,D38)</f>
        <v>414.70811325005621</v>
      </c>
      <c r="E40" s="14">
        <f t="shared" si="6"/>
        <v>262.18678408935489</v>
      </c>
      <c r="F40" s="11"/>
      <c r="G40" s="11" t="s">
        <v>23</v>
      </c>
      <c r="H40" s="11"/>
      <c r="I40" s="11"/>
    </row>
    <row r="42" spans="1:11">
      <c r="B42" s="7" t="s">
        <v>12</v>
      </c>
    </row>
    <row r="43" spans="1:11" ht="16">
      <c r="B43" s="116" t="s">
        <v>13</v>
      </c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>
      <c r="B44" t="s">
        <v>14</v>
      </c>
    </row>
    <row r="45" spans="1:11" ht="16">
      <c r="A45" s="8" t="s">
        <v>29</v>
      </c>
    </row>
    <row r="46" spans="1:11" ht="16">
      <c r="A46" s="17" t="s">
        <v>30</v>
      </c>
    </row>
    <row r="47" spans="1:11" ht="16">
      <c r="A47" s="17"/>
    </row>
    <row r="48" spans="1:11" ht="18">
      <c r="A48" s="113" t="s">
        <v>15</v>
      </c>
      <c r="B48" s="113"/>
      <c r="C48" s="113"/>
      <c r="D48" s="113"/>
      <c r="E48" s="113"/>
      <c r="F48" s="113"/>
      <c r="G48" s="113"/>
      <c r="H48" s="113"/>
      <c r="I48" s="113"/>
      <c r="J48" s="113"/>
    </row>
    <row r="50" spans="1:12" ht="16">
      <c r="A50" s="6"/>
    </row>
    <row r="51" spans="1:12" ht="16">
      <c r="A51" s="117" t="s">
        <v>16</v>
      </c>
      <c r="B51" s="117"/>
      <c r="C51" s="117"/>
    </row>
    <row r="55" spans="1:12" ht="16">
      <c r="A55" s="116" t="s">
        <v>17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</row>
    <row r="56" spans="1:12">
      <c r="A56" t="s">
        <v>18</v>
      </c>
    </row>
    <row r="58" spans="1:12" ht="18">
      <c r="A58" s="111" t="s">
        <v>19</v>
      </c>
      <c r="B58" s="111"/>
      <c r="C58" s="111"/>
      <c r="D58" s="111"/>
      <c r="E58" s="111"/>
      <c r="F58" s="111"/>
      <c r="G58" s="111"/>
      <c r="H58" s="111"/>
      <c r="I58" s="111"/>
      <c r="J58" s="111"/>
    </row>
    <row r="60" spans="1:12" ht="16">
      <c r="A60" s="5" t="s">
        <v>20</v>
      </c>
    </row>
    <row r="61" spans="1:12" ht="16">
      <c r="A61" s="5" t="s">
        <v>21</v>
      </c>
    </row>
    <row r="63" spans="1:12">
      <c r="A63" t="s">
        <v>6</v>
      </c>
      <c r="B63">
        <v>0.15</v>
      </c>
    </row>
    <row r="64" spans="1:12">
      <c r="C64" t="s">
        <v>0</v>
      </c>
      <c r="D64" t="s">
        <v>1</v>
      </c>
      <c r="E64" t="s">
        <v>2</v>
      </c>
    </row>
    <row r="65" spans="2:5">
      <c r="B65">
        <v>0</v>
      </c>
      <c r="C65">
        <v>-1000</v>
      </c>
      <c r="D65">
        <v>-1100</v>
      </c>
      <c r="E65">
        <v>-900</v>
      </c>
    </row>
    <row r="66" spans="2:5">
      <c r="B66">
        <v>1</v>
      </c>
      <c r="C66">
        <v>900</v>
      </c>
      <c r="D66">
        <v>800</v>
      </c>
      <c r="E66">
        <v>500</v>
      </c>
    </row>
    <row r="67" spans="2:5">
      <c r="B67">
        <v>2</v>
      </c>
      <c r="C67">
        <v>900</v>
      </c>
      <c r="D67">
        <v>800</v>
      </c>
      <c r="E67">
        <v>500</v>
      </c>
    </row>
    <row r="68" spans="2:5">
      <c r="B68">
        <v>3</v>
      </c>
      <c r="C68">
        <v>900</v>
      </c>
      <c r="D68">
        <v>800</v>
      </c>
      <c r="E68">
        <v>500</v>
      </c>
    </row>
    <row r="69" spans="2:5">
      <c r="B69">
        <v>4</v>
      </c>
      <c r="D69">
        <v>800</v>
      </c>
      <c r="E69">
        <v>500</v>
      </c>
    </row>
    <row r="70" spans="2:5">
      <c r="B70">
        <v>5</v>
      </c>
      <c r="E70">
        <v>500</v>
      </c>
    </row>
    <row r="71" spans="2:5">
      <c r="B71">
        <v>6</v>
      </c>
      <c r="E71">
        <v>500</v>
      </c>
    </row>
    <row r="73" spans="2:5">
      <c r="B73" s="15" t="s">
        <v>3</v>
      </c>
      <c r="C73" s="16">
        <v>1054.90260540807</v>
      </c>
      <c r="D73" s="16">
        <v>1183.9826901704891</v>
      </c>
      <c r="E73" s="16">
        <v>992.24134696147871</v>
      </c>
    </row>
    <row r="74" spans="2:5">
      <c r="B74" t="s">
        <v>4</v>
      </c>
      <c r="C74" s="11">
        <v>1604.3749999999977</v>
      </c>
      <c r="D74" s="11">
        <v>2070.7931249999983</v>
      </c>
      <c r="E74" s="11">
        <v>2295.1145296874984</v>
      </c>
    </row>
    <row r="75" spans="2:5">
      <c r="B75" t="s">
        <v>5</v>
      </c>
      <c r="C75" s="11">
        <v>462.02303815694722</v>
      </c>
      <c r="D75" s="11">
        <v>414.70811325005627</v>
      </c>
      <c r="E75" s="11">
        <v>262.18678408935494</v>
      </c>
    </row>
    <row r="76" spans="2:5">
      <c r="C76" s="11"/>
      <c r="D76" s="11"/>
      <c r="E76" s="11"/>
    </row>
    <row r="77" spans="2:5">
      <c r="B77" s="15" t="s">
        <v>3</v>
      </c>
      <c r="C77" s="16">
        <f>C78/(1.15)^6</f>
        <v>1054.9026054080698</v>
      </c>
      <c r="D77" s="16">
        <f t="shared" ref="D77:E77" si="7">D78/(1.15)^6</f>
        <v>1183.9826901704889</v>
      </c>
      <c r="E77" s="16">
        <f t="shared" si="7"/>
        <v>992.24134696147871</v>
      </c>
    </row>
    <row r="78" spans="2:5">
      <c r="B78" t="s">
        <v>4</v>
      </c>
      <c r="C78" s="11">
        <f>C74*(1.15)^3</f>
        <v>2440.053828124996</v>
      </c>
      <c r="D78" s="16">
        <f>D74*(1.15)^2</f>
        <v>2738.6239078124972</v>
      </c>
      <c r="E78" s="11">
        <f>E74</f>
        <v>2295.1145296874984</v>
      </c>
    </row>
    <row r="79" spans="2:5">
      <c r="B79" t="s">
        <v>5</v>
      </c>
      <c r="C79" s="11">
        <f>-PMT(15%,6,,C78)</f>
        <v>278.74420118290135</v>
      </c>
      <c r="D79" s="16">
        <f t="shared" ref="D79:E79" si="8">-PMT(15%,6,,D78)</f>
        <v>312.85192347997855</v>
      </c>
      <c r="E79" s="11">
        <f t="shared" si="8"/>
        <v>262.18678408935483</v>
      </c>
    </row>
    <row r="80" spans="2:5">
      <c r="C80" s="11"/>
      <c r="D80" s="11"/>
      <c r="E80" s="11"/>
    </row>
    <row r="81" spans="1:20">
      <c r="B81" t="s">
        <v>22</v>
      </c>
    </row>
    <row r="84" spans="1:20" ht="16">
      <c r="A84" s="112" t="s">
        <v>27</v>
      </c>
      <c r="B84" s="112"/>
      <c r="C84" s="112"/>
      <c r="D84" s="112"/>
      <c r="E84" s="112"/>
      <c r="F84" s="112"/>
    </row>
    <row r="86" spans="1:20" ht="16">
      <c r="A86" s="5" t="s">
        <v>31</v>
      </c>
    </row>
    <row r="87" spans="1:20" ht="16">
      <c r="A87" s="114" t="s">
        <v>32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</row>
    <row r="88" spans="1:20" ht="16">
      <c r="A88" s="5" t="s">
        <v>33</v>
      </c>
    </row>
    <row r="90" spans="1:20">
      <c r="A90" t="s">
        <v>6</v>
      </c>
      <c r="B90">
        <v>0.15</v>
      </c>
    </row>
    <row r="91" spans="1:20">
      <c r="C91" t="s">
        <v>0</v>
      </c>
      <c r="D91" t="s">
        <v>1</v>
      </c>
      <c r="E91" t="s">
        <v>2</v>
      </c>
    </row>
    <row r="92" spans="1:20">
      <c r="B92">
        <v>0</v>
      </c>
      <c r="E92">
        <v>-900</v>
      </c>
    </row>
    <row r="93" spans="1:20">
      <c r="B93">
        <v>1</v>
      </c>
      <c r="E93">
        <v>500</v>
      </c>
    </row>
    <row r="94" spans="1:20">
      <c r="B94">
        <v>2</v>
      </c>
      <c r="D94">
        <v>-1100</v>
      </c>
      <c r="E94">
        <v>500</v>
      </c>
    </row>
    <row r="95" spans="1:20">
      <c r="B95">
        <v>3</v>
      </c>
      <c r="C95">
        <v>-1000</v>
      </c>
      <c r="D95">
        <v>800</v>
      </c>
      <c r="E95">
        <v>500</v>
      </c>
    </row>
    <row r="96" spans="1:20">
      <c r="B96">
        <v>4</v>
      </c>
      <c r="C96">
        <v>900</v>
      </c>
      <c r="D96">
        <v>800</v>
      </c>
      <c r="E96">
        <v>500</v>
      </c>
    </row>
    <row r="97" spans="2:6">
      <c r="B97">
        <v>5</v>
      </c>
      <c r="C97">
        <v>900</v>
      </c>
      <c r="D97">
        <v>800</v>
      </c>
      <c r="E97">
        <v>500</v>
      </c>
    </row>
    <row r="98" spans="2:6">
      <c r="B98">
        <v>6</v>
      </c>
      <c r="C98">
        <v>900</v>
      </c>
      <c r="D98">
        <v>800</v>
      </c>
      <c r="E98">
        <v>500</v>
      </c>
    </row>
    <row r="100" spans="2:6">
      <c r="B100" t="s">
        <v>3</v>
      </c>
      <c r="C100" s="11">
        <f>C77/(1.15)^3</f>
        <v>693.61558669060253</v>
      </c>
      <c r="D100" s="11">
        <f>D77/(1.15)^2</f>
        <v>895.26101336142847</v>
      </c>
      <c r="E100" s="19">
        <f>E73</f>
        <v>992.24134696147871</v>
      </c>
      <c r="F100" t="s">
        <v>34</v>
      </c>
    </row>
    <row r="101" spans="2:6">
      <c r="B101" t="s">
        <v>4</v>
      </c>
      <c r="C101">
        <f>C100*(1.15)^6</f>
        <v>1604.374999999998</v>
      </c>
      <c r="D101" s="11">
        <f>D100*(1.15)^6</f>
        <v>2070.7931249999983</v>
      </c>
      <c r="E101" s="19">
        <f>E74</f>
        <v>2295.1145296874984</v>
      </c>
    </row>
    <row r="102" spans="2:6">
      <c r="B102" t="s">
        <v>5</v>
      </c>
      <c r="C102" s="11">
        <f>-PMT(15%,6,C100)</f>
        <v>183.27883697404556</v>
      </c>
      <c r="D102" s="11">
        <f t="shared" ref="D102:E102" si="9">-PMT(15%,6,D100)</f>
        <v>236.56100074100473</v>
      </c>
      <c r="E102" s="16">
        <f t="shared" si="9"/>
        <v>262.18678408935489</v>
      </c>
    </row>
  </sheetData>
  <mergeCells count="9">
    <mergeCell ref="A58:J58"/>
    <mergeCell ref="A84:F84"/>
    <mergeCell ref="A1:G1"/>
    <mergeCell ref="A87:T87"/>
    <mergeCell ref="B16:K16"/>
    <mergeCell ref="B43:K43"/>
    <mergeCell ref="A48:J48"/>
    <mergeCell ref="A51:C51"/>
    <mergeCell ref="A55:L55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2" shapeId="1025" r:id="rId3">
          <objectPr defaultSize="0" autoPict="0" r:id="rId4">
            <anchor moveWithCells="1" sizeWithCells="1">
              <from>
                <xdr:col>0</xdr:col>
                <xdr:colOff>0</xdr:colOff>
                <xdr:row>51</xdr:row>
                <xdr:rowOff>0</xdr:rowOff>
              </from>
              <to>
                <xdr:col>4</xdr:col>
                <xdr:colOff>609600</xdr:colOff>
                <xdr:row>53</xdr:row>
                <xdr:rowOff>139700</xdr:rowOff>
              </to>
            </anchor>
          </objectPr>
        </oleObject>
      </mc:Choice>
      <mc:Fallback>
        <oleObject progId="Equation.2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1"/>
  <sheetViews>
    <sheetView zoomScale="140" zoomScaleNormal="140" workbookViewId="0">
      <selection activeCell="D20" sqref="D20"/>
    </sheetView>
  </sheetViews>
  <sheetFormatPr baseColWidth="10" defaultColWidth="8.83203125" defaultRowHeight="15"/>
  <cols>
    <col min="2" max="2" width="11.33203125" bestFit="1" customWidth="1"/>
    <col min="3" max="3" width="20.6640625" bestFit="1" customWidth="1"/>
    <col min="5" max="5" width="12.6640625" bestFit="1" customWidth="1"/>
    <col min="6" max="6" width="15.1640625" customWidth="1"/>
    <col min="7" max="7" width="13.5" bestFit="1" customWidth="1"/>
    <col min="8" max="8" width="17.5" bestFit="1" customWidth="1"/>
    <col min="9" max="9" width="11.1640625" bestFit="1" customWidth="1"/>
  </cols>
  <sheetData>
    <row r="1" spans="1:20">
      <c r="A1" s="92"/>
      <c r="B1" s="92"/>
      <c r="C1" s="92"/>
      <c r="D1" s="92"/>
      <c r="E1" s="94">
        <v>0.1</v>
      </c>
      <c r="F1" s="92"/>
      <c r="G1" s="92"/>
      <c r="H1" s="92"/>
      <c r="I1" s="21"/>
      <c r="J1" s="21"/>
      <c r="K1" s="21"/>
      <c r="L1" s="21"/>
      <c r="M1" s="21"/>
      <c r="N1" s="21"/>
      <c r="O1" s="23"/>
      <c r="P1" s="21"/>
      <c r="Q1" s="21"/>
      <c r="R1" s="21"/>
      <c r="S1" s="21"/>
      <c r="T1" s="21"/>
    </row>
    <row r="2" spans="1:20">
      <c r="A2" s="97" t="s">
        <v>36</v>
      </c>
      <c r="B2" s="97" t="s">
        <v>37</v>
      </c>
      <c r="C2" s="97" t="s">
        <v>38</v>
      </c>
      <c r="D2" s="97" t="s">
        <v>39</v>
      </c>
      <c r="E2" s="92"/>
      <c r="F2" s="99" t="s">
        <v>115</v>
      </c>
      <c r="G2" s="99" t="s">
        <v>40</v>
      </c>
      <c r="H2" s="99" t="s">
        <v>42</v>
      </c>
      <c r="I2" s="25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>
      <c r="A3" s="101" t="s">
        <v>43</v>
      </c>
      <c r="B3" s="102">
        <v>40000</v>
      </c>
      <c r="C3" s="102">
        <v>12673</v>
      </c>
      <c r="D3" s="103">
        <v>0.27</v>
      </c>
      <c r="E3" s="99">
        <v>1</v>
      </c>
      <c r="F3" s="107">
        <v>0.27001347151635829</v>
      </c>
      <c r="G3" s="108">
        <f>-PV($E$1,8,C3)-B3</f>
        <v>27609.51970602051</v>
      </c>
      <c r="H3" s="109">
        <f>-PMT($E$1,8,G3)</f>
        <v>5175.2392970074679</v>
      </c>
      <c r="I3" s="33"/>
      <c r="J3" s="21"/>
      <c r="K3" s="21"/>
      <c r="L3" s="21"/>
      <c r="M3" s="21"/>
      <c r="N3" s="21"/>
      <c r="O3" s="29"/>
      <c r="P3" s="21"/>
      <c r="Q3" s="21"/>
      <c r="R3" s="21"/>
      <c r="S3" s="21"/>
      <c r="T3" s="21"/>
    </row>
    <row r="4" spans="1:20">
      <c r="A4" s="101" t="s">
        <v>44</v>
      </c>
      <c r="B4" s="102">
        <v>50000</v>
      </c>
      <c r="C4" s="102">
        <v>13421</v>
      </c>
      <c r="D4" s="103">
        <v>0.21</v>
      </c>
      <c r="E4" s="99">
        <v>0</v>
      </c>
      <c r="F4" s="107">
        <v>0.21000649633543758</v>
      </c>
      <c r="G4" s="108">
        <f t="shared" ref="G4:G12" si="0">-PV($E$1,8,C4)-B4</f>
        <v>21600.044502051707</v>
      </c>
      <c r="H4" s="109">
        <f t="shared" ref="H4:H12" si="1">-PMT($E$1,8,G4)</f>
        <v>4048.7991212593333</v>
      </c>
      <c r="I4" s="40"/>
      <c r="J4" s="21"/>
      <c r="K4" s="21"/>
      <c r="L4" s="21"/>
      <c r="M4" s="21"/>
      <c r="N4" s="21"/>
      <c r="O4" s="21"/>
      <c r="P4" s="27"/>
      <c r="Q4" s="27"/>
      <c r="R4" s="27"/>
      <c r="S4" s="27"/>
      <c r="T4" s="27"/>
    </row>
    <row r="5" spans="1:20">
      <c r="A5" s="101" t="s">
        <v>45</v>
      </c>
      <c r="B5" s="102">
        <v>60000</v>
      </c>
      <c r="C5" s="102">
        <v>14715</v>
      </c>
      <c r="D5" s="103">
        <v>0.18</v>
      </c>
      <c r="E5" s="99">
        <v>0</v>
      </c>
      <c r="F5" s="107">
        <v>0.18000742439450571</v>
      </c>
      <c r="G5" s="108">
        <f t="shared" si="0"/>
        <v>18503.439002137762</v>
      </c>
      <c r="H5" s="109">
        <f t="shared" si="1"/>
        <v>3468.3589455112001</v>
      </c>
      <c r="I5" s="40"/>
      <c r="J5" s="21"/>
      <c r="K5" s="21"/>
      <c r="L5" s="21"/>
      <c r="M5" s="21"/>
      <c r="N5" s="23"/>
      <c r="O5" s="23"/>
      <c r="P5" s="31"/>
      <c r="Q5" s="32"/>
      <c r="R5" s="33"/>
      <c r="S5" s="36"/>
      <c r="T5" s="21"/>
    </row>
    <row r="6" spans="1:20">
      <c r="A6" s="101" t="s">
        <v>46</v>
      </c>
      <c r="B6" s="102">
        <v>70000</v>
      </c>
      <c r="C6" s="102">
        <v>16638</v>
      </c>
      <c r="D6" s="103">
        <v>0.17</v>
      </c>
      <c r="E6" s="99">
        <v>0</v>
      </c>
      <c r="F6" s="107">
        <v>0.16999443800372288</v>
      </c>
      <c r="G6" s="108">
        <f t="shared" si="0"/>
        <v>18762.50208070458</v>
      </c>
      <c r="H6" s="109">
        <f t="shared" si="1"/>
        <v>3516.9187697630641</v>
      </c>
      <c r="I6" s="40"/>
      <c r="J6" s="21"/>
      <c r="K6" s="21"/>
      <c r="L6" s="21"/>
      <c r="M6" s="21"/>
      <c r="N6" s="23"/>
      <c r="O6" s="23"/>
      <c r="P6" s="31"/>
      <c r="Q6" s="32"/>
      <c r="R6" s="33"/>
      <c r="S6" s="36"/>
      <c r="T6" s="38"/>
    </row>
    <row r="7" spans="1:20">
      <c r="A7" s="101" t="s">
        <v>47</v>
      </c>
      <c r="B7" s="102">
        <v>20000</v>
      </c>
      <c r="C7" s="102">
        <v>3749</v>
      </c>
      <c r="D7" s="103">
        <v>0.1</v>
      </c>
      <c r="E7" s="99">
        <v>0</v>
      </c>
      <c r="F7" s="107">
        <v>0.10000876696766112</v>
      </c>
      <c r="G7" s="108">
        <f t="shared" si="0"/>
        <v>0.63831593710347079</v>
      </c>
      <c r="H7" s="109">
        <f t="shared" si="1"/>
        <v>0.11964850373270651</v>
      </c>
      <c r="I7" s="91"/>
      <c r="J7" s="23"/>
      <c r="K7" s="23"/>
      <c r="L7" s="30"/>
      <c r="M7" s="21"/>
      <c r="N7" s="23"/>
      <c r="O7" s="23"/>
      <c r="P7" s="31"/>
      <c r="Q7" s="32"/>
      <c r="R7" s="33"/>
      <c r="S7" s="36"/>
      <c r="T7" s="38"/>
    </row>
    <row r="8" spans="1:20">
      <c r="A8" s="101" t="s">
        <v>48</v>
      </c>
      <c r="B8" s="102">
        <v>30000</v>
      </c>
      <c r="C8" s="102">
        <v>6907</v>
      </c>
      <c r="D8" s="103">
        <v>0.16</v>
      </c>
      <c r="E8" s="99">
        <v>1</v>
      </c>
      <c r="F8" s="107">
        <v>0.16001222741862467</v>
      </c>
      <c r="G8" s="108">
        <f t="shared" si="0"/>
        <v>6848.3352489137251</v>
      </c>
      <c r="H8" s="109">
        <f t="shared" si="1"/>
        <v>1283.6794727555989</v>
      </c>
      <c r="I8" s="40"/>
      <c r="J8" s="23"/>
      <c r="K8" s="23"/>
      <c r="L8" s="30"/>
      <c r="M8" s="21"/>
      <c r="N8" s="23"/>
      <c r="O8" s="23"/>
      <c r="P8" s="31"/>
      <c r="Q8" s="35"/>
      <c r="R8" s="33"/>
      <c r="S8" s="37"/>
      <c r="T8" s="38"/>
    </row>
    <row r="9" spans="1:20">
      <c r="A9" s="101" t="s">
        <v>49</v>
      </c>
      <c r="B9" s="102">
        <v>40000</v>
      </c>
      <c r="C9" s="102">
        <v>8335</v>
      </c>
      <c r="D9" s="103">
        <v>0.13</v>
      </c>
      <c r="E9" s="99">
        <v>0</v>
      </c>
      <c r="F9" s="107">
        <v>0.12998357201705196</v>
      </c>
      <c r="G9" s="108">
        <f t="shared" si="0"/>
        <v>4466.6098595187359</v>
      </c>
      <c r="H9" s="109">
        <f t="shared" si="1"/>
        <v>837.2392970074651</v>
      </c>
      <c r="I9" s="40"/>
      <c r="J9" s="23"/>
      <c r="K9" s="23"/>
      <c r="L9" s="30"/>
      <c r="M9" s="21"/>
      <c r="N9" s="21"/>
      <c r="O9" s="21"/>
      <c r="P9" s="21"/>
      <c r="Q9" s="21"/>
      <c r="R9" s="21"/>
      <c r="S9" s="21"/>
      <c r="T9" s="21"/>
    </row>
    <row r="10" spans="1:20">
      <c r="A10" s="101" t="s">
        <v>50</v>
      </c>
      <c r="B10" s="102">
        <v>30000</v>
      </c>
      <c r="C10" s="102">
        <v>7818</v>
      </c>
      <c r="D10" s="103">
        <v>0.2</v>
      </c>
      <c r="E10" s="99">
        <v>1</v>
      </c>
      <c r="F10" s="107">
        <v>0.1999878659972931</v>
      </c>
      <c r="G10" s="108">
        <f t="shared" si="0"/>
        <v>11708.453015203057</v>
      </c>
      <c r="H10" s="109">
        <f t="shared" si="1"/>
        <v>2194.6794727555998</v>
      </c>
      <c r="I10" s="40"/>
      <c r="J10" s="23"/>
      <c r="K10" s="23"/>
      <c r="L10" s="30"/>
      <c r="M10" s="21"/>
      <c r="N10" s="21"/>
      <c r="O10" s="21"/>
      <c r="P10" s="23"/>
      <c r="Q10" s="34"/>
      <c r="R10" s="27"/>
      <c r="S10" s="34"/>
      <c r="T10" s="21"/>
    </row>
    <row r="11" spans="1:20">
      <c r="A11" s="101" t="s">
        <v>51</v>
      </c>
      <c r="B11" s="102">
        <v>50000</v>
      </c>
      <c r="C11" s="102">
        <v>12644</v>
      </c>
      <c r="D11" s="103">
        <v>0.19</v>
      </c>
      <c r="E11" s="99">
        <v>0</v>
      </c>
      <c r="F11" s="107">
        <v>0.18999341347153945</v>
      </c>
      <c r="G11" s="108">
        <f t="shared" si="0"/>
        <v>17454.806846281339</v>
      </c>
      <c r="H11" s="109">
        <f t="shared" si="1"/>
        <v>3271.7991212593338</v>
      </c>
      <c r="I11" s="40"/>
      <c r="J11" s="23"/>
      <c r="K11" s="23"/>
      <c r="L11" s="30"/>
      <c r="M11" s="21"/>
      <c r="N11" s="21"/>
      <c r="O11" s="21"/>
      <c r="P11" s="21"/>
      <c r="Q11" s="21"/>
      <c r="R11" s="21"/>
      <c r="S11" s="21"/>
      <c r="T11" s="21"/>
    </row>
    <row r="12" spans="1:20">
      <c r="A12" s="101" t="s">
        <v>52</v>
      </c>
      <c r="B12" s="102">
        <v>40000</v>
      </c>
      <c r="C12" s="102">
        <v>10561</v>
      </c>
      <c r="D12" s="103">
        <v>0.2</v>
      </c>
      <c r="E12" s="99">
        <v>0.75</v>
      </c>
      <c r="F12" s="107">
        <v>0.20438847641213778</v>
      </c>
      <c r="G12" s="108">
        <f t="shared" si="0"/>
        <v>16342.155576050078</v>
      </c>
      <c r="H12" s="109">
        <f t="shared" si="1"/>
        <v>3063.239297007467</v>
      </c>
      <c r="I12" s="40"/>
      <c r="J12" s="23"/>
      <c r="K12" s="23"/>
      <c r="L12" s="30"/>
      <c r="M12" s="21"/>
      <c r="N12" s="21"/>
      <c r="O12" s="21"/>
      <c r="P12" s="21"/>
      <c r="Q12" s="21"/>
      <c r="R12" s="21"/>
      <c r="S12" s="21"/>
      <c r="T12" s="21"/>
    </row>
    <row r="13" spans="1:20">
      <c r="A13" s="92"/>
      <c r="B13" s="92"/>
      <c r="C13" s="92"/>
      <c r="D13" s="92"/>
      <c r="E13" s="99"/>
      <c r="F13" s="92"/>
      <c r="G13" s="104"/>
      <c r="H13" s="98"/>
      <c r="I13" s="26"/>
      <c r="J13" s="23"/>
      <c r="K13" s="23"/>
      <c r="L13" s="30"/>
      <c r="M13" s="21"/>
      <c r="N13" s="21"/>
      <c r="O13" s="21"/>
      <c r="P13" s="21"/>
      <c r="Q13" s="21"/>
      <c r="R13" s="21"/>
      <c r="S13" s="21"/>
      <c r="T13" s="21"/>
    </row>
    <row r="14" spans="1:20">
      <c r="A14" s="92"/>
      <c r="B14" s="92"/>
      <c r="C14" s="92"/>
      <c r="D14" s="100" t="s">
        <v>0</v>
      </c>
      <c r="E14" s="99">
        <f>SUM(E3:E6)</f>
        <v>1</v>
      </c>
      <c r="F14" s="92">
        <v>0</v>
      </c>
      <c r="G14" s="104"/>
      <c r="H14" s="98"/>
      <c r="I14" s="26"/>
      <c r="J14" s="23"/>
      <c r="K14" s="23"/>
      <c r="L14" s="30"/>
      <c r="M14" s="21"/>
      <c r="N14" s="21"/>
      <c r="O14" s="21"/>
      <c r="P14" s="21"/>
      <c r="Q14" s="21"/>
      <c r="R14" s="21"/>
      <c r="S14" s="21"/>
      <c r="T14" s="21"/>
    </row>
    <row r="15" spans="1:20">
      <c r="A15" s="92"/>
      <c r="B15" s="92"/>
      <c r="C15" s="92"/>
      <c r="D15" s="100" t="s">
        <v>1</v>
      </c>
      <c r="E15" s="99">
        <f>SUM(E7:E9)</f>
        <v>1</v>
      </c>
      <c r="F15" s="92">
        <v>0</v>
      </c>
      <c r="G15" s="104"/>
      <c r="H15" s="98"/>
      <c r="I15" s="2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>
      <c r="A16" s="92"/>
      <c r="B16" s="92"/>
      <c r="C16" s="92"/>
      <c r="D16" s="100" t="s">
        <v>2</v>
      </c>
      <c r="E16" s="99">
        <f>SUM(E10:E11)</f>
        <v>1</v>
      </c>
      <c r="F16" s="92">
        <v>0</v>
      </c>
      <c r="G16" s="104"/>
      <c r="H16" s="98"/>
      <c r="I16" s="26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11">
      <c r="A17" s="21"/>
      <c r="B17" s="21"/>
      <c r="C17" s="21"/>
      <c r="D17" s="100" t="s">
        <v>52</v>
      </c>
      <c r="E17" s="99">
        <f>E12</f>
        <v>0.75</v>
      </c>
      <c r="F17" s="92">
        <v>0</v>
      </c>
      <c r="G17" s="104"/>
      <c r="H17" s="98"/>
      <c r="I17" s="26"/>
      <c r="J17" s="21"/>
      <c r="K17" s="21"/>
    </row>
    <row r="18" spans="1:11">
      <c r="A18" s="21"/>
      <c r="B18" s="21"/>
      <c r="C18" s="21"/>
      <c r="D18" s="92"/>
      <c r="E18" s="92"/>
      <c r="F18" s="92"/>
      <c r="G18" s="104"/>
      <c r="H18" s="110">
        <v>130000</v>
      </c>
      <c r="I18" s="26"/>
      <c r="J18" s="21"/>
      <c r="K18" s="21"/>
    </row>
    <row r="19" spans="1:11">
      <c r="A19" s="21"/>
      <c r="B19" s="21"/>
      <c r="C19" s="21"/>
      <c r="D19" s="95" t="s">
        <v>53</v>
      </c>
      <c r="E19" s="96">
        <f>SUMPRODUCT(E3:E12,B3:B12)</f>
        <v>130000</v>
      </c>
      <c r="F19" s="92">
        <v>0</v>
      </c>
      <c r="G19" s="104"/>
      <c r="H19" s="98"/>
      <c r="I19" s="26"/>
      <c r="J19" s="21"/>
      <c r="K19" s="21"/>
    </row>
    <row r="20" spans="1:11">
      <c r="A20" s="21"/>
      <c r="B20" s="21"/>
      <c r="C20" s="21"/>
      <c r="D20" s="95" t="s">
        <v>54</v>
      </c>
      <c r="E20" s="105">
        <v>0.21769230769230768</v>
      </c>
      <c r="F20" s="92"/>
      <c r="G20" s="104"/>
      <c r="H20" s="98"/>
      <c r="I20" s="26"/>
      <c r="J20" s="21"/>
      <c r="K20" s="21"/>
    </row>
    <row r="21" spans="1:11">
      <c r="A21" s="21"/>
      <c r="B21" s="21"/>
      <c r="C21" s="21"/>
      <c r="D21" s="92"/>
      <c r="E21" s="92"/>
      <c r="F21" s="92"/>
      <c r="G21" s="104"/>
      <c r="H21" s="98"/>
      <c r="I21" s="24">
        <v>0</v>
      </c>
      <c r="J21" s="21"/>
      <c r="K21" s="21"/>
    </row>
    <row r="22" spans="1:11">
      <c r="A22" s="22"/>
      <c r="B22" s="21"/>
      <c r="C22" s="21"/>
      <c r="D22" s="92"/>
      <c r="E22" s="92"/>
      <c r="F22" s="124">
        <f>SUMPRODUCT(E3:E12,F3:F12)</f>
        <v>0.78330492224137949</v>
      </c>
      <c r="G22" s="110">
        <f>SUMPRODUCT(E3:E12,G3:G12)</f>
        <v>58422.92465217485</v>
      </c>
      <c r="H22" s="110">
        <f>SUMPRODUCT(E3:E12,H3:H12)</f>
        <v>10951.027715274267</v>
      </c>
      <c r="I22" s="26"/>
      <c r="J22" s="21"/>
      <c r="K22" s="21"/>
    </row>
    <row r="23" spans="1:11">
      <c r="A23" s="21"/>
      <c r="B23" s="21"/>
      <c r="C23" s="92" t="s">
        <v>120</v>
      </c>
      <c r="D23" s="23"/>
      <c r="E23" s="21"/>
      <c r="F23" s="21"/>
      <c r="G23" s="21"/>
      <c r="H23" s="21"/>
      <c r="I23" s="21"/>
      <c r="J23" s="21"/>
      <c r="K23" s="21"/>
    </row>
    <row r="24" spans="1:11">
      <c r="A24" s="21"/>
      <c r="B24" s="23"/>
      <c r="C24" s="28"/>
      <c r="D24" s="92"/>
      <c r="E24" s="92" t="s">
        <v>117</v>
      </c>
      <c r="F24" s="93" t="s">
        <v>55</v>
      </c>
      <c r="G24" s="46" t="s">
        <v>122</v>
      </c>
      <c r="H24" s="46" t="s">
        <v>122</v>
      </c>
      <c r="I24" s="25"/>
      <c r="J24" s="21"/>
      <c r="K24" s="21"/>
    </row>
    <row r="25" spans="1:11">
      <c r="A25" s="21"/>
      <c r="B25" s="21"/>
      <c r="C25" s="21"/>
      <c r="D25" s="21"/>
      <c r="E25" s="92" t="s">
        <v>118</v>
      </c>
      <c r="F25" s="93" t="s">
        <v>55</v>
      </c>
      <c r="G25" s="21" t="s">
        <v>121</v>
      </c>
      <c r="H25" s="21" t="s">
        <v>116</v>
      </c>
      <c r="I25" s="21"/>
      <c r="J25" s="21"/>
      <c r="K25" s="21"/>
    </row>
    <row r="26" spans="1:11">
      <c r="A26" s="21"/>
      <c r="B26" s="21"/>
      <c r="C26" s="21"/>
      <c r="D26" s="21"/>
      <c r="E26" s="92" t="s">
        <v>119</v>
      </c>
      <c r="F26" s="93" t="s">
        <v>55</v>
      </c>
      <c r="G26" s="33" t="s">
        <v>122</v>
      </c>
      <c r="H26" s="46" t="s">
        <v>122</v>
      </c>
      <c r="I26" s="33"/>
      <c r="J26" s="21"/>
      <c r="K26" s="23"/>
    </row>
    <row r="27" spans="1:11">
      <c r="E27" s="92"/>
      <c r="F27" s="93"/>
    </row>
    <row r="28" spans="1:11">
      <c r="A28" s="21"/>
      <c r="B28" s="21"/>
      <c r="C28" s="21"/>
      <c r="D28" s="21"/>
      <c r="E28" s="92"/>
      <c r="F28" s="23"/>
      <c r="G28" s="33"/>
      <c r="H28" s="33"/>
      <c r="I28" s="33"/>
      <c r="J28" s="21"/>
      <c r="K28" s="23"/>
    </row>
    <row r="29" spans="1:11">
      <c r="E29" s="92"/>
    </row>
    <row r="30" spans="1:11">
      <c r="A30" s="21"/>
      <c r="B30" s="21"/>
      <c r="C30" s="21"/>
      <c r="D30" s="21"/>
      <c r="E30" s="21"/>
      <c r="F30" s="23"/>
      <c r="G30" s="31"/>
      <c r="H30" s="39"/>
      <c r="I30" s="39"/>
      <c r="J30" s="21"/>
      <c r="K30" s="23"/>
    </row>
    <row r="31" spans="1:11">
      <c r="A31" s="21"/>
      <c r="B31" s="21"/>
      <c r="C31" s="23"/>
      <c r="D31" s="106"/>
      <c r="E31" s="92"/>
      <c r="F31" s="92"/>
      <c r="G31" s="92"/>
      <c r="H31" s="92"/>
      <c r="I31" s="21"/>
      <c r="J31" s="21"/>
      <c r="K31" s="2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Z34"/>
  <sheetViews>
    <sheetView topLeftCell="D1" zoomScaleNormal="100" workbookViewId="0">
      <selection activeCell="L22" sqref="L22"/>
    </sheetView>
  </sheetViews>
  <sheetFormatPr baseColWidth="10" defaultColWidth="8.83203125" defaultRowHeight="15"/>
  <cols>
    <col min="5" max="5" width="12.1640625" customWidth="1"/>
    <col min="9" max="10" width="14" bestFit="1" customWidth="1"/>
    <col min="11" max="11" width="15.5" bestFit="1" customWidth="1"/>
    <col min="12" max="12" width="16" customWidth="1"/>
    <col min="13" max="13" width="12.5" bestFit="1" customWidth="1"/>
    <col min="15" max="15" width="10.5" bestFit="1" customWidth="1"/>
  </cols>
  <sheetData>
    <row r="3" spans="4:26">
      <c r="R3" s="4"/>
    </row>
    <row r="7" spans="4:26">
      <c r="D7" s="118" t="s">
        <v>9</v>
      </c>
      <c r="E7" s="118"/>
      <c r="F7" s="118"/>
      <c r="G7" s="118"/>
      <c r="H7" s="118"/>
      <c r="I7" s="118"/>
      <c r="J7" s="118"/>
      <c r="K7" s="118"/>
      <c r="L7" s="118"/>
      <c r="M7" s="41"/>
      <c r="N7" s="41"/>
      <c r="O7" s="41"/>
      <c r="P7" s="41"/>
      <c r="Q7" s="41"/>
      <c r="R7" s="42"/>
      <c r="S7" s="41"/>
      <c r="T7" s="41"/>
      <c r="U7" s="41"/>
      <c r="W7" s="41"/>
      <c r="X7" s="41"/>
      <c r="Y7" s="41"/>
      <c r="Z7" s="41"/>
    </row>
    <row r="8" spans="4:26">
      <c r="D8" s="118"/>
      <c r="E8" s="118"/>
      <c r="F8" s="118"/>
      <c r="G8" s="118"/>
      <c r="H8" s="118"/>
      <c r="I8" s="118"/>
      <c r="J8" s="118"/>
      <c r="K8" s="118"/>
      <c r="L8" s="118"/>
      <c r="M8" s="41"/>
      <c r="N8" s="41"/>
      <c r="O8" s="41"/>
      <c r="P8" s="42"/>
      <c r="Q8" s="41"/>
      <c r="R8" s="41"/>
      <c r="S8" s="41"/>
      <c r="T8" s="41"/>
      <c r="U8" s="41"/>
      <c r="W8" s="41"/>
      <c r="X8" s="41"/>
      <c r="Y8" s="41"/>
      <c r="Z8" s="41"/>
    </row>
    <row r="9" spans="4:26" ht="17" thickBot="1">
      <c r="D9" s="41"/>
      <c r="E9" s="41"/>
      <c r="F9" s="41"/>
      <c r="G9" s="41"/>
      <c r="H9" s="41"/>
      <c r="I9" s="43" t="s">
        <v>56</v>
      </c>
      <c r="J9" s="45" t="s">
        <v>40</v>
      </c>
      <c r="K9" s="45" t="s">
        <v>41</v>
      </c>
      <c r="L9" s="45" t="s">
        <v>42</v>
      </c>
      <c r="M9" s="45" t="s">
        <v>57</v>
      </c>
      <c r="N9" s="45"/>
      <c r="O9" s="41"/>
      <c r="P9" s="55"/>
      <c r="Q9" s="55"/>
      <c r="R9" s="55"/>
      <c r="S9" s="55"/>
      <c r="T9" s="55"/>
      <c r="U9" s="55"/>
      <c r="W9" s="55"/>
      <c r="X9" s="55"/>
      <c r="Y9" s="55"/>
      <c r="Z9" s="55"/>
    </row>
    <row r="10" spans="4:26" ht="52" thickBot="1">
      <c r="D10" s="47" t="s">
        <v>58</v>
      </c>
      <c r="E10" s="48" t="s">
        <v>59</v>
      </c>
      <c r="F10" s="48" t="s">
        <v>60</v>
      </c>
      <c r="G10" s="48" t="s">
        <v>61</v>
      </c>
      <c r="H10" s="56" t="s">
        <v>62</v>
      </c>
      <c r="I10" s="53" t="s">
        <v>63</v>
      </c>
      <c r="J10" s="41"/>
      <c r="K10" s="41"/>
      <c r="L10" s="41"/>
      <c r="M10" s="41"/>
      <c r="N10" s="41"/>
      <c r="O10" s="41"/>
      <c r="P10" s="55"/>
      <c r="Q10" s="55"/>
      <c r="R10" s="55"/>
      <c r="S10" s="55"/>
      <c r="T10" s="55"/>
      <c r="U10" s="55"/>
      <c r="V10" s="90"/>
      <c r="W10" s="55"/>
      <c r="X10" s="55"/>
      <c r="Y10" s="55"/>
      <c r="Z10" s="55"/>
    </row>
    <row r="11" spans="4:26" ht="17" thickBot="1">
      <c r="D11" s="49">
        <v>1</v>
      </c>
      <c r="E11" s="50">
        <v>4200</v>
      </c>
      <c r="F11" s="50">
        <v>6</v>
      </c>
      <c r="G11" s="50">
        <v>3.77</v>
      </c>
      <c r="H11" s="56">
        <v>0</v>
      </c>
      <c r="I11" s="44">
        <f>G11*E11</f>
        <v>15834</v>
      </c>
      <c r="J11" s="54">
        <f>I11-E11</f>
        <v>11634</v>
      </c>
      <c r="K11" s="54">
        <f>-FV(20%,F11,,J11)</f>
        <v>34738.937855999997</v>
      </c>
      <c r="L11" s="54">
        <f>-PMT(20%,F11,J11)</f>
        <v>3498.4106474170994</v>
      </c>
      <c r="M11" s="54">
        <v>4761.3747800586516</v>
      </c>
      <c r="N11" s="42"/>
      <c r="O11" s="91"/>
      <c r="P11" s="55"/>
      <c r="Q11" s="55"/>
      <c r="R11" s="90"/>
      <c r="S11" s="55"/>
      <c r="T11" s="55"/>
      <c r="U11" s="55"/>
      <c r="V11" s="55"/>
      <c r="W11" s="55"/>
      <c r="X11" s="55"/>
      <c r="Y11" s="55"/>
      <c r="Z11" s="55"/>
    </row>
    <row r="12" spans="4:26" ht="17" thickBot="1">
      <c r="D12" s="49">
        <v>2</v>
      </c>
      <c r="E12" s="50">
        <v>4400</v>
      </c>
      <c r="F12" s="50">
        <v>4</v>
      </c>
      <c r="G12" s="50">
        <v>3.37</v>
      </c>
      <c r="H12" s="56">
        <v>1</v>
      </c>
      <c r="I12" s="44">
        <f t="shared" ref="I12:I16" si="0">G12*E12</f>
        <v>14828</v>
      </c>
      <c r="J12" s="54">
        <f t="shared" ref="J12:J16" si="1">I12-E12</f>
        <v>10428</v>
      </c>
      <c r="K12" s="54">
        <f t="shared" ref="K12:K16" si="2">-FV(20%,F12,,J12)</f>
        <v>21623.500799999998</v>
      </c>
      <c r="L12" s="54">
        <f t="shared" ref="L12:L16" si="3">-PMT(20%,F12,J12)</f>
        <v>4028.2229508196733</v>
      </c>
      <c r="M12" s="54">
        <v>5727.8950819672136</v>
      </c>
      <c r="N12" s="41"/>
      <c r="O12" s="41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4:26" ht="17" thickBot="1">
      <c r="D13" s="49">
        <v>3</v>
      </c>
      <c r="E13" s="50">
        <v>4700</v>
      </c>
      <c r="F13" s="50">
        <v>7</v>
      </c>
      <c r="G13" s="50">
        <v>3.64</v>
      </c>
      <c r="H13" s="56">
        <v>0</v>
      </c>
      <c r="I13" s="44">
        <f t="shared" si="0"/>
        <v>17108</v>
      </c>
      <c r="J13" s="54">
        <f t="shared" si="1"/>
        <v>12408</v>
      </c>
      <c r="K13" s="54">
        <f t="shared" si="2"/>
        <v>44460.107366399992</v>
      </c>
      <c r="L13" s="54">
        <f t="shared" si="3"/>
        <v>3442.2760781126899</v>
      </c>
      <c r="M13" s="54">
        <v>4746.1685319432545</v>
      </c>
      <c r="N13" s="41"/>
      <c r="O13" s="41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4:26" ht="17" thickBot="1">
      <c r="D14" s="49">
        <v>4</v>
      </c>
      <c r="E14" s="50">
        <v>8600</v>
      </c>
      <c r="F14" s="50">
        <v>4</v>
      </c>
      <c r="G14" s="50">
        <v>2.21</v>
      </c>
      <c r="H14" s="51">
        <v>1</v>
      </c>
      <c r="I14" s="44">
        <f t="shared" si="0"/>
        <v>19006</v>
      </c>
      <c r="J14" s="54">
        <f t="shared" si="1"/>
        <v>10406</v>
      </c>
      <c r="K14" s="54">
        <f t="shared" si="2"/>
        <v>21577.881600000001</v>
      </c>
      <c r="L14" s="54">
        <f t="shared" si="3"/>
        <v>4019.7245901639349</v>
      </c>
      <c r="M14" s="54">
        <v>7341.8110283159467</v>
      </c>
      <c r="N14" s="41"/>
      <c r="O14" s="41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4:26" ht="17" thickBot="1">
      <c r="D15" s="49">
        <v>5</v>
      </c>
      <c r="E15" s="50">
        <v>8900</v>
      </c>
      <c r="F15" s="50">
        <v>8</v>
      </c>
      <c r="G15" s="50">
        <v>2.4300000000000002</v>
      </c>
      <c r="H15" s="51">
        <v>0</v>
      </c>
      <c r="I15" s="44">
        <f t="shared" si="0"/>
        <v>21627</v>
      </c>
      <c r="J15" s="54">
        <f t="shared" si="1"/>
        <v>12727</v>
      </c>
      <c r="K15" s="54">
        <f t="shared" si="2"/>
        <v>54723.77044991999</v>
      </c>
      <c r="L15" s="54">
        <f t="shared" si="3"/>
        <v>3316.7761189953999</v>
      </c>
      <c r="M15" s="54">
        <v>5636.1999784327436</v>
      </c>
      <c r="N15" s="41"/>
      <c r="O15" s="41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4:26" ht="17" thickBot="1">
      <c r="D16" s="49">
        <v>6</v>
      </c>
      <c r="E16" s="50">
        <v>9100</v>
      </c>
      <c r="F16" s="50">
        <v>5</v>
      </c>
      <c r="G16" s="50">
        <v>2.2400000000000002</v>
      </c>
      <c r="H16" s="51">
        <v>0</v>
      </c>
      <c r="I16" s="44">
        <f t="shared" si="0"/>
        <v>20384.000000000004</v>
      </c>
      <c r="J16" s="54">
        <f t="shared" si="1"/>
        <v>11284.000000000004</v>
      </c>
      <c r="K16" s="54">
        <f t="shared" si="2"/>
        <v>28078.202880000008</v>
      </c>
      <c r="L16" s="54">
        <f t="shared" si="3"/>
        <v>3773.1405719200188</v>
      </c>
      <c r="M16" s="54">
        <v>6815.9958718555163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8" spans="4:15">
      <c r="O18" s="4"/>
    </row>
    <row r="19" spans="4:15">
      <c r="D19" s="43" t="s">
        <v>64</v>
      </c>
      <c r="E19" s="42">
        <v>0.2</v>
      </c>
      <c r="F19" s="41"/>
      <c r="G19" s="41"/>
      <c r="H19" s="41"/>
      <c r="I19" s="43" t="s">
        <v>65</v>
      </c>
      <c r="J19" s="46">
        <f>SUMPRODUCT(H11:H16,J11:J16)</f>
        <v>20834</v>
      </c>
      <c r="K19" s="46"/>
      <c r="L19" s="46">
        <f>SUMPRODUCT(H11:H16,L11:L16)</f>
        <v>8047.9475409836086</v>
      </c>
      <c r="M19" s="46"/>
      <c r="N19" s="46"/>
    </row>
    <row r="20" spans="4:15">
      <c r="D20" s="43" t="s">
        <v>66</v>
      </c>
      <c r="E20" s="46">
        <v>13000</v>
      </c>
      <c r="F20" s="41"/>
      <c r="G20" s="41"/>
      <c r="H20" s="41"/>
      <c r="I20" s="41"/>
      <c r="J20" s="41"/>
      <c r="K20" s="41"/>
      <c r="L20" s="41"/>
      <c r="M20" s="41"/>
      <c r="N20" s="41"/>
    </row>
    <row r="21" spans="4:15">
      <c r="D21" s="41"/>
      <c r="E21" s="41"/>
      <c r="F21" s="41"/>
      <c r="G21" s="41"/>
      <c r="H21" s="41"/>
      <c r="I21" s="41"/>
      <c r="J21" s="43" t="s">
        <v>67</v>
      </c>
      <c r="K21" s="45" t="s">
        <v>67</v>
      </c>
      <c r="L21" s="45" t="s">
        <v>68</v>
      </c>
      <c r="M21" s="41"/>
      <c r="N21" s="41"/>
    </row>
    <row r="23" spans="4:15">
      <c r="E23" s="89">
        <f>E11*F11/L11</f>
        <v>7.2032710106817603</v>
      </c>
    </row>
    <row r="27" spans="4:15" ht="20">
      <c r="D27" s="119" t="s">
        <v>19</v>
      </c>
      <c r="E27" s="119"/>
      <c r="F27" s="119"/>
      <c r="G27" s="119"/>
      <c r="H27" s="119"/>
      <c r="I27" s="119"/>
      <c r="J27" s="119"/>
      <c r="K27" s="119"/>
      <c r="L27" s="119"/>
      <c r="M27" s="119"/>
      <c r="N27" s="41"/>
    </row>
    <row r="29" spans="4:15">
      <c r="D29" s="41"/>
      <c r="E29" s="41"/>
      <c r="F29" s="43" t="s">
        <v>69</v>
      </c>
      <c r="G29" s="41"/>
      <c r="H29" s="41"/>
      <c r="I29" s="41"/>
      <c r="J29" s="41"/>
      <c r="K29" s="41"/>
      <c r="L29" s="41"/>
      <c r="M29" s="41"/>
      <c r="N29" s="41"/>
    </row>
    <row r="33" spans="5:11" ht="20">
      <c r="E33" s="119" t="s">
        <v>27</v>
      </c>
      <c r="F33" s="119"/>
      <c r="G33" s="119"/>
      <c r="H33" s="119"/>
      <c r="I33" s="119"/>
      <c r="J33" s="119"/>
      <c r="K33" s="119"/>
    </row>
    <row r="34" spans="5:11" ht="16">
      <c r="E34" s="41"/>
      <c r="F34" s="52" t="s">
        <v>70</v>
      </c>
      <c r="G34" s="41"/>
      <c r="H34" s="41"/>
      <c r="I34" s="41"/>
      <c r="J34" s="41"/>
      <c r="K34" s="41"/>
    </row>
  </sheetData>
  <mergeCells count="3">
    <mergeCell ref="D7:L8"/>
    <mergeCell ref="D27:M27"/>
    <mergeCell ref="E33:K3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22"/>
  <sheetViews>
    <sheetView workbookViewId="0">
      <selection activeCell="F22" sqref="F22"/>
    </sheetView>
  </sheetViews>
  <sheetFormatPr baseColWidth="10" defaultColWidth="8.83203125" defaultRowHeight="15"/>
  <cols>
    <col min="2" max="2" width="8.6640625" bestFit="1" customWidth="1"/>
    <col min="3" max="3" width="13.6640625" customWidth="1"/>
    <col min="4" max="4" width="6.6640625" bestFit="1" customWidth="1"/>
    <col min="5" max="5" width="10.5" customWidth="1"/>
    <col min="28" max="28" width="4.5" customWidth="1"/>
  </cols>
  <sheetData>
    <row r="1" spans="2:36">
      <c r="B1" s="120" t="s">
        <v>75</v>
      </c>
      <c r="C1" s="120"/>
      <c r="D1" s="120"/>
    </row>
    <row r="2" spans="2:36">
      <c r="B2" s="57"/>
      <c r="C2" s="57"/>
      <c r="D2" s="57"/>
      <c r="O2" s="121" t="s">
        <v>76</v>
      </c>
      <c r="P2" s="122"/>
      <c r="Q2" s="122"/>
      <c r="R2" s="122"/>
      <c r="S2" s="122"/>
      <c r="T2" s="122"/>
      <c r="Z2" s="58" t="s">
        <v>74</v>
      </c>
      <c r="AA2">
        <v>520</v>
      </c>
    </row>
    <row r="3" spans="2:36">
      <c r="B3" s="59" t="s">
        <v>77</v>
      </c>
      <c r="C3" s="60">
        <v>40000</v>
      </c>
      <c r="D3" s="57"/>
      <c r="O3" s="122"/>
      <c r="P3" s="122"/>
      <c r="Q3" s="122"/>
      <c r="R3" s="122"/>
      <c r="S3" s="122"/>
      <c r="T3" s="122"/>
      <c r="Z3" s="58" t="s">
        <v>73</v>
      </c>
      <c r="AA3">
        <v>400</v>
      </c>
    </row>
    <row r="4" spans="2:36">
      <c r="B4" s="59" t="s">
        <v>78</v>
      </c>
      <c r="C4" s="60">
        <v>12000</v>
      </c>
      <c r="D4" s="1"/>
      <c r="O4" s="122"/>
      <c r="P4" s="122"/>
      <c r="Q4" s="122"/>
      <c r="R4" s="122"/>
      <c r="S4" s="122"/>
      <c r="T4" s="122"/>
      <c r="Z4" s="58" t="s">
        <v>79</v>
      </c>
      <c r="AA4">
        <v>3</v>
      </c>
      <c r="AD4" t="s">
        <v>72</v>
      </c>
    </row>
    <row r="5" spans="2:36">
      <c r="B5" s="58" t="s">
        <v>80</v>
      </c>
      <c r="C5" s="61">
        <f>C3+C4</f>
        <v>52000</v>
      </c>
      <c r="O5" s="122"/>
      <c r="P5" s="122"/>
      <c r="Q5" s="122"/>
      <c r="R5" s="122"/>
      <c r="S5" s="122"/>
      <c r="T5" s="122"/>
      <c r="Z5" s="58" t="s">
        <v>71</v>
      </c>
      <c r="AA5">
        <v>120</v>
      </c>
      <c r="AD5" s="1" t="s">
        <v>81</v>
      </c>
      <c r="AE5" s="1" t="s">
        <v>82</v>
      </c>
      <c r="AF5" s="1" t="s">
        <v>83</v>
      </c>
      <c r="AG5" s="1" t="s">
        <v>84</v>
      </c>
      <c r="AH5" s="1" t="s">
        <v>74</v>
      </c>
      <c r="AI5" s="1" t="s">
        <v>71</v>
      </c>
    </row>
    <row r="6" spans="2:36">
      <c r="B6" s="59" t="s">
        <v>85</v>
      </c>
      <c r="C6" s="62">
        <v>3</v>
      </c>
      <c r="D6" s="63" t="s">
        <v>86</v>
      </c>
      <c r="O6" s="122"/>
      <c r="P6" s="122"/>
      <c r="Q6" s="122"/>
      <c r="R6" s="122"/>
      <c r="S6" s="122"/>
      <c r="T6" s="122"/>
      <c r="Z6" s="58"/>
      <c r="AC6">
        <v>0</v>
      </c>
      <c r="AE6" s="1"/>
      <c r="AG6">
        <v>100</v>
      </c>
      <c r="AH6" s="1">
        <v>400</v>
      </c>
    </row>
    <row r="7" spans="2:36" ht="17">
      <c r="B7" s="59" t="s">
        <v>87</v>
      </c>
      <c r="C7" s="64">
        <v>0.02</v>
      </c>
      <c r="D7" s="63" t="s">
        <v>88</v>
      </c>
      <c r="O7" s="122"/>
      <c r="P7" s="122"/>
      <c r="Q7" s="122"/>
      <c r="R7" s="122"/>
      <c r="S7" s="122"/>
      <c r="T7" s="122"/>
      <c r="Z7" s="58" t="s">
        <v>89</v>
      </c>
      <c r="AA7" s="4">
        <v>0.02</v>
      </c>
      <c r="AC7">
        <v>1</v>
      </c>
      <c r="AD7" s="20">
        <v>0.01</v>
      </c>
      <c r="AF7" s="20">
        <v>0.02</v>
      </c>
      <c r="AG7">
        <f>AG6*(1+AF7)*(1+AD7)</f>
        <v>103.02</v>
      </c>
      <c r="AH7" s="1">
        <f>AH6*AG7/100</f>
        <v>412.08</v>
      </c>
      <c r="AI7">
        <f>AH7-AH6</f>
        <v>12.079999999999984</v>
      </c>
      <c r="AJ7">
        <f>AH6*(1+AD7)*(1+AF7)</f>
        <v>412.08</v>
      </c>
    </row>
    <row r="8" spans="2:36" ht="17">
      <c r="B8" s="59" t="s">
        <v>90</v>
      </c>
      <c r="C8" s="64">
        <v>0.01</v>
      </c>
      <c r="D8" s="63" t="s">
        <v>91</v>
      </c>
      <c r="O8" s="122"/>
      <c r="P8" s="122"/>
      <c r="Q8" s="122"/>
      <c r="R8" s="122"/>
      <c r="S8" s="122"/>
      <c r="T8" s="122"/>
      <c r="AC8">
        <v>2</v>
      </c>
      <c r="AD8" s="20">
        <f>$AD$11</f>
        <v>0.1013127599892054</v>
      </c>
      <c r="AF8" s="20">
        <v>0.02</v>
      </c>
      <c r="AG8">
        <f>AG7*(1+AF8)*(1+AD8)</f>
        <v>115.7263853447697</v>
      </c>
      <c r="AH8" s="1">
        <f t="shared" ref="AH8" si="0">AH7*AG8/100</f>
        <v>476.88528872872695</v>
      </c>
      <c r="AI8">
        <f t="shared" ref="AI8" si="1">AH8-AH7</f>
        <v>64.805288728726964</v>
      </c>
      <c r="AJ8">
        <f>AH7*(1+AD8)*(1+AF8)</f>
        <v>462.90554137907884</v>
      </c>
    </row>
    <row r="9" spans="2:36" ht="17">
      <c r="B9" s="59" t="s">
        <v>92</v>
      </c>
      <c r="C9" s="65" t="s">
        <v>93</v>
      </c>
      <c r="D9" s="63" t="s">
        <v>88</v>
      </c>
      <c r="O9" s="122"/>
      <c r="P9" s="122"/>
      <c r="Q9" s="122"/>
      <c r="R9" s="122"/>
      <c r="S9" s="122"/>
      <c r="T9" s="122"/>
      <c r="AC9">
        <v>3</v>
      </c>
      <c r="AD9" s="20">
        <f>$AD$11</f>
        <v>0.1013127599892054</v>
      </c>
      <c r="AF9" s="20">
        <v>0.02</v>
      </c>
      <c r="AG9">
        <f>AG8*(1+AF9)*(1+AD9)</f>
        <v>129.9999637445751</v>
      </c>
      <c r="AH9" s="1"/>
      <c r="AJ9">
        <f>AH8*(1+AD9)*(1+AF9)</f>
        <v>535.70385059864509</v>
      </c>
    </row>
    <row r="10" spans="2:36">
      <c r="O10" s="122"/>
      <c r="P10" s="122"/>
      <c r="Q10" s="122"/>
      <c r="R10" s="122"/>
      <c r="S10" s="122"/>
      <c r="T10" s="122"/>
      <c r="AA10" t="s">
        <v>94</v>
      </c>
    </row>
    <row r="11" spans="2:36" ht="17">
      <c r="B11" s="66" t="s">
        <v>95</v>
      </c>
      <c r="C11" s="67">
        <f>((C5/C3)^(1/C6))-1</f>
        <v>9.1392883061105934E-2</v>
      </c>
      <c r="D11" s="68" t="s">
        <v>88</v>
      </c>
      <c r="E11" s="69"/>
      <c r="I11" s="66" t="s">
        <v>95</v>
      </c>
      <c r="J11" s="70">
        <f>C4/C3</f>
        <v>0.3</v>
      </c>
      <c r="K11" s="68" t="s">
        <v>96</v>
      </c>
      <c r="L11" s="69"/>
      <c r="O11" s="122"/>
      <c r="P11" s="122"/>
      <c r="Q11" s="122"/>
      <c r="R11" s="122"/>
      <c r="S11" s="122"/>
      <c r="T11" s="122"/>
      <c r="AA11">
        <f>(AA2/AA3)^(1/3)</f>
        <v>1.0913928830611059</v>
      </c>
      <c r="AD11" s="71">
        <v>0.1013127599892054</v>
      </c>
    </row>
    <row r="12" spans="2:36">
      <c r="E12" s="69"/>
      <c r="L12" s="69"/>
      <c r="Y12" t="s">
        <v>97</v>
      </c>
      <c r="AA12" s="69">
        <f>AA11-1</f>
        <v>9.1392883061105934E-2</v>
      </c>
    </row>
    <row r="13" spans="2:36" ht="18">
      <c r="B13" s="72" t="s">
        <v>98</v>
      </c>
      <c r="C13" s="73">
        <f>(1+C11)^C6</f>
        <v>1.3000000000000003</v>
      </c>
      <c r="D13" s="74"/>
      <c r="I13" s="72" t="s">
        <v>99</v>
      </c>
      <c r="J13" s="73">
        <f>(1+J11)</f>
        <v>1.3</v>
      </c>
      <c r="K13" s="74"/>
      <c r="Y13" t="s">
        <v>100</v>
      </c>
      <c r="AD13" s="1" t="s">
        <v>81</v>
      </c>
      <c r="AE13" s="1" t="s">
        <v>83</v>
      </c>
      <c r="AF13" s="1" t="s">
        <v>101</v>
      </c>
      <c r="AG13" s="1" t="s">
        <v>102</v>
      </c>
    </row>
    <row r="14" spans="2:36">
      <c r="B14" s="72"/>
      <c r="C14" s="3"/>
      <c r="D14" s="74"/>
      <c r="E14" s="75"/>
      <c r="F14" s="76"/>
      <c r="I14" s="72"/>
      <c r="J14" s="3"/>
      <c r="K14" s="74"/>
      <c r="L14" s="75"/>
      <c r="AC14">
        <v>0</v>
      </c>
      <c r="AG14" s="1">
        <f>AA3</f>
        <v>400</v>
      </c>
    </row>
    <row r="15" spans="2:36" ht="18">
      <c r="B15" s="72" t="s">
        <v>103</v>
      </c>
      <c r="C15" s="77">
        <f>(1+C7)^C6</f>
        <v>1.0612079999999999</v>
      </c>
      <c r="D15" s="74"/>
      <c r="G15" s="123" t="s">
        <v>104</v>
      </c>
      <c r="H15" s="123"/>
      <c r="I15" s="72" t="s">
        <v>103</v>
      </c>
      <c r="J15" s="77">
        <f>(1+C7)^C6</f>
        <v>1.0612079999999999</v>
      </c>
      <c r="K15" s="74"/>
      <c r="AC15">
        <v>1</v>
      </c>
      <c r="AD15" s="20">
        <v>0.01</v>
      </c>
      <c r="AE15" s="20">
        <v>0.02</v>
      </c>
      <c r="AF15" s="78">
        <f>(1+AD15)*(1+AE15)-1</f>
        <v>3.0200000000000005E-2</v>
      </c>
      <c r="AG15" s="1">
        <f>AG14*(1+AF15)</f>
        <v>412.08</v>
      </c>
    </row>
    <row r="16" spans="2:36">
      <c r="B16" s="72"/>
      <c r="C16" s="3"/>
      <c r="D16" s="74"/>
      <c r="G16" s="123"/>
      <c r="H16" s="123"/>
      <c r="I16" s="72"/>
      <c r="J16" s="3"/>
      <c r="K16" s="74"/>
      <c r="AC16">
        <v>2</v>
      </c>
      <c r="AD16" s="20">
        <f>$AD$11</f>
        <v>0.1013127599892054</v>
      </c>
      <c r="AE16" s="20">
        <v>0.02</v>
      </c>
      <c r="AF16" s="78">
        <f t="shared" ref="AF16:AF17" si="2">(1+AD16)*(1+AE16)-1</f>
        <v>0.12333901518898949</v>
      </c>
      <c r="AG16" s="1">
        <f t="shared" ref="AG16:AG17" si="3">AG15*(1+AF16)</f>
        <v>462.90554137907878</v>
      </c>
    </row>
    <row r="17" spans="1:33" ht="17">
      <c r="A17" s="79"/>
      <c r="B17" s="72" t="s">
        <v>105</v>
      </c>
      <c r="C17" s="80">
        <f>1+C8</f>
        <v>1.01</v>
      </c>
      <c r="D17" s="81"/>
      <c r="I17" s="72" t="s">
        <v>105</v>
      </c>
      <c r="J17" s="80">
        <f>1+C8</f>
        <v>1.01</v>
      </c>
      <c r="K17" s="81"/>
      <c r="AC17">
        <v>3</v>
      </c>
      <c r="AD17" s="20">
        <f>$AD$11</f>
        <v>0.1013127599892054</v>
      </c>
      <c r="AE17" s="20">
        <v>0.02</v>
      </c>
      <c r="AF17" s="78">
        <f t="shared" si="2"/>
        <v>0.12333901518898949</v>
      </c>
      <c r="AG17" s="1">
        <f t="shared" si="3"/>
        <v>519.99985497830039</v>
      </c>
    </row>
    <row r="18" spans="1:33" ht="18">
      <c r="B18" s="72" t="s">
        <v>106</v>
      </c>
      <c r="C18" s="80" t="s">
        <v>107</v>
      </c>
      <c r="D18" s="82" t="s">
        <v>108</v>
      </c>
      <c r="E18" s="83" t="s">
        <v>109</v>
      </c>
      <c r="I18" s="72" t="s">
        <v>106</v>
      </c>
      <c r="J18" s="80" t="s">
        <v>107</v>
      </c>
      <c r="K18" s="82" t="s">
        <v>108</v>
      </c>
      <c r="L18" s="83" t="s">
        <v>109</v>
      </c>
    </row>
    <row r="19" spans="1:33" ht="17">
      <c r="B19" s="72" t="s">
        <v>110</v>
      </c>
      <c r="C19" s="80" t="s">
        <v>107</v>
      </c>
      <c r="I19" s="72" t="s">
        <v>110</v>
      </c>
      <c r="J19" s="80" t="s">
        <v>107</v>
      </c>
    </row>
    <row r="20" spans="1:33">
      <c r="A20" s="79"/>
      <c r="B20" s="72"/>
      <c r="C20" s="80"/>
      <c r="D20" s="81"/>
      <c r="I20" s="72"/>
      <c r="J20" s="80"/>
      <c r="K20" s="81"/>
    </row>
    <row r="21" spans="1:33" ht="18">
      <c r="B21" s="84" t="s">
        <v>111</v>
      </c>
      <c r="C21">
        <f>C13/(C15*C17)</f>
        <v>1.2128901335754041</v>
      </c>
      <c r="I21" s="84" t="s">
        <v>111</v>
      </c>
      <c r="J21">
        <f>J13/(J15*J17)</f>
        <v>1.2128901335754039</v>
      </c>
    </row>
    <row r="22" spans="1:33" ht="19">
      <c r="B22" s="85" t="s">
        <v>112</v>
      </c>
      <c r="C22" s="86">
        <f>(C21^(1/2))-1</f>
        <v>0.1013129135606301</v>
      </c>
      <c r="D22" s="87" t="s">
        <v>113</v>
      </c>
      <c r="I22" s="72" t="s">
        <v>114</v>
      </c>
      <c r="J22" s="88">
        <f>(J21^(1/2))-1</f>
        <v>0.1013129135606301</v>
      </c>
      <c r="K22" s="68" t="s">
        <v>91</v>
      </c>
    </row>
  </sheetData>
  <mergeCells count="3">
    <mergeCell ref="B1:D1"/>
    <mergeCell ref="O2:T11"/>
    <mergeCell ref="G15:H16"/>
  </mergeCells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quation.3" shapeId="5121" r:id="rId3">
          <objectPr defaultSize="0" autoPict="0" r:id="rId4">
            <anchor moveWithCells="1" sizeWithCells="1">
              <from>
                <xdr:col>4</xdr:col>
                <xdr:colOff>190500</xdr:colOff>
                <xdr:row>0</xdr:row>
                <xdr:rowOff>0</xdr:rowOff>
              </from>
              <to>
                <xdr:col>13</xdr:col>
                <xdr:colOff>381000</xdr:colOff>
                <xdr:row>2</xdr:row>
                <xdr:rowOff>177800</xdr:rowOff>
              </to>
            </anchor>
          </objectPr>
        </oleObject>
      </mc:Choice>
      <mc:Fallback>
        <oleObject progId="Equation.3" shapeId="5121" r:id="rId3"/>
      </mc:Fallback>
    </mc:AlternateContent>
    <mc:AlternateContent xmlns:mc="http://schemas.openxmlformats.org/markup-compatibility/2006">
      <mc:Choice Requires="x14">
        <oleObject progId="Equation.3" shapeId="5122" r:id="rId5">
          <objectPr defaultSize="0" autoPict="0" r:id="rId6">
            <anchor moveWithCells="1" sizeWithCells="1">
              <from>
                <xdr:col>4</xdr:col>
                <xdr:colOff>12700</xdr:colOff>
                <xdr:row>10</xdr:row>
                <xdr:rowOff>0</xdr:rowOff>
              </from>
              <to>
                <xdr:col>6</xdr:col>
                <xdr:colOff>317500</xdr:colOff>
                <xdr:row>12</xdr:row>
                <xdr:rowOff>127000</xdr:rowOff>
              </to>
            </anchor>
          </objectPr>
        </oleObject>
      </mc:Choice>
      <mc:Fallback>
        <oleObject progId="Equation.3" shapeId="5122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50900-1F43-7343-B1EE-9F0076E8C8B6}">
  <dimension ref="A1:BA44"/>
  <sheetViews>
    <sheetView tabSelected="1" topLeftCell="L29" zoomScale="150" zoomScaleNormal="150" workbookViewId="0">
      <selection activeCell="N44" sqref="N44"/>
    </sheetView>
  </sheetViews>
  <sheetFormatPr baseColWidth="10" defaultColWidth="8.83203125" defaultRowHeight="15"/>
  <cols>
    <col min="2" max="2" width="10.33203125" bestFit="1" customWidth="1"/>
    <col min="7" max="7" width="9.83203125" bestFit="1" customWidth="1"/>
    <col min="10" max="12" width="10.33203125" bestFit="1" customWidth="1"/>
    <col min="15" max="15" width="9.5" bestFit="1" customWidth="1"/>
    <col min="21" max="21" width="10.5" bestFit="1" customWidth="1"/>
    <col min="22" max="22" width="10.5" customWidth="1"/>
    <col min="23" max="23" width="11.83203125" customWidth="1"/>
    <col min="43" max="43" width="9.33203125" bestFit="1" customWidth="1"/>
    <col min="50" max="50" width="9.33203125" bestFit="1" customWidth="1"/>
  </cols>
  <sheetData>
    <row r="1" spans="1:53">
      <c r="A1" s="125" t="s">
        <v>123</v>
      </c>
      <c r="H1" s="126" t="s">
        <v>124</v>
      </c>
      <c r="I1" s="127">
        <f>C6*0.18</f>
        <v>1620</v>
      </c>
      <c r="U1" t="s">
        <v>125</v>
      </c>
      <c r="V1">
        <v>20000</v>
      </c>
      <c r="AM1" s="128"/>
      <c r="AN1" s="128"/>
      <c r="AO1" s="128"/>
      <c r="AP1" s="128" t="s">
        <v>159</v>
      </c>
      <c r="AQ1" s="128"/>
      <c r="AR1" s="128">
        <v>1000</v>
      </c>
      <c r="AT1" s="125"/>
      <c r="AU1" s="125"/>
      <c r="AV1" s="125"/>
      <c r="AW1" s="125"/>
      <c r="AX1" s="125"/>
      <c r="AY1" s="125"/>
      <c r="AZ1" s="125"/>
      <c r="BA1" s="125"/>
    </row>
    <row r="2" spans="1:53">
      <c r="A2" t="s">
        <v>126</v>
      </c>
      <c r="H2" s="129" t="s">
        <v>127</v>
      </c>
      <c r="I2" s="127">
        <f>D6*0.6*0.18</f>
        <v>324</v>
      </c>
      <c r="K2" s="130"/>
      <c r="N2" t="s">
        <v>128</v>
      </c>
      <c r="U2" t="s">
        <v>129</v>
      </c>
      <c r="V2" s="131">
        <f>PMT(0.06,10,$V$1)</f>
        <v>-2717.3591644076764</v>
      </c>
      <c r="W2" s="132">
        <f>PMT(6%,10,V1)</f>
        <v>-2717.3591644076764</v>
      </c>
      <c r="AB2" s="130"/>
      <c r="AE2" s="133" t="s">
        <v>130</v>
      </c>
      <c r="AF2" s="133"/>
      <c r="AG2" s="133"/>
      <c r="AH2" s="133"/>
      <c r="AI2" s="133"/>
      <c r="AJ2" s="133"/>
      <c r="AK2" s="133"/>
      <c r="AM2" s="133" t="s">
        <v>131</v>
      </c>
      <c r="AN2" s="133"/>
      <c r="AO2" s="133"/>
      <c r="AP2" s="133"/>
      <c r="AQ2" s="133"/>
      <c r="AR2" s="133"/>
      <c r="AT2" s="125"/>
      <c r="AU2" s="125"/>
      <c r="AV2" s="125"/>
      <c r="AW2" s="125"/>
      <c r="AX2" s="125"/>
      <c r="AY2" s="125"/>
      <c r="AZ2" s="125"/>
      <c r="BA2" s="125"/>
    </row>
    <row r="3" spans="1:53">
      <c r="B3" s="134" t="s">
        <v>158</v>
      </c>
      <c r="C3">
        <v>0.12</v>
      </c>
      <c r="D3" t="s">
        <v>132</v>
      </c>
      <c r="E3">
        <v>0.25</v>
      </c>
      <c r="H3" s="129" t="s">
        <v>133</v>
      </c>
      <c r="I3" s="127">
        <f>I1-I2</f>
        <v>1296</v>
      </c>
      <c r="K3" s="134" t="s">
        <v>134</v>
      </c>
      <c r="L3" s="149">
        <f>IRR(J5:J20,0.2)</f>
        <v>6.6475072846377881E-2</v>
      </c>
      <c r="O3" s="134"/>
      <c r="U3" t="s">
        <v>135</v>
      </c>
      <c r="AB3" s="134" t="s">
        <v>134</v>
      </c>
      <c r="AC3" s="149">
        <f>IRR(AA5:AA20,0.2)</f>
        <v>0.11794488769587042</v>
      </c>
      <c r="AE3" s="133"/>
      <c r="AF3" s="135"/>
      <c r="AG3" s="133"/>
      <c r="AH3" s="133"/>
      <c r="AI3" s="136" t="s">
        <v>134</v>
      </c>
      <c r="AJ3" s="137">
        <f>IRR(AH5:AH20,0.2)</f>
        <v>0.34688132760769652</v>
      </c>
      <c r="AK3" s="133"/>
      <c r="AM3" s="133"/>
      <c r="AN3" s="135"/>
      <c r="AO3" s="133"/>
      <c r="AP3" s="133"/>
      <c r="AQ3" s="136" t="s">
        <v>134</v>
      </c>
      <c r="AR3" s="137">
        <f>IRR(AP5:AP20)</f>
        <v>0.14372401658433032</v>
      </c>
      <c r="AT3" s="125"/>
      <c r="AU3" s="134"/>
      <c r="AV3" s="125"/>
      <c r="AW3" s="125"/>
      <c r="AX3" s="125"/>
      <c r="AY3" s="125"/>
      <c r="AZ3" s="138"/>
      <c r="BA3" s="139"/>
    </row>
    <row r="4" spans="1:53">
      <c r="A4" s="1" t="s">
        <v>136</v>
      </c>
      <c r="B4" s="140" t="s">
        <v>137</v>
      </c>
      <c r="C4" s="140" t="s">
        <v>138</v>
      </c>
      <c r="D4" s="140" t="s">
        <v>139</v>
      </c>
      <c r="E4" s="140" t="s">
        <v>140</v>
      </c>
      <c r="F4" s="140" t="s">
        <v>141</v>
      </c>
      <c r="G4" s="140" t="s">
        <v>142</v>
      </c>
      <c r="H4" s="140" t="s">
        <v>143</v>
      </c>
      <c r="I4" s="140" t="s">
        <v>144</v>
      </c>
      <c r="J4" s="140" t="s">
        <v>145</v>
      </c>
      <c r="K4" s="140" t="s">
        <v>146</v>
      </c>
      <c r="L4" s="140" t="s">
        <v>147</v>
      </c>
      <c r="N4" s="1" t="s">
        <v>136</v>
      </c>
      <c r="O4" s="140" t="s">
        <v>148</v>
      </c>
      <c r="P4" s="140" t="s">
        <v>138</v>
      </c>
      <c r="Q4" s="140" t="s">
        <v>149</v>
      </c>
      <c r="R4" s="140" t="s">
        <v>150</v>
      </c>
      <c r="S4" s="140" t="s">
        <v>141</v>
      </c>
      <c r="T4" s="140" t="s">
        <v>151</v>
      </c>
      <c r="U4" s="140" t="s">
        <v>152</v>
      </c>
      <c r="V4" s="140" t="s">
        <v>153</v>
      </c>
      <c r="W4" s="140" t="s">
        <v>154</v>
      </c>
      <c r="X4" s="140" t="s">
        <v>155</v>
      </c>
      <c r="Y4" s="140" t="s">
        <v>143</v>
      </c>
      <c r="Z4" s="140" t="s">
        <v>156</v>
      </c>
      <c r="AA4" s="140" t="s">
        <v>145</v>
      </c>
      <c r="AB4" s="140" t="s">
        <v>146</v>
      </c>
      <c r="AC4" s="140" t="s">
        <v>147</v>
      </c>
      <c r="AE4" s="136" t="s">
        <v>136</v>
      </c>
      <c r="AF4" s="141" t="s">
        <v>148</v>
      </c>
      <c r="AG4" s="141" t="s">
        <v>138</v>
      </c>
      <c r="AH4" s="141" t="s">
        <v>145</v>
      </c>
      <c r="AI4" s="141" t="s">
        <v>146</v>
      </c>
      <c r="AJ4" s="141" t="s">
        <v>147</v>
      </c>
      <c r="AK4" s="133"/>
      <c r="AM4" s="136" t="s">
        <v>136</v>
      </c>
      <c r="AN4" s="141" t="s">
        <v>148</v>
      </c>
      <c r="AO4" s="141" t="s">
        <v>152</v>
      </c>
      <c r="AP4" s="141" t="s">
        <v>145</v>
      </c>
      <c r="AQ4" s="141" t="s">
        <v>146</v>
      </c>
      <c r="AR4" s="141" t="s">
        <v>147</v>
      </c>
      <c r="AT4" s="138"/>
      <c r="AU4" s="140"/>
      <c r="AV4" s="140"/>
      <c r="AW4" s="140"/>
      <c r="AX4" s="140"/>
      <c r="AY4" s="140"/>
      <c r="AZ4" s="140"/>
      <c r="BA4" s="140"/>
    </row>
    <row r="5" spans="1:53">
      <c r="A5" s="140">
        <v>0</v>
      </c>
      <c r="B5" s="142">
        <v>-40000</v>
      </c>
      <c r="C5" s="142"/>
      <c r="D5" s="142"/>
      <c r="E5" s="142"/>
      <c r="F5" s="142"/>
      <c r="G5" s="142"/>
      <c r="H5" s="142"/>
      <c r="I5" s="142"/>
      <c r="J5" s="142">
        <f>B5</f>
        <v>-40000</v>
      </c>
      <c r="K5" s="142">
        <f>J5</f>
        <v>-40000</v>
      </c>
      <c r="L5" s="142">
        <f>K5</f>
        <v>-40000</v>
      </c>
      <c r="N5" s="140">
        <v>0</v>
      </c>
      <c r="O5" s="142">
        <f>-40000+20000+800</f>
        <v>-19200</v>
      </c>
      <c r="P5" s="142"/>
      <c r="Q5" s="142"/>
      <c r="R5" s="142"/>
      <c r="S5" s="142"/>
      <c r="T5" s="142"/>
      <c r="U5" s="142"/>
      <c r="V5" s="142"/>
      <c r="W5" s="142"/>
      <c r="X5" s="142">
        <f>V1</f>
        <v>20000</v>
      </c>
      <c r="Y5" s="142"/>
      <c r="Z5" s="142"/>
      <c r="AA5" s="142">
        <f>O5</f>
        <v>-19200</v>
      </c>
      <c r="AB5" s="142">
        <f>-30000+20000+400</f>
        <v>-9600</v>
      </c>
      <c r="AC5" s="142">
        <f>-30000+20000+400</f>
        <v>-9600</v>
      </c>
      <c r="AE5" s="141">
        <v>0</v>
      </c>
      <c r="AF5" s="143">
        <f>-800</f>
        <v>-800</v>
      </c>
      <c r="AG5" s="143"/>
      <c r="AH5" s="143">
        <f>AF5</f>
        <v>-800</v>
      </c>
      <c r="AI5" s="143">
        <v>-400</v>
      </c>
      <c r="AJ5" s="143">
        <v>-400</v>
      </c>
      <c r="AK5" s="133"/>
      <c r="AM5" s="141">
        <v>0</v>
      </c>
      <c r="AN5" s="143">
        <f>-X5</f>
        <v>-20000</v>
      </c>
      <c r="AO5" s="143"/>
      <c r="AP5" s="143">
        <f>AN5</f>
        <v>-20000</v>
      </c>
      <c r="AQ5" s="143">
        <f>AP5</f>
        <v>-20000</v>
      </c>
      <c r="AR5" s="143">
        <f>AQ5</f>
        <v>-20000</v>
      </c>
      <c r="AT5" s="140"/>
      <c r="AU5" s="144"/>
      <c r="AV5" s="144"/>
      <c r="AW5" s="144"/>
      <c r="AX5" s="144"/>
      <c r="AY5" s="144"/>
      <c r="AZ5" s="144"/>
      <c r="BA5" s="144"/>
    </row>
    <row r="6" spans="1:53">
      <c r="A6" s="140">
        <v>1</v>
      </c>
      <c r="B6" s="142"/>
      <c r="C6" s="142">
        <v>9000</v>
      </c>
      <c r="D6" s="142">
        <v>3000</v>
      </c>
      <c r="E6" s="142">
        <f>(C6-(D6*0.6))*0.18</f>
        <v>1296</v>
      </c>
      <c r="F6" s="142">
        <f>C6-D6-E6</f>
        <v>4704</v>
      </c>
      <c r="G6" s="142">
        <f>-$B$5/10</f>
        <v>4000</v>
      </c>
      <c r="H6" s="142">
        <f>F6-G6</f>
        <v>704</v>
      </c>
      <c r="I6" s="142">
        <f>H6*$E$3</f>
        <v>176</v>
      </c>
      <c r="J6" s="142">
        <f>F6-I6</f>
        <v>4528</v>
      </c>
      <c r="K6" s="142">
        <f>J6/(1+$C$3)^A6</f>
        <v>4042.8571428571427</v>
      </c>
      <c r="L6" s="142">
        <f>L5+K6</f>
        <v>-35957.142857142855</v>
      </c>
      <c r="N6" s="140">
        <v>1</v>
      </c>
      <c r="O6" s="142"/>
      <c r="P6" s="142">
        <v>9000</v>
      </c>
      <c r="Q6" s="142">
        <v>3000</v>
      </c>
      <c r="R6" s="142">
        <v>0</v>
      </c>
      <c r="S6" s="142">
        <f>P6-Q6-R6</f>
        <v>6000</v>
      </c>
      <c r="T6" s="142">
        <f>G6</f>
        <v>4000</v>
      </c>
      <c r="U6" s="142">
        <f>-$V$2</f>
        <v>2717.3591644076764</v>
      </c>
      <c r="V6" s="142">
        <f>X5*0.06</f>
        <v>1200</v>
      </c>
      <c r="W6" s="142">
        <f>U6-V6</f>
        <v>1517.3591644076764</v>
      </c>
      <c r="X6" s="142">
        <f>X5-W6</f>
        <v>18482.640835592323</v>
      </c>
      <c r="Y6" s="142">
        <f>S6-T6-V6</f>
        <v>800</v>
      </c>
      <c r="Z6" s="142">
        <f>Y6*$E$3</f>
        <v>200</v>
      </c>
      <c r="AA6" s="142">
        <f>S6-U6-Z6</f>
        <v>3082.6408355923236</v>
      </c>
      <c r="AB6" s="142">
        <f>AA6/(1+$C$3)^N6</f>
        <v>2752.3578889217174</v>
      </c>
      <c r="AC6" s="142">
        <f>AC5+AB6</f>
        <v>-6847.6421110782831</v>
      </c>
      <c r="AE6" s="141">
        <v>1</v>
      </c>
      <c r="AF6" s="143"/>
      <c r="AG6" s="143">
        <v>0</v>
      </c>
      <c r="AH6" s="143">
        <f>AG6</f>
        <v>0</v>
      </c>
      <c r="AI6" s="145">
        <f t="shared" ref="AI6:AI10" si="0">AH6/(1+0.15)^AE6</f>
        <v>0</v>
      </c>
      <c r="AJ6" s="143">
        <f>AJ5+AI6</f>
        <v>-400</v>
      </c>
      <c r="AK6" s="133"/>
      <c r="AM6" s="141">
        <v>1</v>
      </c>
      <c r="AN6" s="143"/>
      <c r="AO6" s="145">
        <f>U6</f>
        <v>2717.3591644076764</v>
      </c>
      <c r="AP6" s="143">
        <f>AO6+$AR$1</f>
        <v>3717.3591644076764</v>
      </c>
      <c r="AQ6" s="145">
        <f>AP6/(1+$C$3)^AM6</f>
        <v>3319.0706825068537</v>
      </c>
      <c r="AR6" s="143">
        <f>AR5+AQ6</f>
        <v>-16680.929317493144</v>
      </c>
      <c r="AT6" s="140"/>
      <c r="AU6" s="144"/>
      <c r="AV6" s="144"/>
      <c r="AW6" s="142"/>
      <c r="AX6" s="144"/>
      <c r="AY6" s="144"/>
      <c r="AZ6" s="142"/>
      <c r="BA6" s="144"/>
    </row>
    <row r="7" spans="1:53">
      <c r="A7" s="140">
        <v>2</v>
      </c>
      <c r="B7" s="142"/>
      <c r="C7" s="142">
        <v>9000</v>
      </c>
      <c r="D7" s="142">
        <v>3000</v>
      </c>
      <c r="E7" s="142">
        <f t="shared" ref="E7:E20" si="1">(C7-(D7*0.6))*0.18</f>
        <v>1296</v>
      </c>
      <c r="F7" s="142">
        <f t="shared" ref="F7:F20" si="2">C7-D7-E7</f>
        <v>4704</v>
      </c>
      <c r="G7" s="142">
        <f t="shared" ref="G7:G15" si="3">-$B$5/10</f>
        <v>4000</v>
      </c>
      <c r="H7" s="142">
        <f t="shared" ref="H7:H20" si="4">F7-G7</f>
        <v>704</v>
      </c>
      <c r="I7" s="142">
        <f t="shared" ref="I7:I20" si="5">H7*$E$3</f>
        <v>176</v>
      </c>
      <c r="J7" s="142">
        <f t="shared" ref="J7:J20" si="6">F7-I7</f>
        <v>4528</v>
      </c>
      <c r="K7" s="142">
        <f t="shared" ref="K7:K20" si="7">J7/(1+$C$3)^A7</f>
        <v>3609.6938775510198</v>
      </c>
      <c r="L7" s="142">
        <f t="shared" ref="L7:L20" si="8">L6+K7</f>
        <v>-32347.448979591834</v>
      </c>
      <c r="N7" s="140">
        <v>2</v>
      </c>
      <c r="O7" s="142"/>
      <c r="P7" s="142">
        <v>9000</v>
      </c>
      <c r="Q7" s="142">
        <v>3000</v>
      </c>
      <c r="R7" s="142">
        <v>0</v>
      </c>
      <c r="S7" s="142">
        <f t="shared" ref="S7:S20" si="9">P7-Q7-R7</f>
        <v>6000</v>
      </c>
      <c r="T7" s="142">
        <f t="shared" ref="T7:T15" si="10">G7</f>
        <v>4000</v>
      </c>
      <c r="U7" s="142">
        <f t="shared" ref="U7:U15" si="11">-$V$2</f>
        <v>2717.3591644076764</v>
      </c>
      <c r="V7" s="142">
        <f t="shared" ref="V7:V15" si="12">X6*0.06</f>
        <v>1108.9584501355394</v>
      </c>
      <c r="W7" s="142">
        <f t="shared" ref="W7:W15" si="13">U7-V7</f>
        <v>1608.4007142721371</v>
      </c>
      <c r="X7" s="142">
        <f t="shared" ref="X7:X15" si="14">X6-W7</f>
        <v>16874.240121320185</v>
      </c>
      <c r="Y7" s="142">
        <f t="shared" ref="Y7:Y20" si="15">S7-T7-V7</f>
        <v>891.04154986446065</v>
      </c>
      <c r="Z7" s="142">
        <f t="shared" ref="Z7:Z20" si="16">Y7*$E$3</f>
        <v>222.76038746611516</v>
      </c>
      <c r="AA7" s="142">
        <f t="shared" ref="AA7:AA20" si="17">S7-U7-Z7</f>
        <v>3059.8804481262086</v>
      </c>
      <c r="AB7" s="142">
        <f>AA7/(1+$C$3)^N7</f>
        <v>2439.3179592842857</v>
      </c>
      <c r="AC7" s="142">
        <f t="shared" ref="AC7:AC20" si="18">AC6+AB7</f>
        <v>-4408.3241517939969</v>
      </c>
      <c r="AE7" s="141">
        <v>2</v>
      </c>
      <c r="AF7" s="143"/>
      <c r="AG7" s="143">
        <v>0</v>
      </c>
      <c r="AH7" s="143">
        <f t="shared" ref="AH7:AH21" si="19">AG7</f>
        <v>0</v>
      </c>
      <c r="AI7" s="145">
        <f t="shared" si="0"/>
        <v>0</v>
      </c>
      <c r="AJ7" s="143">
        <f t="shared" ref="AJ7:AJ20" si="20">AJ6+AI7</f>
        <v>-400</v>
      </c>
      <c r="AK7" s="133"/>
      <c r="AM7" s="141">
        <v>2</v>
      </c>
      <c r="AN7" s="143"/>
      <c r="AO7" s="145">
        <f t="shared" ref="AO7:AO20" si="21">U7</f>
        <v>2717.3591644076764</v>
      </c>
      <c r="AP7" s="143">
        <f t="shared" ref="AP7:AP20" si="22">AO7+$AR$1</f>
        <v>3717.3591644076764</v>
      </c>
      <c r="AQ7" s="145">
        <f t="shared" ref="AQ7:AQ20" si="23">AP7/(1+$C$3)^AM7</f>
        <v>2963.4559665239763</v>
      </c>
      <c r="AR7" s="143">
        <f t="shared" ref="AR7:AR20" si="24">AR6+AQ7</f>
        <v>-13717.473350969169</v>
      </c>
      <c r="AT7" s="140"/>
      <c r="AU7" s="144"/>
      <c r="AV7" s="144"/>
      <c r="AW7" s="142"/>
      <c r="AX7" s="144"/>
      <c r="AY7" s="144"/>
      <c r="AZ7" s="142"/>
      <c r="BA7" s="144"/>
    </row>
    <row r="8" spans="1:53">
      <c r="A8" s="140">
        <v>3</v>
      </c>
      <c r="B8" s="142"/>
      <c r="C8" s="142">
        <v>9000</v>
      </c>
      <c r="D8" s="142">
        <v>3000</v>
      </c>
      <c r="E8" s="142">
        <f t="shared" si="1"/>
        <v>1296</v>
      </c>
      <c r="F8" s="142">
        <f t="shared" si="2"/>
        <v>4704</v>
      </c>
      <c r="G8" s="142">
        <f t="shared" si="3"/>
        <v>4000</v>
      </c>
      <c r="H8" s="142">
        <f t="shared" si="4"/>
        <v>704</v>
      </c>
      <c r="I8" s="142">
        <f t="shared" si="5"/>
        <v>176</v>
      </c>
      <c r="J8" s="142">
        <f t="shared" si="6"/>
        <v>4528</v>
      </c>
      <c r="K8" s="142">
        <f t="shared" si="7"/>
        <v>3222.9409620991246</v>
      </c>
      <c r="L8" s="142">
        <f t="shared" si="8"/>
        <v>-29124.50801749271</v>
      </c>
      <c r="N8" s="140">
        <v>3</v>
      </c>
      <c r="O8" s="142"/>
      <c r="P8" s="142">
        <v>9000</v>
      </c>
      <c r="Q8" s="142">
        <v>3000</v>
      </c>
      <c r="R8" s="142">
        <v>0</v>
      </c>
      <c r="S8" s="142">
        <f t="shared" si="9"/>
        <v>6000</v>
      </c>
      <c r="T8" s="142">
        <f t="shared" si="10"/>
        <v>4000</v>
      </c>
      <c r="U8" s="142">
        <f t="shared" si="11"/>
        <v>2717.3591644076764</v>
      </c>
      <c r="V8" s="142">
        <f t="shared" si="12"/>
        <v>1012.4544072792111</v>
      </c>
      <c r="W8" s="142">
        <f t="shared" si="13"/>
        <v>1704.9047571284655</v>
      </c>
      <c r="X8" s="142">
        <f t="shared" si="14"/>
        <v>15169.33536419172</v>
      </c>
      <c r="Y8" s="142">
        <f t="shared" si="15"/>
        <v>987.54559272078893</v>
      </c>
      <c r="Z8" s="142">
        <f t="shared" si="16"/>
        <v>246.88639818019723</v>
      </c>
      <c r="AA8" s="142">
        <f t="shared" si="17"/>
        <v>3035.7544374121262</v>
      </c>
      <c r="AB8" s="142">
        <f t="shared" ref="AB8:AB20" si="25">AA8/(1+$C$3)^N8</f>
        <v>2160.7900457618648</v>
      </c>
      <c r="AC8" s="142">
        <f t="shared" si="18"/>
        <v>-2247.5341060321321</v>
      </c>
      <c r="AE8" s="141">
        <v>3</v>
      </c>
      <c r="AF8" s="143"/>
      <c r="AG8" s="143">
        <v>0</v>
      </c>
      <c r="AH8" s="143">
        <f t="shared" si="19"/>
        <v>0</v>
      </c>
      <c r="AI8" s="145">
        <f t="shared" si="0"/>
        <v>0</v>
      </c>
      <c r="AJ8" s="143">
        <f t="shared" si="20"/>
        <v>-400</v>
      </c>
      <c r="AK8" s="133"/>
      <c r="AM8" s="141">
        <v>3</v>
      </c>
      <c r="AN8" s="143"/>
      <c r="AO8" s="145">
        <f t="shared" si="21"/>
        <v>2717.3591644076764</v>
      </c>
      <c r="AP8" s="143">
        <f t="shared" si="22"/>
        <v>3717.3591644076764</v>
      </c>
      <c r="AQ8" s="145">
        <f t="shared" si="23"/>
        <v>2645.9428272535497</v>
      </c>
      <c r="AR8" s="143">
        <f t="shared" si="24"/>
        <v>-11071.530523715619</v>
      </c>
      <c r="AT8" s="140"/>
      <c r="AU8" s="144"/>
      <c r="AV8" s="144"/>
      <c r="AW8" s="142"/>
      <c r="AX8" s="144"/>
      <c r="AY8" s="144"/>
      <c r="AZ8" s="142"/>
      <c r="BA8" s="144"/>
    </row>
    <row r="9" spans="1:53">
      <c r="A9" s="140">
        <v>4</v>
      </c>
      <c r="B9" s="142"/>
      <c r="C9" s="142">
        <v>9000</v>
      </c>
      <c r="D9" s="142">
        <v>3000</v>
      </c>
      <c r="E9" s="142">
        <f t="shared" si="1"/>
        <v>1296</v>
      </c>
      <c r="F9" s="142">
        <f t="shared" si="2"/>
        <v>4704</v>
      </c>
      <c r="G9" s="142">
        <f t="shared" si="3"/>
        <v>4000</v>
      </c>
      <c r="H9" s="142">
        <f t="shared" si="4"/>
        <v>704</v>
      </c>
      <c r="I9" s="142">
        <f t="shared" si="5"/>
        <v>176</v>
      </c>
      <c r="J9" s="142">
        <f t="shared" si="6"/>
        <v>4528</v>
      </c>
      <c r="K9" s="142">
        <f t="shared" si="7"/>
        <v>2877.6258590170755</v>
      </c>
      <c r="L9" s="142">
        <f t="shared" si="8"/>
        <v>-26246.882158475633</v>
      </c>
      <c r="N9" s="140">
        <v>4</v>
      </c>
      <c r="O9" s="142"/>
      <c r="P9" s="142">
        <v>9000</v>
      </c>
      <c r="Q9" s="142">
        <v>3000</v>
      </c>
      <c r="R9" s="142">
        <v>0</v>
      </c>
      <c r="S9" s="142">
        <f t="shared" si="9"/>
        <v>6000</v>
      </c>
      <c r="T9" s="142">
        <f t="shared" si="10"/>
        <v>4000</v>
      </c>
      <c r="U9" s="142">
        <f t="shared" si="11"/>
        <v>2717.3591644076764</v>
      </c>
      <c r="V9" s="142">
        <f t="shared" si="12"/>
        <v>910.16012185150316</v>
      </c>
      <c r="W9" s="142">
        <f t="shared" si="13"/>
        <v>1807.1990425561733</v>
      </c>
      <c r="X9" s="142">
        <f t="shared" si="14"/>
        <v>13362.136321635548</v>
      </c>
      <c r="Y9" s="142">
        <f t="shared" si="15"/>
        <v>1089.8398781484968</v>
      </c>
      <c r="Z9" s="142">
        <f t="shared" si="16"/>
        <v>272.45996953712421</v>
      </c>
      <c r="AA9" s="142">
        <f t="shared" si="17"/>
        <v>3010.1808660551992</v>
      </c>
      <c r="AB9" s="142">
        <f t="shared" si="25"/>
        <v>1913.0243596463906</v>
      </c>
      <c r="AC9" s="142">
        <f t="shared" si="18"/>
        <v>-334.50974638574144</v>
      </c>
      <c r="AE9" s="141">
        <v>4</v>
      </c>
      <c r="AF9" s="143"/>
      <c r="AG9" s="143">
        <v>0</v>
      </c>
      <c r="AH9" s="143">
        <f t="shared" si="19"/>
        <v>0</v>
      </c>
      <c r="AI9" s="145">
        <f t="shared" si="0"/>
        <v>0</v>
      </c>
      <c r="AJ9" s="143">
        <f t="shared" si="20"/>
        <v>-400</v>
      </c>
      <c r="AK9" s="133"/>
      <c r="AM9" s="141">
        <v>4</v>
      </c>
      <c r="AN9" s="143"/>
      <c r="AO9" s="145">
        <f t="shared" si="21"/>
        <v>2717.3591644076764</v>
      </c>
      <c r="AP9" s="143">
        <f t="shared" si="22"/>
        <v>3717.3591644076764</v>
      </c>
      <c r="AQ9" s="145">
        <f t="shared" si="23"/>
        <v>2362.4489529049556</v>
      </c>
      <c r="AR9" s="143">
        <f t="shared" si="24"/>
        <v>-8709.0815708106638</v>
      </c>
      <c r="AT9" s="140"/>
      <c r="AU9" s="144"/>
      <c r="AV9" s="144"/>
      <c r="AW9" s="142"/>
      <c r="AX9" s="144"/>
      <c r="AY9" s="144"/>
      <c r="AZ9" s="142"/>
      <c r="BA9" s="144"/>
    </row>
    <row r="10" spans="1:53">
      <c r="A10" s="140">
        <v>5</v>
      </c>
      <c r="B10" s="142"/>
      <c r="C10" s="142">
        <v>9000</v>
      </c>
      <c r="D10" s="142">
        <v>3000</v>
      </c>
      <c r="E10" s="142">
        <f t="shared" si="1"/>
        <v>1296</v>
      </c>
      <c r="F10" s="142">
        <f t="shared" si="2"/>
        <v>4704</v>
      </c>
      <c r="G10" s="142">
        <f t="shared" si="3"/>
        <v>4000</v>
      </c>
      <c r="H10" s="142">
        <f t="shared" si="4"/>
        <v>704</v>
      </c>
      <c r="I10" s="142">
        <f t="shared" si="5"/>
        <v>176</v>
      </c>
      <c r="J10" s="142">
        <f t="shared" si="6"/>
        <v>4528</v>
      </c>
      <c r="K10" s="142">
        <f t="shared" si="7"/>
        <v>2569.3088026938171</v>
      </c>
      <c r="L10" s="142">
        <f t="shared" si="8"/>
        <v>-23677.573355781817</v>
      </c>
      <c r="N10" s="140">
        <v>5</v>
      </c>
      <c r="O10" s="142"/>
      <c r="P10" s="142">
        <v>9000</v>
      </c>
      <c r="Q10" s="142">
        <v>3000</v>
      </c>
      <c r="R10" s="142">
        <v>0</v>
      </c>
      <c r="S10" s="142">
        <f t="shared" si="9"/>
        <v>6000</v>
      </c>
      <c r="T10" s="142">
        <f t="shared" si="10"/>
        <v>4000</v>
      </c>
      <c r="U10" s="142">
        <f t="shared" si="11"/>
        <v>2717.3591644076764</v>
      </c>
      <c r="V10" s="142">
        <f t="shared" si="12"/>
        <v>801.72817929813277</v>
      </c>
      <c r="W10" s="142">
        <f t="shared" si="13"/>
        <v>1915.6309851095436</v>
      </c>
      <c r="X10" s="142">
        <f t="shared" si="14"/>
        <v>11446.505336526005</v>
      </c>
      <c r="Y10" s="142">
        <f t="shared" si="15"/>
        <v>1198.2718207018672</v>
      </c>
      <c r="Z10" s="142">
        <f t="shared" si="16"/>
        <v>299.56795517546681</v>
      </c>
      <c r="AA10" s="142">
        <f t="shared" si="17"/>
        <v>2983.0728804168566</v>
      </c>
      <c r="AB10" s="142">
        <f t="shared" si="25"/>
        <v>1692.675664914362</v>
      </c>
      <c r="AC10" s="142">
        <f t="shared" si="18"/>
        <v>1358.1659185286205</v>
      </c>
      <c r="AE10" s="141">
        <v>5</v>
      </c>
      <c r="AF10" s="143"/>
      <c r="AG10" s="143">
        <v>0</v>
      </c>
      <c r="AH10" s="143">
        <f t="shared" si="19"/>
        <v>0</v>
      </c>
      <c r="AI10" s="145">
        <f t="shared" si="0"/>
        <v>0</v>
      </c>
      <c r="AJ10" s="143">
        <f t="shared" si="20"/>
        <v>-400</v>
      </c>
      <c r="AK10" s="133"/>
      <c r="AM10" s="141">
        <v>5</v>
      </c>
      <c r="AN10" s="143"/>
      <c r="AO10" s="145">
        <f t="shared" si="21"/>
        <v>2717.3591644076764</v>
      </c>
      <c r="AP10" s="143">
        <f t="shared" si="22"/>
        <v>3717.3591644076764</v>
      </c>
      <c r="AQ10" s="145">
        <f t="shared" si="23"/>
        <v>2109.3294222365671</v>
      </c>
      <c r="AR10" s="143">
        <f t="shared" si="24"/>
        <v>-6599.7521485740963</v>
      </c>
      <c r="AT10" s="140"/>
      <c r="AU10" s="144"/>
      <c r="AV10" s="144"/>
      <c r="AW10" s="142"/>
      <c r="AX10" s="144"/>
      <c r="AY10" s="144"/>
      <c r="AZ10" s="142"/>
      <c r="BA10" s="144"/>
    </row>
    <row r="11" spans="1:53">
      <c r="A11" s="140">
        <v>6</v>
      </c>
      <c r="B11" s="142"/>
      <c r="C11" s="142">
        <v>9000</v>
      </c>
      <c r="D11" s="142">
        <v>3000</v>
      </c>
      <c r="E11" s="142">
        <f t="shared" si="1"/>
        <v>1296</v>
      </c>
      <c r="F11" s="142">
        <f t="shared" si="2"/>
        <v>4704</v>
      </c>
      <c r="G11" s="142">
        <f t="shared" si="3"/>
        <v>4000</v>
      </c>
      <c r="H11" s="142">
        <f t="shared" si="4"/>
        <v>704</v>
      </c>
      <c r="I11" s="142">
        <f t="shared" si="5"/>
        <v>176</v>
      </c>
      <c r="J11" s="142">
        <f t="shared" si="6"/>
        <v>4528</v>
      </c>
      <c r="K11" s="142">
        <f t="shared" si="7"/>
        <v>2294.0257166909082</v>
      </c>
      <c r="L11" s="142">
        <f t="shared" si="8"/>
        <v>-21383.54763909091</v>
      </c>
      <c r="N11" s="140">
        <v>6</v>
      </c>
      <c r="O11" s="142"/>
      <c r="P11" s="142">
        <v>9000</v>
      </c>
      <c r="Q11" s="142">
        <v>3000</v>
      </c>
      <c r="R11" s="142">
        <f>E11</f>
        <v>1296</v>
      </c>
      <c r="S11" s="142">
        <f t="shared" si="9"/>
        <v>4704</v>
      </c>
      <c r="T11" s="142">
        <f t="shared" si="10"/>
        <v>4000</v>
      </c>
      <c r="U11" s="142">
        <f t="shared" si="11"/>
        <v>2717.3591644076764</v>
      </c>
      <c r="V11" s="142">
        <f t="shared" si="12"/>
        <v>686.79032019156023</v>
      </c>
      <c r="W11" s="142">
        <f t="shared" si="13"/>
        <v>2030.5688442161163</v>
      </c>
      <c r="X11" s="142">
        <f t="shared" si="14"/>
        <v>9415.9364923098874</v>
      </c>
      <c r="Y11" s="142">
        <f t="shared" si="15"/>
        <v>17.209679808439773</v>
      </c>
      <c r="Z11" s="142">
        <f t="shared" si="16"/>
        <v>4.3024199521099433</v>
      </c>
      <c r="AA11" s="142">
        <f t="shared" si="17"/>
        <v>1982.3384156402137</v>
      </c>
      <c r="AB11" s="142">
        <f t="shared" si="25"/>
        <v>1004.314334068675</v>
      </c>
      <c r="AC11" s="142">
        <f t="shared" si="18"/>
        <v>2362.4802525972955</v>
      </c>
      <c r="AE11" s="141">
        <v>6</v>
      </c>
      <c r="AF11" s="143"/>
      <c r="AG11" s="143">
        <f>R11</f>
        <v>1296</v>
      </c>
      <c r="AH11" s="143">
        <f t="shared" si="19"/>
        <v>1296</v>
      </c>
      <c r="AI11" s="145">
        <f>AH11/(1+$C$3)^AE11</f>
        <v>656.5939330458076</v>
      </c>
      <c r="AJ11" s="143">
        <f t="shared" si="20"/>
        <v>256.5939330458076</v>
      </c>
      <c r="AK11" s="133"/>
      <c r="AM11" s="141">
        <v>6</v>
      </c>
      <c r="AN11" s="143"/>
      <c r="AO11" s="145">
        <f t="shared" si="21"/>
        <v>2717.3591644076764</v>
      </c>
      <c r="AP11" s="143">
        <f t="shared" si="22"/>
        <v>3717.3591644076764</v>
      </c>
      <c r="AQ11" s="145">
        <f t="shared" si="23"/>
        <v>1883.3298412826491</v>
      </c>
      <c r="AR11" s="143">
        <f t="shared" si="24"/>
        <v>-4716.4223072914474</v>
      </c>
      <c r="AT11" s="140"/>
      <c r="AU11" s="144"/>
      <c r="AV11" s="144"/>
      <c r="AW11" s="142"/>
      <c r="AX11" s="144"/>
      <c r="AY11" s="144"/>
      <c r="AZ11" s="142"/>
      <c r="BA11" s="144"/>
    </row>
    <row r="12" spans="1:53">
      <c r="A12" s="140">
        <v>7</v>
      </c>
      <c r="B12" s="142"/>
      <c r="C12" s="142">
        <v>9000</v>
      </c>
      <c r="D12" s="142">
        <v>3000</v>
      </c>
      <c r="E12" s="142">
        <f t="shared" si="1"/>
        <v>1296</v>
      </c>
      <c r="F12" s="142">
        <f t="shared" si="2"/>
        <v>4704</v>
      </c>
      <c r="G12" s="142">
        <f t="shared" si="3"/>
        <v>4000</v>
      </c>
      <c r="H12" s="142">
        <f t="shared" si="4"/>
        <v>704</v>
      </c>
      <c r="I12" s="142">
        <f t="shared" si="5"/>
        <v>176</v>
      </c>
      <c r="J12" s="142">
        <f t="shared" si="6"/>
        <v>4528</v>
      </c>
      <c r="K12" s="142">
        <f t="shared" si="7"/>
        <v>2048.2372470454534</v>
      </c>
      <c r="L12" s="142">
        <f t="shared" si="8"/>
        <v>-19335.310392045456</v>
      </c>
      <c r="N12" s="140">
        <v>7</v>
      </c>
      <c r="O12" s="142"/>
      <c r="P12" s="142">
        <v>9000</v>
      </c>
      <c r="Q12" s="142">
        <v>3000</v>
      </c>
      <c r="R12" s="142">
        <f t="shared" ref="R12:R20" si="26">E12</f>
        <v>1296</v>
      </c>
      <c r="S12" s="142">
        <f t="shared" si="9"/>
        <v>4704</v>
      </c>
      <c r="T12" s="142">
        <f t="shared" si="10"/>
        <v>4000</v>
      </c>
      <c r="U12" s="142">
        <f t="shared" si="11"/>
        <v>2717.3591644076764</v>
      </c>
      <c r="V12" s="142">
        <f t="shared" si="12"/>
        <v>564.95618953859321</v>
      </c>
      <c r="W12" s="142">
        <f t="shared" si="13"/>
        <v>2152.4029748690832</v>
      </c>
      <c r="X12" s="142">
        <f t="shared" si="14"/>
        <v>7263.5335174408046</v>
      </c>
      <c r="Y12" s="142">
        <f t="shared" si="15"/>
        <v>139.04381046140679</v>
      </c>
      <c r="Z12" s="142">
        <f t="shared" si="16"/>
        <v>34.760952615351698</v>
      </c>
      <c r="AA12" s="142">
        <f t="shared" si="17"/>
        <v>1951.8798829769719</v>
      </c>
      <c r="AB12" s="142">
        <f t="shared" si="25"/>
        <v>882.93133349650066</v>
      </c>
      <c r="AC12" s="142">
        <f t="shared" si="18"/>
        <v>3245.4115860937964</v>
      </c>
      <c r="AE12" s="141">
        <v>7</v>
      </c>
      <c r="AF12" s="143"/>
      <c r="AG12" s="143">
        <f t="shared" ref="AG12:AG20" si="27">R12</f>
        <v>1296</v>
      </c>
      <c r="AH12" s="143">
        <f t="shared" si="19"/>
        <v>1296</v>
      </c>
      <c r="AI12" s="145">
        <f t="shared" ref="AI12:AI20" si="28">AH12/(1+$C$3)^AE12</f>
        <v>586.24458307661394</v>
      </c>
      <c r="AJ12" s="143">
        <f t="shared" si="20"/>
        <v>842.83851612242154</v>
      </c>
      <c r="AK12" s="133"/>
      <c r="AM12" s="141">
        <v>7</v>
      </c>
      <c r="AN12" s="143"/>
      <c r="AO12" s="145">
        <f t="shared" si="21"/>
        <v>2717.3591644076764</v>
      </c>
      <c r="AP12" s="143">
        <f t="shared" si="22"/>
        <v>3717.3591644076764</v>
      </c>
      <c r="AQ12" s="145">
        <f t="shared" si="23"/>
        <v>1681.5445011452223</v>
      </c>
      <c r="AR12" s="143">
        <f t="shared" si="24"/>
        <v>-3034.8778061462253</v>
      </c>
      <c r="AT12" s="140"/>
      <c r="AU12" s="144"/>
      <c r="AV12" s="144"/>
      <c r="AW12" s="142"/>
      <c r="AX12" s="144"/>
      <c r="AY12" s="144"/>
      <c r="AZ12" s="142"/>
      <c r="BA12" s="144"/>
    </row>
    <row r="13" spans="1:53">
      <c r="A13" s="140">
        <v>8</v>
      </c>
      <c r="B13" s="142"/>
      <c r="C13" s="142">
        <v>9000</v>
      </c>
      <c r="D13" s="142">
        <v>3000</v>
      </c>
      <c r="E13" s="142">
        <f t="shared" si="1"/>
        <v>1296</v>
      </c>
      <c r="F13" s="142">
        <f t="shared" si="2"/>
        <v>4704</v>
      </c>
      <c r="G13" s="142">
        <f t="shared" si="3"/>
        <v>4000</v>
      </c>
      <c r="H13" s="142">
        <f t="shared" si="4"/>
        <v>704</v>
      </c>
      <c r="I13" s="142">
        <f t="shared" si="5"/>
        <v>176</v>
      </c>
      <c r="J13" s="142">
        <f t="shared" si="6"/>
        <v>4528</v>
      </c>
      <c r="K13" s="142">
        <f t="shared" si="7"/>
        <v>1828.7832562905833</v>
      </c>
      <c r="L13" s="142">
        <f t="shared" si="8"/>
        <v>-17506.527135754874</v>
      </c>
      <c r="N13" s="140">
        <v>8</v>
      </c>
      <c r="O13" s="142"/>
      <c r="P13" s="142">
        <v>9000</v>
      </c>
      <c r="Q13" s="142">
        <v>3000</v>
      </c>
      <c r="R13" s="142">
        <f t="shared" si="26"/>
        <v>1296</v>
      </c>
      <c r="S13" s="142">
        <f t="shared" si="9"/>
        <v>4704</v>
      </c>
      <c r="T13" s="142">
        <f t="shared" si="10"/>
        <v>4000</v>
      </c>
      <c r="U13" s="142">
        <f t="shared" si="11"/>
        <v>2717.3591644076764</v>
      </c>
      <c r="V13" s="142">
        <f t="shared" si="12"/>
        <v>435.81201104644828</v>
      </c>
      <c r="W13" s="142">
        <f t="shared" si="13"/>
        <v>2281.5471533612281</v>
      </c>
      <c r="X13" s="142">
        <f t="shared" si="14"/>
        <v>4981.9863640795766</v>
      </c>
      <c r="Y13" s="142">
        <f t="shared" si="15"/>
        <v>268.18798895355172</v>
      </c>
      <c r="Z13" s="142">
        <f t="shared" si="16"/>
        <v>67.046997238387931</v>
      </c>
      <c r="AA13" s="142">
        <f t="shared" si="17"/>
        <v>1919.5938383539356</v>
      </c>
      <c r="AB13" s="142">
        <f t="shared" si="25"/>
        <v>775.29175584369477</v>
      </c>
      <c r="AC13" s="142">
        <f t="shared" si="18"/>
        <v>4020.7033419374911</v>
      </c>
      <c r="AE13" s="141">
        <v>8</v>
      </c>
      <c r="AF13" s="143"/>
      <c r="AG13" s="143">
        <f t="shared" si="27"/>
        <v>1296</v>
      </c>
      <c r="AH13" s="143">
        <f t="shared" si="19"/>
        <v>1296</v>
      </c>
      <c r="AI13" s="145">
        <f t="shared" si="28"/>
        <v>523.43266346126234</v>
      </c>
      <c r="AJ13" s="143">
        <f t="shared" si="20"/>
        <v>1366.271179583684</v>
      </c>
      <c r="AK13" s="133"/>
      <c r="AM13" s="141">
        <v>8</v>
      </c>
      <c r="AN13" s="143"/>
      <c r="AO13" s="145">
        <f t="shared" si="21"/>
        <v>2717.3591644076764</v>
      </c>
      <c r="AP13" s="143">
        <f t="shared" si="22"/>
        <v>3717.3591644076764</v>
      </c>
      <c r="AQ13" s="145">
        <f t="shared" si="23"/>
        <v>1501.3790188796627</v>
      </c>
      <c r="AR13" s="143">
        <f t="shared" si="24"/>
        <v>-1533.4987872665627</v>
      </c>
      <c r="AT13" s="140"/>
      <c r="AU13" s="144"/>
      <c r="AV13" s="144"/>
      <c r="AW13" s="142"/>
      <c r="AX13" s="144"/>
      <c r="AY13" s="144"/>
      <c r="AZ13" s="142"/>
      <c r="BA13" s="144"/>
    </row>
    <row r="14" spans="1:53">
      <c r="A14" s="140">
        <v>9</v>
      </c>
      <c r="B14" s="142"/>
      <c r="C14" s="142">
        <v>9000</v>
      </c>
      <c r="D14" s="142">
        <v>3000</v>
      </c>
      <c r="E14" s="142">
        <f t="shared" si="1"/>
        <v>1296</v>
      </c>
      <c r="F14" s="142">
        <f t="shared" si="2"/>
        <v>4704</v>
      </c>
      <c r="G14" s="142">
        <f t="shared" si="3"/>
        <v>4000</v>
      </c>
      <c r="H14" s="142">
        <f t="shared" si="4"/>
        <v>704</v>
      </c>
      <c r="I14" s="142">
        <f t="shared" si="5"/>
        <v>176</v>
      </c>
      <c r="J14" s="142">
        <f t="shared" si="6"/>
        <v>4528</v>
      </c>
      <c r="K14" s="142">
        <f t="shared" si="7"/>
        <v>1632.8421931165922</v>
      </c>
      <c r="L14" s="142">
        <f t="shared" si="8"/>
        <v>-15873.684942638281</v>
      </c>
      <c r="N14" s="140">
        <v>9</v>
      </c>
      <c r="O14" s="142"/>
      <c r="P14" s="142">
        <v>9000</v>
      </c>
      <c r="Q14" s="142">
        <v>3000</v>
      </c>
      <c r="R14" s="142">
        <f t="shared" si="26"/>
        <v>1296</v>
      </c>
      <c r="S14" s="142">
        <f t="shared" si="9"/>
        <v>4704</v>
      </c>
      <c r="T14" s="142">
        <f t="shared" si="10"/>
        <v>4000</v>
      </c>
      <c r="U14" s="142">
        <f t="shared" si="11"/>
        <v>2717.3591644076764</v>
      </c>
      <c r="V14" s="142">
        <f t="shared" si="12"/>
        <v>298.91918184477458</v>
      </c>
      <c r="W14" s="142">
        <f t="shared" si="13"/>
        <v>2418.4399825629016</v>
      </c>
      <c r="X14" s="142">
        <f t="shared" si="14"/>
        <v>2563.546381516675</v>
      </c>
      <c r="Y14" s="142">
        <f t="shared" si="15"/>
        <v>405.08081815522542</v>
      </c>
      <c r="Z14" s="142">
        <f t="shared" si="16"/>
        <v>101.27020453880635</v>
      </c>
      <c r="AA14" s="142">
        <f t="shared" si="17"/>
        <v>1885.3706310535172</v>
      </c>
      <c r="AB14" s="142">
        <f t="shared" si="25"/>
        <v>679.88355036374526</v>
      </c>
      <c r="AC14" s="142">
        <f t="shared" si="18"/>
        <v>4700.5868923012367</v>
      </c>
      <c r="AE14" s="141">
        <v>9</v>
      </c>
      <c r="AF14" s="143"/>
      <c r="AG14" s="143">
        <f t="shared" si="27"/>
        <v>1296</v>
      </c>
      <c r="AH14" s="143">
        <f t="shared" si="19"/>
        <v>1296</v>
      </c>
      <c r="AI14" s="145">
        <f t="shared" si="28"/>
        <v>467.35059237612711</v>
      </c>
      <c r="AJ14" s="143">
        <f t="shared" si="20"/>
        <v>1833.6217719598112</v>
      </c>
      <c r="AK14" s="133"/>
      <c r="AM14" s="141">
        <v>9</v>
      </c>
      <c r="AN14" s="143"/>
      <c r="AO14" s="145">
        <f t="shared" si="21"/>
        <v>2717.3591644076764</v>
      </c>
      <c r="AP14" s="143">
        <f t="shared" si="22"/>
        <v>3717.3591644076764</v>
      </c>
      <c r="AQ14" s="145">
        <f t="shared" si="23"/>
        <v>1340.516981142556</v>
      </c>
      <c r="AR14" s="143">
        <f t="shared" si="24"/>
        <v>-192.98180612400665</v>
      </c>
      <c r="AT14" s="140"/>
      <c r="AU14" s="144"/>
      <c r="AV14" s="144"/>
      <c r="AW14" s="142"/>
      <c r="AX14" s="144"/>
      <c r="AY14" s="144"/>
      <c r="AZ14" s="142"/>
      <c r="BA14" s="144"/>
    </row>
    <row r="15" spans="1:53" ht="16" thickBot="1">
      <c r="A15" s="140">
        <v>10</v>
      </c>
      <c r="B15" s="142"/>
      <c r="C15" s="142">
        <v>9000</v>
      </c>
      <c r="D15" s="142">
        <v>3000</v>
      </c>
      <c r="E15" s="142">
        <f t="shared" si="1"/>
        <v>1296</v>
      </c>
      <c r="F15" s="142">
        <f t="shared" si="2"/>
        <v>4704</v>
      </c>
      <c r="G15" s="142">
        <f t="shared" si="3"/>
        <v>4000</v>
      </c>
      <c r="H15" s="142">
        <f t="shared" si="4"/>
        <v>704</v>
      </c>
      <c r="I15" s="142">
        <f t="shared" si="5"/>
        <v>176</v>
      </c>
      <c r="J15" s="142">
        <f t="shared" si="6"/>
        <v>4528</v>
      </c>
      <c r="K15" s="142">
        <f t="shared" si="7"/>
        <v>1457.8948152826715</v>
      </c>
      <c r="L15" s="142">
        <f t="shared" si="8"/>
        <v>-14415.790127355609</v>
      </c>
      <c r="N15" s="140">
        <v>10</v>
      </c>
      <c r="O15" s="142"/>
      <c r="P15" s="142">
        <v>9000</v>
      </c>
      <c r="Q15" s="142">
        <v>3000</v>
      </c>
      <c r="R15" s="142">
        <f t="shared" si="26"/>
        <v>1296</v>
      </c>
      <c r="S15" s="142">
        <f t="shared" si="9"/>
        <v>4704</v>
      </c>
      <c r="T15" s="142">
        <f t="shared" si="10"/>
        <v>4000</v>
      </c>
      <c r="U15" s="142">
        <f t="shared" si="11"/>
        <v>2717.3591644076764</v>
      </c>
      <c r="V15" s="142">
        <f t="shared" si="12"/>
        <v>153.8127828910005</v>
      </c>
      <c r="W15" s="142">
        <f t="shared" si="13"/>
        <v>2563.5463815166759</v>
      </c>
      <c r="X15" s="142">
        <f t="shared" si="14"/>
        <v>0</v>
      </c>
      <c r="Y15" s="142">
        <f t="shared" si="15"/>
        <v>550.18721710899945</v>
      </c>
      <c r="Z15" s="142">
        <f t="shared" si="16"/>
        <v>137.54680427724986</v>
      </c>
      <c r="AA15" s="142">
        <f t="shared" si="17"/>
        <v>1849.0940313150736</v>
      </c>
      <c r="AB15" s="142">
        <f t="shared" si="25"/>
        <v>595.35879002305205</v>
      </c>
      <c r="AC15" s="146">
        <f t="shared" si="18"/>
        <v>5295.945682324289</v>
      </c>
      <c r="AD15" s="127" t="s">
        <v>157</v>
      </c>
      <c r="AE15" s="141">
        <v>10</v>
      </c>
      <c r="AF15" s="143"/>
      <c r="AG15" s="143">
        <f t="shared" si="27"/>
        <v>1296</v>
      </c>
      <c r="AH15" s="143">
        <f t="shared" si="19"/>
        <v>1296</v>
      </c>
      <c r="AI15" s="145">
        <f t="shared" si="28"/>
        <v>417.27731462154202</v>
      </c>
      <c r="AJ15" s="143">
        <f t="shared" si="20"/>
        <v>2250.899086581353</v>
      </c>
      <c r="AK15" s="133"/>
      <c r="AL15" s="127"/>
      <c r="AM15" s="141">
        <v>10</v>
      </c>
      <c r="AN15" s="143"/>
      <c r="AO15" s="145">
        <f t="shared" si="21"/>
        <v>2717.3591644076764</v>
      </c>
      <c r="AP15" s="143">
        <f t="shared" si="22"/>
        <v>3717.3591644076764</v>
      </c>
      <c r="AQ15" s="145">
        <f t="shared" si="23"/>
        <v>1196.8901617344247</v>
      </c>
      <c r="AR15" s="143">
        <f t="shared" si="24"/>
        <v>1003.9083556104181</v>
      </c>
      <c r="AT15" s="140"/>
      <c r="AU15" s="144"/>
      <c r="AV15" s="144"/>
      <c r="AW15" s="142"/>
      <c r="AX15" s="144"/>
      <c r="AY15" s="144"/>
      <c r="AZ15" s="142"/>
      <c r="BA15" s="144"/>
    </row>
    <row r="16" spans="1:53">
      <c r="A16" s="140">
        <v>11</v>
      </c>
      <c r="B16" s="142"/>
      <c r="C16" s="142">
        <v>9000</v>
      </c>
      <c r="D16" s="142">
        <v>3000</v>
      </c>
      <c r="E16" s="142">
        <f t="shared" si="1"/>
        <v>1296</v>
      </c>
      <c r="F16" s="142">
        <f t="shared" si="2"/>
        <v>4704</v>
      </c>
      <c r="G16" s="142">
        <v>0</v>
      </c>
      <c r="H16" s="142">
        <f t="shared" si="4"/>
        <v>4704</v>
      </c>
      <c r="I16" s="142">
        <f t="shared" si="5"/>
        <v>1176</v>
      </c>
      <c r="J16" s="142">
        <f t="shared" si="6"/>
        <v>3528</v>
      </c>
      <c r="K16" s="142">
        <f t="shared" si="7"/>
        <v>1014.2156952606922</v>
      </c>
      <c r="L16" s="142">
        <f t="shared" si="8"/>
        <v>-13401.574432094916</v>
      </c>
      <c r="N16" s="140">
        <v>11</v>
      </c>
      <c r="O16" s="142"/>
      <c r="P16" s="142">
        <v>9000</v>
      </c>
      <c r="Q16" s="142">
        <v>3000</v>
      </c>
      <c r="R16" s="142">
        <f t="shared" si="26"/>
        <v>1296</v>
      </c>
      <c r="S16" s="142">
        <f t="shared" si="9"/>
        <v>4704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f t="shared" si="15"/>
        <v>4704</v>
      </c>
      <c r="Z16" s="142">
        <f t="shared" si="16"/>
        <v>1176</v>
      </c>
      <c r="AA16" s="142">
        <f t="shared" si="17"/>
        <v>3528</v>
      </c>
      <c r="AB16" s="142">
        <f t="shared" si="25"/>
        <v>1014.2156952606922</v>
      </c>
      <c r="AC16" s="142">
        <f t="shared" si="18"/>
        <v>6310.161377584981</v>
      </c>
      <c r="AE16" s="141">
        <v>11</v>
      </c>
      <c r="AF16" s="143"/>
      <c r="AG16" s="143">
        <f t="shared" si="27"/>
        <v>1296</v>
      </c>
      <c r="AH16" s="143">
        <f t="shared" si="19"/>
        <v>1296</v>
      </c>
      <c r="AI16" s="145">
        <f t="shared" si="28"/>
        <v>372.56903091209102</v>
      </c>
      <c r="AJ16" s="143">
        <f t="shared" si="20"/>
        <v>2623.468117493444</v>
      </c>
      <c r="AK16" s="133"/>
      <c r="AM16" s="141">
        <v>11</v>
      </c>
      <c r="AN16" s="143"/>
      <c r="AO16" s="145">
        <f t="shared" si="21"/>
        <v>0</v>
      </c>
      <c r="AP16" s="143">
        <f t="shared" si="22"/>
        <v>1000</v>
      </c>
      <c r="AQ16" s="145">
        <f t="shared" si="23"/>
        <v>287.47610409883566</v>
      </c>
      <c r="AR16" s="143">
        <f t="shared" si="24"/>
        <v>1291.3844597092539</v>
      </c>
      <c r="AT16" s="140"/>
      <c r="AU16" s="144"/>
      <c r="AV16" s="144"/>
      <c r="AW16" s="144"/>
      <c r="AX16" s="144"/>
      <c r="AY16" s="144"/>
      <c r="AZ16" s="142"/>
      <c r="BA16" s="144"/>
    </row>
    <row r="17" spans="1:53">
      <c r="A17" s="140">
        <v>12</v>
      </c>
      <c r="B17" s="142"/>
      <c r="C17" s="142">
        <v>9000</v>
      </c>
      <c r="D17" s="142">
        <v>3000</v>
      </c>
      <c r="E17" s="142">
        <f t="shared" si="1"/>
        <v>1296</v>
      </c>
      <c r="F17" s="142">
        <f t="shared" si="2"/>
        <v>4704</v>
      </c>
      <c r="G17" s="142">
        <v>0</v>
      </c>
      <c r="H17" s="142">
        <f t="shared" si="4"/>
        <v>4704</v>
      </c>
      <c r="I17" s="142">
        <f t="shared" si="5"/>
        <v>1176</v>
      </c>
      <c r="J17" s="142">
        <f t="shared" si="6"/>
        <v>3528</v>
      </c>
      <c r="K17" s="142">
        <f t="shared" si="7"/>
        <v>905.54972791133241</v>
      </c>
      <c r="L17" s="142">
        <f t="shared" si="8"/>
        <v>-12496.024704183583</v>
      </c>
      <c r="N17" s="140">
        <v>12</v>
      </c>
      <c r="O17" s="142"/>
      <c r="P17" s="142">
        <v>9000</v>
      </c>
      <c r="Q17" s="142">
        <v>3000</v>
      </c>
      <c r="R17" s="142">
        <f t="shared" si="26"/>
        <v>1296</v>
      </c>
      <c r="S17" s="142">
        <f t="shared" si="9"/>
        <v>4704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f t="shared" si="15"/>
        <v>4704</v>
      </c>
      <c r="Z17" s="142">
        <f t="shared" si="16"/>
        <v>1176</v>
      </c>
      <c r="AA17" s="142">
        <f t="shared" si="17"/>
        <v>3528</v>
      </c>
      <c r="AB17" s="142">
        <f t="shared" si="25"/>
        <v>905.54972791133241</v>
      </c>
      <c r="AC17" s="142">
        <f t="shared" si="18"/>
        <v>7215.7111054963134</v>
      </c>
      <c r="AE17" s="141">
        <v>12</v>
      </c>
      <c r="AF17" s="143"/>
      <c r="AG17" s="143">
        <f t="shared" si="27"/>
        <v>1296</v>
      </c>
      <c r="AH17" s="143">
        <f t="shared" si="19"/>
        <v>1296</v>
      </c>
      <c r="AI17" s="145">
        <f t="shared" si="28"/>
        <v>332.65092045722417</v>
      </c>
      <c r="AJ17" s="143">
        <f t="shared" si="20"/>
        <v>2956.1190379506679</v>
      </c>
      <c r="AK17" s="133"/>
      <c r="AM17" s="141">
        <v>12</v>
      </c>
      <c r="AN17" s="143"/>
      <c r="AO17" s="145">
        <f t="shared" si="21"/>
        <v>0</v>
      </c>
      <c r="AP17" s="143">
        <f t="shared" si="22"/>
        <v>1000</v>
      </c>
      <c r="AQ17" s="145">
        <f t="shared" si="23"/>
        <v>256.675092945389</v>
      </c>
      <c r="AR17" s="143">
        <f t="shared" si="24"/>
        <v>1548.0595526546429</v>
      </c>
      <c r="AT17" s="140"/>
      <c r="AU17" s="144"/>
      <c r="AV17" s="144"/>
      <c r="AW17" s="144"/>
      <c r="AX17" s="144"/>
      <c r="AY17" s="144"/>
      <c r="AZ17" s="142"/>
      <c r="BA17" s="144"/>
    </row>
    <row r="18" spans="1:53">
      <c r="A18" s="140">
        <v>13</v>
      </c>
      <c r="B18" s="142"/>
      <c r="C18" s="142">
        <v>9000</v>
      </c>
      <c r="D18" s="142">
        <v>3000</v>
      </c>
      <c r="E18" s="142">
        <f t="shared" si="1"/>
        <v>1296</v>
      </c>
      <c r="F18" s="142">
        <f t="shared" si="2"/>
        <v>4704</v>
      </c>
      <c r="G18" s="142">
        <v>0</v>
      </c>
      <c r="H18" s="142">
        <f t="shared" si="4"/>
        <v>4704</v>
      </c>
      <c r="I18" s="142">
        <f t="shared" si="5"/>
        <v>1176</v>
      </c>
      <c r="J18" s="142">
        <f t="shared" si="6"/>
        <v>3528</v>
      </c>
      <c r="K18" s="142">
        <f t="shared" si="7"/>
        <v>808.52654277797524</v>
      </c>
      <c r="L18" s="142">
        <f t="shared" si="8"/>
        <v>-11687.498161405607</v>
      </c>
      <c r="N18" s="140">
        <v>13</v>
      </c>
      <c r="O18" s="142"/>
      <c r="P18" s="142">
        <v>9000</v>
      </c>
      <c r="Q18" s="142">
        <v>3000</v>
      </c>
      <c r="R18" s="142">
        <f t="shared" si="26"/>
        <v>1296</v>
      </c>
      <c r="S18" s="142">
        <f t="shared" si="9"/>
        <v>4704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f t="shared" si="15"/>
        <v>4704</v>
      </c>
      <c r="Z18" s="142">
        <f t="shared" si="16"/>
        <v>1176</v>
      </c>
      <c r="AA18" s="142">
        <f t="shared" si="17"/>
        <v>3528</v>
      </c>
      <c r="AB18" s="142">
        <f t="shared" si="25"/>
        <v>808.52654277797524</v>
      </c>
      <c r="AC18" s="142">
        <f t="shared" si="18"/>
        <v>8024.2376482742884</v>
      </c>
      <c r="AE18" s="141">
        <v>13</v>
      </c>
      <c r="AF18" s="143"/>
      <c r="AG18" s="143">
        <f t="shared" si="27"/>
        <v>1296</v>
      </c>
      <c r="AH18" s="143">
        <f t="shared" si="19"/>
        <v>1296</v>
      </c>
      <c r="AI18" s="145">
        <f t="shared" si="28"/>
        <v>297.00975040823579</v>
      </c>
      <c r="AJ18" s="143">
        <f t="shared" si="20"/>
        <v>3253.1287883589039</v>
      </c>
      <c r="AK18" s="133"/>
      <c r="AM18" s="141">
        <v>13</v>
      </c>
      <c r="AN18" s="143"/>
      <c r="AO18" s="145">
        <f t="shared" si="21"/>
        <v>0</v>
      </c>
      <c r="AP18" s="143">
        <f t="shared" si="22"/>
        <v>1000</v>
      </c>
      <c r="AQ18" s="145">
        <f t="shared" si="23"/>
        <v>229.17419012981159</v>
      </c>
      <c r="AR18" s="143">
        <f t="shared" si="24"/>
        <v>1777.2337427844545</v>
      </c>
      <c r="AT18" s="140"/>
      <c r="AU18" s="144"/>
      <c r="AV18" s="144"/>
      <c r="AW18" s="144"/>
      <c r="AX18" s="144"/>
      <c r="AY18" s="144"/>
      <c r="AZ18" s="142"/>
      <c r="BA18" s="144"/>
    </row>
    <row r="19" spans="1:53">
      <c r="A19" s="140">
        <v>14</v>
      </c>
      <c r="B19" s="142"/>
      <c r="C19" s="142">
        <v>9000</v>
      </c>
      <c r="D19" s="142">
        <v>3000</v>
      </c>
      <c r="E19" s="142">
        <f t="shared" si="1"/>
        <v>1296</v>
      </c>
      <c r="F19" s="142">
        <f t="shared" si="2"/>
        <v>4704</v>
      </c>
      <c r="G19" s="142">
        <v>0</v>
      </c>
      <c r="H19" s="142">
        <f t="shared" si="4"/>
        <v>4704</v>
      </c>
      <c r="I19" s="142">
        <f t="shared" si="5"/>
        <v>1176</v>
      </c>
      <c r="J19" s="142">
        <f t="shared" si="6"/>
        <v>3528</v>
      </c>
      <c r="K19" s="142">
        <f t="shared" si="7"/>
        <v>721.89869890890645</v>
      </c>
      <c r="L19" s="142">
        <f t="shared" si="8"/>
        <v>-10965.599462496701</v>
      </c>
      <c r="N19" s="140">
        <v>14</v>
      </c>
      <c r="O19" s="142"/>
      <c r="P19" s="142">
        <v>9000</v>
      </c>
      <c r="Q19" s="142">
        <v>3000</v>
      </c>
      <c r="R19" s="142">
        <f t="shared" si="26"/>
        <v>1296</v>
      </c>
      <c r="S19" s="142">
        <f t="shared" si="9"/>
        <v>4704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f t="shared" si="15"/>
        <v>4704</v>
      </c>
      <c r="Z19" s="142">
        <f t="shared" si="16"/>
        <v>1176</v>
      </c>
      <c r="AA19" s="142">
        <f t="shared" si="17"/>
        <v>3528</v>
      </c>
      <c r="AB19" s="142">
        <f t="shared" si="25"/>
        <v>721.89869890890645</v>
      </c>
      <c r="AC19" s="142">
        <f t="shared" si="18"/>
        <v>8746.1363471831955</v>
      </c>
      <c r="AE19" s="141">
        <v>14</v>
      </c>
      <c r="AF19" s="143"/>
      <c r="AG19" s="143">
        <f t="shared" si="27"/>
        <v>1296</v>
      </c>
      <c r="AH19" s="143">
        <f t="shared" si="19"/>
        <v>1296</v>
      </c>
      <c r="AI19" s="145">
        <f t="shared" si="28"/>
        <v>265.18727715021055</v>
      </c>
      <c r="AJ19" s="143">
        <f t="shared" si="20"/>
        <v>3518.3160655091142</v>
      </c>
      <c r="AK19" s="147" t="s">
        <v>157</v>
      </c>
      <c r="AM19" s="141">
        <v>14</v>
      </c>
      <c r="AN19" s="143"/>
      <c r="AO19" s="145">
        <f t="shared" si="21"/>
        <v>0</v>
      </c>
      <c r="AP19" s="143">
        <f t="shared" si="22"/>
        <v>1000</v>
      </c>
      <c r="AQ19" s="145">
        <f t="shared" si="23"/>
        <v>204.61981261590319</v>
      </c>
      <c r="AR19" s="143">
        <f t="shared" si="24"/>
        <v>1981.8535554003577</v>
      </c>
      <c r="AT19" s="140"/>
      <c r="AU19" s="144"/>
      <c r="AV19" s="144"/>
      <c r="AW19" s="144"/>
      <c r="AX19" s="144"/>
      <c r="AY19" s="144"/>
      <c r="AZ19" s="142"/>
      <c r="BA19" s="144"/>
    </row>
    <row r="20" spans="1:53">
      <c r="A20" s="140">
        <v>15</v>
      </c>
      <c r="B20" s="142"/>
      <c r="C20" s="142">
        <v>9000</v>
      </c>
      <c r="D20" s="142">
        <v>3000</v>
      </c>
      <c r="E20" s="142">
        <f t="shared" si="1"/>
        <v>1296</v>
      </c>
      <c r="F20" s="142">
        <f t="shared" si="2"/>
        <v>4704</v>
      </c>
      <c r="G20" s="142">
        <v>0</v>
      </c>
      <c r="H20" s="142">
        <f t="shared" si="4"/>
        <v>4704</v>
      </c>
      <c r="I20" s="142">
        <f t="shared" si="5"/>
        <v>1176</v>
      </c>
      <c r="J20" s="142">
        <f t="shared" si="6"/>
        <v>3528</v>
      </c>
      <c r="K20" s="142">
        <f t="shared" si="7"/>
        <v>644.55240974009507</v>
      </c>
      <c r="L20" s="150">
        <f t="shared" si="8"/>
        <v>-10321.047052756605</v>
      </c>
      <c r="N20" s="140">
        <v>15</v>
      </c>
      <c r="O20" s="142"/>
      <c r="P20" s="142">
        <v>9000</v>
      </c>
      <c r="Q20" s="142">
        <v>3000</v>
      </c>
      <c r="R20" s="142">
        <f t="shared" si="26"/>
        <v>1296</v>
      </c>
      <c r="S20" s="142">
        <f t="shared" si="9"/>
        <v>4704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f t="shared" si="15"/>
        <v>4704</v>
      </c>
      <c r="Z20" s="142">
        <f t="shared" si="16"/>
        <v>1176</v>
      </c>
      <c r="AA20" s="142">
        <f t="shared" si="17"/>
        <v>3528</v>
      </c>
      <c r="AB20" s="142">
        <f t="shared" si="25"/>
        <v>644.55240974009507</v>
      </c>
      <c r="AC20" s="150">
        <f t="shared" si="18"/>
        <v>9390.6887569232913</v>
      </c>
      <c r="AE20" s="141">
        <v>15</v>
      </c>
      <c r="AF20" s="143"/>
      <c r="AG20" s="143">
        <f t="shared" si="27"/>
        <v>1296</v>
      </c>
      <c r="AH20" s="143">
        <f t="shared" si="19"/>
        <v>1296</v>
      </c>
      <c r="AI20" s="145">
        <f t="shared" si="28"/>
        <v>236.77435459840228</v>
      </c>
      <c r="AJ20" s="143">
        <f t="shared" si="20"/>
        <v>3755.0904201075164</v>
      </c>
      <c r="AK20" s="133"/>
      <c r="AM20" s="141">
        <v>15</v>
      </c>
      <c r="AN20" s="143"/>
      <c r="AO20" s="145">
        <f t="shared" si="21"/>
        <v>0</v>
      </c>
      <c r="AP20" s="143">
        <f t="shared" si="22"/>
        <v>1000</v>
      </c>
      <c r="AQ20" s="145">
        <f t="shared" si="23"/>
        <v>182.69626126419928</v>
      </c>
      <c r="AR20" s="143">
        <f t="shared" si="24"/>
        <v>2164.5498166645571</v>
      </c>
      <c r="AT20" s="140"/>
      <c r="AU20" s="144"/>
      <c r="AV20" s="144"/>
      <c r="AW20" s="144"/>
      <c r="AX20" s="144"/>
      <c r="AY20" s="144"/>
      <c r="AZ20" s="142"/>
      <c r="BA20" s="144"/>
    </row>
    <row r="21" spans="1:53">
      <c r="K21" s="130"/>
      <c r="AE21" s="133"/>
      <c r="AF21" s="133"/>
      <c r="AG21" s="133"/>
      <c r="AH21" s="143">
        <f t="shared" si="19"/>
        <v>0</v>
      </c>
      <c r="AI21" s="148">
        <f>SUM(AI5:AI20)</f>
        <v>3755.0904201075164</v>
      </c>
      <c r="AJ21" s="133"/>
      <c r="AK21" s="133"/>
      <c r="AQ21" s="130"/>
      <c r="AX21" s="144"/>
      <c r="AY21" s="144"/>
      <c r="AZ21" s="144"/>
    </row>
    <row r="35" spans="14:17">
      <c r="Q35">
        <f>10000/1.6</f>
        <v>6250</v>
      </c>
    </row>
    <row r="38" spans="14:17">
      <c r="N38">
        <f>0.5/3</f>
        <v>0.16666666666666666</v>
      </c>
    </row>
    <row r="40" spans="14:17">
      <c r="N40">
        <v>1.5</v>
      </c>
    </row>
    <row r="42" spans="14:17">
      <c r="N42">
        <f>N40+N38</f>
        <v>1.6666666666666667</v>
      </c>
    </row>
    <row r="43" spans="14:17">
      <c r="N43">
        <v>6000</v>
      </c>
    </row>
    <row r="44" spans="14:17">
      <c r="N44">
        <f>N42*N43</f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CAP IV FADIGAS</vt:lpstr>
      <vt:lpstr>L 4 - EX 1</vt:lpstr>
      <vt:lpstr>EXERC1 P1</vt:lpstr>
      <vt:lpstr>EXER2 P1</vt:lpstr>
      <vt:lpstr>L4 - PLURALIDADE DE ÓTICAS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</dc:creator>
  <cp:lastModifiedBy>Microsoft Office User</cp:lastModifiedBy>
  <dcterms:created xsi:type="dcterms:W3CDTF">2011-09-25T16:57:35Z</dcterms:created>
  <dcterms:modified xsi:type="dcterms:W3CDTF">2020-09-16T13:32:27Z</dcterms:modified>
</cp:coreProperties>
</file>