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PRO 3362/2020/ENGENHARIA ECONÔMICA/EXERCICIOS/"/>
    </mc:Choice>
  </mc:AlternateContent>
  <xr:revisionPtr revIDLastSave="0" documentId="8_{FEFE3115-C52E-0D40-8414-701E4A79E796}" xr6:coauthVersionLast="45" xr6:coauthVersionMax="45" xr10:uidLastSave="{00000000-0000-0000-0000-000000000000}"/>
  <bookViews>
    <workbookView xWindow="0" yWindow="460" windowWidth="19160" windowHeight="12600" activeTab="1" xr2:uid="{00000000-000D-0000-FFFF-FFFF00000000}"/>
  </bookViews>
  <sheets>
    <sheet name="CAP IV FADIGAS" sheetId="1" r:id="rId1"/>
    <sheet name="L 3 - EX 7" sheetId="2" r:id="rId2"/>
    <sheet name="L3 - EX8" sheetId="3" r:id="rId3"/>
    <sheet name="L3 - EX 2" sheetId="5" r:id="rId4"/>
  </sheets>
  <definedNames>
    <definedName name="solver_adj" localSheetId="1" hidden="1">'L 3 - EX 7'!$E$3:$E$12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'L 3 - EX 7'!$E$3:$E$12</definedName>
    <definedName name="solver_lhs2" localSheetId="1" hidden="1">'L 3 - EX 7'!$E$14:$E$17</definedName>
    <definedName name="solver_lhs3" localSheetId="1" hidden="1">'L 3 - EX 7'!$E$14:$E$17</definedName>
    <definedName name="solver_lhs4" localSheetId="1" hidden="1">'L 3 - EX 7'!$E$19</definedName>
    <definedName name="solver_lin" localSheetId="1" hidden="1">2</definedName>
    <definedName name="solver_neg" localSheetId="1" hidden="1">2</definedName>
    <definedName name="solver_num" localSheetId="1" hidden="1">4</definedName>
    <definedName name="solver_nwt" localSheetId="1" hidden="1">1</definedName>
    <definedName name="solver_opt" localSheetId="1" hidden="1">'L 3 - EX 7'!$F$22</definedName>
    <definedName name="solver_pre" localSheetId="1" hidden="1">0.000001</definedName>
    <definedName name="solver_rel1" localSheetId="1" hidden="1">5</definedName>
    <definedName name="solver_rel2" localSheetId="1" hidden="1">1</definedName>
    <definedName name="solver_rel3" localSheetId="1" hidden="1">3</definedName>
    <definedName name="solver_rel4" localSheetId="1" hidden="1">1</definedName>
    <definedName name="solver_rhs1" localSheetId="1" hidden="1">binario</definedName>
    <definedName name="solver_rhs2" localSheetId="1" hidden="1">1</definedName>
    <definedName name="solver_rhs3" localSheetId="1" hidden="1">0</definedName>
    <definedName name="solver_rhs4" localSheetId="1" hidden="1">130000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2" l="1"/>
  <c r="E17" i="2"/>
  <c r="E16" i="2"/>
  <c r="E15" i="2"/>
  <c r="E14" i="2"/>
  <c r="F22" i="2"/>
  <c r="H6" i="2"/>
  <c r="H7" i="2"/>
  <c r="H10" i="2"/>
  <c r="H11" i="2"/>
  <c r="G4" i="2"/>
  <c r="H4" i="2" s="1"/>
  <c r="G5" i="2"/>
  <c r="H5" i="2" s="1"/>
  <c r="G6" i="2"/>
  <c r="G7" i="2"/>
  <c r="G8" i="2"/>
  <c r="H8" i="2" s="1"/>
  <c r="G9" i="2"/>
  <c r="H9" i="2" s="1"/>
  <c r="G10" i="2"/>
  <c r="G11" i="2"/>
  <c r="G12" i="2"/>
  <c r="H12" i="2" s="1"/>
  <c r="G3" i="2"/>
  <c r="H3" i="2" s="1"/>
  <c r="AD17" i="5"/>
  <c r="AF17" i="5" s="1"/>
  <c r="J17" i="5"/>
  <c r="C17" i="5"/>
  <c r="AD16" i="5"/>
  <c r="AF16" i="5" s="1"/>
  <c r="AF15" i="5"/>
  <c r="J15" i="5"/>
  <c r="C15" i="5"/>
  <c r="AG14" i="5"/>
  <c r="AG15" i="5" s="1"/>
  <c r="AG16" i="5" s="1"/>
  <c r="AG17" i="5" s="1"/>
  <c r="AA11" i="5"/>
  <c r="AA12" i="5" s="1"/>
  <c r="J11" i="5"/>
  <c r="J13" i="5" s="1"/>
  <c r="J21" i="5" s="1"/>
  <c r="J22" i="5" s="1"/>
  <c r="AD9" i="5"/>
  <c r="AD8" i="5"/>
  <c r="AJ7" i="5"/>
  <c r="AG7" i="5"/>
  <c r="C5" i="5"/>
  <c r="C11" i="5" s="1"/>
  <c r="C13" i="5" s="1"/>
  <c r="C21" i="5" s="1"/>
  <c r="C22" i="5" s="1"/>
  <c r="H22" i="2" l="1"/>
  <c r="G22" i="2"/>
  <c r="AG8" i="5"/>
  <c r="AG9" i="5" s="1"/>
  <c r="AH7" i="5"/>
  <c r="AJ8" i="5" l="1"/>
  <c r="AH8" i="5"/>
  <c r="AI7" i="5"/>
  <c r="AJ9" i="5" l="1"/>
  <c r="AI8" i="5"/>
  <c r="L15" i="3"/>
  <c r="J13" i="3"/>
  <c r="K13" i="3" s="1"/>
  <c r="J15" i="3"/>
  <c r="K15" i="3" s="1"/>
  <c r="I12" i="3"/>
  <c r="J12" i="3" s="1"/>
  <c r="I13" i="3"/>
  <c r="I14" i="3"/>
  <c r="J14" i="3" s="1"/>
  <c r="I15" i="3"/>
  <c r="I16" i="3"/>
  <c r="J16" i="3" s="1"/>
  <c r="I11" i="3"/>
  <c r="J11" i="3" s="1"/>
  <c r="E15" i="1"/>
  <c r="D15" i="1"/>
  <c r="C15" i="1"/>
  <c r="E101" i="1"/>
  <c r="E100" i="1"/>
  <c r="E102" i="1" s="1"/>
  <c r="D100" i="1"/>
  <c r="D101" i="1" s="1"/>
  <c r="C13" i="1"/>
  <c r="C78" i="1"/>
  <c r="C79" i="1" s="1"/>
  <c r="E78" i="1"/>
  <c r="E79" i="1" s="1"/>
  <c r="D78" i="1"/>
  <c r="D77" i="1" s="1"/>
  <c r="H37" i="1"/>
  <c r="K37" i="1"/>
  <c r="H27" i="1"/>
  <c r="I27" i="1"/>
  <c r="H28" i="1"/>
  <c r="I28" i="1"/>
  <c r="I29" i="1"/>
  <c r="H30" i="1"/>
  <c r="I30" i="1"/>
  <c r="H31" i="1"/>
  <c r="H32" i="1"/>
  <c r="I32" i="1"/>
  <c r="I33" i="1"/>
  <c r="H34" i="1"/>
  <c r="I34" i="1"/>
  <c r="H35" i="1"/>
  <c r="I35" i="1"/>
  <c r="H36" i="1"/>
  <c r="I36" i="1"/>
  <c r="I37" i="1"/>
  <c r="I26" i="1"/>
  <c r="H26" i="1"/>
  <c r="G26" i="1"/>
  <c r="G27" i="1"/>
  <c r="G29" i="1"/>
  <c r="G30" i="1"/>
  <c r="G32" i="1"/>
  <c r="G33" i="1"/>
  <c r="G35" i="1"/>
  <c r="G36" i="1"/>
  <c r="G37" i="1"/>
  <c r="E13" i="1"/>
  <c r="D13" i="1"/>
  <c r="E12" i="1"/>
  <c r="E14" i="1" s="1"/>
  <c r="D12" i="1"/>
  <c r="D14" i="1" s="1"/>
  <c r="C12" i="1"/>
  <c r="C34" i="1" s="1"/>
  <c r="L14" i="3" l="1"/>
  <c r="K14" i="3"/>
  <c r="L12" i="3"/>
  <c r="K12" i="3"/>
  <c r="L16" i="3"/>
  <c r="K16" i="3"/>
  <c r="L13" i="3"/>
  <c r="D102" i="1"/>
  <c r="L11" i="3"/>
  <c r="K11" i="3"/>
  <c r="J19" i="3"/>
  <c r="C25" i="1"/>
  <c r="E31" i="1"/>
  <c r="I31" i="1" s="1"/>
  <c r="D79" i="1"/>
  <c r="C31" i="1"/>
  <c r="G31" i="1" s="1"/>
  <c r="C14" i="1"/>
  <c r="C77" i="1"/>
  <c r="C100" i="1" s="1"/>
  <c r="K34" i="1"/>
  <c r="G34" i="1"/>
  <c r="D25" i="1"/>
  <c r="D33" i="1"/>
  <c r="H33" i="1" s="1"/>
  <c r="G25" i="1"/>
  <c r="K25" i="1"/>
  <c r="E77" i="1"/>
  <c r="C28" i="1"/>
  <c r="D29" i="1"/>
  <c r="H29" i="1" s="1"/>
  <c r="E25" i="1"/>
  <c r="K31" i="1" l="1"/>
  <c r="C38" i="1"/>
  <c r="C40" i="1" s="1"/>
  <c r="C101" i="1"/>
  <c r="C102" i="1"/>
  <c r="E23" i="3"/>
  <c r="L19" i="3"/>
  <c r="C39" i="1"/>
  <c r="E39" i="1"/>
  <c r="I25" i="1"/>
  <c r="I38" i="1" s="1"/>
  <c r="E38" i="1" s="1"/>
  <c r="E40" i="1" s="1"/>
  <c r="K28" i="1"/>
  <c r="G28" i="1"/>
  <c r="G38" i="1" s="1"/>
  <c r="H25" i="1"/>
  <c r="H38" i="1" s="1"/>
  <c r="D38" i="1" s="1"/>
  <c r="D40" i="1" s="1"/>
  <c r="D39" i="1"/>
  <c r="K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K1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Período de 3 meses da operação financeira.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<sst xmlns="http://schemas.openxmlformats.org/spreadsheetml/2006/main" count="177" uniqueCount="121">
  <si>
    <t>A</t>
  </si>
  <si>
    <t>B</t>
  </si>
  <si>
    <t>C</t>
  </si>
  <si>
    <t>VAL (i) =</t>
  </si>
  <si>
    <t>VF(i) =</t>
  </si>
  <si>
    <t>BUE(i) =</t>
  </si>
  <si>
    <t>TMA</t>
  </si>
  <si>
    <t>isto é, quando todos se iniciam no mesmo instante  0  e terminam no mesmo instante  n .</t>
  </si>
  <si>
    <t>3 POSSIBILIDADES</t>
  </si>
  <si>
    <t>4.2 - Modelo I ou modelo de atividade permanente  (repetição).</t>
  </si>
  <si>
    <t xml:space="preserve">somente podem ser comparados corretamente projetos que tenham horizontes idênticos, </t>
  </si>
  <si>
    <t>Vamos repetir somente o VAL de cada projeto, sabendo que os demais fluxos t podem ser repetidos</t>
  </si>
  <si>
    <t>OS BUE"s são iguais aos projetos anteriores.</t>
  </si>
  <si>
    <t xml:space="preserve">Em conseqüência, se adotarmos o BUE como critério, podemos deixar implícita a repetição para igualar </t>
  </si>
  <si>
    <t>os horizontes, mas não devemos esquecer que estamos comparando os projetos modificados.</t>
  </si>
  <si>
    <t>4.2.1 - Infinitas repetições. Critério do beneficio uniforme capitalizado.</t>
  </si>
  <si>
    <t xml:space="preserve">Sabemos que:    </t>
  </si>
  <si>
    <t xml:space="preserve">Podemos usar o  BUC(i)  como critério de decisão no modelo I, </t>
  </si>
  <si>
    <t>mas geralmente não há vantagem, visto que para calculá-lo temos de usar o  BUE(i)  e este já nos permite decidir.</t>
  </si>
  <si>
    <t>4.3 - Modelo II ou modelo de atividade cessante  (aplicação do resultado).</t>
  </si>
  <si>
    <t>Este modelo se aplica aos casos em que o horizonte dos projetos é da mesma ordem de grandeza do horizonte da atividade, como , por exemplo, a exploração de uma jazida mineral.</t>
  </si>
  <si>
    <t xml:space="preserve">Neste caso podemos igualar os horizontes supondo que o resultado final  X (valor futuro) de cada projeto é aplicado no mercado à taxa  i, pelo prazo necessário para igualar os horizontes. </t>
  </si>
  <si>
    <t>B2; A2; C2</t>
  </si>
  <si>
    <t>A1; B1; c1</t>
  </si>
  <si>
    <t>B;A;C</t>
  </si>
  <si>
    <t>C;B;A</t>
  </si>
  <si>
    <t>A;B;C</t>
  </si>
  <si>
    <t>4.4 - Modelo III ou do prazo final.</t>
  </si>
  <si>
    <t>4.1 - Necessidade de horizonte igual</t>
  </si>
  <si>
    <t xml:space="preserve">Este modelo supõe que os projetos de investimento destinam-se a atender a uma atividade que continua alem da vida útil do projeto, isto é, </t>
  </si>
  <si>
    <t>o horizonte do empreendimento é muito maior que o do projeto. Isto significa que os investimentos deverão ser renovados para manter a atividade.</t>
  </si>
  <si>
    <t xml:space="preserve">Este modelo se aplica em situações em que também o horizonte dos projetos é da mesma ordem de grandeza do horizonte da atividade, o que exclui a repetição, porem há um prazo final para o projeto ser terminado. </t>
  </si>
  <si>
    <t>Por exemplo, uma construtora comparando diversos projetos de execução de uma mesma obra, que deve terminar numa certa data.</t>
  </si>
  <si>
    <t>Neste caso podemos igualar os horizontes supondo que todos os projetos terminam no mesmo prazo  n , e que o investimento inicial  X  do projeto, devidamente descontado, é aplicado no mercado à taxa  i , enquanto espera o inicio.</t>
  </si>
  <si>
    <t>C4; B4; A4</t>
  </si>
  <si>
    <t xml:space="preserve">TIR </t>
  </si>
  <si>
    <t>proposta</t>
  </si>
  <si>
    <t>inv. inicial</t>
  </si>
  <si>
    <t>receita líquida anual</t>
  </si>
  <si>
    <t>taxa de retorno (%)</t>
  </si>
  <si>
    <t>VAL</t>
  </si>
  <si>
    <t>VF</t>
  </si>
  <si>
    <t>BUE</t>
  </si>
  <si>
    <t>A1</t>
  </si>
  <si>
    <t>A2</t>
  </si>
  <si>
    <t>A3</t>
  </si>
  <si>
    <t>A4</t>
  </si>
  <si>
    <t>B1</t>
  </si>
  <si>
    <t>B2</t>
  </si>
  <si>
    <t>B3</t>
  </si>
  <si>
    <t>C1</t>
  </si>
  <si>
    <t>C2</t>
  </si>
  <si>
    <t>D</t>
  </si>
  <si>
    <t>Investimento total</t>
  </si>
  <si>
    <t>TIR Total</t>
  </si>
  <si>
    <t>A1, B2, C1, D</t>
  </si>
  <si>
    <t>RECEITA  LIQ</t>
  </si>
  <si>
    <t>FLUXO</t>
  </si>
  <si>
    <t>Projeto</t>
  </si>
  <si>
    <t>Inv. Inicial</t>
  </si>
  <si>
    <t>N (período)</t>
  </si>
  <si>
    <t>B/C</t>
  </si>
  <si>
    <t>SOLU</t>
  </si>
  <si>
    <t>a VP</t>
  </si>
  <si>
    <t xml:space="preserve">t juros = </t>
  </si>
  <si>
    <t>OTIMIZA'CAO</t>
  </si>
  <si>
    <t>restrição</t>
  </si>
  <si>
    <t>5, 3, 1, 6, 2, 4</t>
  </si>
  <si>
    <t>2, 4, 6, 1, 3, 5</t>
  </si>
  <si>
    <t>IGUALAR OS HORIZONTES E APLICAR A UMA TMA (FAZER TODOS OS PROJETOS N = 8)</t>
  </si>
  <si>
    <t>Defasar os projetos para que todos terminem no mesmo n</t>
  </si>
  <si>
    <t>juros</t>
  </si>
  <si>
    <t>inflação</t>
  </si>
  <si>
    <t>P</t>
  </si>
  <si>
    <t>F</t>
  </si>
  <si>
    <t>Regime Composto</t>
  </si>
  <si>
    <t xml:space="preserve">2) A indústria Moleza D+ dos empresários Rommel, Júlia e Vinícius captou $ 40.000,00 pelo prazo de três meses, o que ocasionou um pagamento de juros no valor de $ 12.000. Se a taxa de juros real da operação foi igual a 2% a.m. e a taxa inflacionária do primeiro mês foi igual a 1% a.m., calcule as taxas inflacionárias dos meses 2 e 3, sabendo que estas taxas são iguais. (1,5 PONTO)
</t>
  </si>
  <si>
    <t>VP =</t>
  </si>
  <si>
    <t>J =</t>
  </si>
  <si>
    <t>n</t>
  </si>
  <si>
    <t>VF =</t>
  </si>
  <si>
    <t>f</t>
  </si>
  <si>
    <t>i</t>
  </si>
  <si>
    <t>r</t>
  </si>
  <si>
    <t>índice</t>
  </si>
  <si>
    <t>n =</t>
  </si>
  <si>
    <t>meses</t>
  </si>
  <si>
    <r>
      <t>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</t>
    </r>
  </si>
  <si>
    <r>
      <t>a.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.</t>
    </r>
  </si>
  <si>
    <t>i ef [am]=</t>
  </si>
  <si>
    <r>
      <t>I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</t>
    </r>
  </si>
  <si>
    <r>
      <t>a.</t>
    </r>
    <r>
      <rPr>
        <b/>
        <sz val="12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.</t>
    </r>
  </si>
  <si>
    <r>
      <t>I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I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 </t>
    </r>
  </si>
  <si>
    <t>??</t>
  </si>
  <si>
    <t>F = P (1 + ic) ^3</t>
  </si>
  <si>
    <r>
      <t>i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=</t>
    </r>
  </si>
  <si>
    <r>
      <t>a.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.</t>
    </r>
  </si>
  <si>
    <t>taxa corrente</t>
  </si>
  <si>
    <r>
      <t>(1 + i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)</t>
    </r>
    <r>
      <rPr>
        <b/>
        <vertAlign val="superscript"/>
        <sz val="11"/>
        <color rgb="FF0000FF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=</t>
    </r>
  </si>
  <si>
    <r>
      <t>(1 + i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 xml:space="preserve"> =</t>
    </r>
  </si>
  <si>
    <t>no período</t>
  </si>
  <si>
    <t>ic</t>
  </si>
  <si>
    <t>SD</t>
  </si>
  <si>
    <r>
      <t>(1 + 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</t>
    </r>
  </si>
  <si>
    <t>OU</t>
  </si>
  <si>
    <r>
      <t>(1 + I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 =</t>
    </r>
  </si>
  <si>
    <r>
      <t>(1 + I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=</t>
    </r>
  </si>
  <si>
    <t>?</t>
  </si>
  <si>
    <t>=</t>
  </si>
  <si>
    <r>
      <t>(1 + I</t>
    </r>
    <r>
      <rPr>
        <b/>
        <vertAlign val="subscript"/>
        <sz val="11"/>
        <color rgb="FFFF0000"/>
        <rFont val="Calibri"/>
        <family val="2"/>
        <scheme val="minor"/>
      </rPr>
      <t>2</t>
    </r>
    <r>
      <rPr>
        <b/>
        <sz val="11"/>
        <color rgb="FFFF0000"/>
        <rFont val="Calibri"/>
        <family val="2"/>
        <scheme val="minor"/>
      </rPr>
      <t>)</t>
    </r>
    <r>
      <rPr>
        <b/>
        <vertAlign val="superscript"/>
        <sz val="11"/>
        <color rgb="FFFF0000"/>
        <rFont val="Calibri"/>
        <family val="2"/>
        <scheme val="minor"/>
      </rPr>
      <t>2</t>
    </r>
  </si>
  <si>
    <r>
      <t>(1 + I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 =</t>
    </r>
  </si>
  <si>
    <r>
      <t>(1 + I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=</t>
    </r>
  </si>
  <si>
    <r>
      <t>I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 xml:space="preserve"> = I</t>
    </r>
    <r>
      <rPr>
        <vertAlign val="subscript"/>
        <sz val="14"/>
        <color theme="1"/>
        <rFont val="Calibri"/>
        <family val="2"/>
        <scheme val="minor"/>
      </rPr>
      <t>3</t>
    </r>
  </si>
  <si>
    <r>
      <t>a.</t>
    </r>
    <r>
      <rPr>
        <b/>
        <sz val="14"/>
        <color theme="1"/>
        <rFont val="Calibri"/>
        <family val="2"/>
        <scheme val="minor"/>
      </rPr>
      <t>m</t>
    </r>
    <r>
      <rPr>
        <sz val="14"/>
        <color theme="1"/>
        <rFont val="Calibri"/>
        <family val="2"/>
        <scheme val="minor"/>
      </rPr>
      <t>.</t>
    </r>
  </si>
  <si>
    <r>
      <t>I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I</t>
    </r>
    <r>
      <rPr>
        <vertAlign val="subscript"/>
        <sz val="11"/>
        <color theme="1"/>
        <rFont val="Calibri"/>
        <family val="2"/>
        <scheme val="minor"/>
      </rPr>
      <t>3</t>
    </r>
  </si>
  <si>
    <t>tir</t>
  </si>
  <si>
    <t>A1, C2, D</t>
  </si>
  <si>
    <t>K disp</t>
  </si>
  <si>
    <t>K &lt; 130mil</t>
  </si>
  <si>
    <t>K &lt; 140mil</t>
  </si>
  <si>
    <t>otimizando com maior BUE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</si>
</sst>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&quot;R$&quot;\ #,##0.00;[Red]\-&quot;R$&quot;\ #,##0.00"/>
    <numFmt numFmtId="165" formatCode="_-* #,##0.00_-;\-* #,##0.00_-;_-* &quot;-&quot;??_-;_-@_-"/>
    <numFmt numFmtId="166" formatCode="_-* #,##0.00\ _D_M_-;\-* #,##0.00\ _D_M_-;_-* &quot;-&quot;??\ _D_M_-;_-@_-"/>
    <numFmt numFmtId="167" formatCode="0.000%"/>
    <numFmt numFmtId="168" formatCode="_(* #,##0.00000_);_(* \(#,##0.00000\);_(* &quot;-&quot;??_);_(@_)"/>
    <numFmt numFmtId="169" formatCode="_-* #,##0\ _D_M_-;\-* #,##0\ _D_M_-;_-* &quot;-&quot;??\ _D_M_-;_-@_-"/>
    <numFmt numFmtId="170" formatCode="[$$-409]#,##0.00"/>
    <numFmt numFmtId="171" formatCode="0.0000%"/>
    <numFmt numFmtId="172" formatCode="0.0000"/>
    <numFmt numFmtId="173" formatCode="0.000"/>
    <numFmt numFmtId="174" formatCode="0.00000"/>
    <numFmt numFmtId="175" formatCode="_(&quot;R$ &quot;* #,##0.00_);_(&quot;R$ &quot;* \(#,##0.00\);_(&quot;R$ &quot;* &quot;-&quot;??_);_(@_)"/>
    <numFmt numFmtId="176" formatCode="0.0%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perscript"/>
      <sz val="11"/>
      <color rgb="FF0000FF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Verdana"/>
      <family val="2"/>
    </font>
    <font>
      <b/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 applyAlignment="1">
      <alignment horizontal="center"/>
    </xf>
    <xf numFmtId="9" fontId="0" fillId="0" borderId="0" xfId="0" applyNumberFormat="1"/>
    <xf numFmtId="0" fontId="4" fillId="0" borderId="0" xfId="0" applyFont="1"/>
    <xf numFmtId="0" fontId="4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6" fillId="0" borderId="0" xfId="0" applyFont="1"/>
    <xf numFmtId="165" fontId="0" fillId="0" borderId="0" xfId="1" applyFont="1" applyAlignment="1">
      <alignment horizontal="center"/>
    </xf>
    <xf numFmtId="2" fontId="0" fillId="2" borderId="0" xfId="0" applyNumberFormat="1" applyFill="1" applyAlignment="1">
      <alignment horizontal="center"/>
    </xf>
    <xf numFmtId="165" fontId="0" fillId="0" borderId="0" xfId="1" applyFont="1"/>
    <xf numFmtId="165" fontId="0" fillId="2" borderId="0" xfId="1" applyFont="1" applyFill="1" applyAlignment="1">
      <alignment horizontal="center"/>
    </xf>
    <xf numFmtId="165" fontId="2" fillId="2" borderId="0" xfId="1" applyFont="1" applyFill="1" applyAlignment="1">
      <alignment horizontal="center"/>
    </xf>
    <xf numFmtId="165" fontId="2" fillId="3" borderId="0" xfId="1" applyFont="1" applyFill="1" applyAlignment="1">
      <alignment horizontal="center"/>
    </xf>
    <xf numFmtId="0" fontId="0" fillId="4" borderId="0" xfId="0" applyFill="1"/>
    <xf numFmtId="165" fontId="0" fillId="4" borderId="0" xfId="1" applyFont="1" applyFill="1"/>
    <xf numFmtId="0" fontId="8" fillId="0" borderId="0" xfId="0" applyFont="1"/>
    <xf numFmtId="0" fontId="7" fillId="2" borderId="0" xfId="0" applyFont="1" applyFill="1"/>
    <xf numFmtId="165" fontId="0" fillId="4" borderId="0" xfId="0" applyNumberFormat="1" applyFill="1"/>
    <xf numFmtId="9" fontId="0" fillId="0" borderId="0" xfId="0" applyNumberFormat="1" applyAlignment="1">
      <alignment horizontal="center"/>
    </xf>
    <xf numFmtId="0" fontId="9" fillId="0" borderId="0" xfId="3"/>
    <xf numFmtId="0" fontId="10" fillId="0" borderId="0" xfId="3" applyFont="1"/>
    <xf numFmtId="0" fontId="9" fillId="0" borderId="0" xfId="3" applyFont="1"/>
    <xf numFmtId="43" fontId="9" fillId="0" borderId="0" xfId="5" applyNumberFormat="1" applyFont="1"/>
    <xf numFmtId="0" fontId="10" fillId="0" borderId="0" xfId="3" applyFont="1" applyAlignment="1">
      <alignment horizontal="center"/>
    </xf>
    <xf numFmtId="10" fontId="9" fillId="0" borderId="0" xfId="3" applyNumberFormat="1" applyFont="1"/>
    <xf numFmtId="0" fontId="9" fillId="0" borderId="0" xfId="3" applyFont="1" applyAlignment="1">
      <alignment horizontal="center"/>
    </xf>
    <xf numFmtId="0" fontId="9" fillId="0" borderId="0" xfId="3" applyFont="1" applyAlignment="1">
      <alignment horizontal="left"/>
    </xf>
    <xf numFmtId="9" fontId="9" fillId="0" borderId="0" xfId="3" applyNumberFormat="1" applyFont="1"/>
    <xf numFmtId="2" fontId="9" fillId="0" borderId="0" xfId="5" applyNumberFormat="1" applyFont="1" applyAlignment="1">
      <alignment horizontal="center"/>
    </xf>
    <xf numFmtId="1" fontId="9" fillId="0" borderId="0" xfId="5" applyNumberFormat="1" applyFont="1" applyAlignment="1">
      <alignment horizontal="center"/>
    </xf>
    <xf numFmtId="1" fontId="9" fillId="0" borderId="0" xfId="3" applyNumberFormat="1" applyFont="1" applyAlignment="1">
      <alignment horizontal="center"/>
    </xf>
    <xf numFmtId="169" fontId="9" fillId="0" borderId="0" xfId="5" applyNumberFormat="1" applyFont="1"/>
    <xf numFmtId="169" fontId="9" fillId="2" borderId="0" xfId="5" applyNumberFormat="1" applyFont="1" applyFill="1"/>
    <xf numFmtId="1" fontId="9" fillId="2" borderId="0" xfId="3" applyNumberFormat="1" applyFont="1" applyFill="1" applyAlignment="1">
      <alignment horizontal="center"/>
    </xf>
    <xf numFmtId="169" fontId="9" fillId="0" borderId="0" xfId="3" applyNumberFormat="1" applyFont="1"/>
    <xf numFmtId="169" fontId="9" fillId="2" borderId="0" xfId="3" applyNumberFormat="1" applyFont="1" applyFill="1"/>
    <xf numFmtId="2" fontId="9" fillId="0" borderId="0" xfId="3" applyNumberFormat="1" applyFont="1" applyAlignment="1">
      <alignment horizontal="center"/>
    </xf>
    <xf numFmtId="169" fontId="9" fillId="0" borderId="0" xfId="5" applyNumberFormat="1" applyFont="1" applyAlignment="1">
      <alignment horizontal="center"/>
    </xf>
    <xf numFmtId="169" fontId="9" fillId="0" borderId="0" xfId="5" applyNumberFormat="1" applyFont="1"/>
    <xf numFmtId="0" fontId="9" fillId="0" borderId="0" xfId="3"/>
    <xf numFmtId="9" fontId="9" fillId="0" borderId="0" xfId="3" applyNumberFormat="1"/>
    <xf numFmtId="0" fontId="9" fillId="0" borderId="0" xfId="3" applyFont="1"/>
    <xf numFmtId="169" fontId="11" fillId="0" borderId="0" xfId="5" applyNumberFormat="1" applyFont="1" applyAlignment="1">
      <alignment horizontal="center"/>
    </xf>
    <xf numFmtId="0" fontId="9" fillId="0" borderId="0" xfId="3" applyFont="1" applyAlignment="1">
      <alignment horizontal="center"/>
    </xf>
    <xf numFmtId="169" fontId="9" fillId="0" borderId="0" xfId="5" applyNumberFormat="1" applyFont="1"/>
    <xf numFmtId="0" fontId="11" fillId="0" borderId="1" xfId="3" applyFont="1" applyBorder="1" applyAlignment="1">
      <alignment horizontal="center" vertical="top" wrapText="1"/>
    </xf>
    <xf numFmtId="0" fontId="11" fillId="0" borderId="2" xfId="3" applyFont="1" applyBorder="1" applyAlignment="1">
      <alignment horizontal="center" vertical="top" wrapText="1"/>
    </xf>
    <xf numFmtId="0" fontId="11" fillId="0" borderId="3" xfId="3" applyFont="1" applyBorder="1" applyAlignment="1">
      <alignment horizontal="center" vertical="top" wrapText="1"/>
    </xf>
    <xf numFmtId="0" fontId="11" fillId="0" borderId="4" xfId="3" applyFont="1" applyBorder="1" applyAlignment="1">
      <alignment horizontal="center" vertical="top" wrapText="1"/>
    </xf>
    <xf numFmtId="0" fontId="11" fillId="0" borderId="0" xfId="3" applyFont="1" applyFill="1" applyBorder="1" applyAlignment="1">
      <alignment horizontal="center" vertical="top" wrapText="1"/>
    </xf>
    <xf numFmtId="0" fontId="11" fillId="0" borderId="0" xfId="3" applyFont="1"/>
    <xf numFmtId="0" fontId="9" fillId="0" borderId="0" xfId="3" applyFont="1" applyFill="1" applyBorder="1" applyAlignment="1">
      <alignment horizontal="center" vertical="top" wrapText="1"/>
    </xf>
    <xf numFmtId="169" fontId="11" fillId="0" borderId="0" xfId="5" applyNumberFormat="1" applyFont="1"/>
    <xf numFmtId="0" fontId="12" fillId="0" borderId="0" xfId="3" applyFont="1" applyAlignment="1">
      <alignment horizontal="left"/>
    </xf>
    <xf numFmtId="0" fontId="11" fillId="0" borderId="5" xfId="3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170" fontId="0" fillId="2" borderId="0" xfId="0" applyNumberFormat="1" applyFill="1" applyAlignment="1">
      <alignment horizontal="center"/>
    </xf>
    <xf numFmtId="170" fontId="0" fillId="0" borderId="0" xfId="0" applyNumberFormat="1"/>
    <xf numFmtId="1" fontId="3" fillId="2" borderId="0" xfId="2" applyNumberFormat="1" applyFont="1" applyFill="1" applyAlignment="1">
      <alignment horizontal="center"/>
    </xf>
    <xf numFmtId="0" fontId="0" fillId="2" borderId="0" xfId="0" applyFill="1"/>
    <xf numFmtId="9" fontId="0" fillId="2" borderId="0" xfId="0" applyNumberFormat="1" applyFill="1" applyAlignment="1">
      <alignment horizontal="center"/>
    </xf>
    <xf numFmtId="10" fontId="0" fillId="2" borderId="0" xfId="0" applyNumberFormat="1" applyFill="1" applyAlignment="1">
      <alignment horizontal="center"/>
    </xf>
    <xf numFmtId="0" fontId="0" fillId="0" borderId="0" xfId="0" applyFill="1" applyAlignment="1">
      <alignment horizontal="right" vertical="center"/>
    </xf>
    <xf numFmtId="171" fontId="0" fillId="5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10" fontId="0" fillId="0" borderId="0" xfId="2" applyNumberFormat="1" applyFont="1"/>
    <xf numFmtId="10" fontId="0" fillId="5" borderId="0" xfId="0" applyNumberFormat="1" applyFill="1" applyAlignment="1">
      <alignment horizontal="center" vertical="center"/>
    </xf>
    <xf numFmtId="167" fontId="0" fillId="0" borderId="0" xfId="2" applyNumberFormat="1" applyFont="1"/>
    <xf numFmtId="0" fontId="0" fillId="0" borderId="0" xfId="0" applyFill="1" applyAlignment="1">
      <alignment horizontal="right"/>
    </xf>
    <xf numFmtId="172" fontId="0" fillId="0" borderId="0" xfId="0" applyNumberFormat="1" applyAlignment="1">
      <alignment horizontal="center"/>
    </xf>
    <xf numFmtId="0" fontId="0" fillId="0" borderId="0" xfId="0" applyFill="1"/>
    <xf numFmtId="173" fontId="0" fillId="0" borderId="0" xfId="0" applyNumberFormat="1"/>
    <xf numFmtId="9" fontId="0" fillId="0" borderId="0" xfId="2" applyFont="1"/>
    <xf numFmtId="174" fontId="0" fillId="0" borderId="0" xfId="2" applyNumberFormat="1" applyFont="1" applyFill="1" applyAlignment="1">
      <alignment horizontal="center"/>
    </xf>
    <xf numFmtId="10" fontId="0" fillId="0" borderId="0" xfId="2" applyNumberFormat="1" applyFont="1" applyAlignment="1">
      <alignment horizontal="center"/>
    </xf>
    <xf numFmtId="0" fontId="20" fillId="0" borderId="0" xfId="0" applyFont="1" applyAlignment="1">
      <alignment horizontal="right"/>
    </xf>
    <xf numFmtId="172" fontId="0" fillId="0" borderId="0" xfId="2" applyNumberFormat="1" applyFont="1" applyFill="1" applyAlignment="1">
      <alignment horizontal="center"/>
    </xf>
    <xf numFmtId="172" fontId="0" fillId="0" borderId="0" xfId="0" applyNumberFormat="1"/>
    <xf numFmtId="172" fontId="2" fillId="0" borderId="0" xfId="0" applyNumberFormat="1" applyFont="1" applyAlignment="1">
      <alignment horizontal="center"/>
    </xf>
    <xf numFmtId="0" fontId="15" fillId="0" borderId="0" xfId="0" applyFont="1"/>
    <xf numFmtId="0" fontId="3" fillId="0" borderId="0" xfId="0" applyFont="1" applyAlignment="1">
      <alignment horizontal="right"/>
    </xf>
    <xf numFmtId="0" fontId="25" fillId="0" borderId="0" xfId="0" applyFont="1" applyFill="1" applyAlignment="1">
      <alignment horizontal="right"/>
    </xf>
    <xf numFmtId="171" fontId="27" fillId="5" borderId="0" xfId="2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171" fontId="3" fillId="5" borderId="0" xfId="2" applyNumberFormat="1" applyFont="1" applyFill="1" applyAlignment="1">
      <alignment vertical="center"/>
    </xf>
    <xf numFmtId="169" fontId="0" fillId="0" borderId="0" xfId="0" applyNumberFormat="1"/>
    <xf numFmtId="9" fontId="12" fillId="0" borderId="0" xfId="3" applyNumberFormat="1" applyFont="1" applyAlignment="1">
      <alignment horizontal="left"/>
    </xf>
    <xf numFmtId="165" fontId="9" fillId="0" borderId="0" xfId="1" applyFont="1"/>
    <xf numFmtId="0" fontId="9" fillId="0" borderId="0" xfId="3"/>
    <xf numFmtId="0" fontId="30" fillId="0" borderId="0" xfId="3" applyFont="1"/>
    <xf numFmtId="9" fontId="30" fillId="0" borderId="0" xfId="3" applyNumberFormat="1" applyFont="1"/>
    <xf numFmtId="0" fontId="31" fillId="0" borderId="0" xfId="3" applyFont="1"/>
    <xf numFmtId="43" fontId="30" fillId="0" borderId="0" xfId="7" applyFont="1"/>
    <xf numFmtId="0" fontId="31" fillId="0" borderId="0" xfId="3" applyFont="1" applyAlignment="1">
      <alignment horizontal="center"/>
    </xf>
    <xf numFmtId="10" fontId="30" fillId="0" borderId="0" xfId="3" applyNumberFormat="1" applyFont="1"/>
    <xf numFmtId="0" fontId="30" fillId="0" borderId="0" xfId="3" applyFont="1" applyAlignment="1">
      <alignment horizontal="center"/>
    </xf>
    <xf numFmtId="0" fontId="31" fillId="0" borderId="0" xfId="3" applyFont="1" applyAlignment="1">
      <alignment horizontal="right"/>
    </xf>
    <xf numFmtId="0" fontId="30" fillId="0" borderId="0" xfId="3" applyFont="1" applyAlignment="1">
      <alignment horizontal="justify"/>
    </xf>
    <xf numFmtId="43" fontId="30" fillId="0" borderId="0" xfId="7" applyFont="1" applyAlignment="1">
      <alignment horizontal="justify"/>
    </xf>
    <xf numFmtId="10" fontId="30" fillId="0" borderId="0" xfId="4" applyNumberFormat="1" applyFont="1" applyAlignment="1">
      <alignment horizontal="right"/>
    </xf>
    <xf numFmtId="10" fontId="30" fillId="0" borderId="0" xfId="4" applyNumberFormat="1" applyFont="1"/>
    <xf numFmtId="167" fontId="30" fillId="0" borderId="0" xfId="4" applyNumberFormat="1" applyFont="1"/>
    <xf numFmtId="168" fontId="30" fillId="0" borderId="0" xfId="3" applyNumberFormat="1" applyFont="1"/>
    <xf numFmtId="9" fontId="30" fillId="0" borderId="0" xfId="3" applyNumberFormat="1" applyFont="1" applyAlignment="1">
      <alignment horizontal="center"/>
    </xf>
    <xf numFmtId="43" fontId="30" fillId="0" borderId="0" xfId="7" applyFont="1" applyAlignment="1">
      <alignment horizontal="center"/>
    </xf>
    <xf numFmtId="2" fontId="30" fillId="0" borderId="0" xfId="3" applyNumberFormat="1" applyFont="1" applyAlignment="1">
      <alignment horizontal="center"/>
    </xf>
    <xf numFmtId="176" fontId="30" fillId="0" borderId="0" xfId="4" applyNumberFormat="1" applyFont="1"/>
    <xf numFmtId="165" fontId="30" fillId="0" borderId="0" xfId="1" applyFont="1"/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4" fillId="0" borderId="0" xfId="3" applyFont="1" applyAlignment="1">
      <alignment horizontal="center"/>
    </xf>
    <xf numFmtId="0" fontId="13" fillId="0" borderId="0" xfId="3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8">
    <cellStyle name="Comma" xfId="1" builtinId="3"/>
    <cellStyle name="Moeda 2" xfId="6" xr:uid="{00000000-0005-0000-0000-000000000000}"/>
    <cellStyle name="Normal" xfId="0" builtinId="0"/>
    <cellStyle name="Normal 2" xfId="3" xr:uid="{00000000-0005-0000-0000-000002000000}"/>
    <cellStyle name="Percent" xfId="2" builtinId="5"/>
    <cellStyle name="Porcentagem 2" xfId="4" xr:uid="{00000000-0005-0000-0000-000004000000}"/>
    <cellStyle name="Separador de milhares 2" xfId="5" xr:uid="{00000000-0005-0000-0000-000006000000}"/>
    <cellStyle name="Separador de milhares 3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51</xdr:row>
          <xdr:rowOff>0</xdr:rowOff>
        </xdr:from>
        <xdr:to>
          <xdr:col>4</xdr:col>
          <xdr:colOff>609600</xdr:colOff>
          <xdr:row>53</xdr:row>
          <xdr:rowOff>139700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68042</xdr:colOff>
      <xdr:row>0</xdr:row>
      <xdr:rowOff>2</xdr:rowOff>
    </xdr:from>
    <xdr:to>
      <xdr:col>7</xdr:col>
      <xdr:colOff>122471</xdr:colOff>
      <xdr:row>8</xdr:row>
      <xdr:rowOff>13843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042" y="2"/>
          <a:ext cx="4544786" cy="15378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2</xdr:row>
      <xdr:rowOff>171450</xdr:rowOff>
    </xdr:from>
    <xdr:to>
      <xdr:col>13</xdr:col>
      <xdr:colOff>285750</xdr:colOff>
      <xdr:row>5</xdr:row>
      <xdr:rowOff>114300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552450"/>
          <a:ext cx="5724525" cy="5143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9524</xdr:rowOff>
    </xdr:from>
    <xdr:to>
      <xdr:col>9</xdr:col>
      <xdr:colOff>238124</xdr:colOff>
      <xdr:row>9</xdr:row>
      <xdr:rowOff>133349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3683000" y="581024"/>
          <a:ext cx="2930524" cy="1343025"/>
          <a:chOff x="4143375" y="3019425"/>
          <a:chExt cx="2695574" cy="1565845"/>
        </a:xfrm>
      </xdr:grpSpPr>
      <xdr:cxnSp macro="">
        <xdr:nvCxnSpPr>
          <xdr:cNvPr id="4" name="Conector de seta reta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CxnSpPr>
            <a:stCxn id="6" idx="4"/>
          </xdr:cNvCxnSpPr>
        </xdr:nvCxnSpPr>
        <xdr:spPr>
          <a:xfrm rot="16200000" flipH="1">
            <a:off x="4267200" y="3571874"/>
            <a:ext cx="295275" cy="161925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 txBox="1"/>
        </xdr:nvSpPr>
        <xdr:spPr>
          <a:xfrm>
            <a:off x="4190998" y="3819524"/>
            <a:ext cx="2647951" cy="76574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CA" sz="110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Se i</a:t>
            </a:r>
            <a:r>
              <a:rPr lang="en-CA" sz="1100" baseline="-25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a</a:t>
            </a:r>
            <a:r>
              <a:rPr lang="en-CA" sz="110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for p</a:t>
            </a:r>
            <a:r>
              <a:rPr lang="en-CA" sz="1100" baseline="0"/>
              <a:t>or mês! </a:t>
            </a:r>
            <a:r>
              <a:rPr lang="en-CA" sz="1100" baseline="0">
                <a:sym typeface="Symbol"/>
              </a:rPr>
              <a:t> </a:t>
            </a:r>
            <a:r>
              <a:rPr lang="en-CA" sz="1100" baseline="0"/>
              <a:t>manter "n".</a:t>
            </a:r>
          </a:p>
          <a:p>
            <a:endParaRPr lang="en-CA" sz="1100" baseline="0"/>
          </a:p>
          <a:p>
            <a:r>
              <a:rPr lang="en-CA" sz="1100" baseline="0"/>
              <a:t>Se i</a:t>
            </a:r>
            <a:r>
              <a:rPr lang="en-CA" sz="1100" baseline="-25000"/>
              <a:t>a</a:t>
            </a:r>
            <a:r>
              <a:rPr lang="en-CA" sz="1100" baseline="0"/>
              <a:t> for do total do período, então desconsiderar "n" do termo (1 + </a:t>
            </a:r>
            <a:r>
              <a:rPr lang="en-CA" sz="110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</a:t>
            </a:r>
            <a:r>
              <a:rPr lang="en-CA" sz="1100" baseline="-25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a</a:t>
            </a:r>
            <a:r>
              <a:rPr lang="en-CA" sz="110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).</a:t>
            </a:r>
            <a:endParaRPr lang="en-CA" sz="1100" baseline="0"/>
          </a:p>
        </xdr:txBody>
      </xdr:sp>
      <xdr:sp macro="" textlink="">
        <xdr:nvSpPr>
          <xdr:cNvPr id="6" name="Elipse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4143375" y="3019425"/>
            <a:ext cx="381000" cy="485775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CA" sz="1100"/>
          </a:p>
        </xdr:txBody>
      </xdr:sp>
      <xdr:sp macro="" textlink="">
        <xdr:nvSpPr>
          <xdr:cNvPr id="7" name="Elipse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/>
        </xdr:nvSpPr>
        <xdr:spPr>
          <a:xfrm>
            <a:off x="5391150" y="3048000"/>
            <a:ext cx="381000" cy="485775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CA" sz="1100"/>
          </a:p>
        </xdr:txBody>
      </xdr:sp>
      <xdr:cxnSp macro="">
        <xdr:nvCxnSpPr>
          <xdr:cNvPr id="8" name="Conector de seta reta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CxnSpPr>
            <a:stCxn id="7" idx="4"/>
          </xdr:cNvCxnSpPr>
        </xdr:nvCxnSpPr>
        <xdr:spPr>
          <a:xfrm rot="5400000">
            <a:off x="5348288" y="3586163"/>
            <a:ext cx="285750" cy="180975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552450</xdr:colOff>
      <xdr:row>16</xdr:row>
      <xdr:rowOff>228599</xdr:rowOff>
    </xdr:from>
    <xdr:to>
      <xdr:col>3</xdr:col>
      <xdr:colOff>47625</xdr:colOff>
      <xdr:row>18</xdr:row>
      <xdr:rowOff>238124</xdr:rowOff>
    </xdr:to>
    <xdr:sp macro="" textlink="">
      <xdr:nvSpPr>
        <xdr:cNvPr id="9" name="Chave direita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743075" y="3524249"/>
          <a:ext cx="409575" cy="466725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CA" sz="1100"/>
        </a:p>
      </xdr:txBody>
    </xdr:sp>
    <xdr:clientData/>
  </xdr:twoCellAnchor>
  <xdr:twoCellAnchor>
    <xdr:from>
      <xdr:col>9</xdr:col>
      <xdr:colOff>552450</xdr:colOff>
      <xdr:row>16</xdr:row>
      <xdr:rowOff>228599</xdr:rowOff>
    </xdr:from>
    <xdr:to>
      <xdr:col>10</xdr:col>
      <xdr:colOff>47625</xdr:colOff>
      <xdr:row>18</xdr:row>
      <xdr:rowOff>238124</xdr:rowOff>
    </xdr:to>
    <xdr:sp macro="" textlink="">
      <xdr:nvSpPr>
        <xdr:cNvPr id="10" name="Chave direita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6248400" y="3524249"/>
          <a:ext cx="104775" cy="466725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CA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0</xdr:row>
          <xdr:rowOff>0</xdr:rowOff>
        </xdr:from>
        <xdr:to>
          <xdr:col>13</xdr:col>
          <xdr:colOff>381000</xdr:colOff>
          <xdr:row>2</xdr:row>
          <xdr:rowOff>177800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12700</xdr:colOff>
          <xdr:row>10</xdr:row>
          <xdr:rowOff>0</xdr:rowOff>
        </xdr:from>
        <xdr:to>
          <xdr:col>6</xdr:col>
          <xdr:colOff>317500</xdr:colOff>
          <xdr:row>12</xdr:row>
          <xdr:rowOff>127000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7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image" Target="../media/image4.emf"/><Relationship Id="rId5" Type="http://schemas.openxmlformats.org/officeDocument/2006/relationships/oleObject" Target="../embeddings/oleObject3.bin"/><Relationship Id="rId4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2"/>
  <sheetViews>
    <sheetView topLeftCell="A71" zoomScaleNormal="100" workbookViewId="0">
      <selection activeCell="B7" sqref="B7"/>
    </sheetView>
  </sheetViews>
  <sheetFormatPr baseColWidth="10" defaultColWidth="8.83203125" defaultRowHeight="15"/>
  <cols>
    <col min="3" max="3" width="11.6640625" bestFit="1" customWidth="1"/>
    <col min="4" max="4" width="10.5" bestFit="1" customWidth="1"/>
    <col min="5" max="5" width="12.1640625" customWidth="1"/>
    <col min="7" max="9" width="9.5" bestFit="1" customWidth="1"/>
    <col min="11" max="11" width="10.5" style="11" bestFit="1" customWidth="1"/>
  </cols>
  <sheetData>
    <row r="1" spans="1:11" ht="18">
      <c r="A1" s="114" t="s">
        <v>28</v>
      </c>
      <c r="B1" s="114"/>
      <c r="C1" s="114"/>
      <c r="D1" s="114"/>
      <c r="E1" s="114"/>
      <c r="F1" s="114"/>
      <c r="G1" s="114"/>
    </row>
    <row r="2" spans="1:11">
      <c r="A2" t="s">
        <v>6</v>
      </c>
      <c r="B2" s="4">
        <v>0.15</v>
      </c>
    </row>
    <row r="3" spans="1:11">
      <c r="C3" s="1" t="s">
        <v>0</v>
      </c>
      <c r="D3" s="1" t="s">
        <v>1</v>
      </c>
      <c r="E3" s="1" t="s">
        <v>2</v>
      </c>
      <c r="F3" s="1"/>
    </row>
    <row r="4" spans="1:11">
      <c r="B4">
        <v>0</v>
      </c>
      <c r="C4">
        <v>-1000</v>
      </c>
      <c r="D4">
        <v>-1100</v>
      </c>
      <c r="E4">
        <v>-900</v>
      </c>
    </row>
    <row r="5" spans="1:11">
      <c r="B5">
        <v>1</v>
      </c>
      <c r="C5">
        <v>900</v>
      </c>
      <c r="D5">
        <v>800</v>
      </c>
      <c r="E5">
        <v>500</v>
      </c>
    </row>
    <row r="6" spans="1:11">
      <c r="B6">
        <v>2</v>
      </c>
      <c r="C6">
        <v>900</v>
      </c>
      <c r="D6">
        <v>800</v>
      </c>
      <c r="E6">
        <v>500</v>
      </c>
    </row>
    <row r="7" spans="1:11">
      <c r="B7">
        <v>3</v>
      </c>
      <c r="C7">
        <v>900</v>
      </c>
      <c r="D7">
        <v>800</v>
      </c>
      <c r="E7">
        <v>500</v>
      </c>
    </row>
    <row r="8" spans="1:11">
      <c r="B8">
        <v>4</v>
      </c>
      <c r="D8">
        <v>800</v>
      </c>
      <c r="E8">
        <v>500</v>
      </c>
    </row>
    <row r="9" spans="1:11">
      <c r="B9">
        <v>5</v>
      </c>
      <c r="E9">
        <v>500</v>
      </c>
    </row>
    <row r="10" spans="1:11">
      <c r="B10">
        <v>6</v>
      </c>
      <c r="E10">
        <v>500</v>
      </c>
    </row>
    <row r="12" spans="1:11">
      <c r="B12" t="s">
        <v>3</v>
      </c>
      <c r="C12" s="3">
        <f>-PV($B$2,B7,C5)+C4</f>
        <v>1054.90260540807</v>
      </c>
      <c r="D12" s="10">
        <f>-PV($B$2,B8,D5)+D4</f>
        <v>1183.9826901704891</v>
      </c>
      <c r="E12" s="3">
        <f>-PV($B$2,B10,E5)+E4</f>
        <v>992.24134696147871</v>
      </c>
      <c r="F12" t="s">
        <v>24</v>
      </c>
    </row>
    <row r="13" spans="1:11">
      <c r="B13" t="s">
        <v>4</v>
      </c>
      <c r="C13" s="3">
        <f>-FV($B$2,B7,C5)+(C4*(1+$B$2)^3)</f>
        <v>1604.3749999999977</v>
      </c>
      <c r="D13" s="3">
        <f>-FV($B$2,B8,D5)+(D4*(1+$B$2)^4)</f>
        <v>2070.7931249999983</v>
      </c>
      <c r="E13" s="10">
        <f>-FV($B$2,B10,E5)+(E4*(1+$B$2)^6)</f>
        <v>2295.1145296874984</v>
      </c>
      <c r="F13" t="s">
        <v>25</v>
      </c>
    </row>
    <row r="14" spans="1:11">
      <c r="B14" t="s">
        <v>5</v>
      </c>
      <c r="C14" s="10">
        <f>-PMT($B$2,B7,C12)</f>
        <v>462.02303815694711</v>
      </c>
      <c r="D14" s="3">
        <f>-PMT($B$2,B8,D12)</f>
        <v>414.70811325005616</v>
      </c>
      <c r="E14" s="3">
        <f>-PMT($B$2,B10,E12)</f>
        <v>262.18678408935489</v>
      </c>
      <c r="F14" t="s">
        <v>26</v>
      </c>
    </row>
    <row r="15" spans="1:11">
      <c r="B15" t="s">
        <v>35</v>
      </c>
      <c r="C15" s="20">
        <f>IRR(C4:C7)</f>
        <v>0.7245140806522099</v>
      </c>
      <c r="D15" s="20">
        <f t="shared" ref="D15:E15" si="0">IRR(D4:D7)</f>
        <v>0.52030298633468597</v>
      </c>
      <c r="E15" s="20">
        <f t="shared" si="0"/>
        <v>0.30636190446396427</v>
      </c>
    </row>
    <row r="16" spans="1:11" ht="16">
      <c r="B16" s="116" t="s">
        <v>10</v>
      </c>
      <c r="C16" s="115"/>
      <c r="D16" s="115"/>
      <c r="E16" s="115"/>
      <c r="F16" s="115"/>
      <c r="G16" s="115"/>
      <c r="H16" s="115"/>
      <c r="I16" s="115"/>
      <c r="J16" s="115"/>
      <c r="K16" s="115"/>
    </row>
    <row r="17" spans="1:11">
      <c r="B17" t="s">
        <v>7</v>
      </c>
      <c r="C17" s="2"/>
    </row>
    <row r="19" spans="1:11">
      <c r="B19" t="s">
        <v>8</v>
      </c>
    </row>
    <row r="21" spans="1:11" ht="18">
      <c r="B21" s="18" t="s">
        <v>9</v>
      </c>
    </row>
    <row r="22" spans="1:11">
      <c r="B22" t="s">
        <v>11</v>
      </c>
    </row>
    <row r="23" spans="1:11">
      <c r="A23" s="1" t="s">
        <v>6</v>
      </c>
      <c r="B23" s="1">
        <v>0.15</v>
      </c>
      <c r="C23" s="1"/>
      <c r="D23" s="1"/>
      <c r="E23" s="1"/>
    </row>
    <row r="24" spans="1:11">
      <c r="A24" s="1"/>
      <c r="B24" s="1"/>
      <c r="C24" s="1" t="s">
        <v>0</v>
      </c>
      <c r="D24" s="1" t="s">
        <v>1</v>
      </c>
      <c r="E24" s="1" t="s">
        <v>2</v>
      </c>
      <c r="G24" s="1" t="s">
        <v>0</v>
      </c>
      <c r="H24" s="1" t="s">
        <v>1</v>
      </c>
      <c r="I24" s="1" t="s">
        <v>2</v>
      </c>
    </row>
    <row r="25" spans="1:11">
      <c r="A25" s="1"/>
      <c r="B25" s="1">
        <v>0</v>
      </c>
      <c r="C25" s="9">
        <f>$C$12</f>
        <v>1054.90260540807</v>
      </c>
      <c r="D25" s="9">
        <f>$D$12</f>
        <v>1183.9826901704891</v>
      </c>
      <c r="E25" s="9">
        <f>$E$12</f>
        <v>992.24134696147871</v>
      </c>
      <c r="F25" s="11"/>
      <c r="G25" s="11">
        <f>C25</f>
        <v>1054.90260540807</v>
      </c>
      <c r="H25" s="11">
        <f>D25</f>
        <v>1183.9826901704891</v>
      </c>
      <c r="I25" s="11">
        <f t="shared" ref="I25" si="1">E25</f>
        <v>992.24134696147871</v>
      </c>
      <c r="K25" s="11">
        <f>C25*(1.15)^($B$37-B25)</f>
        <v>5643.992775849013</v>
      </c>
    </row>
    <row r="26" spans="1:11">
      <c r="A26" s="1"/>
      <c r="B26" s="1">
        <v>1</v>
      </c>
      <c r="C26" s="9">
        <v>0</v>
      </c>
      <c r="D26" s="9">
        <v>0</v>
      </c>
      <c r="E26" s="9">
        <v>0</v>
      </c>
      <c r="F26" s="11"/>
      <c r="G26" s="11">
        <f>C26/(1.15)^B26</f>
        <v>0</v>
      </c>
      <c r="H26" s="11">
        <f>D26/(1.15)^B26</f>
        <v>0</v>
      </c>
      <c r="I26" s="11">
        <f>E26/(1.15)^B26</f>
        <v>0</v>
      </c>
    </row>
    <row r="27" spans="1:11">
      <c r="A27" s="1"/>
      <c r="B27" s="1">
        <v>2</v>
      </c>
      <c r="C27" s="9">
        <v>0</v>
      </c>
      <c r="D27" s="9">
        <v>0</v>
      </c>
      <c r="E27" s="9">
        <v>0</v>
      </c>
      <c r="F27" s="11"/>
      <c r="G27" s="11">
        <f t="shared" ref="G27:G37" si="2">C27/(1.15)^B27</f>
        <v>0</v>
      </c>
      <c r="H27" s="11">
        <f t="shared" ref="H27:H36" si="3">D27/(1.15)^B27</f>
        <v>0</v>
      </c>
      <c r="I27" s="11">
        <f t="shared" ref="I27:I37" si="4">E27/(1.15)^B27</f>
        <v>0</v>
      </c>
    </row>
    <row r="28" spans="1:11">
      <c r="A28" s="1"/>
      <c r="B28" s="1">
        <v>3</v>
      </c>
      <c r="C28" s="9">
        <f>$C$12</f>
        <v>1054.90260540807</v>
      </c>
      <c r="D28" s="9">
        <v>0</v>
      </c>
      <c r="E28" s="9">
        <v>0</v>
      </c>
      <c r="F28" s="11"/>
      <c r="G28" s="11">
        <f t="shared" si="2"/>
        <v>693.61558669060264</v>
      </c>
      <c r="H28" s="11">
        <f t="shared" si="3"/>
        <v>0</v>
      </c>
      <c r="I28" s="11">
        <f t="shared" si="4"/>
        <v>0</v>
      </c>
      <c r="K28" s="11">
        <f>C28*(1.15)^($B$37-B28)</f>
        <v>3711.0168658496032</v>
      </c>
    </row>
    <row r="29" spans="1:11">
      <c r="A29" s="1"/>
      <c r="B29" s="1">
        <v>4</v>
      </c>
      <c r="C29" s="9">
        <v>0</v>
      </c>
      <c r="D29" s="9">
        <f>$D$12</f>
        <v>1183.9826901704891</v>
      </c>
      <c r="E29" s="9">
        <v>0</v>
      </c>
      <c r="F29" s="11"/>
      <c r="G29" s="11">
        <f t="shared" si="2"/>
        <v>0</v>
      </c>
      <c r="H29" s="11">
        <f>D29/(1.15)^B29</f>
        <v>676.94594583094806</v>
      </c>
      <c r="I29" s="11">
        <f t="shared" si="4"/>
        <v>0</v>
      </c>
    </row>
    <row r="30" spans="1:11">
      <c r="A30" s="1"/>
      <c r="B30" s="1">
        <v>5</v>
      </c>
      <c r="C30" s="9">
        <v>0</v>
      </c>
      <c r="D30" s="9">
        <v>0</v>
      </c>
      <c r="E30" s="9">
        <v>0</v>
      </c>
      <c r="F30" s="11"/>
      <c r="G30" s="11">
        <f t="shared" si="2"/>
        <v>0</v>
      </c>
      <c r="H30" s="11">
        <f t="shared" si="3"/>
        <v>0</v>
      </c>
      <c r="I30" s="11">
        <f t="shared" si="4"/>
        <v>0</v>
      </c>
    </row>
    <row r="31" spans="1:11">
      <c r="A31" s="1"/>
      <c r="B31" s="1">
        <v>6</v>
      </c>
      <c r="C31" s="9">
        <f>$C$12</f>
        <v>1054.90260540807</v>
      </c>
      <c r="D31" s="9">
        <v>0</v>
      </c>
      <c r="E31" s="9">
        <f>$E$12</f>
        <v>992.24134696147871</v>
      </c>
      <c r="F31" s="11"/>
      <c r="G31" s="11">
        <f t="shared" si="2"/>
        <v>456.06350731690821</v>
      </c>
      <c r="H31" s="11">
        <f t="shared" si="3"/>
        <v>0</v>
      </c>
      <c r="I31" s="11">
        <f t="shared" si="4"/>
        <v>428.97331609590066</v>
      </c>
      <c r="K31" s="11">
        <f>C31*(1.15)^($B$37-B31)</f>
        <v>2440.0538281249969</v>
      </c>
    </row>
    <row r="32" spans="1:11">
      <c r="A32" s="1"/>
      <c r="B32" s="1">
        <v>7</v>
      </c>
      <c r="C32" s="9">
        <v>0</v>
      </c>
      <c r="D32" s="9">
        <v>0</v>
      </c>
      <c r="E32" s="9">
        <v>0</v>
      </c>
      <c r="F32" s="11"/>
      <c r="G32" s="11">
        <f t="shared" si="2"/>
        <v>0</v>
      </c>
      <c r="H32" s="11">
        <f t="shared" si="3"/>
        <v>0</v>
      </c>
      <c r="I32" s="11">
        <f t="shared" si="4"/>
        <v>0</v>
      </c>
    </row>
    <row r="33" spans="1:11">
      <c r="A33" s="1"/>
      <c r="B33" s="1">
        <v>8</v>
      </c>
      <c r="C33" s="9">
        <v>0</v>
      </c>
      <c r="D33" s="9">
        <f>$D$12</f>
        <v>1183.9826901704891</v>
      </c>
      <c r="E33" s="9">
        <v>0</v>
      </c>
      <c r="F33" s="11"/>
      <c r="G33" s="11">
        <f t="shared" si="2"/>
        <v>0</v>
      </c>
      <c r="H33" s="11">
        <f>D33/(1.15)^B33</f>
        <v>387.04604161989033</v>
      </c>
      <c r="I33" s="11">
        <f t="shared" si="4"/>
        <v>0</v>
      </c>
    </row>
    <row r="34" spans="1:11">
      <c r="A34" s="1"/>
      <c r="B34" s="1">
        <v>9</v>
      </c>
      <c r="C34" s="9">
        <f>$C$12</f>
        <v>1054.90260540807</v>
      </c>
      <c r="D34" s="9">
        <v>0</v>
      </c>
      <c r="E34" s="9">
        <v>0</v>
      </c>
      <c r="F34" s="11"/>
      <c r="G34" s="11">
        <f t="shared" si="2"/>
        <v>299.86915908073206</v>
      </c>
      <c r="H34" s="11">
        <f t="shared" si="3"/>
        <v>0</v>
      </c>
      <c r="I34" s="11">
        <f t="shared" si="4"/>
        <v>0</v>
      </c>
      <c r="K34" s="11">
        <f>C34*(1.15)^($B$37-B34)</f>
        <v>1604.374999999998</v>
      </c>
    </row>
    <row r="35" spans="1:11">
      <c r="A35" s="1"/>
      <c r="B35" s="1">
        <v>10</v>
      </c>
      <c r="C35" s="9">
        <v>0</v>
      </c>
      <c r="D35" s="9">
        <v>0</v>
      </c>
      <c r="E35" s="9">
        <v>0</v>
      </c>
      <c r="F35" s="11"/>
      <c r="G35" s="11">
        <f t="shared" si="2"/>
        <v>0</v>
      </c>
      <c r="H35" s="11">
        <f t="shared" si="3"/>
        <v>0</v>
      </c>
      <c r="I35" s="11">
        <f t="shared" si="4"/>
        <v>0</v>
      </c>
    </row>
    <row r="36" spans="1:11">
      <c r="A36" s="1"/>
      <c r="B36" s="1">
        <v>11</v>
      </c>
      <c r="C36" s="9">
        <v>0</v>
      </c>
      <c r="D36" s="9">
        <v>0</v>
      </c>
      <c r="E36" s="9">
        <v>0</v>
      </c>
      <c r="F36" s="11"/>
      <c r="G36" s="11">
        <f t="shared" si="2"/>
        <v>0</v>
      </c>
      <c r="H36" s="11">
        <f t="shared" si="3"/>
        <v>0</v>
      </c>
      <c r="I36" s="11">
        <f t="shared" si="4"/>
        <v>0</v>
      </c>
    </row>
    <row r="37" spans="1:11">
      <c r="A37" s="1"/>
      <c r="B37" s="1">
        <v>12</v>
      </c>
      <c r="C37" s="9"/>
      <c r="D37" s="9"/>
      <c r="E37" s="9"/>
      <c r="F37" s="11"/>
      <c r="G37" s="11">
        <f t="shared" si="2"/>
        <v>0</v>
      </c>
      <c r="H37" s="11">
        <f>D37/(1.15)^B37</f>
        <v>0</v>
      </c>
      <c r="I37" s="11">
        <f t="shared" si="4"/>
        <v>0</v>
      </c>
      <c r="K37" s="11">
        <f>C37*(1.15)^($B$37-B37)</f>
        <v>0</v>
      </c>
    </row>
    <row r="38" spans="1:11">
      <c r="A38" s="1"/>
      <c r="B38" s="1" t="s">
        <v>3</v>
      </c>
      <c r="C38" s="12">
        <f>C37/(1.15)^B37+C34/(1.15)^B34+C31/(1.15)^B31+C28/(1.15)^B28+C25</f>
        <v>2504.4508584963132</v>
      </c>
      <c r="D38" s="9">
        <f>H38</f>
        <v>2247.9746776213274</v>
      </c>
      <c r="E38" s="9">
        <f>I38</f>
        <v>1421.2146630573793</v>
      </c>
      <c r="F38" s="11"/>
      <c r="G38" s="11">
        <f>SUM(G25:G37)</f>
        <v>2504.4508584963128</v>
      </c>
      <c r="H38" s="11">
        <f>SUM(H25:H37)</f>
        <v>2247.9746776213274</v>
      </c>
      <c r="I38" s="11">
        <f t="shared" ref="I38" si="5">SUM(I25:I37)</f>
        <v>1421.2146630573793</v>
      </c>
      <c r="K38" s="11">
        <f>SUM(K25:K37)</f>
        <v>13399.438469823612</v>
      </c>
    </row>
    <row r="39" spans="1:11">
      <c r="A39" s="1"/>
      <c r="B39" s="1" t="s">
        <v>4</v>
      </c>
      <c r="C39" s="13">
        <f>(C25*1.15^12)+(C28*1.15^9)+(C31*1.15^6)+(C34*1.15^3)+C37</f>
        <v>13399.438469823612</v>
      </c>
      <c r="D39" s="14">
        <f>(D25*1.15^12)+(D29*1.15^8)+(D33*1.15^4)+(D37*(1.15)^0)</f>
        <v>12027.226756045728</v>
      </c>
      <c r="E39" s="14">
        <f>(E25*1.15^12)+(E31*1.15^6)+(E37*1.15^0)</f>
        <v>7603.853900923521</v>
      </c>
      <c r="F39" s="11"/>
      <c r="G39" s="11"/>
      <c r="H39" s="11"/>
      <c r="I39" s="11"/>
    </row>
    <row r="40" spans="1:11">
      <c r="A40" s="1"/>
      <c r="B40" s="1" t="s">
        <v>5</v>
      </c>
      <c r="C40" s="13">
        <f>-PMT(15%,12,C38)</f>
        <v>462.02303815694717</v>
      </c>
      <c r="D40" s="14">
        <f t="shared" ref="D40:E40" si="6">-PMT(15%,12,D38)</f>
        <v>414.70811325005621</v>
      </c>
      <c r="E40" s="14">
        <f t="shared" si="6"/>
        <v>262.18678408935489</v>
      </c>
      <c r="F40" s="11"/>
      <c r="G40" s="11" t="s">
        <v>23</v>
      </c>
      <c r="H40" s="11"/>
      <c r="I40" s="11"/>
    </row>
    <row r="42" spans="1:11">
      <c r="B42" s="7" t="s">
        <v>12</v>
      </c>
    </row>
    <row r="43" spans="1:11" ht="16">
      <c r="B43" s="117" t="s">
        <v>13</v>
      </c>
      <c r="C43" s="117"/>
      <c r="D43" s="117"/>
      <c r="E43" s="117"/>
      <c r="F43" s="117"/>
      <c r="G43" s="117"/>
      <c r="H43" s="117"/>
      <c r="I43" s="117"/>
      <c r="J43" s="117"/>
      <c r="K43" s="117"/>
    </row>
    <row r="44" spans="1:11">
      <c r="B44" t="s">
        <v>14</v>
      </c>
    </row>
    <row r="45" spans="1:11" ht="16">
      <c r="A45" s="8" t="s">
        <v>29</v>
      </c>
    </row>
    <row r="46" spans="1:11" ht="16">
      <c r="A46" s="17" t="s">
        <v>30</v>
      </c>
    </row>
    <row r="47" spans="1:11" ht="16">
      <c r="A47" s="17"/>
    </row>
    <row r="48" spans="1:11" ht="18">
      <c r="A48" s="114" t="s">
        <v>15</v>
      </c>
      <c r="B48" s="114"/>
      <c r="C48" s="114"/>
      <c r="D48" s="114"/>
      <c r="E48" s="114"/>
      <c r="F48" s="114"/>
      <c r="G48" s="114"/>
      <c r="H48" s="114"/>
      <c r="I48" s="114"/>
      <c r="J48" s="114"/>
    </row>
    <row r="50" spans="1:12" ht="16">
      <c r="A50" s="6"/>
    </row>
    <row r="51" spans="1:12" ht="16">
      <c r="A51" s="118" t="s">
        <v>16</v>
      </c>
      <c r="B51" s="118"/>
      <c r="C51" s="118"/>
    </row>
    <row r="55" spans="1:12" ht="16">
      <c r="A55" s="117" t="s">
        <v>17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</row>
    <row r="56" spans="1:12">
      <c r="A56" t="s">
        <v>18</v>
      </c>
    </row>
    <row r="58" spans="1:12" ht="18">
      <c r="A58" s="112" t="s">
        <v>19</v>
      </c>
      <c r="B58" s="112"/>
      <c r="C58" s="112"/>
      <c r="D58" s="112"/>
      <c r="E58" s="112"/>
      <c r="F58" s="112"/>
      <c r="G58" s="112"/>
      <c r="H58" s="112"/>
      <c r="I58" s="112"/>
      <c r="J58" s="112"/>
    </row>
    <row r="60" spans="1:12" ht="16">
      <c r="A60" s="5" t="s">
        <v>20</v>
      </c>
    </row>
    <row r="61" spans="1:12" ht="16">
      <c r="A61" s="5" t="s">
        <v>21</v>
      </c>
    </row>
    <row r="63" spans="1:12">
      <c r="A63" t="s">
        <v>6</v>
      </c>
      <c r="B63">
        <v>0.15</v>
      </c>
    </row>
    <row r="64" spans="1:12">
      <c r="C64" t="s">
        <v>0</v>
      </c>
      <c r="D64" t="s">
        <v>1</v>
      </c>
      <c r="E64" t="s">
        <v>2</v>
      </c>
    </row>
    <row r="65" spans="2:5">
      <c r="B65">
        <v>0</v>
      </c>
      <c r="C65">
        <v>-1000</v>
      </c>
      <c r="D65">
        <v>-1100</v>
      </c>
      <c r="E65">
        <v>-900</v>
      </c>
    </row>
    <row r="66" spans="2:5">
      <c r="B66">
        <v>1</v>
      </c>
      <c r="C66">
        <v>900</v>
      </c>
      <c r="D66">
        <v>800</v>
      </c>
      <c r="E66">
        <v>500</v>
      </c>
    </row>
    <row r="67" spans="2:5">
      <c r="B67">
        <v>2</v>
      </c>
      <c r="C67">
        <v>900</v>
      </c>
      <c r="D67">
        <v>800</v>
      </c>
      <c r="E67">
        <v>500</v>
      </c>
    </row>
    <row r="68" spans="2:5">
      <c r="B68">
        <v>3</v>
      </c>
      <c r="C68">
        <v>900</v>
      </c>
      <c r="D68">
        <v>800</v>
      </c>
      <c r="E68">
        <v>500</v>
      </c>
    </row>
    <row r="69" spans="2:5">
      <c r="B69">
        <v>4</v>
      </c>
      <c r="D69">
        <v>800</v>
      </c>
      <c r="E69">
        <v>500</v>
      </c>
    </row>
    <row r="70" spans="2:5">
      <c r="B70">
        <v>5</v>
      </c>
      <c r="E70">
        <v>500</v>
      </c>
    </row>
    <row r="71" spans="2:5">
      <c r="B71">
        <v>6</v>
      </c>
      <c r="E71">
        <v>500</v>
      </c>
    </row>
    <row r="73" spans="2:5">
      <c r="B73" s="15" t="s">
        <v>3</v>
      </c>
      <c r="C73" s="16">
        <v>1054.90260540807</v>
      </c>
      <c r="D73" s="16">
        <v>1183.9826901704891</v>
      </c>
      <c r="E73" s="16">
        <v>992.24134696147871</v>
      </c>
    </row>
    <row r="74" spans="2:5">
      <c r="B74" t="s">
        <v>4</v>
      </c>
      <c r="C74" s="11">
        <v>1604.3749999999977</v>
      </c>
      <c r="D74" s="11">
        <v>2070.7931249999983</v>
      </c>
      <c r="E74" s="11">
        <v>2295.1145296874984</v>
      </c>
    </row>
    <row r="75" spans="2:5">
      <c r="B75" t="s">
        <v>5</v>
      </c>
      <c r="C75" s="11">
        <v>462.02303815694722</v>
      </c>
      <c r="D75" s="11">
        <v>414.70811325005627</v>
      </c>
      <c r="E75" s="11">
        <v>262.18678408935494</v>
      </c>
    </row>
    <row r="76" spans="2:5">
      <c r="C76" s="11"/>
      <c r="D76" s="11"/>
      <c r="E76" s="11"/>
    </row>
    <row r="77" spans="2:5">
      <c r="B77" s="15" t="s">
        <v>3</v>
      </c>
      <c r="C77" s="16">
        <f>C78/(1.15)^6</f>
        <v>1054.9026054080698</v>
      </c>
      <c r="D77" s="16">
        <f t="shared" ref="D77:E77" si="7">D78/(1.15)^6</f>
        <v>1183.9826901704889</v>
      </c>
      <c r="E77" s="16">
        <f t="shared" si="7"/>
        <v>992.24134696147871</v>
      </c>
    </row>
    <row r="78" spans="2:5">
      <c r="B78" t="s">
        <v>4</v>
      </c>
      <c r="C78" s="11">
        <f>C74*(1.15)^3</f>
        <v>2440.053828124996</v>
      </c>
      <c r="D78" s="16">
        <f>D74*(1.15)^2</f>
        <v>2738.6239078124972</v>
      </c>
      <c r="E78" s="11">
        <f>E74</f>
        <v>2295.1145296874984</v>
      </c>
    </row>
    <row r="79" spans="2:5">
      <c r="B79" t="s">
        <v>5</v>
      </c>
      <c r="C79" s="11">
        <f>-PMT(15%,6,,C78)</f>
        <v>278.74420118290135</v>
      </c>
      <c r="D79" s="16">
        <f t="shared" ref="D79:E79" si="8">-PMT(15%,6,,D78)</f>
        <v>312.85192347997855</v>
      </c>
      <c r="E79" s="11">
        <f t="shared" si="8"/>
        <v>262.18678408935483</v>
      </c>
    </row>
    <row r="80" spans="2:5">
      <c r="C80" s="11"/>
      <c r="D80" s="11"/>
      <c r="E80" s="11"/>
    </row>
    <row r="81" spans="1:20">
      <c r="B81" t="s">
        <v>22</v>
      </c>
    </row>
    <row r="84" spans="1:20" ht="16">
      <c r="A84" s="113" t="s">
        <v>27</v>
      </c>
      <c r="B84" s="113"/>
      <c r="C84" s="113"/>
      <c r="D84" s="113"/>
      <c r="E84" s="113"/>
      <c r="F84" s="113"/>
    </row>
    <row r="86" spans="1:20" ht="16">
      <c r="A86" s="5" t="s">
        <v>31</v>
      </c>
    </row>
    <row r="87" spans="1:20" ht="16">
      <c r="A87" s="115" t="s">
        <v>32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</row>
    <row r="88" spans="1:20" ht="16">
      <c r="A88" s="5" t="s">
        <v>33</v>
      </c>
    </row>
    <row r="90" spans="1:20">
      <c r="A90" t="s">
        <v>6</v>
      </c>
      <c r="B90">
        <v>0.15</v>
      </c>
    </row>
    <row r="91" spans="1:20">
      <c r="C91" t="s">
        <v>0</v>
      </c>
      <c r="D91" t="s">
        <v>1</v>
      </c>
      <c r="E91" t="s">
        <v>2</v>
      </c>
    </row>
    <row r="92" spans="1:20">
      <c r="B92">
        <v>0</v>
      </c>
      <c r="E92">
        <v>-900</v>
      </c>
    </row>
    <row r="93" spans="1:20">
      <c r="B93">
        <v>1</v>
      </c>
      <c r="E93">
        <v>500</v>
      </c>
    </row>
    <row r="94" spans="1:20">
      <c r="B94">
        <v>2</v>
      </c>
      <c r="D94">
        <v>-1100</v>
      </c>
      <c r="E94">
        <v>500</v>
      </c>
    </row>
    <row r="95" spans="1:20">
      <c r="B95">
        <v>3</v>
      </c>
      <c r="C95">
        <v>-1000</v>
      </c>
      <c r="D95">
        <v>800</v>
      </c>
      <c r="E95">
        <v>500</v>
      </c>
    </row>
    <row r="96" spans="1:20">
      <c r="B96">
        <v>4</v>
      </c>
      <c r="C96">
        <v>900</v>
      </c>
      <c r="D96">
        <v>800</v>
      </c>
      <c r="E96">
        <v>500</v>
      </c>
    </row>
    <row r="97" spans="2:6">
      <c r="B97">
        <v>5</v>
      </c>
      <c r="C97">
        <v>900</v>
      </c>
      <c r="D97">
        <v>800</v>
      </c>
      <c r="E97">
        <v>500</v>
      </c>
    </row>
    <row r="98" spans="2:6">
      <c r="B98">
        <v>6</v>
      </c>
      <c r="C98">
        <v>900</v>
      </c>
      <c r="D98">
        <v>800</v>
      </c>
      <c r="E98">
        <v>500</v>
      </c>
    </row>
    <row r="100" spans="2:6">
      <c r="B100" t="s">
        <v>3</v>
      </c>
      <c r="C100" s="11">
        <f>C77/(1.15)^3</f>
        <v>693.61558669060253</v>
      </c>
      <c r="D100" s="11">
        <f>D77/(1.15)^2</f>
        <v>895.26101336142847</v>
      </c>
      <c r="E100" s="19">
        <f>E73</f>
        <v>992.24134696147871</v>
      </c>
      <c r="F100" t="s">
        <v>34</v>
      </c>
    </row>
    <row r="101" spans="2:6">
      <c r="B101" t="s">
        <v>4</v>
      </c>
      <c r="C101">
        <f>C100*(1.15)^6</f>
        <v>1604.374999999998</v>
      </c>
      <c r="D101" s="11">
        <f>D100*(1.15)^6</f>
        <v>2070.7931249999983</v>
      </c>
      <c r="E101" s="19">
        <f>E74</f>
        <v>2295.1145296874984</v>
      </c>
    </row>
    <row r="102" spans="2:6">
      <c r="B102" t="s">
        <v>5</v>
      </c>
      <c r="C102" s="11">
        <f>-PMT(15%,6,C100)</f>
        <v>183.27883697404556</v>
      </c>
      <c r="D102" s="11">
        <f t="shared" ref="D102:E102" si="9">-PMT(15%,6,D100)</f>
        <v>236.56100074100473</v>
      </c>
      <c r="E102" s="16">
        <f t="shared" si="9"/>
        <v>262.18678408935489</v>
      </c>
    </row>
  </sheetData>
  <mergeCells count="9">
    <mergeCell ref="A58:J58"/>
    <mergeCell ref="A84:F84"/>
    <mergeCell ref="A1:G1"/>
    <mergeCell ref="A87:T87"/>
    <mergeCell ref="B16:K16"/>
    <mergeCell ref="B43:K43"/>
    <mergeCell ref="A48:J48"/>
    <mergeCell ref="A51:C51"/>
    <mergeCell ref="A55:L55"/>
  </mergeCells>
  <pageMargins left="0.511811024" right="0.511811024" top="0.78740157499999996" bottom="0.78740157499999996" header="0.31496062000000002" footer="0.31496062000000002"/>
  <drawing r:id="rId1"/>
  <legacyDrawing r:id="rId2"/>
  <oleObjects>
    <mc:AlternateContent xmlns:mc="http://schemas.openxmlformats.org/markup-compatibility/2006">
      <mc:Choice Requires="x14">
        <oleObject progId="Equation.2" shapeId="1025" r:id="rId3">
          <objectPr defaultSize="0" autoPict="0" r:id="rId4">
            <anchor moveWithCells="1" sizeWithCells="1">
              <from>
                <xdr:col>0</xdr:col>
                <xdr:colOff>0</xdr:colOff>
                <xdr:row>51</xdr:row>
                <xdr:rowOff>0</xdr:rowOff>
              </from>
              <to>
                <xdr:col>4</xdr:col>
                <xdr:colOff>609600</xdr:colOff>
                <xdr:row>53</xdr:row>
                <xdr:rowOff>139700</xdr:rowOff>
              </to>
            </anchor>
          </objectPr>
        </oleObject>
      </mc:Choice>
      <mc:Fallback>
        <oleObject progId="Equation.2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1"/>
  <sheetViews>
    <sheetView tabSelected="1" workbookViewId="0">
      <selection activeCell="J18" sqref="J18"/>
    </sheetView>
  </sheetViews>
  <sheetFormatPr baseColWidth="10" defaultColWidth="8.83203125" defaultRowHeight="15"/>
  <cols>
    <col min="2" max="2" width="11.33203125" bestFit="1" customWidth="1"/>
    <col min="3" max="3" width="20.6640625" bestFit="1" customWidth="1"/>
    <col min="5" max="5" width="12.6640625" bestFit="1" customWidth="1"/>
    <col min="6" max="6" width="15.1640625" customWidth="1"/>
    <col min="7" max="7" width="13.5" bestFit="1" customWidth="1"/>
    <col min="8" max="8" width="17.5" bestFit="1" customWidth="1"/>
    <col min="9" max="9" width="11.1640625" bestFit="1" customWidth="1"/>
  </cols>
  <sheetData>
    <row r="1" spans="1:20">
      <c r="A1" s="92"/>
      <c r="B1" s="92"/>
      <c r="C1" s="92"/>
      <c r="D1" s="92"/>
      <c r="E1" s="94">
        <v>0.1</v>
      </c>
      <c r="F1" s="92"/>
      <c r="G1" s="92"/>
      <c r="H1" s="92"/>
      <c r="I1" s="21"/>
      <c r="J1" s="21"/>
      <c r="K1" s="21"/>
      <c r="L1" s="21"/>
      <c r="M1" s="21"/>
      <c r="N1" s="21"/>
      <c r="O1" s="23"/>
      <c r="P1" s="21"/>
      <c r="Q1" s="21"/>
      <c r="R1" s="21"/>
      <c r="S1" s="21"/>
      <c r="T1" s="21"/>
    </row>
    <row r="2" spans="1:20">
      <c r="A2" s="97" t="s">
        <v>36</v>
      </c>
      <c r="B2" s="97" t="s">
        <v>37</v>
      </c>
      <c r="C2" s="97" t="s">
        <v>38</v>
      </c>
      <c r="D2" s="97" t="s">
        <v>39</v>
      </c>
      <c r="E2" s="92"/>
      <c r="F2" s="99" t="s">
        <v>115</v>
      </c>
      <c r="G2" s="99" t="s">
        <v>40</v>
      </c>
      <c r="H2" s="99" t="s">
        <v>42</v>
      </c>
      <c r="I2" s="25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>
      <c r="A3" s="101" t="s">
        <v>43</v>
      </c>
      <c r="B3" s="102">
        <v>40000</v>
      </c>
      <c r="C3" s="102">
        <v>12673</v>
      </c>
      <c r="D3" s="103">
        <v>0.27</v>
      </c>
      <c r="E3" s="99">
        <v>1</v>
      </c>
      <c r="F3" s="107">
        <v>0.27001347151635829</v>
      </c>
      <c r="G3" s="108">
        <f>-PV($E$1,8,C3)-B3</f>
        <v>27609.51970602051</v>
      </c>
      <c r="H3" s="109">
        <f>-PMT($E$1,8,G3)</f>
        <v>5175.2392970074679</v>
      </c>
      <c r="I3" s="33"/>
      <c r="J3" s="21"/>
      <c r="K3" s="21"/>
      <c r="L3" s="21"/>
      <c r="M3" s="21"/>
      <c r="N3" s="21"/>
      <c r="O3" s="29"/>
      <c r="P3" s="21"/>
      <c r="Q3" s="21"/>
      <c r="R3" s="21"/>
      <c r="S3" s="21"/>
      <c r="T3" s="21"/>
    </row>
    <row r="4" spans="1:20">
      <c r="A4" s="101" t="s">
        <v>44</v>
      </c>
      <c r="B4" s="102">
        <v>50000</v>
      </c>
      <c r="C4" s="102">
        <v>13421</v>
      </c>
      <c r="D4" s="103">
        <v>0.21</v>
      </c>
      <c r="E4" s="99">
        <v>0</v>
      </c>
      <c r="F4" s="107">
        <v>0.21000649633543758</v>
      </c>
      <c r="G4" s="108">
        <f t="shared" ref="G4:G12" si="0">-PV($E$1,8,C4)-B4</f>
        <v>21600.044502051707</v>
      </c>
      <c r="H4" s="109">
        <f t="shared" ref="H4:H12" si="1">-PMT($E$1,8,G4)</f>
        <v>4048.7991212593333</v>
      </c>
      <c r="I4" s="40"/>
      <c r="J4" s="21"/>
      <c r="K4" s="21"/>
      <c r="L4" s="21"/>
      <c r="M4" s="21"/>
      <c r="N4" s="21"/>
      <c r="O4" s="21"/>
      <c r="P4" s="27"/>
      <c r="Q4" s="27"/>
      <c r="R4" s="27"/>
      <c r="S4" s="27"/>
      <c r="T4" s="27"/>
    </row>
    <row r="5" spans="1:20">
      <c r="A5" s="101" t="s">
        <v>45</v>
      </c>
      <c r="B5" s="102">
        <v>60000</v>
      </c>
      <c r="C5" s="102">
        <v>14715</v>
      </c>
      <c r="D5" s="103">
        <v>0.18</v>
      </c>
      <c r="E5" s="99">
        <v>0</v>
      </c>
      <c r="F5" s="107">
        <v>0.18000742439450571</v>
      </c>
      <c r="G5" s="108">
        <f t="shared" si="0"/>
        <v>18503.439002137762</v>
      </c>
      <c r="H5" s="109">
        <f t="shared" si="1"/>
        <v>3468.3589455112001</v>
      </c>
      <c r="I5" s="40"/>
      <c r="J5" s="21"/>
      <c r="K5" s="21"/>
      <c r="L5" s="21"/>
      <c r="M5" s="21"/>
      <c r="N5" s="23"/>
      <c r="O5" s="23"/>
      <c r="P5" s="31"/>
      <c r="Q5" s="32"/>
      <c r="R5" s="33"/>
      <c r="S5" s="36"/>
      <c r="T5" s="21"/>
    </row>
    <row r="6" spans="1:20">
      <c r="A6" s="101" t="s">
        <v>46</v>
      </c>
      <c r="B6" s="102">
        <v>70000</v>
      </c>
      <c r="C6" s="102">
        <v>16638</v>
      </c>
      <c r="D6" s="103">
        <v>0.17</v>
      </c>
      <c r="E6" s="99">
        <v>0</v>
      </c>
      <c r="F6" s="107">
        <v>0.16999443800372288</v>
      </c>
      <c r="G6" s="108">
        <f t="shared" si="0"/>
        <v>18762.50208070458</v>
      </c>
      <c r="H6" s="109">
        <f t="shared" si="1"/>
        <v>3516.9187697630641</v>
      </c>
      <c r="I6" s="40"/>
      <c r="J6" s="21"/>
      <c r="K6" s="21"/>
      <c r="L6" s="21"/>
      <c r="M6" s="21"/>
      <c r="N6" s="23"/>
      <c r="O6" s="23"/>
      <c r="P6" s="31"/>
      <c r="Q6" s="32"/>
      <c r="R6" s="33"/>
      <c r="S6" s="36"/>
      <c r="T6" s="38"/>
    </row>
    <row r="7" spans="1:20">
      <c r="A7" s="101" t="s">
        <v>47</v>
      </c>
      <c r="B7" s="102">
        <v>20000</v>
      </c>
      <c r="C7" s="102">
        <v>3749</v>
      </c>
      <c r="D7" s="103">
        <v>0.1</v>
      </c>
      <c r="E7" s="99">
        <v>1</v>
      </c>
      <c r="F7" s="107">
        <v>0.10000876696766112</v>
      </c>
      <c r="G7" s="108">
        <f t="shared" si="0"/>
        <v>0.63831593710347079</v>
      </c>
      <c r="H7" s="109">
        <f t="shared" si="1"/>
        <v>0.11964850373270651</v>
      </c>
      <c r="I7" s="91"/>
      <c r="J7" s="23"/>
      <c r="K7" s="23"/>
      <c r="L7" s="30"/>
      <c r="M7" s="21"/>
      <c r="N7" s="23"/>
      <c r="O7" s="23"/>
      <c r="P7" s="31"/>
      <c r="Q7" s="32"/>
      <c r="R7" s="33"/>
      <c r="S7" s="36"/>
      <c r="T7" s="38"/>
    </row>
    <row r="8" spans="1:20">
      <c r="A8" s="101" t="s">
        <v>48</v>
      </c>
      <c r="B8" s="102">
        <v>30000</v>
      </c>
      <c r="C8" s="102">
        <v>6907</v>
      </c>
      <c r="D8" s="103">
        <v>0.16</v>
      </c>
      <c r="E8" s="99">
        <v>0</v>
      </c>
      <c r="F8" s="107">
        <v>0.16001222741862467</v>
      </c>
      <c r="G8" s="108">
        <f t="shared" si="0"/>
        <v>6848.3352489137251</v>
      </c>
      <c r="H8" s="109">
        <f t="shared" si="1"/>
        <v>1283.6794727555989</v>
      </c>
      <c r="I8" s="40"/>
      <c r="J8" s="23"/>
      <c r="K8" s="23"/>
      <c r="L8" s="30"/>
      <c r="M8" s="21"/>
      <c r="N8" s="23"/>
      <c r="O8" s="23"/>
      <c r="P8" s="31"/>
      <c r="Q8" s="35"/>
      <c r="R8" s="33"/>
      <c r="S8" s="37"/>
      <c r="T8" s="38"/>
    </row>
    <row r="9" spans="1:20">
      <c r="A9" s="101" t="s">
        <v>49</v>
      </c>
      <c r="B9" s="102">
        <v>40000</v>
      </c>
      <c r="C9" s="102">
        <v>8335</v>
      </c>
      <c r="D9" s="103">
        <v>0.13</v>
      </c>
      <c r="E9" s="99">
        <v>0</v>
      </c>
      <c r="F9" s="107">
        <v>0.12998357201705196</v>
      </c>
      <c r="G9" s="108">
        <f t="shared" si="0"/>
        <v>4466.6098595187359</v>
      </c>
      <c r="H9" s="109">
        <f t="shared" si="1"/>
        <v>837.2392970074651</v>
      </c>
      <c r="I9" s="40"/>
      <c r="J9" s="23"/>
      <c r="K9" s="23"/>
      <c r="L9" s="30"/>
      <c r="M9" s="21"/>
      <c r="N9" s="21"/>
      <c r="O9" s="21"/>
      <c r="P9" s="21"/>
      <c r="Q9" s="21"/>
      <c r="R9" s="21"/>
      <c r="S9" s="21"/>
      <c r="T9" s="21"/>
    </row>
    <row r="10" spans="1:20">
      <c r="A10" s="101" t="s">
        <v>50</v>
      </c>
      <c r="B10" s="102">
        <v>30000</v>
      </c>
      <c r="C10" s="102">
        <v>7818</v>
      </c>
      <c r="D10" s="103">
        <v>0.2</v>
      </c>
      <c r="E10" s="99">
        <v>1</v>
      </c>
      <c r="F10" s="107">
        <v>0.1999878659972931</v>
      </c>
      <c r="G10" s="108">
        <f t="shared" si="0"/>
        <v>11708.453015203057</v>
      </c>
      <c r="H10" s="109">
        <f t="shared" si="1"/>
        <v>2194.6794727555998</v>
      </c>
      <c r="I10" s="40"/>
      <c r="J10" s="23"/>
      <c r="K10" s="23"/>
      <c r="L10" s="30"/>
      <c r="M10" s="21"/>
      <c r="N10" s="21"/>
      <c r="O10" s="21"/>
      <c r="P10" s="23"/>
      <c r="Q10" s="34"/>
      <c r="R10" s="27"/>
      <c r="S10" s="34"/>
      <c r="T10" s="21"/>
    </row>
    <row r="11" spans="1:20">
      <c r="A11" s="101" t="s">
        <v>51</v>
      </c>
      <c r="B11" s="102">
        <v>50000</v>
      </c>
      <c r="C11" s="102">
        <v>12644</v>
      </c>
      <c r="D11" s="103">
        <v>0.19</v>
      </c>
      <c r="E11" s="99">
        <v>0</v>
      </c>
      <c r="F11" s="107">
        <v>0.18999341347153945</v>
      </c>
      <c r="G11" s="108">
        <f t="shared" si="0"/>
        <v>17454.806846281339</v>
      </c>
      <c r="H11" s="109">
        <f t="shared" si="1"/>
        <v>3271.7991212593338</v>
      </c>
      <c r="I11" s="40"/>
      <c r="J11" s="23"/>
      <c r="K11" s="23"/>
      <c r="L11" s="30"/>
      <c r="M11" s="21"/>
      <c r="N11" s="21"/>
      <c r="O11" s="21"/>
      <c r="P11" s="21"/>
      <c r="Q11" s="21"/>
      <c r="R11" s="21"/>
      <c r="S11" s="21"/>
      <c r="T11" s="21"/>
    </row>
    <row r="12" spans="1:20">
      <c r="A12" s="101" t="s">
        <v>52</v>
      </c>
      <c r="B12" s="102">
        <v>40000</v>
      </c>
      <c r="C12" s="102">
        <v>10561</v>
      </c>
      <c r="D12" s="103">
        <v>0.2</v>
      </c>
      <c r="E12" s="99">
        <v>1</v>
      </c>
      <c r="F12" s="107">
        <v>0.20438847641213778</v>
      </c>
      <c r="G12" s="108">
        <f t="shared" si="0"/>
        <v>16342.155576050078</v>
      </c>
      <c r="H12" s="109">
        <f t="shared" si="1"/>
        <v>3063.239297007467</v>
      </c>
      <c r="I12" s="40"/>
      <c r="J12" s="23"/>
      <c r="K12" s="23"/>
      <c r="L12" s="30"/>
      <c r="M12" s="21"/>
      <c r="N12" s="21"/>
      <c r="O12" s="21"/>
      <c r="P12" s="21"/>
      <c r="Q12" s="21"/>
      <c r="R12" s="21"/>
      <c r="S12" s="21"/>
      <c r="T12" s="21"/>
    </row>
    <row r="13" spans="1:20">
      <c r="A13" s="92"/>
      <c r="B13" s="92"/>
      <c r="C13" s="92"/>
      <c r="D13" s="92"/>
      <c r="E13" s="99"/>
      <c r="F13" s="92"/>
      <c r="G13" s="104"/>
      <c r="H13" s="98"/>
      <c r="I13" s="26"/>
      <c r="J13" s="23"/>
      <c r="K13" s="23"/>
      <c r="L13" s="30"/>
      <c r="M13" s="21"/>
      <c r="N13" s="21"/>
      <c r="O13" s="21"/>
      <c r="P13" s="21"/>
      <c r="Q13" s="21"/>
      <c r="R13" s="21"/>
      <c r="S13" s="21"/>
      <c r="T13" s="21"/>
    </row>
    <row r="14" spans="1:20">
      <c r="A14" s="92"/>
      <c r="B14" s="92"/>
      <c r="C14" s="92"/>
      <c r="D14" s="100" t="s">
        <v>0</v>
      </c>
      <c r="E14" s="99">
        <f>SUM(E3:E6)</f>
        <v>1</v>
      </c>
      <c r="F14" s="92">
        <v>0</v>
      </c>
      <c r="G14" s="104"/>
      <c r="H14" s="98"/>
      <c r="I14" s="26"/>
      <c r="J14" s="23"/>
      <c r="K14" s="23"/>
      <c r="L14" s="30"/>
      <c r="M14" s="21"/>
      <c r="N14" s="21"/>
      <c r="O14" s="21"/>
      <c r="P14" s="21"/>
      <c r="Q14" s="21"/>
      <c r="R14" s="21"/>
      <c r="S14" s="21"/>
      <c r="T14" s="21"/>
    </row>
    <row r="15" spans="1:20">
      <c r="A15" s="92"/>
      <c r="B15" s="92"/>
      <c r="C15" s="92"/>
      <c r="D15" s="100" t="s">
        <v>1</v>
      </c>
      <c r="E15" s="99">
        <f>SUM(E7:E9)</f>
        <v>1</v>
      </c>
      <c r="F15" s="92">
        <v>0</v>
      </c>
      <c r="G15" s="104"/>
      <c r="H15" s="98"/>
      <c r="I15" s="26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>
      <c r="A16" s="92"/>
      <c r="B16" s="92"/>
      <c r="C16" s="92"/>
      <c r="D16" s="100" t="s">
        <v>2</v>
      </c>
      <c r="E16" s="99">
        <f>SUM(E10:E11)</f>
        <v>1</v>
      </c>
      <c r="F16" s="92">
        <v>0</v>
      </c>
      <c r="G16" s="104"/>
      <c r="H16" s="98"/>
      <c r="I16" s="26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11">
      <c r="A17" s="21"/>
      <c r="B17" s="21"/>
      <c r="C17" s="21"/>
      <c r="D17" s="100" t="s">
        <v>52</v>
      </c>
      <c r="E17" s="99">
        <f>E12</f>
        <v>1</v>
      </c>
      <c r="F17" s="92">
        <v>0</v>
      </c>
      <c r="G17" s="104"/>
      <c r="H17" s="98"/>
      <c r="I17" s="26"/>
      <c r="J17" s="21"/>
      <c r="K17" s="21"/>
    </row>
    <row r="18" spans="1:11">
      <c r="A18" s="21"/>
      <c r="B18" s="21"/>
      <c r="C18" s="21"/>
      <c r="D18" s="92"/>
      <c r="E18" s="92"/>
      <c r="F18" s="92"/>
      <c r="G18" s="104"/>
      <c r="H18" s="98"/>
      <c r="I18" s="26"/>
      <c r="J18" s="21"/>
      <c r="K18" s="21"/>
    </row>
    <row r="19" spans="1:11">
      <c r="A19" s="21"/>
      <c r="B19" s="21"/>
      <c r="C19" s="21"/>
      <c r="D19" s="95" t="s">
        <v>53</v>
      </c>
      <c r="E19" s="96">
        <f>SUMPRODUCT(E3:E12,B3:B12)</f>
        <v>130000</v>
      </c>
      <c r="F19" s="92">
        <v>0</v>
      </c>
      <c r="G19" s="104"/>
      <c r="H19" s="98"/>
      <c r="I19" s="26"/>
      <c r="J19" s="21"/>
      <c r="K19" s="21"/>
    </row>
    <row r="20" spans="1:11">
      <c r="A20" s="21"/>
      <c r="B20" s="21"/>
      <c r="C20" s="21"/>
      <c r="D20" s="95" t="s">
        <v>54</v>
      </c>
      <c r="E20" s="105">
        <v>0.21769230769230768</v>
      </c>
      <c r="F20" s="92"/>
      <c r="G20" s="104"/>
      <c r="H20" s="98"/>
      <c r="I20" s="26"/>
      <c r="J20" s="21"/>
      <c r="K20" s="21"/>
    </row>
    <row r="21" spans="1:11">
      <c r="A21" s="21"/>
      <c r="B21" s="21"/>
      <c r="C21" s="21"/>
      <c r="D21" s="92"/>
      <c r="E21" s="92"/>
      <c r="F21" s="92"/>
      <c r="G21" s="104"/>
      <c r="H21" s="98"/>
      <c r="I21" s="24">
        <v>0</v>
      </c>
      <c r="J21" s="21"/>
      <c r="K21" s="21"/>
    </row>
    <row r="22" spans="1:11">
      <c r="A22" s="22"/>
      <c r="B22" s="21"/>
      <c r="C22" s="21"/>
      <c r="D22" s="92"/>
      <c r="E22" s="92"/>
      <c r="F22" s="110">
        <f>SUMPRODUCT(E3:E12,F3:F12)</f>
        <v>0.77439858089345026</v>
      </c>
      <c r="G22" s="111">
        <f>SUMPRODUCT(F3:F12,G3:G12)</f>
        <v>29185.831588411245</v>
      </c>
      <c r="H22" s="111">
        <f>SUMPRODUCT(E3:E12,H3:H12)</f>
        <v>10433.277715274267</v>
      </c>
      <c r="I22" s="26"/>
      <c r="J22" s="21"/>
      <c r="K22" s="21"/>
    </row>
    <row r="23" spans="1:11">
      <c r="A23" s="21"/>
      <c r="B23" s="21"/>
      <c r="C23" s="92" t="s">
        <v>120</v>
      </c>
      <c r="D23" s="23"/>
      <c r="E23" s="21"/>
      <c r="F23" s="21"/>
      <c r="G23" s="21"/>
      <c r="H23" s="21"/>
      <c r="I23" s="21"/>
      <c r="J23" s="21"/>
      <c r="K23" s="21"/>
    </row>
    <row r="24" spans="1:11">
      <c r="A24" s="21"/>
      <c r="B24" s="23"/>
      <c r="C24" s="28"/>
      <c r="D24" s="92"/>
      <c r="E24" s="92" t="s">
        <v>117</v>
      </c>
      <c r="F24" s="93" t="s">
        <v>55</v>
      </c>
      <c r="H24" s="92"/>
      <c r="I24" s="25"/>
      <c r="J24" s="21"/>
      <c r="K24" s="21"/>
    </row>
    <row r="25" spans="1:11">
      <c r="A25" s="21"/>
      <c r="B25" s="21"/>
      <c r="C25" s="21"/>
      <c r="D25" s="21"/>
      <c r="E25" s="92" t="s">
        <v>118</v>
      </c>
      <c r="F25" s="99" t="s">
        <v>116</v>
      </c>
      <c r="G25" s="21"/>
      <c r="H25" s="21"/>
      <c r="I25" s="21"/>
      <c r="J25" s="21"/>
      <c r="K25" s="21"/>
    </row>
    <row r="26" spans="1:11">
      <c r="A26" s="21"/>
      <c r="B26" s="21"/>
      <c r="C26" s="21"/>
      <c r="D26" s="21"/>
      <c r="E26" s="92" t="s">
        <v>119</v>
      </c>
      <c r="F26" s="93" t="s">
        <v>55</v>
      </c>
      <c r="G26" s="33"/>
      <c r="H26" s="33"/>
      <c r="I26" s="33"/>
      <c r="J26" s="21"/>
      <c r="K26" s="23"/>
    </row>
    <row r="28" spans="1:11">
      <c r="A28" s="21"/>
      <c r="B28" s="21"/>
      <c r="C28" s="21"/>
      <c r="D28" s="21"/>
      <c r="E28" s="21"/>
      <c r="F28" s="23"/>
      <c r="G28" s="33"/>
      <c r="H28" s="33"/>
      <c r="I28" s="33"/>
      <c r="J28" s="21"/>
      <c r="K28" s="23"/>
    </row>
    <row r="30" spans="1:11">
      <c r="A30" s="21"/>
      <c r="B30" s="21"/>
      <c r="C30" s="21"/>
      <c r="D30" s="21"/>
      <c r="E30" s="21"/>
      <c r="F30" s="23"/>
      <c r="G30" s="31"/>
      <c r="H30" s="39"/>
      <c r="I30" s="39"/>
      <c r="J30" s="21"/>
      <c r="K30" s="23"/>
    </row>
    <row r="31" spans="1:11">
      <c r="A31" s="21"/>
      <c r="B31" s="21"/>
      <c r="C31" s="23"/>
      <c r="D31" s="106"/>
      <c r="E31" s="92"/>
      <c r="F31" s="92"/>
      <c r="G31" s="92"/>
      <c r="H31" s="92"/>
      <c r="I31" s="21"/>
      <c r="J31" s="21"/>
      <c r="K31" s="21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3:Z34"/>
  <sheetViews>
    <sheetView zoomScale="70" zoomScaleNormal="70" workbookViewId="0">
      <selection activeCell="P14" sqref="P14"/>
    </sheetView>
  </sheetViews>
  <sheetFormatPr baseColWidth="10" defaultColWidth="8.83203125" defaultRowHeight="15"/>
  <cols>
    <col min="5" max="5" width="12.1640625" customWidth="1"/>
    <col min="9" max="10" width="14" bestFit="1" customWidth="1"/>
    <col min="11" max="11" width="15.5" bestFit="1" customWidth="1"/>
    <col min="12" max="12" width="16" customWidth="1"/>
    <col min="13" max="13" width="12.5" bestFit="1" customWidth="1"/>
    <col min="15" max="15" width="10.5" bestFit="1" customWidth="1"/>
  </cols>
  <sheetData>
    <row r="3" spans="4:26">
      <c r="R3" s="4"/>
    </row>
    <row r="7" spans="4:26">
      <c r="D7" s="119" t="s">
        <v>9</v>
      </c>
      <c r="E7" s="119"/>
      <c r="F7" s="119"/>
      <c r="G7" s="119"/>
      <c r="H7" s="119"/>
      <c r="I7" s="119"/>
      <c r="J7" s="119"/>
      <c r="K7" s="119"/>
      <c r="L7" s="119"/>
      <c r="M7" s="41"/>
      <c r="N7" s="41"/>
      <c r="O7" s="41"/>
      <c r="P7" s="41"/>
      <c r="Q7" s="41"/>
      <c r="R7" s="42"/>
      <c r="S7" s="41"/>
      <c r="T7" s="41"/>
      <c r="U7" s="41"/>
      <c r="W7" s="41"/>
      <c r="X7" s="41"/>
      <c r="Y7" s="41"/>
      <c r="Z7" s="41"/>
    </row>
    <row r="8" spans="4:26">
      <c r="D8" s="119"/>
      <c r="E8" s="119"/>
      <c r="F8" s="119"/>
      <c r="G8" s="119"/>
      <c r="H8" s="119"/>
      <c r="I8" s="119"/>
      <c r="J8" s="119"/>
      <c r="K8" s="119"/>
      <c r="L8" s="119"/>
      <c r="M8" s="41"/>
      <c r="N8" s="41"/>
      <c r="O8" s="41"/>
      <c r="P8" s="42"/>
      <c r="Q8" s="41"/>
      <c r="R8" s="41"/>
      <c r="S8" s="41"/>
      <c r="T8" s="41"/>
      <c r="U8" s="41"/>
      <c r="W8" s="41"/>
      <c r="X8" s="41"/>
      <c r="Y8" s="41"/>
      <c r="Z8" s="41"/>
    </row>
    <row r="9" spans="4:26" ht="17" thickBot="1">
      <c r="D9" s="41"/>
      <c r="E9" s="41"/>
      <c r="F9" s="41"/>
      <c r="G9" s="41"/>
      <c r="H9" s="41"/>
      <c r="I9" s="43" t="s">
        <v>56</v>
      </c>
      <c r="J9" s="45" t="s">
        <v>40</v>
      </c>
      <c r="K9" s="45" t="s">
        <v>41</v>
      </c>
      <c r="L9" s="45" t="s">
        <v>42</v>
      </c>
      <c r="M9" s="45" t="s">
        <v>57</v>
      </c>
      <c r="N9" s="45"/>
      <c r="O9" s="41"/>
      <c r="P9" s="55"/>
      <c r="Q9" s="55"/>
      <c r="R9" s="55"/>
      <c r="S9" s="55"/>
      <c r="T9" s="55"/>
      <c r="U9" s="55"/>
      <c r="W9" s="55"/>
      <c r="X9" s="55"/>
      <c r="Y9" s="55"/>
      <c r="Z9" s="55"/>
    </row>
    <row r="10" spans="4:26" ht="52" thickBot="1">
      <c r="D10" s="47" t="s">
        <v>58</v>
      </c>
      <c r="E10" s="48" t="s">
        <v>59</v>
      </c>
      <c r="F10" s="48" t="s">
        <v>60</v>
      </c>
      <c r="G10" s="48" t="s">
        <v>61</v>
      </c>
      <c r="H10" s="56" t="s">
        <v>62</v>
      </c>
      <c r="I10" s="53" t="s">
        <v>63</v>
      </c>
      <c r="J10" s="41"/>
      <c r="K10" s="41"/>
      <c r="L10" s="41"/>
      <c r="M10" s="41"/>
      <c r="N10" s="41"/>
      <c r="O10" s="41"/>
      <c r="P10" s="55"/>
      <c r="Q10" s="55"/>
      <c r="R10" s="55"/>
      <c r="S10" s="55"/>
      <c r="T10" s="55"/>
      <c r="U10" s="55"/>
      <c r="V10" s="90"/>
      <c r="W10" s="55"/>
      <c r="X10" s="55"/>
      <c r="Y10" s="55"/>
      <c r="Z10" s="55"/>
    </row>
    <row r="11" spans="4:26" ht="17" thickBot="1">
      <c r="D11" s="49">
        <v>1</v>
      </c>
      <c r="E11" s="50">
        <v>4200</v>
      </c>
      <c r="F11" s="50">
        <v>6</v>
      </c>
      <c r="G11" s="50">
        <v>3.77</v>
      </c>
      <c r="H11" s="56">
        <v>0</v>
      </c>
      <c r="I11" s="44">
        <f>G11*E11</f>
        <v>15834</v>
      </c>
      <c r="J11" s="54">
        <f>I11-E11</f>
        <v>11634</v>
      </c>
      <c r="K11" s="54">
        <f>-FV(20%,F11,,J11)</f>
        <v>34738.937855999997</v>
      </c>
      <c r="L11" s="54">
        <f>-PMT(20%,F11,J11)</f>
        <v>3498.4106474170994</v>
      </c>
      <c r="M11" s="54">
        <v>4761.3747800586516</v>
      </c>
      <c r="N11" s="42"/>
      <c r="O11" s="91"/>
      <c r="P11" s="55"/>
      <c r="Q11" s="55"/>
      <c r="R11" s="90"/>
      <c r="S11" s="55"/>
      <c r="T11" s="55"/>
      <c r="U11" s="55"/>
      <c r="V11" s="55"/>
      <c r="W11" s="55"/>
      <c r="X11" s="55"/>
      <c r="Y11" s="55"/>
      <c r="Z11" s="55"/>
    </row>
    <row r="12" spans="4:26" ht="17" thickBot="1">
      <c r="D12" s="49">
        <v>2</v>
      </c>
      <c r="E12" s="50">
        <v>4400</v>
      </c>
      <c r="F12" s="50">
        <v>4</v>
      </c>
      <c r="G12" s="50">
        <v>3.37</v>
      </c>
      <c r="H12" s="56">
        <v>1</v>
      </c>
      <c r="I12" s="44">
        <f t="shared" ref="I12:I16" si="0">G12*E12</f>
        <v>14828</v>
      </c>
      <c r="J12" s="54">
        <f t="shared" ref="J12:J16" si="1">I12-E12</f>
        <v>10428</v>
      </c>
      <c r="K12" s="54">
        <f t="shared" ref="K12:K16" si="2">-FV(20%,F12,,J12)</f>
        <v>21623.500799999998</v>
      </c>
      <c r="L12" s="54">
        <f t="shared" ref="L12:L16" si="3">-PMT(20%,F12,J12)</f>
        <v>4028.2229508196733</v>
      </c>
      <c r="M12" s="54">
        <v>5727.8950819672136</v>
      </c>
      <c r="N12" s="41"/>
      <c r="O12" s="41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4:26" ht="17" thickBot="1">
      <c r="D13" s="49">
        <v>3</v>
      </c>
      <c r="E13" s="50">
        <v>4700</v>
      </c>
      <c r="F13" s="50">
        <v>7</v>
      </c>
      <c r="G13" s="50">
        <v>3.64</v>
      </c>
      <c r="H13" s="56">
        <v>0</v>
      </c>
      <c r="I13" s="44">
        <f t="shared" si="0"/>
        <v>17108</v>
      </c>
      <c r="J13" s="54">
        <f t="shared" si="1"/>
        <v>12408</v>
      </c>
      <c r="K13" s="54">
        <f t="shared" si="2"/>
        <v>44460.107366399992</v>
      </c>
      <c r="L13" s="54">
        <f t="shared" si="3"/>
        <v>3442.2760781126899</v>
      </c>
      <c r="M13" s="54">
        <v>4746.1685319432545</v>
      </c>
      <c r="N13" s="41"/>
      <c r="O13" s="41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4:26" ht="17" thickBot="1">
      <c r="D14" s="49">
        <v>4</v>
      </c>
      <c r="E14" s="50">
        <v>8600</v>
      </c>
      <c r="F14" s="50">
        <v>4</v>
      </c>
      <c r="G14" s="50">
        <v>2.21</v>
      </c>
      <c r="H14" s="51">
        <v>1</v>
      </c>
      <c r="I14" s="44">
        <f t="shared" si="0"/>
        <v>19006</v>
      </c>
      <c r="J14" s="54">
        <f t="shared" si="1"/>
        <v>10406</v>
      </c>
      <c r="K14" s="54">
        <f t="shared" si="2"/>
        <v>21577.881600000001</v>
      </c>
      <c r="L14" s="54">
        <f t="shared" si="3"/>
        <v>4019.7245901639349</v>
      </c>
      <c r="M14" s="54">
        <v>7341.8110283159467</v>
      </c>
      <c r="N14" s="41"/>
      <c r="O14" s="41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4:26" ht="17" thickBot="1">
      <c r="D15" s="49">
        <v>5</v>
      </c>
      <c r="E15" s="50">
        <v>8900</v>
      </c>
      <c r="F15" s="50">
        <v>8</v>
      </c>
      <c r="G15" s="50">
        <v>2.4300000000000002</v>
      </c>
      <c r="H15" s="51">
        <v>0</v>
      </c>
      <c r="I15" s="44">
        <f t="shared" si="0"/>
        <v>21627</v>
      </c>
      <c r="J15" s="54">
        <f t="shared" si="1"/>
        <v>12727</v>
      </c>
      <c r="K15" s="54">
        <f t="shared" si="2"/>
        <v>54723.77044991999</v>
      </c>
      <c r="L15" s="54">
        <f t="shared" si="3"/>
        <v>3316.7761189953999</v>
      </c>
      <c r="M15" s="54">
        <v>5636.1999784327436</v>
      </c>
      <c r="N15" s="41"/>
      <c r="O15" s="41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4:26" ht="17" thickBot="1">
      <c r="D16" s="49">
        <v>6</v>
      </c>
      <c r="E16" s="50">
        <v>9100</v>
      </c>
      <c r="F16" s="50">
        <v>5</v>
      </c>
      <c r="G16" s="50">
        <v>2.2400000000000002</v>
      </c>
      <c r="H16" s="51">
        <v>0</v>
      </c>
      <c r="I16" s="44">
        <f t="shared" si="0"/>
        <v>20384.000000000004</v>
      </c>
      <c r="J16" s="54">
        <f t="shared" si="1"/>
        <v>11284.000000000004</v>
      </c>
      <c r="K16" s="54">
        <f t="shared" si="2"/>
        <v>28078.202880000008</v>
      </c>
      <c r="L16" s="54">
        <f t="shared" si="3"/>
        <v>3773.1405719200188</v>
      </c>
      <c r="M16" s="54">
        <v>6815.9958718555163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8" spans="4:15">
      <c r="O18" s="4"/>
    </row>
    <row r="19" spans="4:15">
      <c r="D19" s="43" t="s">
        <v>64</v>
      </c>
      <c r="E19" s="42">
        <v>0.2</v>
      </c>
      <c r="F19" s="41"/>
      <c r="G19" s="41"/>
      <c r="H19" s="41"/>
      <c r="I19" s="43" t="s">
        <v>65</v>
      </c>
      <c r="J19" s="46">
        <f>SUMPRODUCT(H11:H16,J11:J16)</f>
        <v>20834</v>
      </c>
      <c r="K19" s="46"/>
      <c r="L19" s="46">
        <f>SUMPRODUCT(H11:H16,L11:L16)</f>
        <v>8047.9475409836086</v>
      </c>
      <c r="M19" s="46"/>
      <c r="N19" s="46"/>
    </row>
    <row r="20" spans="4:15">
      <c r="D20" s="43" t="s">
        <v>66</v>
      </c>
      <c r="E20" s="46">
        <v>13000</v>
      </c>
      <c r="F20" s="41"/>
      <c r="G20" s="41"/>
      <c r="H20" s="41"/>
      <c r="I20" s="41"/>
      <c r="J20" s="41"/>
      <c r="K20" s="41"/>
      <c r="L20" s="41"/>
      <c r="M20" s="41"/>
      <c r="N20" s="41"/>
    </row>
    <row r="21" spans="4:15">
      <c r="D21" s="41"/>
      <c r="E21" s="41"/>
      <c r="F21" s="41"/>
      <c r="G21" s="41"/>
      <c r="H21" s="41"/>
      <c r="I21" s="41"/>
      <c r="J21" s="43" t="s">
        <v>67</v>
      </c>
      <c r="K21" s="45" t="s">
        <v>67</v>
      </c>
      <c r="L21" s="45" t="s">
        <v>68</v>
      </c>
      <c r="M21" s="41"/>
      <c r="N21" s="41"/>
    </row>
    <row r="23" spans="4:15">
      <c r="E23" s="89">
        <f>E11*F11/L11</f>
        <v>7.2032710106817603</v>
      </c>
    </row>
    <row r="27" spans="4:15" ht="20">
      <c r="D27" s="120" t="s">
        <v>19</v>
      </c>
      <c r="E27" s="120"/>
      <c r="F27" s="120"/>
      <c r="G27" s="120"/>
      <c r="H27" s="120"/>
      <c r="I27" s="120"/>
      <c r="J27" s="120"/>
      <c r="K27" s="120"/>
      <c r="L27" s="120"/>
      <c r="M27" s="120"/>
      <c r="N27" s="41"/>
    </row>
    <row r="29" spans="4:15">
      <c r="D29" s="41"/>
      <c r="E29" s="41"/>
      <c r="F29" s="43" t="s">
        <v>69</v>
      </c>
      <c r="G29" s="41"/>
      <c r="H29" s="41"/>
      <c r="I29" s="41"/>
      <c r="J29" s="41"/>
      <c r="K29" s="41"/>
      <c r="L29" s="41"/>
      <c r="M29" s="41"/>
      <c r="N29" s="41"/>
    </row>
    <row r="33" spans="5:11" ht="20">
      <c r="E33" s="120" t="s">
        <v>27</v>
      </c>
      <c r="F33" s="120"/>
      <c r="G33" s="120"/>
      <c r="H33" s="120"/>
      <c r="I33" s="120"/>
      <c r="J33" s="120"/>
      <c r="K33" s="120"/>
    </row>
    <row r="34" spans="5:11" ht="16">
      <c r="E34" s="41"/>
      <c r="F34" s="52" t="s">
        <v>70</v>
      </c>
      <c r="G34" s="41"/>
      <c r="H34" s="41"/>
      <c r="I34" s="41"/>
      <c r="J34" s="41"/>
      <c r="K34" s="41"/>
    </row>
  </sheetData>
  <mergeCells count="3">
    <mergeCell ref="D7:L8"/>
    <mergeCell ref="D27:M27"/>
    <mergeCell ref="E33:K33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22"/>
  <sheetViews>
    <sheetView workbookViewId="0">
      <selection activeCell="A18" sqref="A18"/>
    </sheetView>
  </sheetViews>
  <sheetFormatPr baseColWidth="10" defaultColWidth="8.83203125" defaultRowHeight="15"/>
  <cols>
    <col min="2" max="2" width="8.6640625" bestFit="1" customWidth="1"/>
    <col min="3" max="3" width="13.6640625" customWidth="1"/>
    <col min="4" max="4" width="6.6640625" bestFit="1" customWidth="1"/>
    <col min="5" max="5" width="10.5" customWidth="1"/>
    <col min="28" max="28" width="4.5" customWidth="1"/>
  </cols>
  <sheetData>
    <row r="1" spans="2:36">
      <c r="B1" s="121" t="s">
        <v>75</v>
      </c>
      <c r="C1" s="121"/>
      <c r="D1" s="121"/>
    </row>
    <row r="2" spans="2:36">
      <c r="B2" s="57"/>
      <c r="C2" s="57"/>
      <c r="D2" s="57"/>
      <c r="O2" s="122" t="s">
        <v>76</v>
      </c>
      <c r="P2" s="123"/>
      <c r="Q2" s="123"/>
      <c r="R2" s="123"/>
      <c r="S2" s="123"/>
      <c r="T2" s="123"/>
      <c r="Z2" s="58" t="s">
        <v>74</v>
      </c>
      <c r="AA2">
        <v>520</v>
      </c>
    </row>
    <row r="3" spans="2:36">
      <c r="B3" s="59" t="s">
        <v>77</v>
      </c>
      <c r="C3" s="60">
        <v>400000</v>
      </c>
      <c r="D3" s="57"/>
      <c r="O3" s="123"/>
      <c r="P3" s="123"/>
      <c r="Q3" s="123"/>
      <c r="R3" s="123"/>
      <c r="S3" s="123"/>
      <c r="T3" s="123"/>
      <c r="Z3" s="58" t="s">
        <v>73</v>
      </c>
      <c r="AA3">
        <v>400</v>
      </c>
    </row>
    <row r="4" spans="2:36">
      <c r="B4" s="59" t="s">
        <v>78</v>
      </c>
      <c r="C4" s="60">
        <v>120000</v>
      </c>
      <c r="D4" s="1"/>
      <c r="O4" s="123"/>
      <c r="P4" s="123"/>
      <c r="Q4" s="123"/>
      <c r="R4" s="123"/>
      <c r="S4" s="123"/>
      <c r="T4" s="123"/>
      <c r="Z4" s="58" t="s">
        <v>79</v>
      </c>
      <c r="AA4">
        <v>3</v>
      </c>
      <c r="AD4" t="s">
        <v>72</v>
      </c>
    </row>
    <row r="5" spans="2:36">
      <c r="B5" s="58" t="s">
        <v>80</v>
      </c>
      <c r="C5" s="61">
        <f>C3+C4</f>
        <v>520000</v>
      </c>
      <c r="O5" s="123"/>
      <c r="P5" s="123"/>
      <c r="Q5" s="123"/>
      <c r="R5" s="123"/>
      <c r="S5" s="123"/>
      <c r="T5" s="123"/>
      <c r="Z5" s="58" t="s">
        <v>71</v>
      </c>
      <c r="AA5">
        <v>120</v>
      </c>
      <c r="AD5" s="1" t="s">
        <v>81</v>
      </c>
      <c r="AE5" s="1" t="s">
        <v>82</v>
      </c>
      <c r="AF5" s="1" t="s">
        <v>83</v>
      </c>
      <c r="AG5" s="1" t="s">
        <v>84</v>
      </c>
      <c r="AH5" s="1" t="s">
        <v>74</v>
      </c>
      <c r="AI5" s="1" t="s">
        <v>71</v>
      </c>
    </row>
    <row r="6" spans="2:36">
      <c r="B6" s="59" t="s">
        <v>85</v>
      </c>
      <c r="C6" s="62">
        <v>3</v>
      </c>
      <c r="D6" s="63" t="s">
        <v>86</v>
      </c>
      <c r="O6" s="123"/>
      <c r="P6" s="123"/>
      <c r="Q6" s="123"/>
      <c r="R6" s="123"/>
      <c r="S6" s="123"/>
      <c r="T6" s="123"/>
      <c r="Z6" s="58"/>
      <c r="AC6">
        <v>0</v>
      </c>
      <c r="AE6" s="1"/>
      <c r="AG6">
        <v>100</v>
      </c>
      <c r="AH6" s="1">
        <v>400</v>
      </c>
    </row>
    <row r="7" spans="2:36" ht="17">
      <c r="B7" s="59" t="s">
        <v>87</v>
      </c>
      <c r="C7" s="64">
        <v>0.02</v>
      </c>
      <c r="D7" s="63" t="s">
        <v>88</v>
      </c>
      <c r="O7" s="123"/>
      <c r="P7" s="123"/>
      <c r="Q7" s="123"/>
      <c r="R7" s="123"/>
      <c r="S7" s="123"/>
      <c r="T7" s="123"/>
      <c r="Z7" s="58" t="s">
        <v>89</v>
      </c>
      <c r="AA7" s="4">
        <v>0.02</v>
      </c>
      <c r="AC7">
        <v>1</v>
      </c>
      <c r="AD7" s="20">
        <v>0.01</v>
      </c>
      <c r="AF7" s="20">
        <v>0.02</v>
      </c>
      <c r="AG7">
        <f>AG6*(1+AF7)*(1+AD7)</f>
        <v>103.02</v>
      </c>
      <c r="AH7" s="1">
        <f>AH6*AG7/100</f>
        <v>412.08</v>
      </c>
      <c r="AI7">
        <f>AH7-AH6</f>
        <v>12.079999999999984</v>
      </c>
      <c r="AJ7">
        <f>AH6*(1+AD7)*(1+AF7)</f>
        <v>412.08</v>
      </c>
    </row>
    <row r="8" spans="2:36" ht="17">
      <c r="B8" s="59" t="s">
        <v>90</v>
      </c>
      <c r="C8" s="64">
        <v>0.01</v>
      </c>
      <c r="D8" s="63" t="s">
        <v>91</v>
      </c>
      <c r="O8" s="123"/>
      <c r="P8" s="123"/>
      <c r="Q8" s="123"/>
      <c r="R8" s="123"/>
      <c r="S8" s="123"/>
      <c r="T8" s="123"/>
      <c r="AC8">
        <v>2</v>
      </c>
      <c r="AD8" s="20">
        <f>$AD$11</f>
        <v>0.1013127599892054</v>
      </c>
      <c r="AF8" s="20">
        <v>0.02</v>
      </c>
      <c r="AG8">
        <f>AG7*(1+AF8)*(1+AD8)</f>
        <v>115.7263853447697</v>
      </c>
      <c r="AH8" s="1">
        <f t="shared" ref="AH8" si="0">AH7*AG8/100</f>
        <v>476.88528872872695</v>
      </c>
      <c r="AI8">
        <f t="shared" ref="AI8" si="1">AH8-AH7</f>
        <v>64.805288728726964</v>
      </c>
      <c r="AJ8">
        <f>AH7*(1+AD8)*(1+AF8)</f>
        <v>462.90554137907884</v>
      </c>
    </row>
    <row r="9" spans="2:36" ht="17">
      <c r="B9" s="59" t="s">
        <v>92</v>
      </c>
      <c r="C9" s="65" t="s">
        <v>93</v>
      </c>
      <c r="D9" s="63" t="s">
        <v>88</v>
      </c>
      <c r="O9" s="123"/>
      <c r="P9" s="123"/>
      <c r="Q9" s="123"/>
      <c r="R9" s="123"/>
      <c r="S9" s="123"/>
      <c r="T9" s="123"/>
      <c r="AC9">
        <v>3</v>
      </c>
      <c r="AD9" s="20">
        <f>$AD$11</f>
        <v>0.1013127599892054</v>
      </c>
      <c r="AF9" s="20">
        <v>0.02</v>
      </c>
      <c r="AG9">
        <f>AG8*(1+AF9)*(1+AD9)</f>
        <v>129.9999637445751</v>
      </c>
      <c r="AH9" s="1"/>
      <c r="AJ9">
        <f>AH8*(1+AD9)*(1+AF9)</f>
        <v>535.70385059864509</v>
      </c>
    </row>
    <row r="10" spans="2:36">
      <c r="O10" s="123"/>
      <c r="P10" s="123"/>
      <c r="Q10" s="123"/>
      <c r="R10" s="123"/>
      <c r="S10" s="123"/>
      <c r="T10" s="123"/>
      <c r="AA10" t="s">
        <v>94</v>
      </c>
    </row>
    <row r="11" spans="2:36" ht="17">
      <c r="B11" s="66" t="s">
        <v>95</v>
      </c>
      <c r="C11" s="67">
        <f>((C5/C3)^(1/C6))-1</f>
        <v>9.1392883061105934E-2</v>
      </c>
      <c r="D11" s="68" t="s">
        <v>88</v>
      </c>
      <c r="E11" s="69"/>
      <c r="I11" s="66" t="s">
        <v>95</v>
      </c>
      <c r="J11" s="70">
        <f>C4/C3</f>
        <v>0.3</v>
      </c>
      <c r="K11" s="68" t="s">
        <v>96</v>
      </c>
      <c r="L11" s="69"/>
      <c r="O11" s="123"/>
      <c r="P11" s="123"/>
      <c r="Q11" s="123"/>
      <c r="R11" s="123"/>
      <c r="S11" s="123"/>
      <c r="T11" s="123"/>
      <c r="AA11">
        <f>(AA2/AA3)^(1/3)</f>
        <v>1.0913928830611059</v>
      </c>
      <c r="AD11" s="71">
        <v>0.1013127599892054</v>
      </c>
    </row>
    <row r="12" spans="2:36">
      <c r="E12" s="69"/>
      <c r="L12" s="69"/>
      <c r="Y12" t="s">
        <v>97</v>
      </c>
      <c r="AA12" s="69">
        <f>AA11-1</f>
        <v>9.1392883061105934E-2</v>
      </c>
    </row>
    <row r="13" spans="2:36" ht="18">
      <c r="B13" s="72" t="s">
        <v>98</v>
      </c>
      <c r="C13" s="73">
        <f>(1+C11)^C6</f>
        <v>1.3000000000000003</v>
      </c>
      <c r="D13" s="74"/>
      <c r="I13" s="72" t="s">
        <v>99</v>
      </c>
      <c r="J13" s="73">
        <f>(1+J11)</f>
        <v>1.3</v>
      </c>
      <c r="K13" s="74"/>
      <c r="Y13" t="s">
        <v>100</v>
      </c>
      <c r="AD13" s="1" t="s">
        <v>81</v>
      </c>
      <c r="AE13" s="1" t="s">
        <v>83</v>
      </c>
      <c r="AF13" s="1" t="s">
        <v>101</v>
      </c>
      <c r="AG13" s="1" t="s">
        <v>102</v>
      </c>
    </row>
    <row r="14" spans="2:36">
      <c r="B14" s="72"/>
      <c r="C14" s="3"/>
      <c r="D14" s="74"/>
      <c r="E14" s="75"/>
      <c r="F14" s="76"/>
      <c r="I14" s="72"/>
      <c r="J14" s="3"/>
      <c r="K14" s="74"/>
      <c r="L14" s="75"/>
      <c r="AC14">
        <v>0</v>
      </c>
      <c r="AG14" s="1">
        <f>AA3</f>
        <v>400</v>
      </c>
    </row>
    <row r="15" spans="2:36" ht="18">
      <c r="B15" s="72" t="s">
        <v>103</v>
      </c>
      <c r="C15" s="77">
        <f>(1+C7)^C6</f>
        <v>1.0612079999999999</v>
      </c>
      <c r="D15" s="74"/>
      <c r="G15" s="124" t="s">
        <v>104</v>
      </c>
      <c r="H15" s="124"/>
      <c r="I15" s="72" t="s">
        <v>103</v>
      </c>
      <c r="J15" s="77">
        <f>(1+C7)^C6</f>
        <v>1.0612079999999999</v>
      </c>
      <c r="K15" s="74"/>
      <c r="AC15">
        <v>1</v>
      </c>
      <c r="AD15" s="20">
        <v>0.01</v>
      </c>
      <c r="AE15" s="20">
        <v>0.02</v>
      </c>
      <c r="AF15" s="78">
        <f>(1+AD15)*(1+AE15)-1</f>
        <v>3.0200000000000005E-2</v>
      </c>
      <c r="AG15" s="1">
        <f>AG14*(1+AF15)</f>
        <v>412.08</v>
      </c>
    </row>
    <row r="16" spans="2:36">
      <c r="B16" s="72"/>
      <c r="C16" s="3"/>
      <c r="D16" s="74"/>
      <c r="G16" s="124"/>
      <c r="H16" s="124"/>
      <c r="I16" s="72"/>
      <c r="J16" s="3"/>
      <c r="K16" s="74"/>
      <c r="AC16">
        <v>2</v>
      </c>
      <c r="AD16" s="20">
        <f>$AD$11</f>
        <v>0.1013127599892054</v>
      </c>
      <c r="AE16" s="20">
        <v>0.02</v>
      </c>
      <c r="AF16" s="78">
        <f t="shared" ref="AF16:AF17" si="2">(1+AD16)*(1+AE16)-1</f>
        <v>0.12333901518898949</v>
      </c>
      <c r="AG16" s="1">
        <f t="shared" ref="AG16:AG17" si="3">AG15*(1+AF16)</f>
        <v>462.90554137907878</v>
      </c>
    </row>
    <row r="17" spans="1:33" ht="17">
      <c r="A17" s="79"/>
      <c r="B17" s="72" t="s">
        <v>105</v>
      </c>
      <c r="C17" s="80">
        <f>1+C8</f>
        <v>1.01</v>
      </c>
      <c r="D17" s="81"/>
      <c r="I17" s="72" t="s">
        <v>105</v>
      </c>
      <c r="J17" s="80">
        <f>1+C8</f>
        <v>1.01</v>
      </c>
      <c r="K17" s="81"/>
      <c r="AC17">
        <v>3</v>
      </c>
      <c r="AD17" s="20">
        <f>$AD$11</f>
        <v>0.1013127599892054</v>
      </c>
      <c r="AE17" s="20">
        <v>0.02</v>
      </c>
      <c r="AF17" s="78">
        <f t="shared" si="2"/>
        <v>0.12333901518898949</v>
      </c>
      <c r="AG17" s="1">
        <f t="shared" si="3"/>
        <v>519.99985497830039</v>
      </c>
    </row>
    <row r="18" spans="1:33" ht="18">
      <c r="B18" s="72" t="s">
        <v>106</v>
      </c>
      <c r="C18" s="80" t="s">
        <v>107</v>
      </c>
      <c r="D18" s="82" t="s">
        <v>108</v>
      </c>
      <c r="E18" s="83" t="s">
        <v>109</v>
      </c>
      <c r="I18" s="72" t="s">
        <v>106</v>
      </c>
      <c r="J18" s="80" t="s">
        <v>107</v>
      </c>
      <c r="K18" s="82" t="s">
        <v>108</v>
      </c>
      <c r="L18" s="83" t="s">
        <v>109</v>
      </c>
    </row>
    <row r="19" spans="1:33" ht="17">
      <c r="B19" s="72" t="s">
        <v>110</v>
      </c>
      <c r="C19" s="80" t="s">
        <v>107</v>
      </c>
      <c r="I19" s="72" t="s">
        <v>110</v>
      </c>
      <c r="J19" s="80" t="s">
        <v>107</v>
      </c>
    </row>
    <row r="20" spans="1:33">
      <c r="A20" s="79"/>
      <c r="B20" s="72"/>
      <c r="C20" s="80"/>
      <c r="D20" s="81"/>
      <c r="I20" s="72"/>
      <c r="J20" s="80"/>
      <c r="K20" s="81"/>
    </row>
    <row r="21" spans="1:33" ht="18">
      <c r="B21" s="84" t="s">
        <v>111</v>
      </c>
      <c r="C21">
        <f>C13/(C15*C17)</f>
        <v>1.2128901335754041</v>
      </c>
      <c r="I21" s="84" t="s">
        <v>111</v>
      </c>
      <c r="J21">
        <f>J13/(J15*J17)</f>
        <v>1.2128901335754039</v>
      </c>
    </row>
    <row r="22" spans="1:33" ht="19">
      <c r="B22" s="85" t="s">
        <v>112</v>
      </c>
      <c r="C22" s="86">
        <f>(C21^(1/2))-1</f>
        <v>0.1013129135606301</v>
      </c>
      <c r="D22" s="87" t="s">
        <v>113</v>
      </c>
      <c r="I22" s="72" t="s">
        <v>114</v>
      </c>
      <c r="J22" s="88">
        <f>(J21^(1/2))-1</f>
        <v>0.1013129135606301</v>
      </c>
      <c r="K22" s="68" t="s">
        <v>91</v>
      </c>
    </row>
  </sheetData>
  <mergeCells count="3">
    <mergeCell ref="B1:D1"/>
    <mergeCell ref="O2:T11"/>
    <mergeCell ref="G15:H16"/>
  </mergeCells>
  <pageMargins left="0.511811024" right="0.511811024" top="0.78740157499999996" bottom="0.78740157499999996" header="0.31496062000000002" footer="0.31496062000000002"/>
  <drawing r:id="rId1"/>
  <legacyDrawing r:id="rId2"/>
  <oleObjects>
    <mc:AlternateContent xmlns:mc="http://schemas.openxmlformats.org/markup-compatibility/2006">
      <mc:Choice Requires="x14">
        <oleObject progId="Equation.3" shapeId="5121" r:id="rId3">
          <objectPr defaultSize="0" autoPict="0" r:id="rId4">
            <anchor moveWithCells="1" sizeWithCells="1">
              <from>
                <xdr:col>4</xdr:col>
                <xdr:colOff>190500</xdr:colOff>
                <xdr:row>0</xdr:row>
                <xdr:rowOff>0</xdr:rowOff>
              </from>
              <to>
                <xdr:col>13</xdr:col>
                <xdr:colOff>381000</xdr:colOff>
                <xdr:row>2</xdr:row>
                <xdr:rowOff>177800</xdr:rowOff>
              </to>
            </anchor>
          </objectPr>
        </oleObject>
      </mc:Choice>
      <mc:Fallback>
        <oleObject progId="Equation.3" shapeId="5121" r:id="rId3"/>
      </mc:Fallback>
    </mc:AlternateContent>
    <mc:AlternateContent xmlns:mc="http://schemas.openxmlformats.org/markup-compatibility/2006">
      <mc:Choice Requires="x14">
        <oleObject progId="Equation.3" shapeId="5122" r:id="rId5">
          <objectPr defaultSize="0" autoPict="0" r:id="rId6">
            <anchor moveWithCells="1" sizeWithCells="1">
              <from>
                <xdr:col>4</xdr:col>
                <xdr:colOff>12700</xdr:colOff>
                <xdr:row>10</xdr:row>
                <xdr:rowOff>0</xdr:rowOff>
              </from>
              <to>
                <xdr:col>6</xdr:col>
                <xdr:colOff>317500</xdr:colOff>
                <xdr:row>12</xdr:row>
                <xdr:rowOff>127000</xdr:rowOff>
              </to>
            </anchor>
          </objectPr>
        </oleObject>
      </mc:Choice>
      <mc:Fallback>
        <oleObject progId="Equation.3" shapeId="5122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CAP IV FADIGAS</vt:lpstr>
      <vt:lpstr>L 3 - EX 7</vt:lpstr>
      <vt:lpstr>L3 - EX8</vt:lpstr>
      <vt:lpstr>L3 - EX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reinaldo</dc:creator>
  <cp:lastModifiedBy>Microsoft Office User</cp:lastModifiedBy>
  <dcterms:created xsi:type="dcterms:W3CDTF">2011-09-25T16:57:35Z</dcterms:created>
  <dcterms:modified xsi:type="dcterms:W3CDTF">2020-09-06T13:24:18Z</dcterms:modified>
</cp:coreProperties>
</file>