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2/2020/ENGENHARIA ECONÔMICA/EXERCICIOS/"/>
    </mc:Choice>
  </mc:AlternateContent>
  <xr:revisionPtr revIDLastSave="0" documentId="13_ncr:1_{A90AB47C-AB90-1E46-BBBF-E50B71F8E23A}" xr6:coauthVersionLast="45" xr6:coauthVersionMax="45" xr10:uidLastSave="{00000000-0000-0000-0000-000000000000}"/>
  <bookViews>
    <workbookView xWindow="1580" yWindow="1420" windowWidth="26840" windowHeight="15940" activeTab="1" xr2:uid="{FEBAE516-C4AD-4845-8A35-7319C3383CFF}"/>
  </bookViews>
  <sheets>
    <sheet name="Lista 2 RPC" sheetId="1" r:id="rId1"/>
    <sheet name="Lista 2 Maria Clara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2" l="1"/>
  <c r="S34" i="2" s="1"/>
  <c r="T13" i="2"/>
  <c r="Q15" i="2"/>
  <c r="T17" i="2" s="1"/>
  <c r="S74" i="2"/>
  <c r="R74" i="2"/>
  <c r="R76" i="2" s="1"/>
  <c r="R72" i="2"/>
  <c r="T70" i="2"/>
  <c r="T71" i="2" s="1"/>
  <c r="R65" i="2"/>
  <c r="V58" i="2"/>
  <c r="Q65" i="2" s="1"/>
  <c r="Q54" i="2"/>
  <c r="U33" i="2"/>
  <c r="R28" i="2"/>
  <c r="T28" i="2" s="1"/>
  <c r="R27" i="2"/>
  <c r="T27" i="2" s="1"/>
  <c r="R26" i="2"/>
  <c r="T26" i="2" s="1"/>
  <c r="R25" i="2"/>
  <c r="T25" i="2" s="1"/>
  <c r="R24" i="2"/>
  <c r="T24" i="2" s="1"/>
  <c r="Q21" i="2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AB40" i="1"/>
  <c r="K40" i="1"/>
  <c r="AB39" i="1"/>
  <c r="K39" i="1"/>
  <c r="K38" i="1"/>
  <c r="K37" i="1"/>
  <c r="K36" i="1"/>
  <c r="K35" i="1"/>
  <c r="K34" i="1"/>
  <c r="K33" i="1"/>
  <c r="AA32" i="1"/>
  <c r="U32" i="1" s="1"/>
  <c r="K32" i="1"/>
  <c r="K31" i="1"/>
  <c r="K30" i="1"/>
  <c r="K29" i="1"/>
  <c r="K28" i="1"/>
  <c r="K27" i="1"/>
  <c r="K26" i="1"/>
  <c r="AA25" i="1"/>
  <c r="Z25" i="1"/>
  <c r="K25" i="1"/>
  <c r="K24" i="1"/>
  <c r="G24" i="1"/>
  <c r="G25" i="1" s="1"/>
  <c r="G26" i="1" s="1"/>
  <c r="G27" i="1" s="1"/>
  <c r="K23" i="1"/>
  <c r="K22" i="1"/>
  <c r="K21" i="1"/>
  <c r="K20" i="1"/>
  <c r="K19" i="1"/>
  <c r="K18" i="1"/>
  <c r="K17" i="1"/>
  <c r="K16" i="1"/>
  <c r="K15" i="1"/>
  <c r="K14" i="1"/>
  <c r="G14" i="1"/>
  <c r="G15" i="1" s="1"/>
  <c r="K13" i="1"/>
  <c r="G13" i="1"/>
  <c r="K12" i="1"/>
  <c r="K11" i="1"/>
  <c r="K10" i="1"/>
  <c r="A10" i="1"/>
  <c r="A11" i="1" s="1"/>
  <c r="T9" i="1"/>
  <c r="T10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K9" i="1"/>
  <c r="L9" i="1" s="1"/>
  <c r="H9" i="1"/>
  <c r="G9" i="1"/>
  <c r="C9" i="1"/>
  <c r="A9" i="1"/>
  <c r="R8" i="1"/>
  <c r="H8" i="1"/>
  <c r="E8" i="1"/>
  <c r="AD5" i="1"/>
  <c r="V5" i="1"/>
  <c r="AD4" i="1"/>
  <c r="V3" i="1"/>
  <c r="AA35" i="1" s="1"/>
  <c r="P3" i="1"/>
  <c r="D3" i="1"/>
  <c r="C3" i="1"/>
  <c r="B20" i="1" s="1"/>
  <c r="R34" i="2" l="1"/>
  <c r="R35" i="2" s="1"/>
  <c r="R36" i="2" s="1"/>
  <c r="T29" i="2"/>
  <c r="U59" i="2"/>
  <c r="A12" i="1"/>
  <c r="H11" i="1"/>
  <c r="L11" i="1" s="1"/>
  <c r="AB32" i="1"/>
  <c r="AA34" i="1"/>
  <c r="AA36" i="1" s="1"/>
  <c r="X8" i="1" s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O10" i="1"/>
  <c r="B11" i="1"/>
  <c r="O12" i="1"/>
  <c r="B13" i="1"/>
  <c r="B19" i="1"/>
  <c r="B22" i="1"/>
  <c r="O25" i="1"/>
  <c r="O35" i="1"/>
  <c r="O36" i="1"/>
  <c r="O88" i="1"/>
  <c r="O86" i="1"/>
  <c r="O84" i="1"/>
  <c r="O82" i="1"/>
  <c r="O80" i="1"/>
  <c r="O78" i="1"/>
  <c r="O76" i="1"/>
  <c r="O79" i="1"/>
  <c r="O74" i="1"/>
  <c r="O72" i="1"/>
  <c r="O70" i="1"/>
  <c r="O65" i="1"/>
  <c r="O61" i="1"/>
  <c r="O87" i="1"/>
  <c r="O81" i="1"/>
  <c r="O68" i="1"/>
  <c r="O64" i="1"/>
  <c r="O83" i="1"/>
  <c r="O75" i="1"/>
  <c r="O73" i="1"/>
  <c r="O71" i="1"/>
  <c r="O69" i="1"/>
  <c r="O85" i="1"/>
  <c r="O58" i="1"/>
  <c r="O54" i="1"/>
  <c r="O50" i="1"/>
  <c r="O46" i="1"/>
  <c r="O42" i="1"/>
  <c r="O67" i="1"/>
  <c r="O66" i="1"/>
  <c r="O63" i="1"/>
  <c r="O57" i="1"/>
  <c r="O53" i="1"/>
  <c r="O49" i="1"/>
  <c r="O45" i="1"/>
  <c r="O77" i="1"/>
  <c r="O60" i="1"/>
  <c r="O56" i="1"/>
  <c r="O52" i="1"/>
  <c r="O48" i="1"/>
  <c r="O44" i="1"/>
  <c r="O62" i="1"/>
  <c r="O59" i="1"/>
  <c r="O55" i="1"/>
  <c r="O51" i="1"/>
  <c r="O39" i="1"/>
  <c r="O34" i="1"/>
  <c r="O32" i="1"/>
  <c r="O30" i="1"/>
  <c r="O28" i="1"/>
  <c r="O18" i="1"/>
  <c r="O16" i="1"/>
  <c r="O13" i="1"/>
  <c r="O41" i="1"/>
  <c r="O40" i="1"/>
  <c r="O37" i="1"/>
  <c r="O33" i="1"/>
  <c r="O23" i="1"/>
  <c r="O21" i="1"/>
  <c r="O19" i="1"/>
  <c r="O14" i="1"/>
  <c r="O31" i="1"/>
  <c r="O29" i="1"/>
  <c r="O27" i="1"/>
  <c r="O26" i="1"/>
  <c r="O24" i="1"/>
  <c r="B10" i="1"/>
  <c r="H10" i="1"/>
  <c r="L10" i="1" s="1"/>
  <c r="B15" i="1"/>
  <c r="B17" i="1"/>
  <c r="B26" i="1"/>
  <c r="O9" i="1"/>
  <c r="B12" i="1"/>
  <c r="O17" i="1"/>
  <c r="O20" i="1"/>
  <c r="O38" i="1"/>
  <c r="O43" i="1"/>
  <c r="O47" i="1"/>
  <c r="B32" i="1"/>
  <c r="B30" i="1"/>
  <c r="B28" i="1"/>
  <c r="B25" i="1"/>
  <c r="B18" i="1"/>
  <c r="B16" i="1"/>
  <c r="B23" i="1"/>
  <c r="B21" i="1"/>
  <c r="B31" i="1"/>
  <c r="B29" i="1"/>
  <c r="B9" i="1"/>
  <c r="P9" i="1"/>
  <c r="O11" i="1"/>
  <c r="B14" i="1"/>
  <c r="O15" i="1"/>
  <c r="O22" i="1"/>
  <c r="B24" i="1"/>
  <c r="B27" i="1"/>
  <c r="T34" i="2" l="1"/>
  <c r="U34" i="2" s="1"/>
  <c r="R37" i="2"/>
  <c r="S35" i="2"/>
  <c r="T35" i="2" s="1"/>
  <c r="U35" i="2" s="1"/>
  <c r="S65" i="2"/>
  <c r="T65" i="2" s="1"/>
  <c r="Q66" i="2"/>
  <c r="R66" i="2" s="1"/>
  <c r="S66" i="2"/>
  <c r="T66" i="2" s="1"/>
  <c r="F19" i="1"/>
  <c r="B33" i="1"/>
  <c r="F9" i="1"/>
  <c r="D4" i="1"/>
  <c r="D9" i="1"/>
  <c r="O89" i="1"/>
  <c r="Q9" i="1"/>
  <c r="W125" i="1"/>
  <c r="W121" i="1"/>
  <c r="W117" i="1"/>
  <c r="W113" i="1"/>
  <c r="W128" i="1"/>
  <c r="W127" i="1"/>
  <c r="W123" i="1"/>
  <c r="W119" i="1"/>
  <c r="W115" i="1"/>
  <c r="W111" i="1"/>
  <c r="W107" i="1"/>
  <c r="W103" i="1"/>
  <c r="W99" i="1"/>
  <c r="W95" i="1"/>
  <c r="W91" i="1"/>
  <c r="W87" i="1"/>
  <c r="W85" i="1"/>
  <c r="W83" i="1"/>
  <c r="W126" i="1"/>
  <c r="W122" i="1"/>
  <c r="W118" i="1"/>
  <c r="W114" i="1"/>
  <c r="W110" i="1"/>
  <c r="W106" i="1"/>
  <c r="W102" i="1"/>
  <c r="W98" i="1"/>
  <c r="W94" i="1"/>
  <c r="W90" i="1"/>
  <c r="W124" i="1"/>
  <c r="W105" i="1"/>
  <c r="W97" i="1"/>
  <c r="W89" i="1"/>
  <c r="W88" i="1"/>
  <c r="W84" i="1"/>
  <c r="W82" i="1"/>
  <c r="W81" i="1"/>
  <c r="W66" i="1"/>
  <c r="W62" i="1"/>
  <c r="W120" i="1"/>
  <c r="W108" i="1"/>
  <c r="W100" i="1"/>
  <c r="W92" i="1"/>
  <c r="W76" i="1"/>
  <c r="W75" i="1"/>
  <c r="W74" i="1"/>
  <c r="W72" i="1"/>
  <c r="W70" i="1"/>
  <c r="W65" i="1"/>
  <c r="W116" i="1"/>
  <c r="W109" i="1"/>
  <c r="W101" i="1"/>
  <c r="W93" i="1"/>
  <c r="W86" i="1"/>
  <c r="W78" i="1"/>
  <c r="W77" i="1"/>
  <c r="W112" i="1"/>
  <c r="W59" i="1"/>
  <c r="W55" i="1"/>
  <c r="W51" i="1"/>
  <c r="W47" i="1"/>
  <c r="W43" i="1"/>
  <c r="W40" i="1"/>
  <c r="W37" i="1"/>
  <c r="W35" i="1"/>
  <c r="W104" i="1"/>
  <c r="W79" i="1"/>
  <c r="W73" i="1"/>
  <c r="W60" i="1"/>
  <c r="W58" i="1"/>
  <c r="W54" i="1"/>
  <c r="W50" i="1"/>
  <c r="W46" i="1"/>
  <c r="W42" i="1"/>
  <c r="W96" i="1"/>
  <c r="W71" i="1"/>
  <c r="W68" i="1"/>
  <c r="W67" i="1"/>
  <c r="W64" i="1"/>
  <c r="W63" i="1"/>
  <c r="W57" i="1"/>
  <c r="W53" i="1"/>
  <c r="W49" i="1"/>
  <c r="W45" i="1"/>
  <c r="W80" i="1"/>
  <c r="W69" i="1"/>
  <c r="W61" i="1"/>
  <c r="W56" i="1"/>
  <c r="W52" i="1"/>
  <c r="W48" i="1"/>
  <c r="W41" i="1"/>
  <c r="W25" i="1"/>
  <c r="W22" i="1"/>
  <c r="W20" i="1"/>
  <c r="W12" i="1"/>
  <c r="W10" i="1"/>
  <c r="W44" i="1"/>
  <c r="W34" i="1"/>
  <c r="W32" i="1"/>
  <c r="W30" i="1"/>
  <c r="W28" i="1"/>
  <c r="W18" i="1"/>
  <c r="W16" i="1"/>
  <c r="W13" i="1"/>
  <c r="W38" i="1"/>
  <c r="W36" i="1"/>
  <c r="W33" i="1"/>
  <c r="W26" i="1"/>
  <c r="W23" i="1"/>
  <c r="W21" i="1"/>
  <c r="W39" i="1"/>
  <c r="W29" i="1"/>
  <c r="W15" i="1"/>
  <c r="X9" i="1"/>
  <c r="W19" i="1"/>
  <c r="W17" i="1"/>
  <c r="W9" i="1"/>
  <c r="Y8" i="1"/>
  <c r="W31" i="1"/>
  <c r="W27" i="1"/>
  <c r="W24" i="1"/>
  <c r="W14" i="1"/>
  <c r="W11" i="1"/>
  <c r="V9" i="1"/>
  <c r="A13" i="1"/>
  <c r="H12" i="1"/>
  <c r="L12" i="1" s="1"/>
  <c r="S36" i="2" l="1"/>
  <c r="T36" i="2" s="1"/>
  <c r="U36" i="2"/>
  <c r="R38" i="2"/>
  <c r="H13" i="1"/>
  <c r="L13" i="1" s="1"/>
  <c r="A14" i="1"/>
  <c r="R9" i="1"/>
  <c r="X10" i="1"/>
  <c r="V10" i="1"/>
  <c r="U10" i="1" s="1"/>
  <c r="Y9" i="1"/>
  <c r="U9" i="1"/>
  <c r="E9" i="1"/>
  <c r="R39" i="2" l="1"/>
  <c r="S37" i="2"/>
  <c r="T37" i="2" s="1"/>
  <c r="U37" i="2" s="1"/>
  <c r="P10" i="1"/>
  <c r="V11" i="1"/>
  <c r="U11" i="1" s="1"/>
  <c r="X11" i="1"/>
  <c r="C10" i="1"/>
  <c r="A15" i="1"/>
  <c r="H14" i="1"/>
  <c r="L14" i="1" s="1"/>
  <c r="S38" i="2" l="1"/>
  <c r="T38" i="2" s="1"/>
  <c r="U38" i="2" s="1"/>
  <c r="R40" i="2"/>
  <c r="Q10" i="1"/>
  <c r="A16" i="1"/>
  <c r="H15" i="1"/>
  <c r="L15" i="1" s="1"/>
  <c r="D10" i="1"/>
  <c r="X12" i="1"/>
  <c r="V12" i="1"/>
  <c r="U12" i="1" s="1"/>
  <c r="S39" i="2" l="1"/>
  <c r="T39" i="2" s="1"/>
  <c r="U39" i="2" s="1"/>
  <c r="R41" i="2"/>
  <c r="X13" i="1"/>
  <c r="V13" i="1"/>
  <c r="U13" i="1" s="1"/>
  <c r="H16" i="1"/>
  <c r="L16" i="1" s="1"/>
  <c r="A17" i="1"/>
  <c r="E10" i="1"/>
  <c r="R10" i="1"/>
  <c r="S40" i="2" l="1"/>
  <c r="T40" i="2" s="1"/>
  <c r="U40" i="2" s="1"/>
  <c r="R42" i="2"/>
  <c r="P11" i="1"/>
  <c r="A18" i="1"/>
  <c r="H17" i="1"/>
  <c r="L17" i="1" s="1"/>
  <c r="C11" i="1"/>
  <c r="X14" i="1"/>
  <c r="V14" i="1"/>
  <c r="U14" i="1" s="1"/>
  <c r="S41" i="2" l="1"/>
  <c r="T41" i="2" s="1"/>
  <c r="U41" i="2" s="1"/>
  <c r="R43" i="2"/>
  <c r="V15" i="1"/>
  <c r="U15" i="1" s="1"/>
  <c r="X15" i="1"/>
  <c r="H18" i="1"/>
  <c r="L18" i="1" s="1"/>
  <c r="A19" i="1"/>
  <c r="D11" i="1"/>
  <c r="Q11" i="1"/>
  <c r="S42" i="2" l="1"/>
  <c r="T42" i="2" s="1"/>
  <c r="U42" i="2" s="1"/>
  <c r="R44" i="2"/>
  <c r="R11" i="1"/>
  <c r="A20" i="1"/>
  <c r="H19" i="1"/>
  <c r="L19" i="1" s="1"/>
  <c r="X16" i="1"/>
  <c r="V16" i="1"/>
  <c r="U16" i="1" s="1"/>
  <c r="E11" i="1"/>
  <c r="S43" i="2" l="1"/>
  <c r="T43" i="2" s="1"/>
  <c r="U43" i="2"/>
  <c r="R45" i="2"/>
  <c r="C12" i="1"/>
  <c r="A21" i="1"/>
  <c r="H20" i="1"/>
  <c r="L20" i="1" s="1"/>
  <c r="P12" i="1"/>
  <c r="V17" i="1"/>
  <c r="U17" i="1" s="1"/>
  <c r="X17" i="1"/>
  <c r="R46" i="2" l="1"/>
  <c r="S44" i="2"/>
  <c r="T44" i="2" s="1"/>
  <c r="U44" i="2"/>
  <c r="X18" i="1"/>
  <c r="V18" i="1"/>
  <c r="U18" i="1" s="1"/>
  <c r="A22" i="1"/>
  <c r="H21" i="1"/>
  <c r="L21" i="1" s="1"/>
  <c r="Q12" i="1"/>
  <c r="D12" i="1"/>
  <c r="S45" i="2" l="1"/>
  <c r="T45" i="2" s="1"/>
  <c r="U45" i="2"/>
  <c r="R47" i="2"/>
  <c r="E12" i="1"/>
  <c r="A23" i="1"/>
  <c r="H22" i="1"/>
  <c r="L22" i="1" s="1"/>
  <c r="R12" i="1"/>
  <c r="X19" i="1"/>
  <c r="V19" i="1"/>
  <c r="U19" i="1" s="1"/>
  <c r="S46" i="2" l="1"/>
  <c r="T46" i="2" s="1"/>
  <c r="U46" i="2" s="1"/>
  <c r="R48" i="2"/>
  <c r="V20" i="1"/>
  <c r="U20" i="1" s="1"/>
  <c r="X20" i="1"/>
  <c r="A24" i="1"/>
  <c r="H23" i="1"/>
  <c r="L23" i="1" s="1"/>
  <c r="P13" i="1"/>
  <c r="Q13" i="1" s="1"/>
  <c r="C13" i="1"/>
  <c r="D13" i="1" s="1"/>
  <c r="S47" i="2" l="1"/>
  <c r="T47" i="2" s="1"/>
  <c r="U47" i="2" s="1"/>
  <c r="R49" i="2"/>
  <c r="E13" i="1"/>
  <c r="A25" i="1"/>
  <c r="H24" i="1"/>
  <c r="L24" i="1" s="1"/>
  <c r="X21" i="1"/>
  <c r="V21" i="1"/>
  <c r="U21" i="1" s="1"/>
  <c r="R13" i="1"/>
  <c r="S48" i="2" l="1"/>
  <c r="T48" i="2" s="1"/>
  <c r="U48" i="2" s="1"/>
  <c r="R50" i="2"/>
  <c r="P14" i="1"/>
  <c r="Q14" i="1" s="1"/>
  <c r="R14" i="1" s="1"/>
  <c r="A26" i="1"/>
  <c r="H25" i="1"/>
  <c r="L25" i="1" s="1"/>
  <c r="V22" i="1"/>
  <c r="U22" i="1" s="1"/>
  <c r="X22" i="1"/>
  <c r="C14" i="1"/>
  <c r="D14" i="1" s="1"/>
  <c r="E14" i="1" s="1"/>
  <c r="S49" i="2" l="1"/>
  <c r="T49" i="2" s="1"/>
  <c r="U49" i="2" s="1"/>
  <c r="R51" i="2"/>
  <c r="C15" i="1"/>
  <c r="D15" i="1" s="1"/>
  <c r="E15" i="1" s="1"/>
  <c r="P15" i="1"/>
  <c r="Q15" i="1" s="1"/>
  <c r="R15" i="1" s="1"/>
  <c r="A27" i="1"/>
  <c r="H26" i="1"/>
  <c r="L26" i="1" s="1"/>
  <c r="X23" i="1"/>
  <c r="V23" i="1"/>
  <c r="U23" i="1" s="1"/>
  <c r="S50" i="2" l="1"/>
  <c r="T50" i="2" s="1"/>
  <c r="U50" i="2" s="1"/>
  <c r="O42" i="2"/>
  <c r="P16" i="1"/>
  <c r="Q16" i="1" s="1"/>
  <c r="R16" i="1" s="1"/>
  <c r="C16" i="1"/>
  <c r="D16" i="1" s="1"/>
  <c r="E16" i="1" s="1"/>
  <c r="V24" i="1"/>
  <c r="U24" i="1" s="1"/>
  <c r="X24" i="1"/>
  <c r="A28" i="1"/>
  <c r="H27" i="1"/>
  <c r="L27" i="1" s="1"/>
  <c r="N48" i="2" l="1"/>
  <c r="S51" i="2"/>
  <c r="C17" i="1"/>
  <c r="D17" i="1" s="1"/>
  <c r="E17" i="1" s="1"/>
  <c r="P17" i="1"/>
  <c r="Q17" i="1" s="1"/>
  <c r="R17" i="1" s="1"/>
  <c r="H28" i="1"/>
  <c r="L28" i="1" s="1"/>
  <c r="A29" i="1"/>
  <c r="V25" i="1"/>
  <c r="U25" i="1" s="1"/>
  <c r="X25" i="1"/>
  <c r="O43" i="2" l="1"/>
  <c r="T51" i="2"/>
  <c r="P18" i="1"/>
  <c r="Q18" i="1" s="1"/>
  <c r="R18" i="1" s="1"/>
  <c r="C18" i="1"/>
  <c r="D18" i="1" s="1"/>
  <c r="E18" i="1" s="1"/>
  <c r="X26" i="1"/>
  <c r="V26" i="1"/>
  <c r="U26" i="1" s="1"/>
  <c r="A30" i="1"/>
  <c r="H29" i="1"/>
  <c r="L29" i="1" s="1"/>
  <c r="O44" i="2" l="1"/>
  <c r="U51" i="2"/>
  <c r="C19" i="1"/>
  <c r="D19" i="1" s="1"/>
  <c r="E19" i="1" s="1"/>
  <c r="P19" i="1"/>
  <c r="Q19" i="1" s="1"/>
  <c r="R19" i="1" s="1"/>
  <c r="H30" i="1"/>
  <c r="L30" i="1" s="1"/>
  <c r="A31" i="1"/>
  <c r="V27" i="1"/>
  <c r="U27" i="1" s="1"/>
  <c r="X27" i="1"/>
  <c r="P20" i="1" l="1"/>
  <c r="Q20" i="1" s="1"/>
  <c r="R20" i="1" s="1"/>
  <c r="C20" i="1"/>
  <c r="D20" i="1" s="1"/>
  <c r="E20" i="1" s="1"/>
  <c r="X28" i="1"/>
  <c r="V28" i="1"/>
  <c r="U28" i="1" s="1"/>
  <c r="A32" i="1"/>
  <c r="H32" i="1" s="1"/>
  <c r="H31" i="1"/>
  <c r="L31" i="1" s="1"/>
  <c r="C21" i="1" l="1"/>
  <c r="D21" i="1" s="1"/>
  <c r="E21" i="1" s="1"/>
  <c r="P21" i="1"/>
  <c r="Q21" i="1" s="1"/>
  <c r="R21" i="1" s="1"/>
  <c r="H33" i="1"/>
  <c r="L32" i="1"/>
  <c r="V29" i="1"/>
  <c r="U29" i="1" s="1"/>
  <c r="X29" i="1"/>
  <c r="P22" i="1" l="1"/>
  <c r="Q22" i="1" s="1"/>
  <c r="R22" i="1" s="1"/>
  <c r="C22" i="1"/>
  <c r="D22" i="1" s="1"/>
  <c r="E22" i="1" s="1"/>
  <c r="X30" i="1"/>
  <c r="V30" i="1"/>
  <c r="U30" i="1" s="1"/>
  <c r="H34" i="1"/>
  <c r="L33" i="1"/>
  <c r="C23" i="1" l="1"/>
  <c r="D23" i="1" s="1"/>
  <c r="E23" i="1" s="1"/>
  <c r="P23" i="1"/>
  <c r="Q23" i="1" s="1"/>
  <c r="R23" i="1" s="1"/>
  <c r="H35" i="1"/>
  <c r="L34" i="1"/>
  <c r="V31" i="1"/>
  <c r="U31" i="1" s="1"/>
  <c r="X31" i="1"/>
  <c r="P24" i="1" l="1"/>
  <c r="Q24" i="1" s="1"/>
  <c r="R24" i="1" s="1"/>
  <c r="C24" i="1"/>
  <c r="D24" i="1" s="1"/>
  <c r="E24" i="1" s="1"/>
  <c r="X32" i="1"/>
  <c r="V32" i="1"/>
  <c r="L35" i="1"/>
  <c r="H36" i="1"/>
  <c r="C25" i="1" l="1"/>
  <c r="D25" i="1" s="1"/>
  <c r="E25" i="1" s="1"/>
  <c r="P25" i="1"/>
  <c r="Q25" i="1" s="1"/>
  <c r="R25" i="1" s="1"/>
  <c r="H37" i="1"/>
  <c r="L36" i="1"/>
  <c r="X33" i="1"/>
  <c r="AC32" i="1"/>
  <c r="V33" i="1"/>
  <c r="U33" i="1" s="1"/>
  <c r="R26" i="1" l="1"/>
  <c r="P26" i="1"/>
  <c r="Q26" i="1" s="1"/>
  <c r="E26" i="1"/>
  <c r="C26" i="1"/>
  <c r="D26" i="1" s="1"/>
  <c r="X34" i="1"/>
  <c r="V34" i="1"/>
  <c r="U34" i="1" s="1"/>
  <c r="H38" i="1"/>
  <c r="L37" i="1"/>
  <c r="C27" i="1" l="1"/>
  <c r="D27" i="1" s="1"/>
  <c r="E27" i="1" s="1"/>
  <c r="P27" i="1"/>
  <c r="Q27" i="1" s="1"/>
  <c r="R27" i="1" s="1"/>
  <c r="H39" i="1"/>
  <c r="L38" i="1"/>
  <c r="X35" i="1"/>
  <c r="V35" i="1"/>
  <c r="U35" i="1" s="1"/>
  <c r="S26" i="1"/>
  <c r="P28" i="1" l="1"/>
  <c r="Q28" i="1" s="1"/>
  <c r="R28" i="1" s="1"/>
  <c r="C28" i="1"/>
  <c r="D28" i="1" s="1"/>
  <c r="E28" i="1" s="1"/>
  <c r="X36" i="1"/>
  <c r="V36" i="1"/>
  <c r="U36" i="1" s="1"/>
  <c r="H40" i="1"/>
  <c r="L39" i="1"/>
  <c r="C29" i="1" l="1"/>
  <c r="D29" i="1" s="1"/>
  <c r="E29" i="1" s="1"/>
  <c r="P29" i="1"/>
  <c r="Q29" i="1" s="1"/>
  <c r="R29" i="1" s="1"/>
  <c r="H41" i="1"/>
  <c r="L40" i="1"/>
  <c r="V37" i="1"/>
  <c r="U37" i="1" s="1"/>
  <c r="X37" i="1"/>
  <c r="P30" i="1" l="1"/>
  <c r="Q30" i="1" s="1"/>
  <c r="R30" i="1" s="1"/>
  <c r="C30" i="1"/>
  <c r="D30" i="1" s="1"/>
  <c r="E30" i="1" s="1"/>
  <c r="V38" i="1"/>
  <c r="U38" i="1" s="1"/>
  <c r="X38" i="1"/>
  <c r="H42" i="1"/>
  <c r="L41" i="1"/>
  <c r="C31" i="1" l="1"/>
  <c r="D31" i="1" s="1"/>
  <c r="E31" i="1" s="1"/>
  <c r="P31" i="1"/>
  <c r="Q31" i="1" s="1"/>
  <c r="R31" i="1" s="1"/>
  <c r="H43" i="1"/>
  <c r="L42" i="1"/>
  <c r="V39" i="1"/>
  <c r="U39" i="1" s="1"/>
  <c r="X39" i="1"/>
  <c r="P32" i="1" l="1"/>
  <c r="Q32" i="1" s="1"/>
  <c r="R32" i="1" s="1"/>
  <c r="C32" i="1"/>
  <c r="V40" i="1"/>
  <c r="U40" i="1" s="1"/>
  <c r="X40" i="1"/>
  <c r="H44" i="1"/>
  <c r="L43" i="1"/>
  <c r="P33" i="1" l="1"/>
  <c r="Q33" i="1" s="1"/>
  <c r="R33" i="1" s="1"/>
  <c r="D32" i="1"/>
  <c r="C33" i="1"/>
  <c r="H45" i="1"/>
  <c r="L44" i="1"/>
  <c r="X41" i="1"/>
  <c r="V41" i="1"/>
  <c r="U41" i="1" s="1"/>
  <c r="P34" i="1" l="1"/>
  <c r="Q34" i="1" s="1"/>
  <c r="R34" i="1" s="1"/>
  <c r="D33" i="1"/>
  <c r="E32" i="1"/>
  <c r="X42" i="1"/>
  <c r="V42" i="1"/>
  <c r="U42" i="1" s="1"/>
  <c r="H46" i="1"/>
  <c r="L45" i="1"/>
  <c r="P35" i="1" l="1"/>
  <c r="Q35" i="1" s="1"/>
  <c r="R35" i="1" s="1"/>
  <c r="H47" i="1"/>
  <c r="L46" i="1"/>
  <c r="V43" i="1"/>
  <c r="U43" i="1" s="1"/>
  <c r="X43" i="1"/>
  <c r="P36" i="1" l="1"/>
  <c r="Q36" i="1" s="1"/>
  <c r="R36" i="1" s="1"/>
  <c r="H48" i="1"/>
  <c r="L47" i="1"/>
  <c r="V44" i="1"/>
  <c r="U44" i="1" s="1"/>
  <c r="X44" i="1"/>
  <c r="P37" i="1" l="1"/>
  <c r="Q37" i="1" s="1"/>
  <c r="R37" i="1" s="1"/>
  <c r="H49" i="1"/>
  <c r="L48" i="1"/>
  <c r="X45" i="1"/>
  <c r="V45" i="1"/>
  <c r="U45" i="1" s="1"/>
  <c r="AC6" i="1"/>
  <c r="AC7" i="1" s="1"/>
  <c r="P38" i="1" l="1"/>
  <c r="Q38" i="1" s="1"/>
  <c r="R38" i="1" s="1"/>
  <c r="H50" i="1"/>
  <c r="L49" i="1"/>
  <c r="X46" i="1"/>
  <c r="V46" i="1"/>
  <c r="U46" i="1" s="1"/>
  <c r="P39" i="1" l="1"/>
  <c r="Q39" i="1" s="1"/>
  <c r="R39" i="1" s="1"/>
  <c r="H51" i="1"/>
  <c r="L50" i="1"/>
  <c r="V47" i="1"/>
  <c r="U47" i="1" s="1"/>
  <c r="X47" i="1"/>
  <c r="P40" i="1" l="1"/>
  <c r="Q40" i="1" s="1"/>
  <c r="R40" i="1" s="1"/>
  <c r="H52" i="1"/>
  <c r="L51" i="1"/>
  <c r="V48" i="1"/>
  <c r="U48" i="1" s="1"/>
  <c r="X48" i="1"/>
  <c r="P41" i="1" l="1"/>
  <c r="Q41" i="1" s="1"/>
  <c r="R41" i="1" s="1"/>
  <c r="H53" i="1"/>
  <c r="L52" i="1"/>
  <c r="X49" i="1"/>
  <c r="V49" i="1"/>
  <c r="U49" i="1" s="1"/>
  <c r="P42" i="1" l="1"/>
  <c r="Q42" i="1" s="1"/>
  <c r="R42" i="1" s="1"/>
  <c r="H54" i="1"/>
  <c r="L53" i="1"/>
  <c r="X50" i="1"/>
  <c r="V50" i="1"/>
  <c r="U50" i="1" s="1"/>
  <c r="P43" i="1" l="1"/>
  <c r="Q43" i="1" s="1"/>
  <c r="R43" i="1" s="1"/>
  <c r="H55" i="1"/>
  <c r="L54" i="1"/>
  <c r="V51" i="1"/>
  <c r="U51" i="1" s="1"/>
  <c r="X51" i="1"/>
  <c r="P44" i="1" l="1"/>
  <c r="Q44" i="1" s="1"/>
  <c r="R44" i="1" s="1"/>
  <c r="H56" i="1"/>
  <c r="L55" i="1"/>
  <c r="V52" i="1"/>
  <c r="U52" i="1" s="1"/>
  <c r="X52" i="1"/>
  <c r="P45" i="1" l="1"/>
  <c r="Q45" i="1" s="1"/>
  <c r="R45" i="1" s="1"/>
  <c r="H57" i="1"/>
  <c r="L56" i="1"/>
  <c r="X53" i="1"/>
  <c r="V53" i="1"/>
  <c r="U53" i="1" s="1"/>
  <c r="P46" i="1" l="1"/>
  <c r="Q46" i="1" s="1"/>
  <c r="R46" i="1" s="1"/>
  <c r="H58" i="1"/>
  <c r="L57" i="1"/>
  <c r="X54" i="1"/>
  <c r="V54" i="1"/>
  <c r="U54" i="1" s="1"/>
  <c r="P47" i="1" l="1"/>
  <c r="Q47" i="1" s="1"/>
  <c r="R47" i="1" s="1"/>
  <c r="H59" i="1"/>
  <c r="L58" i="1"/>
  <c r="V55" i="1"/>
  <c r="U55" i="1" s="1"/>
  <c r="X55" i="1"/>
  <c r="P48" i="1" l="1"/>
  <c r="Q48" i="1" s="1"/>
  <c r="R48" i="1" s="1"/>
  <c r="H60" i="1"/>
  <c r="L59" i="1"/>
  <c r="V56" i="1"/>
  <c r="U56" i="1" s="1"/>
  <c r="X56" i="1"/>
  <c r="P49" i="1" l="1"/>
  <c r="Q49" i="1" s="1"/>
  <c r="R49" i="1" s="1"/>
  <c r="H61" i="1"/>
  <c r="L60" i="1"/>
  <c r="X57" i="1"/>
  <c r="V57" i="1"/>
  <c r="U57" i="1" s="1"/>
  <c r="P50" i="1" l="1"/>
  <c r="Q50" i="1" s="1"/>
  <c r="R50" i="1" s="1"/>
  <c r="H62" i="1"/>
  <c r="L61" i="1"/>
  <c r="X58" i="1"/>
  <c r="V58" i="1"/>
  <c r="U58" i="1" s="1"/>
  <c r="P51" i="1" l="1"/>
  <c r="Q51" i="1" s="1"/>
  <c r="R51" i="1" s="1"/>
  <c r="H63" i="1"/>
  <c r="L62" i="1"/>
  <c r="V59" i="1"/>
  <c r="U59" i="1" s="1"/>
  <c r="X59" i="1"/>
  <c r="P52" i="1" l="1"/>
  <c r="Q52" i="1" s="1"/>
  <c r="R52" i="1" s="1"/>
  <c r="H64" i="1"/>
  <c r="L63" i="1"/>
  <c r="X60" i="1"/>
  <c r="V60" i="1"/>
  <c r="U60" i="1" s="1"/>
  <c r="P53" i="1" l="1"/>
  <c r="Q53" i="1" s="1"/>
  <c r="R53" i="1" s="1"/>
  <c r="H65" i="1"/>
  <c r="L64" i="1"/>
  <c r="X61" i="1"/>
  <c r="V61" i="1"/>
  <c r="U61" i="1" s="1"/>
  <c r="P54" i="1" l="1"/>
  <c r="Q54" i="1" s="1"/>
  <c r="R54" i="1" s="1"/>
  <c r="X62" i="1"/>
  <c r="V62" i="1"/>
  <c r="U62" i="1" s="1"/>
  <c r="H66" i="1"/>
  <c r="L65" i="1"/>
  <c r="P55" i="1" l="1"/>
  <c r="Q55" i="1" s="1"/>
  <c r="R55" i="1" s="1"/>
  <c r="V63" i="1"/>
  <c r="U63" i="1" s="1"/>
  <c r="X63" i="1"/>
  <c r="H67" i="1"/>
  <c r="L66" i="1"/>
  <c r="P56" i="1" l="1"/>
  <c r="Q56" i="1" s="1"/>
  <c r="R56" i="1" s="1"/>
  <c r="H68" i="1"/>
  <c r="L68" i="1" s="1"/>
  <c r="L67" i="1"/>
  <c r="X64" i="1"/>
  <c r="V64" i="1"/>
  <c r="U64" i="1" s="1"/>
  <c r="P57" i="1" l="1"/>
  <c r="Q57" i="1" s="1"/>
  <c r="R57" i="1" s="1"/>
  <c r="L69" i="1"/>
  <c r="M9" i="1"/>
  <c r="X65" i="1"/>
  <c r="V65" i="1"/>
  <c r="U65" i="1" s="1"/>
  <c r="P58" i="1" l="1"/>
  <c r="Q58" i="1" s="1"/>
  <c r="R58" i="1" s="1"/>
  <c r="V66" i="1"/>
  <c r="U66" i="1" s="1"/>
  <c r="X66" i="1"/>
  <c r="P59" i="1" l="1"/>
  <c r="Q59" i="1" s="1"/>
  <c r="R59" i="1" s="1"/>
  <c r="V67" i="1"/>
  <c r="U67" i="1" s="1"/>
  <c r="X67" i="1"/>
  <c r="P60" i="1" l="1"/>
  <c r="Q60" i="1" s="1"/>
  <c r="R60" i="1" s="1"/>
  <c r="X68" i="1"/>
  <c r="V68" i="1"/>
  <c r="U68" i="1" s="1"/>
  <c r="P61" i="1" l="1"/>
  <c r="Q61" i="1" s="1"/>
  <c r="R61" i="1" s="1"/>
  <c r="V69" i="1"/>
  <c r="U69" i="1" s="1"/>
  <c r="X69" i="1"/>
  <c r="P62" i="1" l="1"/>
  <c r="Q62" i="1" s="1"/>
  <c r="R62" i="1" s="1"/>
  <c r="X70" i="1"/>
  <c r="V70" i="1"/>
  <c r="U70" i="1" s="1"/>
  <c r="P63" i="1" l="1"/>
  <c r="Q63" i="1" s="1"/>
  <c r="R63" i="1" s="1"/>
  <c r="V71" i="1"/>
  <c r="U71" i="1" s="1"/>
  <c r="X71" i="1"/>
  <c r="P64" i="1" l="1"/>
  <c r="Q64" i="1" s="1"/>
  <c r="R64" i="1" s="1"/>
  <c r="X72" i="1"/>
  <c r="V72" i="1"/>
  <c r="U72" i="1" s="1"/>
  <c r="P65" i="1" l="1"/>
  <c r="Q65" i="1" s="1"/>
  <c r="R65" i="1" s="1"/>
  <c r="V73" i="1"/>
  <c r="U73" i="1" s="1"/>
  <c r="X73" i="1"/>
  <c r="P66" i="1" l="1"/>
  <c r="Q66" i="1" s="1"/>
  <c r="R66" i="1" s="1"/>
  <c r="X74" i="1"/>
  <c r="V74" i="1"/>
  <c r="U74" i="1" s="1"/>
  <c r="P67" i="1" l="1"/>
  <c r="Q67" i="1" s="1"/>
  <c r="R67" i="1" s="1"/>
  <c r="V75" i="1"/>
  <c r="U75" i="1" s="1"/>
  <c r="X75" i="1"/>
  <c r="P68" i="1" l="1"/>
  <c r="Q68" i="1" s="1"/>
  <c r="R68" i="1" s="1"/>
  <c r="X76" i="1"/>
  <c r="V76" i="1"/>
  <c r="U76" i="1" s="1"/>
  <c r="P69" i="1" l="1"/>
  <c r="Q69" i="1" s="1"/>
  <c r="R69" i="1" s="1"/>
  <c r="V77" i="1"/>
  <c r="U77" i="1" s="1"/>
  <c r="X77" i="1"/>
  <c r="P70" i="1" l="1"/>
  <c r="Q70" i="1" s="1"/>
  <c r="R70" i="1" s="1"/>
  <c r="X78" i="1"/>
  <c r="V78" i="1"/>
  <c r="U78" i="1" s="1"/>
  <c r="P71" i="1" l="1"/>
  <c r="Q71" i="1" s="1"/>
  <c r="R71" i="1" s="1"/>
  <c r="V79" i="1"/>
  <c r="U79" i="1" s="1"/>
  <c r="X79" i="1"/>
  <c r="P72" i="1" l="1"/>
  <c r="Q72" i="1" s="1"/>
  <c r="R72" i="1" s="1"/>
  <c r="X80" i="1"/>
  <c r="V80" i="1"/>
  <c r="U80" i="1" s="1"/>
  <c r="P73" i="1" l="1"/>
  <c r="Q73" i="1" s="1"/>
  <c r="R73" i="1" s="1"/>
  <c r="V81" i="1"/>
  <c r="U81" i="1" s="1"/>
  <c r="X81" i="1"/>
  <c r="P74" i="1" l="1"/>
  <c r="Q74" i="1" s="1"/>
  <c r="R74" i="1" s="1"/>
  <c r="X82" i="1"/>
  <c r="V82" i="1"/>
  <c r="U82" i="1" s="1"/>
  <c r="P75" i="1" l="1"/>
  <c r="Q75" i="1" s="1"/>
  <c r="R75" i="1" s="1"/>
  <c r="V83" i="1"/>
  <c r="U83" i="1" s="1"/>
  <c r="X83" i="1"/>
  <c r="P76" i="1" l="1"/>
  <c r="Q76" i="1" s="1"/>
  <c r="R76" i="1" s="1"/>
  <c r="X84" i="1"/>
  <c r="V84" i="1"/>
  <c r="U84" i="1" s="1"/>
  <c r="P77" i="1" l="1"/>
  <c r="Q77" i="1" s="1"/>
  <c r="R77" i="1" s="1"/>
  <c r="V85" i="1"/>
  <c r="U85" i="1" s="1"/>
  <c r="X85" i="1"/>
  <c r="P78" i="1" l="1"/>
  <c r="Q78" i="1" s="1"/>
  <c r="R78" i="1" s="1"/>
  <c r="X86" i="1"/>
  <c r="V86" i="1"/>
  <c r="U86" i="1" s="1"/>
  <c r="P79" i="1" l="1"/>
  <c r="Q79" i="1" s="1"/>
  <c r="R79" i="1" s="1"/>
  <c r="V87" i="1"/>
  <c r="U87" i="1" s="1"/>
  <c r="X87" i="1"/>
  <c r="P80" i="1" l="1"/>
  <c r="Q80" i="1" s="1"/>
  <c r="R80" i="1" s="1"/>
  <c r="X88" i="1"/>
  <c r="V88" i="1"/>
  <c r="U88" i="1" s="1"/>
  <c r="P81" i="1" l="1"/>
  <c r="Q81" i="1" s="1"/>
  <c r="R81" i="1" s="1"/>
  <c r="X89" i="1"/>
  <c r="V89" i="1"/>
  <c r="U89" i="1" s="1"/>
  <c r="P82" i="1" l="1"/>
  <c r="Q82" i="1" s="1"/>
  <c r="R82" i="1" s="1"/>
  <c r="X90" i="1"/>
  <c r="V90" i="1"/>
  <c r="U90" i="1" s="1"/>
  <c r="P83" i="1" l="1"/>
  <c r="Q83" i="1" s="1"/>
  <c r="R83" i="1" s="1"/>
  <c r="V91" i="1"/>
  <c r="U91" i="1" s="1"/>
  <c r="X91" i="1"/>
  <c r="P84" i="1" l="1"/>
  <c r="Q84" i="1" s="1"/>
  <c r="R84" i="1" s="1"/>
  <c r="V92" i="1"/>
  <c r="U92" i="1" s="1"/>
  <c r="X92" i="1"/>
  <c r="P85" i="1" l="1"/>
  <c r="Q85" i="1" s="1"/>
  <c r="R85" i="1" s="1"/>
  <c r="X93" i="1"/>
  <c r="V93" i="1"/>
  <c r="U93" i="1" s="1"/>
  <c r="P86" i="1" l="1"/>
  <c r="Q86" i="1" s="1"/>
  <c r="R86" i="1" s="1"/>
  <c r="X94" i="1"/>
  <c r="V94" i="1"/>
  <c r="U94" i="1" s="1"/>
  <c r="P87" i="1" l="1"/>
  <c r="Q87" i="1" s="1"/>
  <c r="R87" i="1" s="1"/>
  <c r="V95" i="1"/>
  <c r="U95" i="1" s="1"/>
  <c r="X95" i="1"/>
  <c r="P88" i="1" l="1"/>
  <c r="V96" i="1"/>
  <c r="U96" i="1" s="1"/>
  <c r="X96" i="1"/>
  <c r="X97" i="1" l="1"/>
  <c r="V97" i="1"/>
  <c r="U97" i="1" s="1"/>
  <c r="Q88" i="1"/>
  <c r="P89" i="1"/>
  <c r="Q89" i="1" l="1"/>
  <c r="R88" i="1"/>
  <c r="X98" i="1"/>
  <c r="V98" i="1"/>
  <c r="U98" i="1" s="1"/>
  <c r="V99" i="1" l="1"/>
  <c r="U99" i="1" s="1"/>
  <c r="X99" i="1"/>
  <c r="V100" i="1" l="1"/>
  <c r="U100" i="1" s="1"/>
  <c r="X100" i="1"/>
  <c r="X101" i="1" l="1"/>
  <c r="V101" i="1"/>
  <c r="U101" i="1" s="1"/>
  <c r="X102" i="1" l="1"/>
  <c r="V102" i="1"/>
  <c r="U102" i="1" s="1"/>
  <c r="V103" i="1" l="1"/>
  <c r="U103" i="1" s="1"/>
  <c r="X103" i="1"/>
  <c r="V104" i="1" l="1"/>
  <c r="U104" i="1" s="1"/>
  <c r="X104" i="1"/>
  <c r="X105" i="1" l="1"/>
  <c r="V105" i="1"/>
  <c r="U105" i="1" s="1"/>
  <c r="X106" i="1" l="1"/>
  <c r="V106" i="1"/>
  <c r="U106" i="1" s="1"/>
  <c r="V107" i="1" l="1"/>
  <c r="U107" i="1" s="1"/>
  <c r="X107" i="1"/>
  <c r="V108" i="1" l="1"/>
  <c r="U108" i="1" s="1"/>
  <c r="X108" i="1"/>
  <c r="X109" i="1" l="1"/>
  <c r="V109" i="1"/>
  <c r="U109" i="1" s="1"/>
  <c r="X110" i="1" l="1"/>
  <c r="V110" i="1"/>
  <c r="U110" i="1" s="1"/>
  <c r="V111" i="1" l="1"/>
  <c r="U111" i="1" s="1"/>
  <c r="X111" i="1"/>
  <c r="X112" i="1" l="1"/>
  <c r="V112" i="1"/>
  <c r="U112" i="1" s="1"/>
  <c r="X113" i="1" l="1"/>
  <c r="V113" i="1"/>
  <c r="U113" i="1" s="1"/>
  <c r="V114" i="1" l="1"/>
  <c r="U114" i="1" s="1"/>
  <c r="X114" i="1"/>
  <c r="V115" i="1" l="1"/>
  <c r="U115" i="1" s="1"/>
  <c r="X115" i="1"/>
  <c r="X116" i="1" l="1"/>
  <c r="V116" i="1"/>
  <c r="U116" i="1" s="1"/>
  <c r="X117" i="1" l="1"/>
  <c r="V117" i="1"/>
  <c r="U117" i="1" s="1"/>
  <c r="V118" i="1" l="1"/>
  <c r="U118" i="1" s="1"/>
  <c r="X118" i="1"/>
  <c r="V119" i="1" l="1"/>
  <c r="U119" i="1" s="1"/>
  <c r="X119" i="1"/>
  <c r="X120" i="1" l="1"/>
  <c r="V120" i="1"/>
  <c r="U120" i="1" s="1"/>
  <c r="X121" i="1" l="1"/>
  <c r="V121" i="1"/>
  <c r="U121" i="1" s="1"/>
  <c r="V122" i="1" l="1"/>
  <c r="U122" i="1" s="1"/>
  <c r="X122" i="1"/>
  <c r="V123" i="1" l="1"/>
  <c r="U123" i="1" s="1"/>
  <c r="X123" i="1"/>
  <c r="X124" i="1" l="1"/>
  <c r="V124" i="1"/>
  <c r="U124" i="1" s="1"/>
  <c r="X125" i="1" l="1"/>
  <c r="V125" i="1"/>
  <c r="U125" i="1" s="1"/>
  <c r="V126" i="1" l="1"/>
  <c r="U126" i="1" s="1"/>
  <c r="X126" i="1"/>
  <c r="V127" i="1" l="1"/>
  <c r="U127" i="1" s="1"/>
  <c r="X127" i="1"/>
  <c r="X128" i="1" l="1"/>
  <c r="V128" i="1"/>
  <c r="U128" i="1" s="1"/>
</calcChain>
</file>

<file path=xl/sharedStrings.xml><?xml version="1.0" encoding="utf-8"?>
<sst xmlns="http://schemas.openxmlformats.org/spreadsheetml/2006/main" count="150" uniqueCount="117">
  <si>
    <t>EX 1</t>
  </si>
  <si>
    <t>PRICE</t>
  </si>
  <si>
    <t>EX.2</t>
  </si>
  <si>
    <t>EX 3</t>
  </si>
  <si>
    <t>EX 4</t>
  </si>
  <si>
    <t>SAC</t>
  </si>
  <si>
    <t>aa</t>
  </si>
  <si>
    <t>am</t>
  </si>
  <si>
    <t>UFIR1</t>
  </si>
  <si>
    <t>i</t>
  </si>
  <si>
    <t>UFIR11</t>
  </si>
  <si>
    <t>ROYALTY/u =</t>
  </si>
  <si>
    <t>UPC ini</t>
  </si>
  <si>
    <t>n</t>
  </si>
  <si>
    <t>i [ a .m.]=</t>
  </si>
  <si>
    <t>UPC 24</t>
  </si>
  <si>
    <t>P</t>
  </si>
  <si>
    <t>PR 24 =</t>
  </si>
  <si>
    <t>UPC 36</t>
  </si>
  <si>
    <t>ufir</t>
  </si>
  <si>
    <t>Compra</t>
  </si>
  <si>
    <t>Produção</t>
  </si>
  <si>
    <t>P 0 ? =</t>
  </si>
  <si>
    <t>SD 36 =</t>
  </si>
  <si>
    <t>mês</t>
  </si>
  <si>
    <t>prestação</t>
  </si>
  <si>
    <t>juros</t>
  </si>
  <si>
    <t>amortização</t>
  </si>
  <si>
    <t>saldo [ufir]</t>
  </si>
  <si>
    <t>PGTO(R$)</t>
  </si>
  <si>
    <t>patente</t>
  </si>
  <si>
    <t>mensal</t>
  </si>
  <si>
    <t xml:space="preserve">mês </t>
  </si>
  <si>
    <t>saldo</t>
  </si>
  <si>
    <t>prest</t>
  </si>
  <si>
    <t>Amort.k=P/n</t>
  </si>
  <si>
    <t>saldo [upc]</t>
  </si>
  <si>
    <t>Sd</t>
  </si>
  <si>
    <t>A</t>
  </si>
  <si>
    <t xml:space="preserve"> </t>
  </si>
  <si>
    <t xml:space="preserve">C.o = </t>
  </si>
  <si>
    <t>A1 = Co/n +i.P</t>
  </si>
  <si>
    <t>NOMINAL AA</t>
  </si>
  <si>
    <t>EFETIVA AM</t>
  </si>
  <si>
    <t>(Ak) [$]</t>
  </si>
  <si>
    <t>upc</t>
  </si>
  <si>
    <t>$</t>
  </si>
  <si>
    <t>EFETIVA AA</t>
  </si>
  <si>
    <t>prest 24</t>
  </si>
  <si>
    <t>SD 24</t>
  </si>
  <si>
    <t>soma</t>
  </si>
  <si>
    <t>PMT = [(1+j)(n - k - 1)] . P/n</t>
  </si>
  <si>
    <t>faz tudo em UFIR...ok? e vê no instante 11 e multiplica pelo valor dela, lá...ok?</t>
  </si>
  <si>
    <t>É como se UFIR fosse uma moeda "constante".</t>
  </si>
  <si>
    <t>sd36</t>
  </si>
  <si>
    <t>Soma</t>
  </si>
  <si>
    <t>Lista 2 - PRO3362: Engenharia Econômica e Finanças</t>
  </si>
  <si>
    <t>Maria Clara Chinen de Oliveira</t>
  </si>
  <si>
    <t>Data: 3/09/2020</t>
  </si>
  <si>
    <t>NUSP: 10771476</t>
  </si>
  <si>
    <t>Enunciados</t>
  </si>
  <si>
    <t>Soluções</t>
  </si>
  <si>
    <t>1.	Qual o valor da prestação paga no décimo-primeiro mês referente a uma dívida de R$1.000 a ser amortizada pelo sistema PRICE à taxa de 12 % a.a. com capitalização mensal, sendo de 24 meses o prazo de amortizaçào e as prestações corrigidas em função da variaçào da UFIR. Suponhamos que no décimo-primeiro mês a UFIR valia R$ 0,79, e na época de contratação da dívida, R$ 0,50.</t>
  </si>
  <si>
    <t>Valor</t>
  </si>
  <si>
    <t>Taxa nominal</t>
  </si>
  <si>
    <t>a.a.</t>
  </si>
  <si>
    <t xml:space="preserve">n = </t>
  </si>
  <si>
    <t>Taxa efetiva</t>
  </si>
  <si>
    <t>a.m.</t>
  </si>
  <si>
    <t>Parcela (cte):</t>
  </si>
  <si>
    <t>UFIR</t>
  </si>
  <si>
    <t>t = 0</t>
  </si>
  <si>
    <t>Parcela Corrigida</t>
  </si>
  <si>
    <t>t = 11</t>
  </si>
  <si>
    <t>2.	Uma fábrica pretende produzir mensalmente 5 mil unidades de um produto patenteado em seu primeiro ano de funcionamento, aumentando sua produçào em mil unidades após cada período de 12 meses. A patente para a fabricação do produto pode ser adquirida   por 500.000 UM, ou alternativamente, poderá ser paga uma certa quantia (royalty/unidade produzida). Considerando-se uma taxa de juros de 1% a.m. e que o produto será fabricado por cinco anos, qual o royalty máximo a ser pago pela empresa para que a compra da patente seja indicada?</t>
  </si>
  <si>
    <t>Taxa EFETIVA</t>
  </si>
  <si>
    <t>opção 1</t>
  </si>
  <si>
    <t>a vista</t>
  </si>
  <si>
    <t>opção 2</t>
  </si>
  <si>
    <t>por unidade</t>
  </si>
  <si>
    <t>Ano</t>
  </si>
  <si>
    <t>Produção Mensal</t>
  </si>
  <si>
    <t>Série Uniforme anual</t>
  </si>
  <si>
    <t>Valor Presente</t>
  </si>
  <si>
    <t>Soma:</t>
  </si>
  <si>
    <t>3.	Uma dívida de 500.000 UM deve ser paga em 80 prestações mensais iguais pelo sistema francês, a uma taxa de juros de 12% a.a. com capitalização mensal. Pede-se determinar:
-	o valor da prestação;
-	a quota de amortização e os juros da 18a. parcela;
-	o capital necessário para o devedor líquidar a dívida imediatamente antes do pagamento da 18a. parcela.</t>
  </si>
  <si>
    <t>Tabela PRICE</t>
  </si>
  <si>
    <t>Tempo</t>
  </si>
  <si>
    <t>Parcela</t>
  </si>
  <si>
    <t>Juros</t>
  </si>
  <si>
    <t>Amortização</t>
  </si>
  <si>
    <t>Saldo devedor</t>
  </si>
  <si>
    <t>Taxa nominal (a.a.)</t>
  </si>
  <si>
    <t>Taxa efetiva (a.m.)</t>
  </si>
  <si>
    <t>Na 18ª parcela:</t>
  </si>
  <si>
    <t>Prestação</t>
  </si>
  <si>
    <t>Amortz.</t>
  </si>
  <si>
    <t>Saldo devedor após a 17ª parcela</t>
  </si>
  <si>
    <t>4.Uma pessoa contraiu empréstimo para compra de um apartamento. Esse empréstimo em UPC (unidade padrão de capital) será pago pelo sistema SAC em 120 meses a juros de 10% a.a., com correção monetária das UPC's. No 24o. pagamento o valor da prestação era de 10.000 UM. Pergunta-se :
-	qual o saldo devedor após este pagamento (24o.)
- qual o saldo devedor após o 36o., sabendo-se que a a UPC no período da compra valia 200 UM, no 24o. pagto. valia 350 UM, e no 36o. pagto., 420 UM?</t>
  </si>
  <si>
    <t>UPC</t>
  </si>
  <si>
    <t>t = 24</t>
  </si>
  <si>
    <t>t = 36</t>
  </si>
  <si>
    <t>No 24º mês:</t>
  </si>
  <si>
    <t>Parcela (SAC):</t>
  </si>
  <si>
    <t>UPC 0</t>
  </si>
  <si>
    <t>Capital inicial:</t>
  </si>
  <si>
    <t>Saldo Devedor</t>
  </si>
  <si>
    <t>Mês</t>
  </si>
  <si>
    <t>UPC inicial</t>
  </si>
  <si>
    <t>Corrigida</t>
  </si>
  <si>
    <t xml:space="preserve">SD[k] = </t>
  </si>
  <si>
    <t>{SD[k-1).i + Co/n}</t>
  </si>
  <si>
    <t xml:space="preserve">A24 = </t>
  </si>
  <si>
    <t>(n-k). P/n</t>
  </si>
  <si>
    <t>Co/n=amort [upc]</t>
  </si>
  <si>
    <t>Co (upc)</t>
  </si>
  <si>
    <t>Co [upc]=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</si>
</sst>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R$&quot;#,##0.00_);[Red]\(&quot;R$&quot;#,##0.00\)"/>
    <numFmt numFmtId="43" formatCode="_(* #,##0.00_);_(* \(#,##0.00\);_(* &quot;-&quot;??_);_(@_)"/>
    <numFmt numFmtId="164" formatCode="_(* #,##0.0_);_(* \(#,##0.0\);_(* &quot;-&quot;??_);_(@_)"/>
    <numFmt numFmtId="165" formatCode="0.000%"/>
    <numFmt numFmtId="166" formatCode="_(* #,##0.00000_);_(* \(#,##0.00000\);_(* &quot;-&quot;??_);_(@_)"/>
    <numFmt numFmtId="167" formatCode="0.0000"/>
    <numFmt numFmtId="168" formatCode="_(* #,##0_);_(* \(#,##0\);_(* &quot;-&quot;??_);_(@_)"/>
    <numFmt numFmtId="169" formatCode="0.0"/>
    <numFmt numFmtId="170" formatCode="_(* #,##0.0_);_(* \(#,##0.0\);_(* &quot;-&quot;?_);_(@_)"/>
    <numFmt numFmtId="171" formatCode="&quot;R$&quot;\ #,##0.00;[Red]\-&quot;R$&quot;\ #,##0.00"/>
    <numFmt numFmtId="172" formatCode="&quot;R$&quot;\ #,##0.0000;[Red]\-&quot;R$&quot;\ #,##0.0000"/>
    <numFmt numFmtId="173" formatCode="0.0000000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" fontId="0" fillId="0" borderId="0" xfId="0" applyNumberFormat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43" fontId="0" fillId="0" borderId="0" xfId="1" applyFont="1"/>
    <xf numFmtId="165" fontId="0" fillId="0" borderId="0" xfId="2" applyNumberFormat="1" applyFont="1"/>
    <xf numFmtId="166" fontId="0" fillId="0" borderId="0" xfId="0" applyNumberFormat="1"/>
    <xf numFmtId="167" fontId="0" fillId="0" borderId="0" xfId="0" applyNumberFormat="1"/>
    <xf numFmtId="9" fontId="0" fillId="0" borderId="0" xfId="2" applyFont="1"/>
    <xf numFmtId="0" fontId="4" fillId="0" borderId="0" xfId="0" applyFont="1"/>
    <xf numFmtId="2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1" fontId="0" fillId="0" borderId="2" xfId="0" applyNumberFormat="1" applyBorder="1"/>
    <xf numFmtId="2" fontId="2" fillId="0" borderId="2" xfId="0" applyNumberFormat="1" applyFont="1" applyBorder="1"/>
    <xf numFmtId="0" fontId="0" fillId="0" borderId="2" xfId="0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2" fontId="0" fillId="0" borderId="2" xfId="0" applyNumberFormat="1" applyBorder="1"/>
    <xf numFmtId="168" fontId="0" fillId="0" borderId="0" xfId="1" applyNumberFormat="1" applyFont="1"/>
    <xf numFmtId="2" fontId="0" fillId="0" borderId="0" xfId="0" applyNumberFormat="1" applyAlignment="1">
      <alignment horizontal="center"/>
    </xf>
    <xf numFmtId="168" fontId="0" fillId="0" borderId="0" xfId="0" applyNumberFormat="1"/>
    <xf numFmtId="169" fontId="0" fillId="0" borderId="2" xfId="0" applyNumberFormat="1" applyBorder="1" applyAlignment="1">
      <alignment horizontal="center"/>
    </xf>
    <xf numFmtId="8" fontId="0" fillId="0" borderId="0" xfId="0" applyNumberFormat="1"/>
    <xf numFmtId="164" fontId="0" fillId="0" borderId="0" xfId="0" applyNumberFormat="1"/>
    <xf numFmtId="2" fontId="2" fillId="0" borderId="0" xfId="0" applyNumberFormat="1" applyFont="1" applyAlignment="1">
      <alignment horizontal="center"/>
    </xf>
    <xf numFmtId="0" fontId="0" fillId="3" borderId="2" xfId="0" applyFill="1" applyBorder="1"/>
    <xf numFmtId="169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/>
    <xf numFmtId="1" fontId="0" fillId="3" borderId="2" xfId="0" applyNumberFormat="1" applyFill="1" applyBorder="1"/>
    <xf numFmtId="0" fontId="5" fillId="3" borderId="0" xfId="0" applyFont="1" applyFill="1"/>
    <xf numFmtId="9" fontId="0" fillId="0" borderId="0" xfId="0" applyNumberFormat="1"/>
    <xf numFmtId="0" fontId="2" fillId="3" borderId="2" xfId="0" applyFont="1" applyFill="1" applyBorder="1"/>
    <xf numFmtId="1" fontId="2" fillId="3" borderId="2" xfId="0" applyNumberFormat="1" applyFont="1" applyFill="1" applyBorder="1"/>
    <xf numFmtId="1" fontId="2" fillId="0" borderId="2" xfId="0" applyNumberFormat="1" applyFont="1" applyBorder="1"/>
    <xf numFmtId="1" fontId="0" fillId="4" borderId="0" xfId="0" applyNumberFormat="1" applyFill="1"/>
    <xf numFmtId="0" fontId="2" fillId="0" borderId="0" xfId="0" applyFont="1"/>
    <xf numFmtId="0" fontId="0" fillId="2" borderId="0" xfId="0" applyFill="1"/>
    <xf numFmtId="170" fontId="0" fillId="0" borderId="0" xfId="0" applyNumberFormat="1"/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8" fontId="0" fillId="0" borderId="0" xfId="1" applyNumberFormat="1" applyFont="1" applyFill="1" applyAlignment="1"/>
    <xf numFmtId="2" fontId="0" fillId="2" borderId="0" xfId="0" applyNumberFormat="1" applyFill="1"/>
    <xf numFmtId="2" fontId="2" fillId="2" borderId="0" xfId="0" applyNumberFormat="1" applyFont="1" applyFill="1" applyAlignment="1">
      <alignment horizontal="center"/>
    </xf>
    <xf numFmtId="168" fontId="0" fillId="2" borderId="0" xfId="1" applyNumberFormat="1" applyFont="1" applyFill="1"/>
    <xf numFmtId="2" fontId="0" fillId="2" borderId="0" xfId="0" applyNumberFormat="1" applyFill="1" applyAlignment="1">
      <alignment horizontal="center"/>
    </xf>
    <xf numFmtId="168" fontId="0" fillId="0" borderId="0" xfId="1" applyNumberFormat="1" applyFont="1" applyFill="1"/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0" borderId="0" xfId="0" applyAlignment="1">
      <alignment horizontal="center"/>
    </xf>
    <xf numFmtId="9" fontId="0" fillId="8" borderId="0" xfId="0" applyNumberFormat="1" applyFill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9" borderId="2" xfId="0" applyFill="1" applyBorder="1" applyAlignment="1">
      <alignment vertical="center"/>
    </xf>
    <xf numFmtId="0" fontId="0" fillId="0" borderId="0" xfId="0" applyAlignment="1">
      <alignment vertical="center" wrapText="1"/>
    </xf>
    <xf numFmtId="171" fontId="0" fillId="9" borderId="2" xfId="0" applyNumberFormat="1" applyFill="1" applyBorder="1" applyAlignment="1">
      <alignment vertical="center" wrapText="1"/>
    </xf>
    <xf numFmtId="171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71" fontId="0" fillId="2" borderId="1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71" fontId="0" fillId="2" borderId="1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8" borderId="0" xfId="0" applyNumberFormat="1" applyFill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2" fontId="0" fillId="2" borderId="14" xfId="0" applyNumberFormat="1" applyFill="1" applyBorder="1" applyAlignment="1">
      <alignment vertical="center"/>
    </xf>
    <xf numFmtId="17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171" fontId="0" fillId="9" borderId="15" xfId="0" applyNumberFormat="1" applyFill="1" applyBorder="1" applyAlignment="1">
      <alignment horizontal="center" vertical="center"/>
    </xf>
    <xf numFmtId="171" fontId="0" fillId="9" borderId="16" xfId="0" applyNumberFormat="1" applyFill="1" applyBorder="1" applyAlignment="1">
      <alignment horizontal="center" vertical="center"/>
    </xf>
    <xf numFmtId="0" fontId="0" fillId="8" borderId="0" xfId="0" applyFill="1"/>
    <xf numFmtId="0" fontId="0" fillId="9" borderId="15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/>
    </xf>
    <xf numFmtId="2" fontId="0" fillId="0" borderId="0" xfId="0" applyNumberFormat="1" applyAlignment="1">
      <alignment vertical="center"/>
    </xf>
    <xf numFmtId="9" fontId="0" fillId="8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73" fontId="0" fillId="9" borderId="15" xfId="0" applyNumberFormat="1" applyFill="1" applyBorder="1" applyAlignment="1">
      <alignment horizontal="center" vertical="center"/>
    </xf>
    <xf numFmtId="173" fontId="0" fillId="9" borderId="16" xfId="0" applyNumberFormat="1" applyFill="1" applyBorder="1" applyAlignment="1">
      <alignment horizontal="center" vertical="center"/>
    </xf>
    <xf numFmtId="1" fontId="0" fillId="2" borderId="12" xfId="0" applyNumberFormat="1" applyFill="1" applyBorder="1"/>
    <xf numFmtId="2" fontId="0" fillId="2" borderId="14" xfId="0" applyNumberFormat="1" applyFill="1" applyBorder="1"/>
    <xf numFmtId="2" fontId="0" fillId="2" borderId="13" xfId="0" applyNumberFormat="1" applyFill="1" applyBorder="1"/>
    <xf numFmtId="0" fontId="0" fillId="0" borderId="0" xfId="0" applyAlignment="1">
      <alignment horizontal="center" wrapText="1"/>
    </xf>
    <xf numFmtId="2" fontId="0" fillId="2" borderId="19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2" xfId="0" applyFill="1" applyBorder="1"/>
    <xf numFmtId="1" fontId="0" fillId="8" borderId="0" xfId="0" applyNumberFormat="1" applyFill="1" applyAlignment="1">
      <alignment horizontal="center" vertical="center"/>
    </xf>
    <xf numFmtId="0" fontId="0" fillId="9" borderId="21" xfId="0" applyFill="1" applyBorder="1"/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9" fontId="0" fillId="9" borderId="2" xfId="0" applyNumberForma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48846</xdr:colOff>
      <xdr:row>55</xdr:row>
      <xdr:rowOff>136770</xdr:rowOff>
    </xdr:from>
    <xdr:ext cx="3257943" cy="4396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2">
              <a:extLst>
                <a:ext uri="{FF2B5EF4-FFF2-40B4-BE49-F238E27FC236}">
                  <a16:creationId xmlns:a16="http://schemas.microsoft.com/office/drawing/2014/main" id="{A3DDAD23-E6B1-C740-86B8-DEF434AB0F62}"/>
                </a:ext>
              </a:extLst>
            </xdr:cNvPr>
            <xdr:cNvSpPr txBox="1"/>
          </xdr:nvSpPr>
          <xdr:spPr>
            <a:xfrm>
              <a:off x="7249746" y="9547470"/>
              <a:ext cx="3257943" cy="4396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𝐽𝑢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𝐴𝑚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 →</m:t>
                    </m:r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𝑖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𝐶</m:t>
                            </m:r>
                          </m:e>
                          <m:sub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→ </m:t>
                    </m:r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−1</m:t>
                            </m:r>
                          </m:num>
                          <m:den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𝑖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𝐶</m:t>
                            </m:r>
                          </m:e>
                          <m:sub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pt-BR" sz="11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14:m>
                <m:oMath xmlns:m="http://schemas.openxmlformats.org/officeDocument/2006/math">
                  <m:r>
                    <a:rPr lang="pt-BR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</m:oMath>
              </a14:m>
              <a:r>
                <a:rPr lang="pt-BR" sz="1100"/>
                <a:t> </a:t>
              </a:r>
            </a:p>
          </xdr:txBody>
        </xdr:sp>
      </mc:Choice>
      <mc:Fallback>
        <xdr:sp macro="" textlink="">
          <xdr:nvSpPr>
            <xdr:cNvPr id="2" name="CaixaDeTexto 2">
              <a:extLst>
                <a:ext uri="{FF2B5EF4-FFF2-40B4-BE49-F238E27FC236}">
                  <a16:creationId xmlns:a16="http://schemas.microsoft.com/office/drawing/2014/main" id="{A3DDAD23-E6B1-C740-86B8-DEF434AB0F62}"/>
                </a:ext>
              </a:extLst>
            </xdr:cNvPr>
            <xdr:cNvSpPr txBox="1"/>
          </xdr:nvSpPr>
          <xdr:spPr>
            <a:xfrm>
              <a:off x="7249746" y="9547470"/>
              <a:ext cx="3257943" cy="4396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𝐽𝑢+𝐴𝑚 →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𝐶_(𝑡−1).𝑖+𝐶_0/𝑛  → 𝐶_0 (1−(𝑡−1)/𝑛).𝑖+𝐶_0/𝑛</a:t>
              </a:r>
              <a:endParaRPr lang="pt-BR" sz="11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pt-BR" sz="1100"/>
                <a:t> </a:t>
              </a:r>
            </a:p>
          </xdr:txBody>
        </xdr:sp>
      </mc:Fallback>
    </mc:AlternateContent>
    <xdr:clientData/>
  </xdr:oneCellAnchor>
  <xdr:oneCellAnchor>
    <xdr:from>
      <xdr:col>16</xdr:col>
      <xdr:colOff>39077</xdr:colOff>
      <xdr:row>58</xdr:row>
      <xdr:rowOff>0</xdr:rowOff>
    </xdr:from>
    <xdr:ext cx="1717714" cy="58615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3">
              <a:extLst>
                <a:ext uri="{FF2B5EF4-FFF2-40B4-BE49-F238E27FC236}">
                  <a16:creationId xmlns:a16="http://schemas.microsoft.com/office/drawing/2014/main" id="{7C7E5028-B87C-A54F-BF30-D0B31A9EB8CE}"/>
                </a:ext>
              </a:extLst>
            </xdr:cNvPr>
            <xdr:cNvSpPr txBox="1"/>
          </xdr:nvSpPr>
          <xdr:spPr>
            <a:xfrm>
              <a:off x="7697177" y="9906000"/>
              <a:ext cx="1717714" cy="586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d>
                          <m:d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1−</m:t>
                            </m:r>
                            <m:f>
                              <m:fPr>
                                <m:ctrlPr>
                                  <a:rPr lang="pt-B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−1</m:t>
                                </m:r>
                              </m:num>
                              <m:den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𝑛</m:t>
                                </m:r>
                              </m:den>
                            </m:f>
                          </m:e>
                        </m:d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pt-BR" sz="11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14:m>
                <m:oMath xmlns:m="http://schemas.openxmlformats.org/officeDocument/2006/math">
                  <m:r>
                    <a:rPr lang="pt-BR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</m:oMath>
              </a14:m>
              <a:r>
                <a:rPr lang="pt-BR" sz="1100"/>
                <a:t> </a:t>
              </a:r>
            </a:p>
          </xdr:txBody>
        </xdr:sp>
      </mc:Choice>
      <mc:Fallback>
        <xdr:sp macro="" textlink="">
          <xdr:nvSpPr>
            <xdr:cNvPr id="3" name="CaixaDeTexto 3">
              <a:extLst>
                <a:ext uri="{FF2B5EF4-FFF2-40B4-BE49-F238E27FC236}">
                  <a16:creationId xmlns:a16="http://schemas.microsoft.com/office/drawing/2014/main" id="{7C7E5028-B87C-A54F-BF30-D0B31A9EB8CE}"/>
                </a:ext>
              </a:extLst>
            </xdr:cNvPr>
            <xdr:cNvSpPr txBox="1"/>
          </xdr:nvSpPr>
          <xdr:spPr>
            <a:xfrm>
              <a:off x="7697177" y="9906000"/>
              <a:ext cx="1717714" cy="586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𝐶_0=𝐴/((1−(𝑡−1)/𝑛).𝑖+1/𝑛)</a:t>
              </a:r>
              <a:endParaRPr lang="pt-BR" sz="11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pt-BR" sz="1100"/>
                <a:t> </a:t>
              </a:r>
            </a:p>
          </xdr:txBody>
        </xdr:sp>
      </mc:Fallback>
    </mc:AlternateContent>
    <xdr:clientData/>
  </xdr:oneCellAnchor>
  <xdr:twoCellAnchor editAs="oneCell">
    <xdr:from>
      <xdr:col>22</xdr:col>
      <xdr:colOff>279400</xdr:colOff>
      <xdr:row>48</xdr:row>
      <xdr:rowOff>76200</xdr:rowOff>
    </xdr:from>
    <xdr:to>
      <xdr:col>34</xdr:col>
      <xdr:colOff>445477</xdr:colOff>
      <xdr:row>84</xdr:row>
      <xdr:rowOff>31262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38122C-3E55-E743-B47F-A8F3132D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0800" y="9906000"/>
          <a:ext cx="8243277" cy="7816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baritao%20exercicios%203362%20202008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Fleischer  p. 82"/>
      <sheetName val="aula 3"/>
      <sheetName val="lista 1"/>
      <sheetName val="LISTA 2 MARIA CLARA"/>
      <sheetName val="lista 2"/>
      <sheetName val="lista 3"/>
      <sheetName val="lista 4"/>
      <sheetName val="PRO2612X6"/>
      <sheetName val="PRO2612X7"/>
      <sheetName val="oticas de analise"/>
      <sheetName val="PRO2612X10"/>
      <sheetName val="CAPM"/>
      <sheetName val="PRO2612EX11"/>
    </sheetNames>
    <sheetDataSet>
      <sheetData sheetId="0"/>
      <sheetData sheetId="1"/>
      <sheetData sheetId="2"/>
      <sheetData sheetId="3"/>
      <sheetData sheetId="4"/>
      <sheetData sheetId="5">
        <row r="31">
          <cell r="W31">
            <v>15.799868334430549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45DA2-CF36-AB43-8252-B1E52CC6E161}">
  <dimension ref="A1:AJ129"/>
  <sheetViews>
    <sheetView topLeftCell="C3" workbookViewId="0">
      <selection activeCell="I15" sqref="I15"/>
    </sheetView>
  </sheetViews>
  <sheetFormatPr baseColWidth="10" defaultColWidth="8.83203125" defaultRowHeight="16"/>
  <cols>
    <col min="2" max="2" width="12.5" bestFit="1" customWidth="1"/>
    <col min="4" max="5" width="10.6640625" customWidth="1"/>
    <col min="6" max="6" width="10.5" customWidth="1"/>
    <col min="9" max="9" width="8.5" customWidth="1"/>
    <col min="12" max="12" width="11.6640625" style="2" bestFit="1" customWidth="1"/>
    <col min="13" max="13" width="11.6640625" bestFit="1" customWidth="1"/>
    <col min="15" max="15" width="10.83203125" style="3" customWidth="1"/>
    <col min="16" max="16" width="9.1640625" style="3" customWidth="1"/>
    <col min="17" max="17" width="11" style="3" customWidth="1"/>
    <col min="18" max="18" width="9.5" style="3" bestFit="1" customWidth="1"/>
    <col min="21" max="21" width="13.33203125" customWidth="1"/>
    <col min="23" max="23" width="10.83203125" customWidth="1"/>
    <col min="24" max="24" width="9.5" bestFit="1" customWidth="1"/>
    <col min="25" max="25" width="15" style="1" customWidth="1"/>
    <col min="26" max="27" width="9.5" style="1" customWidth="1"/>
    <col min="28" max="28" width="11.33203125" bestFit="1" customWidth="1"/>
    <col min="29" max="29" width="12.1640625" bestFit="1" customWidth="1"/>
    <col min="32" max="32" width="14.83203125" bestFit="1" customWidth="1"/>
    <col min="33" max="33" width="18.6640625" customWidth="1"/>
    <col min="34" max="34" width="11.1640625" customWidth="1"/>
    <col min="35" max="35" width="19.33203125" customWidth="1"/>
    <col min="36" max="36" width="11.33203125" bestFit="1" customWidth="1"/>
    <col min="258" max="258" width="12.5" bestFit="1" customWidth="1"/>
    <col min="260" max="261" width="10.6640625" customWidth="1"/>
    <col min="262" max="262" width="10.5" customWidth="1"/>
    <col min="265" max="265" width="8.5" customWidth="1"/>
    <col min="268" max="269" width="11.6640625" bestFit="1" customWidth="1"/>
    <col min="271" max="271" width="10.83203125" customWidth="1"/>
    <col min="272" max="272" width="9.1640625" customWidth="1"/>
    <col min="273" max="273" width="11" customWidth="1"/>
    <col min="274" max="274" width="9.5" bestFit="1" customWidth="1"/>
    <col min="277" max="277" width="13.33203125" customWidth="1"/>
    <col min="279" max="279" width="10.83203125" customWidth="1"/>
    <col min="280" max="280" width="9.5" bestFit="1" customWidth="1"/>
    <col min="281" max="281" width="15" customWidth="1"/>
    <col min="282" max="283" width="9.5" customWidth="1"/>
    <col min="284" max="284" width="11.33203125" bestFit="1" customWidth="1"/>
    <col min="285" max="285" width="12.1640625" bestFit="1" customWidth="1"/>
    <col min="288" max="288" width="14.83203125" bestFit="1" customWidth="1"/>
    <col min="289" max="289" width="18.6640625" customWidth="1"/>
    <col min="290" max="290" width="11.1640625" customWidth="1"/>
    <col min="291" max="291" width="19.33203125" customWidth="1"/>
    <col min="292" max="292" width="11.33203125" bestFit="1" customWidth="1"/>
    <col min="514" max="514" width="12.5" bestFit="1" customWidth="1"/>
    <col min="516" max="517" width="10.6640625" customWidth="1"/>
    <col min="518" max="518" width="10.5" customWidth="1"/>
    <col min="521" max="521" width="8.5" customWidth="1"/>
    <col min="524" max="525" width="11.6640625" bestFit="1" customWidth="1"/>
    <col min="527" max="527" width="10.83203125" customWidth="1"/>
    <col min="528" max="528" width="9.1640625" customWidth="1"/>
    <col min="529" max="529" width="11" customWidth="1"/>
    <col min="530" max="530" width="9.5" bestFit="1" customWidth="1"/>
    <col min="533" max="533" width="13.33203125" customWidth="1"/>
    <col min="535" max="535" width="10.83203125" customWidth="1"/>
    <col min="536" max="536" width="9.5" bestFit="1" customWidth="1"/>
    <col min="537" max="537" width="15" customWidth="1"/>
    <col min="538" max="539" width="9.5" customWidth="1"/>
    <col min="540" max="540" width="11.33203125" bestFit="1" customWidth="1"/>
    <col min="541" max="541" width="12.1640625" bestFit="1" customWidth="1"/>
    <col min="544" max="544" width="14.83203125" bestFit="1" customWidth="1"/>
    <col min="545" max="545" width="18.6640625" customWidth="1"/>
    <col min="546" max="546" width="11.1640625" customWidth="1"/>
    <col min="547" max="547" width="19.33203125" customWidth="1"/>
    <col min="548" max="548" width="11.33203125" bestFit="1" customWidth="1"/>
    <col min="770" max="770" width="12.5" bestFit="1" customWidth="1"/>
    <col min="772" max="773" width="10.6640625" customWidth="1"/>
    <col min="774" max="774" width="10.5" customWidth="1"/>
    <col min="777" max="777" width="8.5" customWidth="1"/>
    <col min="780" max="781" width="11.6640625" bestFit="1" customWidth="1"/>
    <col min="783" max="783" width="10.83203125" customWidth="1"/>
    <col min="784" max="784" width="9.1640625" customWidth="1"/>
    <col min="785" max="785" width="11" customWidth="1"/>
    <col min="786" max="786" width="9.5" bestFit="1" customWidth="1"/>
    <col min="789" max="789" width="13.33203125" customWidth="1"/>
    <col min="791" max="791" width="10.83203125" customWidth="1"/>
    <col min="792" max="792" width="9.5" bestFit="1" customWidth="1"/>
    <col min="793" max="793" width="15" customWidth="1"/>
    <col min="794" max="795" width="9.5" customWidth="1"/>
    <col min="796" max="796" width="11.33203125" bestFit="1" customWidth="1"/>
    <col min="797" max="797" width="12.1640625" bestFit="1" customWidth="1"/>
    <col min="800" max="800" width="14.83203125" bestFit="1" customWidth="1"/>
    <col min="801" max="801" width="18.6640625" customWidth="1"/>
    <col min="802" max="802" width="11.1640625" customWidth="1"/>
    <col min="803" max="803" width="19.33203125" customWidth="1"/>
    <col min="804" max="804" width="11.33203125" bestFit="1" customWidth="1"/>
    <col min="1026" max="1026" width="12.5" bestFit="1" customWidth="1"/>
    <col min="1028" max="1029" width="10.6640625" customWidth="1"/>
    <col min="1030" max="1030" width="10.5" customWidth="1"/>
    <col min="1033" max="1033" width="8.5" customWidth="1"/>
    <col min="1036" max="1037" width="11.6640625" bestFit="1" customWidth="1"/>
    <col min="1039" max="1039" width="10.83203125" customWidth="1"/>
    <col min="1040" max="1040" width="9.1640625" customWidth="1"/>
    <col min="1041" max="1041" width="11" customWidth="1"/>
    <col min="1042" max="1042" width="9.5" bestFit="1" customWidth="1"/>
    <col min="1045" max="1045" width="13.33203125" customWidth="1"/>
    <col min="1047" max="1047" width="10.83203125" customWidth="1"/>
    <col min="1048" max="1048" width="9.5" bestFit="1" customWidth="1"/>
    <col min="1049" max="1049" width="15" customWidth="1"/>
    <col min="1050" max="1051" width="9.5" customWidth="1"/>
    <col min="1052" max="1052" width="11.33203125" bestFit="1" customWidth="1"/>
    <col min="1053" max="1053" width="12.1640625" bestFit="1" customWidth="1"/>
    <col min="1056" max="1056" width="14.83203125" bestFit="1" customWidth="1"/>
    <col min="1057" max="1057" width="18.6640625" customWidth="1"/>
    <col min="1058" max="1058" width="11.1640625" customWidth="1"/>
    <col min="1059" max="1059" width="19.33203125" customWidth="1"/>
    <col min="1060" max="1060" width="11.33203125" bestFit="1" customWidth="1"/>
    <col min="1282" max="1282" width="12.5" bestFit="1" customWidth="1"/>
    <col min="1284" max="1285" width="10.6640625" customWidth="1"/>
    <col min="1286" max="1286" width="10.5" customWidth="1"/>
    <col min="1289" max="1289" width="8.5" customWidth="1"/>
    <col min="1292" max="1293" width="11.6640625" bestFit="1" customWidth="1"/>
    <col min="1295" max="1295" width="10.83203125" customWidth="1"/>
    <col min="1296" max="1296" width="9.1640625" customWidth="1"/>
    <col min="1297" max="1297" width="11" customWidth="1"/>
    <col min="1298" max="1298" width="9.5" bestFit="1" customWidth="1"/>
    <col min="1301" max="1301" width="13.33203125" customWidth="1"/>
    <col min="1303" max="1303" width="10.83203125" customWidth="1"/>
    <col min="1304" max="1304" width="9.5" bestFit="1" customWidth="1"/>
    <col min="1305" max="1305" width="15" customWidth="1"/>
    <col min="1306" max="1307" width="9.5" customWidth="1"/>
    <col min="1308" max="1308" width="11.33203125" bestFit="1" customWidth="1"/>
    <col min="1309" max="1309" width="12.1640625" bestFit="1" customWidth="1"/>
    <col min="1312" max="1312" width="14.83203125" bestFit="1" customWidth="1"/>
    <col min="1313" max="1313" width="18.6640625" customWidth="1"/>
    <col min="1314" max="1314" width="11.1640625" customWidth="1"/>
    <col min="1315" max="1315" width="19.33203125" customWidth="1"/>
    <col min="1316" max="1316" width="11.33203125" bestFit="1" customWidth="1"/>
    <col min="1538" max="1538" width="12.5" bestFit="1" customWidth="1"/>
    <col min="1540" max="1541" width="10.6640625" customWidth="1"/>
    <col min="1542" max="1542" width="10.5" customWidth="1"/>
    <col min="1545" max="1545" width="8.5" customWidth="1"/>
    <col min="1548" max="1549" width="11.6640625" bestFit="1" customWidth="1"/>
    <col min="1551" max="1551" width="10.83203125" customWidth="1"/>
    <col min="1552" max="1552" width="9.1640625" customWidth="1"/>
    <col min="1553" max="1553" width="11" customWidth="1"/>
    <col min="1554" max="1554" width="9.5" bestFit="1" customWidth="1"/>
    <col min="1557" max="1557" width="13.33203125" customWidth="1"/>
    <col min="1559" max="1559" width="10.83203125" customWidth="1"/>
    <col min="1560" max="1560" width="9.5" bestFit="1" customWidth="1"/>
    <col min="1561" max="1561" width="15" customWidth="1"/>
    <col min="1562" max="1563" width="9.5" customWidth="1"/>
    <col min="1564" max="1564" width="11.33203125" bestFit="1" customWidth="1"/>
    <col min="1565" max="1565" width="12.1640625" bestFit="1" customWidth="1"/>
    <col min="1568" max="1568" width="14.83203125" bestFit="1" customWidth="1"/>
    <col min="1569" max="1569" width="18.6640625" customWidth="1"/>
    <col min="1570" max="1570" width="11.1640625" customWidth="1"/>
    <col min="1571" max="1571" width="19.33203125" customWidth="1"/>
    <col min="1572" max="1572" width="11.33203125" bestFit="1" customWidth="1"/>
    <col min="1794" max="1794" width="12.5" bestFit="1" customWidth="1"/>
    <col min="1796" max="1797" width="10.6640625" customWidth="1"/>
    <col min="1798" max="1798" width="10.5" customWidth="1"/>
    <col min="1801" max="1801" width="8.5" customWidth="1"/>
    <col min="1804" max="1805" width="11.6640625" bestFit="1" customWidth="1"/>
    <col min="1807" max="1807" width="10.83203125" customWidth="1"/>
    <col min="1808" max="1808" width="9.1640625" customWidth="1"/>
    <col min="1809" max="1809" width="11" customWidth="1"/>
    <col min="1810" max="1810" width="9.5" bestFit="1" customWidth="1"/>
    <col min="1813" max="1813" width="13.33203125" customWidth="1"/>
    <col min="1815" max="1815" width="10.83203125" customWidth="1"/>
    <col min="1816" max="1816" width="9.5" bestFit="1" customWidth="1"/>
    <col min="1817" max="1817" width="15" customWidth="1"/>
    <col min="1818" max="1819" width="9.5" customWidth="1"/>
    <col min="1820" max="1820" width="11.33203125" bestFit="1" customWidth="1"/>
    <col min="1821" max="1821" width="12.1640625" bestFit="1" customWidth="1"/>
    <col min="1824" max="1824" width="14.83203125" bestFit="1" customWidth="1"/>
    <col min="1825" max="1825" width="18.6640625" customWidth="1"/>
    <col min="1826" max="1826" width="11.1640625" customWidth="1"/>
    <col min="1827" max="1827" width="19.33203125" customWidth="1"/>
    <col min="1828" max="1828" width="11.33203125" bestFit="1" customWidth="1"/>
    <col min="2050" max="2050" width="12.5" bestFit="1" customWidth="1"/>
    <col min="2052" max="2053" width="10.6640625" customWidth="1"/>
    <col min="2054" max="2054" width="10.5" customWidth="1"/>
    <col min="2057" max="2057" width="8.5" customWidth="1"/>
    <col min="2060" max="2061" width="11.6640625" bestFit="1" customWidth="1"/>
    <col min="2063" max="2063" width="10.83203125" customWidth="1"/>
    <col min="2064" max="2064" width="9.1640625" customWidth="1"/>
    <col min="2065" max="2065" width="11" customWidth="1"/>
    <col min="2066" max="2066" width="9.5" bestFit="1" customWidth="1"/>
    <col min="2069" max="2069" width="13.33203125" customWidth="1"/>
    <col min="2071" max="2071" width="10.83203125" customWidth="1"/>
    <col min="2072" max="2072" width="9.5" bestFit="1" customWidth="1"/>
    <col min="2073" max="2073" width="15" customWidth="1"/>
    <col min="2074" max="2075" width="9.5" customWidth="1"/>
    <col min="2076" max="2076" width="11.33203125" bestFit="1" customWidth="1"/>
    <col min="2077" max="2077" width="12.1640625" bestFit="1" customWidth="1"/>
    <col min="2080" max="2080" width="14.83203125" bestFit="1" customWidth="1"/>
    <col min="2081" max="2081" width="18.6640625" customWidth="1"/>
    <col min="2082" max="2082" width="11.1640625" customWidth="1"/>
    <col min="2083" max="2083" width="19.33203125" customWidth="1"/>
    <col min="2084" max="2084" width="11.33203125" bestFit="1" customWidth="1"/>
    <col min="2306" max="2306" width="12.5" bestFit="1" customWidth="1"/>
    <col min="2308" max="2309" width="10.6640625" customWidth="1"/>
    <col min="2310" max="2310" width="10.5" customWidth="1"/>
    <col min="2313" max="2313" width="8.5" customWidth="1"/>
    <col min="2316" max="2317" width="11.6640625" bestFit="1" customWidth="1"/>
    <col min="2319" max="2319" width="10.83203125" customWidth="1"/>
    <col min="2320" max="2320" width="9.1640625" customWidth="1"/>
    <col min="2321" max="2321" width="11" customWidth="1"/>
    <col min="2322" max="2322" width="9.5" bestFit="1" customWidth="1"/>
    <col min="2325" max="2325" width="13.33203125" customWidth="1"/>
    <col min="2327" max="2327" width="10.83203125" customWidth="1"/>
    <col min="2328" max="2328" width="9.5" bestFit="1" customWidth="1"/>
    <col min="2329" max="2329" width="15" customWidth="1"/>
    <col min="2330" max="2331" width="9.5" customWidth="1"/>
    <col min="2332" max="2332" width="11.33203125" bestFit="1" customWidth="1"/>
    <col min="2333" max="2333" width="12.1640625" bestFit="1" customWidth="1"/>
    <col min="2336" max="2336" width="14.83203125" bestFit="1" customWidth="1"/>
    <col min="2337" max="2337" width="18.6640625" customWidth="1"/>
    <col min="2338" max="2338" width="11.1640625" customWidth="1"/>
    <col min="2339" max="2339" width="19.33203125" customWidth="1"/>
    <col min="2340" max="2340" width="11.33203125" bestFit="1" customWidth="1"/>
    <col min="2562" max="2562" width="12.5" bestFit="1" customWidth="1"/>
    <col min="2564" max="2565" width="10.6640625" customWidth="1"/>
    <col min="2566" max="2566" width="10.5" customWidth="1"/>
    <col min="2569" max="2569" width="8.5" customWidth="1"/>
    <col min="2572" max="2573" width="11.6640625" bestFit="1" customWidth="1"/>
    <col min="2575" max="2575" width="10.83203125" customWidth="1"/>
    <col min="2576" max="2576" width="9.1640625" customWidth="1"/>
    <col min="2577" max="2577" width="11" customWidth="1"/>
    <col min="2578" max="2578" width="9.5" bestFit="1" customWidth="1"/>
    <col min="2581" max="2581" width="13.33203125" customWidth="1"/>
    <col min="2583" max="2583" width="10.83203125" customWidth="1"/>
    <col min="2584" max="2584" width="9.5" bestFit="1" customWidth="1"/>
    <col min="2585" max="2585" width="15" customWidth="1"/>
    <col min="2586" max="2587" width="9.5" customWidth="1"/>
    <col min="2588" max="2588" width="11.33203125" bestFit="1" customWidth="1"/>
    <col min="2589" max="2589" width="12.1640625" bestFit="1" customWidth="1"/>
    <col min="2592" max="2592" width="14.83203125" bestFit="1" customWidth="1"/>
    <col min="2593" max="2593" width="18.6640625" customWidth="1"/>
    <col min="2594" max="2594" width="11.1640625" customWidth="1"/>
    <col min="2595" max="2595" width="19.33203125" customWidth="1"/>
    <col min="2596" max="2596" width="11.33203125" bestFit="1" customWidth="1"/>
    <col min="2818" max="2818" width="12.5" bestFit="1" customWidth="1"/>
    <col min="2820" max="2821" width="10.6640625" customWidth="1"/>
    <col min="2822" max="2822" width="10.5" customWidth="1"/>
    <col min="2825" max="2825" width="8.5" customWidth="1"/>
    <col min="2828" max="2829" width="11.6640625" bestFit="1" customWidth="1"/>
    <col min="2831" max="2831" width="10.83203125" customWidth="1"/>
    <col min="2832" max="2832" width="9.1640625" customWidth="1"/>
    <col min="2833" max="2833" width="11" customWidth="1"/>
    <col min="2834" max="2834" width="9.5" bestFit="1" customWidth="1"/>
    <col min="2837" max="2837" width="13.33203125" customWidth="1"/>
    <col min="2839" max="2839" width="10.83203125" customWidth="1"/>
    <col min="2840" max="2840" width="9.5" bestFit="1" customWidth="1"/>
    <col min="2841" max="2841" width="15" customWidth="1"/>
    <col min="2842" max="2843" width="9.5" customWidth="1"/>
    <col min="2844" max="2844" width="11.33203125" bestFit="1" customWidth="1"/>
    <col min="2845" max="2845" width="12.1640625" bestFit="1" customWidth="1"/>
    <col min="2848" max="2848" width="14.83203125" bestFit="1" customWidth="1"/>
    <col min="2849" max="2849" width="18.6640625" customWidth="1"/>
    <col min="2850" max="2850" width="11.1640625" customWidth="1"/>
    <col min="2851" max="2851" width="19.33203125" customWidth="1"/>
    <col min="2852" max="2852" width="11.33203125" bestFit="1" customWidth="1"/>
    <col min="3074" max="3074" width="12.5" bestFit="1" customWidth="1"/>
    <col min="3076" max="3077" width="10.6640625" customWidth="1"/>
    <col min="3078" max="3078" width="10.5" customWidth="1"/>
    <col min="3081" max="3081" width="8.5" customWidth="1"/>
    <col min="3084" max="3085" width="11.6640625" bestFit="1" customWidth="1"/>
    <col min="3087" max="3087" width="10.83203125" customWidth="1"/>
    <col min="3088" max="3088" width="9.1640625" customWidth="1"/>
    <col min="3089" max="3089" width="11" customWidth="1"/>
    <col min="3090" max="3090" width="9.5" bestFit="1" customWidth="1"/>
    <col min="3093" max="3093" width="13.33203125" customWidth="1"/>
    <col min="3095" max="3095" width="10.83203125" customWidth="1"/>
    <col min="3096" max="3096" width="9.5" bestFit="1" customWidth="1"/>
    <col min="3097" max="3097" width="15" customWidth="1"/>
    <col min="3098" max="3099" width="9.5" customWidth="1"/>
    <col min="3100" max="3100" width="11.33203125" bestFit="1" customWidth="1"/>
    <col min="3101" max="3101" width="12.1640625" bestFit="1" customWidth="1"/>
    <col min="3104" max="3104" width="14.83203125" bestFit="1" customWidth="1"/>
    <col min="3105" max="3105" width="18.6640625" customWidth="1"/>
    <col min="3106" max="3106" width="11.1640625" customWidth="1"/>
    <col min="3107" max="3107" width="19.33203125" customWidth="1"/>
    <col min="3108" max="3108" width="11.33203125" bestFit="1" customWidth="1"/>
    <col min="3330" max="3330" width="12.5" bestFit="1" customWidth="1"/>
    <col min="3332" max="3333" width="10.6640625" customWidth="1"/>
    <col min="3334" max="3334" width="10.5" customWidth="1"/>
    <col min="3337" max="3337" width="8.5" customWidth="1"/>
    <col min="3340" max="3341" width="11.6640625" bestFit="1" customWidth="1"/>
    <col min="3343" max="3343" width="10.83203125" customWidth="1"/>
    <col min="3344" max="3344" width="9.1640625" customWidth="1"/>
    <col min="3345" max="3345" width="11" customWidth="1"/>
    <col min="3346" max="3346" width="9.5" bestFit="1" customWidth="1"/>
    <col min="3349" max="3349" width="13.33203125" customWidth="1"/>
    <col min="3351" max="3351" width="10.83203125" customWidth="1"/>
    <col min="3352" max="3352" width="9.5" bestFit="1" customWidth="1"/>
    <col min="3353" max="3353" width="15" customWidth="1"/>
    <col min="3354" max="3355" width="9.5" customWidth="1"/>
    <col min="3356" max="3356" width="11.33203125" bestFit="1" customWidth="1"/>
    <col min="3357" max="3357" width="12.1640625" bestFit="1" customWidth="1"/>
    <col min="3360" max="3360" width="14.83203125" bestFit="1" customWidth="1"/>
    <col min="3361" max="3361" width="18.6640625" customWidth="1"/>
    <col min="3362" max="3362" width="11.1640625" customWidth="1"/>
    <col min="3363" max="3363" width="19.33203125" customWidth="1"/>
    <col min="3364" max="3364" width="11.33203125" bestFit="1" customWidth="1"/>
    <col min="3586" max="3586" width="12.5" bestFit="1" customWidth="1"/>
    <col min="3588" max="3589" width="10.6640625" customWidth="1"/>
    <col min="3590" max="3590" width="10.5" customWidth="1"/>
    <col min="3593" max="3593" width="8.5" customWidth="1"/>
    <col min="3596" max="3597" width="11.6640625" bestFit="1" customWidth="1"/>
    <col min="3599" max="3599" width="10.83203125" customWidth="1"/>
    <col min="3600" max="3600" width="9.1640625" customWidth="1"/>
    <col min="3601" max="3601" width="11" customWidth="1"/>
    <col min="3602" max="3602" width="9.5" bestFit="1" customWidth="1"/>
    <col min="3605" max="3605" width="13.33203125" customWidth="1"/>
    <col min="3607" max="3607" width="10.83203125" customWidth="1"/>
    <col min="3608" max="3608" width="9.5" bestFit="1" customWidth="1"/>
    <col min="3609" max="3609" width="15" customWidth="1"/>
    <col min="3610" max="3611" width="9.5" customWidth="1"/>
    <col min="3612" max="3612" width="11.33203125" bestFit="1" customWidth="1"/>
    <col min="3613" max="3613" width="12.1640625" bestFit="1" customWidth="1"/>
    <col min="3616" max="3616" width="14.83203125" bestFit="1" customWidth="1"/>
    <col min="3617" max="3617" width="18.6640625" customWidth="1"/>
    <col min="3618" max="3618" width="11.1640625" customWidth="1"/>
    <col min="3619" max="3619" width="19.33203125" customWidth="1"/>
    <col min="3620" max="3620" width="11.33203125" bestFit="1" customWidth="1"/>
    <col min="3842" max="3842" width="12.5" bestFit="1" customWidth="1"/>
    <col min="3844" max="3845" width="10.6640625" customWidth="1"/>
    <col min="3846" max="3846" width="10.5" customWidth="1"/>
    <col min="3849" max="3849" width="8.5" customWidth="1"/>
    <col min="3852" max="3853" width="11.6640625" bestFit="1" customWidth="1"/>
    <col min="3855" max="3855" width="10.83203125" customWidth="1"/>
    <col min="3856" max="3856" width="9.1640625" customWidth="1"/>
    <col min="3857" max="3857" width="11" customWidth="1"/>
    <col min="3858" max="3858" width="9.5" bestFit="1" customWidth="1"/>
    <col min="3861" max="3861" width="13.33203125" customWidth="1"/>
    <col min="3863" max="3863" width="10.83203125" customWidth="1"/>
    <col min="3864" max="3864" width="9.5" bestFit="1" customWidth="1"/>
    <col min="3865" max="3865" width="15" customWidth="1"/>
    <col min="3866" max="3867" width="9.5" customWidth="1"/>
    <col min="3868" max="3868" width="11.33203125" bestFit="1" customWidth="1"/>
    <col min="3869" max="3869" width="12.1640625" bestFit="1" customWidth="1"/>
    <col min="3872" max="3872" width="14.83203125" bestFit="1" customWidth="1"/>
    <col min="3873" max="3873" width="18.6640625" customWidth="1"/>
    <col min="3874" max="3874" width="11.1640625" customWidth="1"/>
    <col min="3875" max="3875" width="19.33203125" customWidth="1"/>
    <col min="3876" max="3876" width="11.33203125" bestFit="1" customWidth="1"/>
    <col min="4098" max="4098" width="12.5" bestFit="1" customWidth="1"/>
    <col min="4100" max="4101" width="10.6640625" customWidth="1"/>
    <col min="4102" max="4102" width="10.5" customWidth="1"/>
    <col min="4105" max="4105" width="8.5" customWidth="1"/>
    <col min="4108" max="4109" width="11.6640625" bestFit="1" customWidth="1"/>
    <col min="4111" max="4111" width="10.83203125" customWidth="1"/>
    <col min="4112" max="4112" width="9.1640625" customWidth="1"/>
    <col min="4113" max="4113" width="11" customWidth="1"/>
    <col min="4114" max="4114" width="9.5" bestFit="1" customWidth="1"/>
    <col min="4117" max="4117" width="13.33203125" customWidth="1"/>
    <col min="4119" max="4119" width="10.83203125" customWidth="1"/>
    <col min="4120" max="4120" width="9.5" bestFit="1" customWidth="1"/>
    <col min="4121" max="4121" width="15" customWidth="1"/>
    <col min="4122" max="4123" width="9.5" customWidth="1"/>
    <col min="4124" max="4124" width="11.33203125" bestFit="1" customWidth="1"/>
    <col min="4125" max="4125" width="12.1640625" bestFit="1" customWidth="1"/>
    <col min="4128" max="4128" width="14.83203125" bestFit="1" customWidth="1"/>
    <col min="4129" max="4129" width="18.6640625" customWidth="1"/>
    <col min="4130" max="4130" width="11.1640625" customWidth="1"/>
    <col min="4131" max="4131" width="19.33203125" customWidth="1"/>
    <col min="4132" max="4132" width="11.33203125" bestFit="1" customWidth="1"/>
    <col min="4354" max="4354" width="12.5" bestFit="1" customWidth="1"/>
    <col min="4356" max="4357" width="10.6640625" customWidth="1"/>
    <col min="4358" max="4358" width="10.5" customWidth="1"/>
    <col min="4361" max="4361" width="8.5" customWidth="1"/>
    <col min="4364" max="4365" width="11.6640625" bestFit="1" customWidth="1"/>
    <col min="4367" max="4367" width="10.83203125" customWidth="1"/>
    <col min="4368" max="4368" width="9.1640625" customWidth="1"/>
    <col min="4369" max="4369" width="11" customWidth="1"/>
    <col min="4370" max="4370" width="9.5" bestFit="1" customWidth="1"/>
    <col min="4373" max="4373" width="13.33203125" customWidth="1"/>
    <col min="4375" max="4375" width="10.83203125" customWidth="1"/>
    <col min="4376" max="4376" width="9.5" bestFit="1" customWidth="1"/>
    <col min="4377" max="4377" width="15" customWidth="1"/>
    <col min="4378" max="4379" width="9.5" customWidth="1"/>
    <col min="4380" max="4380" width="11.33203125" bestFit="1" customWidth="1"/>
    <col min="4381" max="4381" width="12.1640625" bestFit="1" customWidth="1"/>
    <col min="4384" max="4384" width="14.83203125" bestFit="1" customWidth="1"/>
    <col min="4385" max="4385" width="18.6640625" customWidth="1"/>
    <col min="4386" max="4386" width="11.1640625" customWidth="1"/>
    <col min="4387" max="4387" width="19.33203125" customWidth="1"/>
    <col min="4388" max="4388" width="11.33203125" bestFit="1" customWidth="1"/>
    <col min="4610" max="4610" width="12.5" bestFit="1" customWidth="1"/>
    <col min="4612" max="4613" width="10.6640625" customWidth="1"/>
    <col min="4614" max="4614" width="10.5" customWidth="1"/>
    <col min="4617" max="4617" width="8.5" customWidth="1"/>
    <col min="4620" max="4621" width="11.6640625" bestFit="1" customWidth="1"/>
    <col min="4623" max="4623" width="10.83203125" customWidth="1"/>
    <col min="4624" max="4624" width="9.1640625" customWidth="1"/>
    <col min="4625" max="4625" width="11" customWidth="1"/>
    <col min="4626" max="4626" width="9.5" bestFit="1" customWidth="1"/>
    <col min="4629" max="4629" width="13.33203125" customWidth="1"/>
    <col min="4631" max="4631" width="10.83203125" customWidth="1"/>
    <col min="4632" max="4632" width="9.5" bestFit="1" customWidth="1"/>
    <col min="4633" max="4633" width="15" customWidth="1"/>
    <col min="4634" max="4635" width="9.5" customWidth="1"/>
    <col min="4636" max="4636" width="11.33203125" bestFit="1" customWidth="1"/>
    <col min="4637" max="4637" width="12.1640625" bestFit="1" customWidth="1"/>
    <col min="4640" max="4640" width="14.83203125" bestFit="1" customWidth="1"/>
    <col min="4641" max="4641" width="18.6640625" customWidth="1"/>
    <col min="4642" max="4642" width="11.1640625" customWidth="1"/>
    <col min="4643" max="4643" width="19.33203125" customWidth="1"/>
    <col min="4644" max="4644" width="11.33203125" bestFit="1" customWidth="1"/>
    <col min="4866" max="4866" width="12.5" bestFit="1" customWidth="1"/>
    <col min="4868" max="4869" width="10.6640625" customWidth="1"/>
    <col min="4870" max="4870" width="10.5" customWidth="1"/>
    <col min="4873" max="4873" width="8.5" customWidth="1"/>
    <col min="4876" max="4877" width="11.6640625" bestFit="1" customWidth="1"/>
    <col min="4879" max="4879" width="10.83203125" customWidth="1"/>
    <col min="4880" max="4880" width="9.1640625" customWidth="1"/>
    <col min="4881" max="4881" width="11" customWidth="1"/>
    <col min="4882" max="4882" width="9.5" bestFit="1" customWidth="1"/>
    <col min="4885" max="4885" width="13.33203125" customWidth="1"/>
    <col min="4887" max="4887" width="10.83203125" customWidth="1"/>
    <col min="4888" max="4888" width="9.5" bestFit="1" customWidth="1"/>
    <col min="4889" max="4889" width="15" customWidth="1"/>
    <col min="4890" max="4891" width="9.5" customWidth="1"/>
    <col min="4892" max="4892" width="11.33203125" bestFit="1" customWidth="1"/>
    <col min="4893" max="4893" width="12.1640625" bestFit="1" customWidth="1"/>
    <col min="4896" max="4896" width="14.83203125" bestFit="1" customWidth="1"/>
    <col min="4897" max="4897" width="18.6640625" customWidth="1"/>
    <col min="4898" max="4898" width="11.1640625" customWidth="1"/>
    <col min="4899" max="4899" width="19.33203125" customWidth="1"/>
    <col min="4900" max="4900" width="11.33203125" bestFit="1" customWidth="1"/>
    <col min="5122" max="5122" width="12.5" bestFit="1" customWidth="1"/>
    <col min="5124" max="5125" width="10.6640625" customWidth="1"/>
    <col min="5126" max="5126" width="10.5" customWidth="1"/>
    <col min="5129" max="5129" width="8.5" customWidth="1"/>
    <col min="5132" max="5133" width="11.6640625" bestFit="1" customWidth="1"/>
    <col min="5135" max="5135" width="10.83203125" customWidth="1"/>
    <col min="5136" max="5136" width="9.1640625" customWidth="1"/>
    <col min="5137" max="5137" width="11" customWidth="1"/>
    <col min="5138" max="5138" width="9.5" bestFit="1" customWidth="1"/>
    <col min="5141" max="5141" width="13.33203125" customWidth="1"/>
    <col min="5143" max="5143" width="10.83203125" customWidth="1"/>
    <col min="5144" max="5144" width="9.5" bestFit="1" customWidth="1"/>
    <col min="5145" max="5145" width="15" customWidth="1"/>
    <col min="5146" max="5147" width="9.5" customWidth="1"/>
    <col min="5148" max="5148" width="11.33203125" bestFit="1" customWidth="1"/>
    <col min="5149" max="5149" width="12.1640625" bestFit="1" customWidth="1"/>
    <col min="5152" max="5152" width="14.83203125" bestFit="1" customWidth="1"/>
    <col min="5153" max="5153" width="18.6640625" customWidth="1"/>
    <col min="5154" max="5154" width="11.1640625" customWidth="1"/>
    <col min="5155" max="5155" width="19.33203125" customWidth="1"/>
    <col min="5156" max="5156" width="11.33203125" bestFit="1" customWidth="1"/>
    <col min="5378" max="5378" width="12.5" bestFit="1" customWidth="1"/>
    <col min="5380" max="5381" width="10.6640625" customWidth="1"/>
    <col min="5382" max="5382" width="10.5" customWidth="1"/>
    <col min="5385" max="5385" width="8.5" customWidth="1"/>
    <col min="5388" max="5389" width="11.6640625" bestFit="1" customWidth="1"/>
    <col min="5391" max="5391" width="10.83203125" customWidth="1"/>
    <col min="5392" max="5392" width="9.1640625" customWidth="1"/>
    <col min="5393" max="5393" width="11" customWidth="1"/>
    <col min="5394" max="5394" width="9.5" bestFit="1" customWidth="1"/>
    <col min="5397" max="5397" width="13.33203125" customWidth="1"/>
    <col min="5399" max="5399" width="10.83203125" customWidth="1"/>
    <col min="5400" max="5400" width="9.5" bestFit="1" customWidth="1"/>
    <col min="5401" max="5401" width="15" customWidth="1"/>
    <col min="5402" max="5403" width="9.5" customWidth="1"/>
    <col min="5404" max="5404" width="11.33203125" bestFit="1" customWidth="1"/>
    <col min="5405" max="5405" width="12.1640625" bestFit="1" customWidth="1"/>
    <col min="5408" max="5408" width="14.83203125" bestFit="1" customWidth="1"/>
    <col min="5409" max="5409" width="18.6640625" customWidth="1"/>
    <col min="5410" max="5410" width="11.1640625" customWidth="1"/>
    <col min="5411" max="5411" width="19.33203125" customWidth="1"/>
    <col min="5412" max="5412" width="11.33203125" bestFit="1" customWidth="1"/>
    <col min="5634" max="5634" width="12.5" bestFit="1" customWidth="1"/>
    <col min="5636" max="5637" width="10.6640625" customWidth="1"/>
    <col min="5638" max="5638" width="10.5" customWidth="1"/>
    <col min="5641" max="5641" width="8.5" customWidth="1"/>
    <col min="5644" max="5645" width="11.6640625" bestFit="1" customWidth="1"/>
    <col min="5647" max="5647" width="10.83203125" customWidth="1"/>
    <col min="5648" max="5648" width="9.1640625" customWidth="1"/>
    <col min="5649" max="5649" width="11" customWidth="1"/>
    <col min="5650" max="5650" width="9.5" bestFit="1" customWidth="1"/>
    <col min="5653" max="5653" width="13.33203125" customWidth="1"/>
    <col min="5655" max="5655" width="10.83203125" customWidth="1"/>
    <col min="5656" max="5656" width="9.5" bestFit="1" customWidth="1"/>
    <col min="5657" max="5657" width="15" customWidth="1"/>
    <col min="5658" max="5659" width="9.5" customWidth="1"/>
    <col min="5660" max="5660" width="11.33203125" bestFit="1" customWidth="1"/>
    <col min="5661" max="5661" width="12.1640625" bestFit="1" customWidth="1"/>
    <col min="5664" max="5664" width="14.83203125" bestFit="1" customWidth="1"/>
    <col min="5665" max="5665" width="18.6640625" customWidth="1"/>
    <col min="5666" max="5666" width="11.1640625" customWidth="1"/>
    <col min="5667" max="5667" width="19.33203125" customWidth="1"/>
    <col min="5668" max="5668" width="11.33203125" bestFit="1" customWidth="1"/>
    <col min="5890" max="5890" width="12.5" bestFit="1" customWidth="1"/>
    <col min="5892" max="5893" width="10.6640625" customWidth="1"/>
    <col min="5894" max="5894" width="10.5" customWidth="1"/>
    <col min="5897" max="5897" width="8.5" customWidth="1"/>
    <col min="5900" max="5901" width="11.6640625" bestFit="1" customWidth="1"/>
    <col min="5903" max="5903" width="10.83203125" customWidth="1"/>
    <col min="5904" max="5904" width="9.1640625" customWidth="1"/>
    <col min="5905" max="5905" width="11" customWidth="1"/>
    <col min="5906" max="5906" width="9.5" bestFit="1" customWidth="1"/>
    <col min="5909" max="5909" width="13.33203125" customWidth="1"/>
    <col min="5911" max="5911" width="10.83203125" customWidth="1"/>
    <col min="5912" max="5912" width="9.5" bestFit="1" customWidth="1"/>
    <col min="5913" max="5913" width="15" customWidth="1"/>
    <col min="5914" max="5915" width="9.5" customWidth="1"/>
    <col min="5916" max="5916" width="11.33203125" bestFit="1" customWidth="1"/>
    <col min="5917" max="5917" width="12.1640625" bestFit="1" customWidth="1"/>
    <col min="5920" max="5920" width="14.83203125" bestFit="1" customWidth="1"/>
    <col min="5921" max="5921" width="18.6640625" customWidth="1"/>
    <col min="5922" max="5922" width="11.1640625" customWidth="1"/>
    <col min="5923" max="5923" width="19.33203125" customWidth="1"/>
    <col min="5924" max="5924" width="11.33203125" bestFit="1" customWidth="1"/>
    <col min="6146" max="6146" width="12.5" bestFit="1" customWidth="1"/>
    <col min="6148" max="6149" width="10.6640625" customWidth="1"/>
    <col min="6150" max="6150" width="10.5" customWidth="1"/>
    <col min="6153" max="6153" width="8.5" customWidth="1"/>
    <col min="6156" max="6157" width="11.6640625" bestFit="1" customWidth="1"/>
    <col min="6159" max="6159" width="10.83203125" customWidth="1"/>
    <col min="6160" max="6160" width="9.1640625" customWidth="1"/>
    <col min="6161" max="6161" width="11" customWidth="1"/>
    <col min="6162" max="6162" width="9.5" bestFit="1" customWidth="1"/>
    <col min="6165" max="6165" width="13.33203125" customWidth="1"/>
    <col min="6167" max="6167" width="10.83203125" customWidth="1"/>
    <col min="6168" max="6168" width="9.5" bestFit="1" customWidth="1"/>
    <col min="6169" max="6169" width="15" customWidth="1"/>
    <col min="6170" max="6171" width="9.5" customWidth="1"/>
    <col min="6172" max="6172" width="11.33203125" bestFit="1" customWidth="1"/>
    <col min="6173" max="6173" width="12.1640625" bestFit="1" customWidth="1"/>
    <col min="6176" max="6176" width="14.83203125" bestFit="1" customWidth="1"/>
    <col min="6177" max="6177" width="18.6640625" customWidth="1"/>
    <col min="6178" max="6178" width="11.1640625" customWidth="1"/>
    <col min="6179" max="6179" width="19.33203125" customWidth="1"/>
    <col min="6180" max="6180" width="11.33203125" bestFit="1" customWidth="1"/>
    <col min="6402" max="6402" width="12.5" bestFit="1" customWidth="1"/>
    <col min="6404" max="6405" width="10.6640625" customWidth="1"/>
    <col min="6406" max="6406" width="10.5" customWidth="1"/>
    <col min="6409" max="6409" width="8.5" customWidth="1"/>
    <col min="6412" max="6413" width="11.6640625" bestFit="1" customWidth="1"/>
    <col min="6415" max="6415" width="10.83203125" customWidth="1"/>
    <col min="6416" max="6416" width="9.1640625" customWidth="1"/>
    <col min="6417" max="6417" width="11" customWidth="1"/>
    <col min="6418" max="6418" width="9.5" bestFit="1" customWidth="1"/>
    <col min="6421" max="6421" width="13.33203125" customWidth="1"/>
    <col min="6423" max="6423" width="10.83203125" customWidth="1"/>
    <col min="6424" max="6424" width="9.5" bestFit="1" customWidth="1"/>
    <col min="6425" max="6425" width="15" customWidth="1"/>
    <col min="6426" max="6427" width="9.5" customWidth="1"/>
    <col min="6428" max="6428" width="11.33203125" bestFit="1" customWidth="1"/>
    <col min="6429" max="6429" width="12.1640625" bestFit="1" customWidth="1"/>
    <col min="6432" max="6432" width="14.83203125" bestFit="1" customWidth="1"/>
    <col min="6433" max="6433" width="18.6640625" customWidth="1"/>
    <col min="6434" max="6434" width="11.1640625" customWidth="1"/>
    <col min="6435" max="6435" width="19.33203125" customWidth="1"/>
    <col min="6436" max="6436" width="11.33203125" bestFit="1" customWidth="1"/>
    <col min="6658" max="6658" width="12.5" bestFit="1" customWidth="1"/>
    <col min="6660" max="6661" width="10.6640625" customWidth="1"/>
    <col min="6662" max="6662" width="10.5" customWidth="1"/>
    <col min="6665" max="6665" width="8.5" customWidth="1"/>
    <col min="6668" max="6669" width="11.6640625" bestFit="1" customWidth="1"/>
    <col min="6671" max="6671" width="10.83203125" customWidth="1"/>
    <col min="6672" max="6672" width="9.1640625" customWidth="1"/>
    <col min="6673" max="6673" width="11" customWidth="1"/>
    <col min="6674" max="6674" width="9.5" bestFit="1" customWidth="1"/>
    <col min="6677" max="6677" width="13.33203125" customWidth="1"/>
    <col min="6679" max="6679" width="10.83203125" customWidth="1"/>
    <col min="6680" max="6680" width="9.5" bestFit="1" customWidth="1"/>
    <col min="6681" max="6681" width="15" customWidth="1"/>
    <col min="6682" max="6683" width="9.5" customWidth="1"/>
    <col min="6684" max="6684" width="11.33203125" bestFit="1" customWidth="1"/>
    <col min="6685" max="6685" width="12.1640625" bestFit="1" customWidth="1"/>
    <col min="6688" max="6688" width="14.83203125" bestFit="1" customWidth="1"/>
    <col min="6689" max="6689" width="18.6640625" customWidth="1"/>
    <col min="6690" max="6690" width="11.1640625" customWidth="1"/>
    <col min="6691" max="6691" width="19.33203125" customWidth="1"/>
    <col min="6692" max="6692" width="11.33203125" bestFit="1" customWidth="1"/>
    <col min="6914" max="6914" width="12.5" bestFit="1" customWidth="1"/>
    <col min="6916" max="6917" width="10.6640625" customWidth="1"/>
    <col min="6918" max="6918" width="10.5" customWidth="1"/>
    <col min="6921" max="6921" width="8.5" customWidth="1"/>
    <col min="6924" max="6925" width="11.6640625" bestFit="1" customWidth="1"/>
    <col min="6927" max="6927" width="10.83203125" customWidth="1"/>
    <col min="6928" max="6928" width="9.1640625" customWidth="1"/>
    <col min="6929" max="6929" width="11" customWidth="1"/>
    <col min="6930" max="6930" width="9.5" bestFit="1" customWidth="1"/>
    <col min="6933" max="6933" width="13.33203125" customWidth="1"/>
    <col min="6935" max="6935" width="10.83203125" customWidth="1"/>
    <col min="6936" max="6936" width="9.5" bestFit="1" customWidth="1"/>
    <col min="6937" max="6937" width="15" customWidth="1"/>
    <col min="6938" max="6939" width="9.5" customWidth="1"/>
    <col min="6940" max="6940" width="11.33203125" bestFit="1" customWidth="1"/>
    <col min="6941" max="6941" width="12.1640625" bestFit="1" customWidth="1"/>
    <col min="6944" max="6944" width="14.83203125" bestFit="1" customWidth="1"/>
    <col min="6945" max="6945" width="18.6640625" customWidth="1"/>
    <col min="6946" max="6946" width="11.1640625" customWidth="1"/>
    <col min="6947" max="6947" width="19.33203125" customWidth="1"/>
    <col min="6948" max="6948" width="11.33203125" bestFit="1" customWidth="1"/>
    <col min="7170" max="7170" width="12.5" bestFit="1" customWidth="1"/>
    <col min="7172" max="7173" width="10.6640625" customWidth="1"/>
    <col min="7174" max="7174" width="10.5" customWidth="1"/>
    <col min="7177" max="7177" width="8.5" customWidth="1"/>
    <col min="7180" max="7181" width="11.6640625" bestFit="1" customWidth="1"/>
    <col min="7183" max="7183" width="10.83203125" customWidth="1"/>
    <col min="7184" max="7184" width="9.1640625" customWidth="1"/>
    <col min="7185" max="7185" width="11" customWidth="1"/>
    <col min="7186" max="7186" width="9.5" bestFit="1" customWidth="1"/>
    <col min="7189" max="7189" width="13.33203125" customWidth="1"/>
    <col min="7191" max="7191" width="10.83203125" customWidth="1"/>
    <col min="7192" max="7192" width="9.5" bestFit="1" customWidth="1"/>
    <col min="7193" max="7193" width="15" customWidth="1"/>
    <col min="7194" max="7195" width="9.5" customWidth="1"/>
    <col min="7196" max="7196" width="11.33203125" bestFit="1" customWidth="1"/>
    <col min="7197" max="7197" width="12.1640625" bestFit="1" customWidth="1"/>
    <col min="7200" max="7200" width="14.83203125" bestFit="1" customWidth="1"/>
    <col min="7201" max="7201" width="18.6640625" customWidth="1"/>
    <col min="7202" max="7202" width="11.1640625" customWidth="1"/>
    <col min="7203" max="7203" width="19.33203125" customWidth="1"/>
    <col min="7204" max="7204" width="11.33203125" bestFit="1" customWidth="1"/>
    <col min="7426" max="7426" width="12.5" bestFit="1" customWidth="1"/>
    <col min="7428" max="7429" width="10.6640625" customWidth="1"/>
    <col min="7430" max="7430" width="10.5" customWidth="1"/>
    <col min="7433" max="7433" width="8.5" customWidth="1"/>
    <col min="7436" max="7437" width="11.6640625" bestFit="1" customWidth="1"/>
    <col min="7439" max="7439" width="10.83203125" customWidth="1"/>
    <col min="7440" max="7440" width="9.1640625" customWidth="1"/>
    <col min="7441" max="7441" width="11" customWidth="1"/>
    <col min="7442" max="7442" width="9.5" bestFit="1" customWidth="1"/>
    <col min="7445" max="7445" width="13.33203125" customWidth="1"/>
    <col min="7447" max="7447" width="10.83203125" customWidth="1"/>
    <col min="7448" max="7448" width="9.5" bestFit="1" customWidth="1"/>
    <col min="7449" max="7449" width="15" customWidth="1"/>
    <col min="7450" max="7451" width="9.5" customWidth="1"/>
    <col min="7452" max="7452" width="11.33203125" bestFit="1" customWidth="1"/>
    <col min="7453" max="7453" width="12.1640625" bestFit="1" customWidth="1"/>
    <col min="7456" max="7456" width="14.83203125" bestFit="1" customWidth="1"/>
    <col min="7457" max="7457" width="18.6640625" customWidth="1"/>
    <col min="7458" max="7458" width="11.1640625" customWidth="1"/>
    <col min="7459" max="7459" width="19.33203125" customWidth="1"/>
    <col min="7460" max="7460" width="11.33203125" bestFit="1" customWidth="1"/>
    <col min="7682" max="7682" width="12.5" bestFit="1" customWidth="1"/>
    <col min="7684" max="7685" width="10.6640625" customWidth="1"/>
    <col min="7686" max="7686" width="10.5" customWidth="1"/>
    <col min="7689" max="7689" width="8.5" customWidth="1"/>
    <col min="7692" max="7693" width="11.6640625" bestFit="1" customWidth="1"/>
    <col min="7695" max="7695" width="10.83203125" customWidth="1"/>
    <col min="7696" max="7696" width="9.1640625" customWidth="1"/>
    <col min="7697" max="7697" width="11" customWidth="1"/>
    <col min="7698" max="7698" width="9.5" bestFit="1" customWidth="1"/>
    <col min="7701" max="7701" width="13.33203125" customWidth="1"/>
    <col min="7703" max="7703" width="10.83203125" customWidth="1"/>
    <col min="7704" max="7704" width="9.5" bestFit="1" customWidth="1"/>
    <col min="7705" max="7705" width="15" customWidth="1"/>
    <col min="7706" max="7707" width="9.5" customWidth="1"/>
    <col min="7708" max="7708" width="11.33203125" bestFit="1" customWidth="1"/>
    <col min="7709" max="7709" width="12.1640625" bestFit="1" customWidth="1"/>
    <col min="7712" max="7712" width="14.83203125" bestFit="1" customWidth="1"/>
    <col min="7713" max="7713" width="18.6640625" customWidth="1"/>
    <col min="7714" max="7714" width="11.1640625" customWidth="1"/>
    <col min="7715" max="7715" width="19.33203125" customWidth="1"/>
    <col min="7716" max="7716" width="11.33203125" bestFit="1" customWidth="1"/>
    <col min="7938" max="7938" width="12.5" bestFit="1" customWidth="1"/>
    <col min="7940" max="7941" width="10.6640625" customWidth="1"/>
    <col min="7942" max="7942" width="10.5" customWidth="1"/>
    <col min="7945" max="7945" width="8.5" customWidth="1"/>
    <col min="7948" max="7949" width="11.6640625" bestFit="1" customWidth="1"/>
    <col min="7951" max="7951" width="10.83203125" customWidth="1"/>
    <col min="7952" max="7952" width="9.1640625" customWidth="1"/>
    <col min="7953" max="7953" width="11" customWidth="1"/>
    <col min="7954" max="7954" width="9.5" bestFit="1" customWidth="1"/>
    <col min="7957" max="7957" width="13.33203125" customWidth="1"/>
    <col min="7959" max="7959" width="10.83203125" customWidth="1"/>
    <col min="7960" max="7960" width="9.5" bestFit="1" customWidth="1"/>
    <col min="7961" max="7961" width="15" customWidth="1"/>
    <col min="7962" max="7963" width="9.5" customWidth="1"/>
    <col min="7964" max="7964" width="11.33203125" bestFit="1" customWidth="1"/>
    <col min="7965" max="7965" width="12.1640625" bestFit="1" customWidth="1"/>
    <col min="7968" max="7968" width="14.83203125" bestFit="1" customWidth="1"/>
    <col min="7969" max="7969" width="18.6640625" customWidth="1"/>
    <col min="7970" max="7970" width="11.1640625" customWidth="1"/>
    <col min="7971" max="7971" width="19.33203125" customWidth="1"/>
    <col min="7972" max="7972" width="11.33203125" bestFit="1" customWidth="1"/>
    <col min="8194" max="8194" width="12.5" bestFit="1" customWidth="1"/>
    <col min="8196" max="8197" width="10.6640625" customWidth="1"/>
    <col min="8198" max="8198" width="10.5" customWidth="1"/>
    <col min="8201" max="8201" width="8.5" customWidth="1"/>
    <col min="8204" max="8205" width="11.6640625" bestFit="1" customWidth="1"/>
    <col min="8207" max="8207" width="10.83203125" customWidth="1"/>
    <col min="8208" max="8208" width="9.1640625" customWidth="1"/>
    <col min="8209" max="8209" width="11" customWidth="1"/>
    <col min="8210" max="8210" width="9.5" bestFit="1" customWidth="1"/>
    <col min="8213" max="8213" width="13.33203125" customWidth="1"/>
    <col min="8215" max="8215" width="10.83203125" customWidth="1"/>
    <col min="8216" max="8216" width="9.5" bestFit="1" customWidth="1"/>
    <col min="8217" max="8217" width="15" customWidth="1"/>
    <col min="8218" max="8219" width="9.5" customWidth="1"/>
    <col min="8220" max="8220" width="11.33203125" bestFit="1" customWidth="1"/>
    <col min="8221" max="8221" width="12.1640625" bestFit="1" customWidth="1"/>
    <col min="8224" max="8224" width="14.83203125" bestFit="1" customWidth="1"/>
    <col min="8225" max="8225" width="18.6640625" customWidth="1"/>
    <col min="8226" max="8226" width="11.1640625" customWidth="1"/>
    <col min="8227" max="8227" width="19.33203125" customWidth="1"/>
    <col min="8228" max="8228" width="11.33203125" bestFit="1" customWidth="1"/>
    <col min="8450" max="8450" width="12.5" bestFit="1" customWidth="1"/>
    <col min="8452" max="8453" width="10.6640625" customWidth="1"/>
    <col min="8454" max="8454" width="10.5" customWidth="1"/>
    <col min="8457" max="8457" width="8.5" customWidth="1"/>
    <col min="8460" max="8461" width="11.6640625" bestFit="1" customWidth="1"/>
    <col min="8463" max="8463" width="10.83203125" customWidth="1"/>
    <col min="8464" max="8464" width="9.1640625" customWidth="1"/>
    <col min="8465" max="8465" width="11" customWidth="1"/>
    <col min="8466" max="8466" width="9.5" bestFit="1" customWidth="1"/>
    <col min="8469" max="8469" width="13.33203125" customWidth="1"/>
    <col min="8471" max="8471" width="10.83203125" customWidth="1"/>
    <col min="8472" max="8472" width="9.5" bestFit="1" customWidth="1"/>
    <col min="8473" max="8473" width="15" customWidth="1"/>
    <col min="8474" max="8475" width="9.5" customWidth="1"/>
    <col min="8476" max="8476" width="11.33203125" bestFit="1" customWidth="1"/>
    <col min="8477" max="8477" width="12.1640625" bestFit="1" customWidth="1"/>
    <col min="8480" max="8480" width="14.83203125" bestFit="1" customWidth="1"/>
    <col min="8481" max="8481" width="18.6640625" customWidth="1"/>
    <col min="8482" max="8482" width="11.1640625" customWidth="1"/>
    <col min="8483" max="8483" width="19.33203125" customWidth="1"/>
    <col min="8484" max="8484" width="11.33203125" bestFit="1" customWidth="1"/>
    <col min="8706" max="8706" width="12.5" bestFit="1" customWidth="1"/>
    <col min="8708" max="8709" width="10.6640625" customWidth="1"/>
    <col min="8710" max="8710" width="10.5" customWidth="1"/>
    <col min="8713" max="8713" width="8.5" customWidth="1"/>
    <col min="8716" max="8717" width="11.6640625" bestFit="1" customWidth="1"/>
    <col min="8719" max="8719" width="10.83203125" customWidth="1"/>
    <col min="8720" max="8720" width="9.1640625" customWidth="1"/>
    <col min="8721" max="8721" width="11" customWidth="1"/>
    <col min="8722" max="8722" width="9.5" bestFit="1" customWidth="1"/>
    <col min="8725" max="8725" width="13.33203125" customWidth="1"/>
    <col min="8727" max="8727" width="10.83203125" customWidth="1"/>
    <col min="8728" max="8728" width="9.5" bestFit="1" customWidth="1"/>
    <col min="8729" max="8729" width="15" customWidth="1"/>
    <col min="8730" max="8731" width="9.5" customWidth="1"/>
    <col min="8732" max="8732" width="11.33203125" bestFit="1" customWidth="1"/>
    <col min="8733" max="8733" width="12.1640625" bestFit="1" customWidth="1"/>
    <col min="8736" max="8736" width="14.83203125" bestFit="1" customWidth="1"/>
    <col min="8737" max="8737" width="18.6640625" customWidth="1"/>
    <col min="8738" max="8738" width="11.1640625" customWidth="1"/>
    <col min="8739" max="8739" width="19.33203125" customWidth="1"/>
    <col min="8740" max="8740" width="11.33203125" bestFit="1" customWidth="1"/>
    <col min="8962" max="8962" width="12.5" bestFit="1" customWidth="1"/>
    <col min="8964" max="8965" width="10.6640625" customWidth="1"/>
    <col min="8966" max="8966" width="10.5" customWidth="1"/>
    <col min="8969" max="8969" width="8.5" customWidth="1"/>
    <col min="8972" max="8973" width="11.6640625" bestFit="1" customWidth="1"/>
    <col min="8975" max="8975" width="10.83203125" customWidth="1"/>
    <col min="8976" max="8976" width="9.1640625" customWidth="1"/>
    <col min="8977" max="8977" width="11" customWidth="1"/>
    <col min="8978" max="8978" width="9.5" bestFit="1" customWidth="1"/>
    <col min="8981" max="8981" width="13.33203125" customWidth="1"/>
    <col min="8983" max="8983" width="10.83203125" customWidth="1"/>
    <col min="8984" max="8984" width="9.5" bestFit="1" customWidth="1"/>
    <col min="8985" max="8985" width="15" customWidth="1"/>
    <col min="8986" max="8987" width="9.5" customWidth="1"/>
    <col min="8988" max="8988" width="11.33203125" bestFit="1" customWidth="1"/>
    <col min="8989" max="8989" width="12.1640625" bestFit="1" customWidth="1"/>
    <col min="8992" max="8992" width="14.83203125" bestFit="1" customWidth="1"/>
    <col min="8993" max="8993" width="18.6640625" customWidth="1"/>
    <col min="8994" max="8994" width="11.1640625" customWidth="1"/>
    <col min="8995" max="8995" width="19.33203125" customWidth="1"/>
    <col min="8996" max="8996" width="11.33203125" bestFit="1" customWidth="1"/>
    <col min="9218" max="9218" width="12.5" bestFit="1" customWidth="1"/>
    <col min="9220" max="9221" width="10.6640625" customWidth="1"/>
    <col min="9222" max="9222" width="10.5" customWidth="1"/>
    <col min="9225" max="9225" width="8.5" customWidth="1"/>
    <col min="9228" max="9229" width="11.6640625" bestFit="1" customWidth="1"/>
    <col min="9231" max="9231" width="10.83203125" customWidth="1"/>
    <col min="9232" max="9232" width="9.1640625" customWidth="1"/>
    <col min="9233" max="9233" width="11" customWidth="1"/>
    <col min="9234" max="9234" width="9.5" bestFit="1" customWidth="1"/>
    <col min="9237" max="9237" width="13.33203125" customWidth="1"/>
    <col min="9239" max="9239" width="10.83203125" customWidth="1"/>
    <col min="9240" max="9240" width="9.5" bestFit="1" customWidth="1"/>
    <col min="9241" max="9241" width="15" customWidth="1"/>
    <col min="9242" max="9243" width="9.5" customWidth="1"/>
    <col min="9244" max="9244" width="11.33203125" bestFit="1" customWidth="1"/>
    <col min="9245" max="9245" width="12.1640625" bestFit="1" customWidth="1"/>
    <col min="9248" max="9248" width="14.83203125" bestFit="1" customWidth="1"/>
    <col min="9249" max="9249" width="18.6640625" customWidth="1"/>
    <col min="9250" max="9250" width="11.1640625" customWidth="1"/>
    <col min="9251" max="9251" width="19.33203125" customWidth="1"/>
    <col min="9252" max="9252" width="11.33203125" bestFit="1" customWidth="1"/>
    <col min="9474" max="9474" width="12.5" bestFit="1" customWidth="1"/>
    <col min="9476" max="9477" width="10.6640625" customWidth="1"/>
    <col min="9478" max="9478" width="10.5" customWidth="1"/>
    <col min="9481" max="9481" width="8.5" customWidth="1"/>
    <col min="9484" max="9485" width="11.6640625" bestFit="1" customWidth="1"/>
    <col min="9487" max="9487" width="10.83203125" customWidth="1"/>
    <col min="9488" max="9488" width="9.1640625" customWidth="1"/>
    <col min="9489" max="9489" width="11" customWidth="1"/>
    <col min="9490" max="9490" width="9.5" bestFit="1" customWidth="1"/>
    <col min="9493" max="9493" width="13.33203125" customWidth="1"/>
    <col min="9495" max="9495" width="10.83203125" customWidth="1"/>
    <col min="9496" max="9496" width="9.5" bestFit="1" customWidth="1"/>
    <col min="9497" max="9497" width="15" customWidth="1"/>
    <col min="9498" max="9499" width="9.5" customWidth="1"/>
    <col min="9500" max="9500" width="11.33203125" bestFit="1" customWidth="1"/>
    <col min="9501" max="9501" width="12.1640625" bestFit="1" customWidth="1"/>
    <col min="9504" max="9504" width="14.83203125" bestFit="1" customWidth="1"/>
    <col min="9505" max="9505" width="18.6640625" customWidth="1"/>
    <col min="9506" max="9506" width="11.1640625" customWidth="1"/>
    <col min="9507" max="9507" width="19.33203125" customWidth="1"/>
    <col min="9508" max="9508" width="11.33203125" bestFit="1" customWidth="1"/>
    <col min="9730" max="9730" width="12.5" bestFit="1" customWidth="1"/>
    <col min="9732" max="9733" width="10.6640625" customWidth="1"/>
    <col min="9734" max="9734" width="10.5" customWidth="1"/>
    <col min="9737" max="9737" width="8.5" customWidth="1"/>
    <col min="9740" max="9741" width="11.6640625" bestFit="1" customWidth="1"/>
    <col min="9743" max="9743" width="10.83203125" customWidth="1"/>
    <col min="9744" max="9744" width="9.1640625" customWidth="1"/>
    <col min="9745" max="9745" width="11" customWidth="1"/>
    <col min="9746" max="9746" width="9.5" bestFit="1" customWidth="1"/>
    <col min="9749" max="9749" width="13.33203125" customWidth="1"/>
    <col min="9751" max="9751" width="10.83203125" customWidth="1"/>
    <col min="9752" max="9752" width="9.5" bestFit="1" customWidth="1"/>
    <col min="9753" max="9753" width="15" customWidth="1"/>
    <col min="9754" max="9755" width="9.5" customWidth="1"/>
    <col min="9756" max="9756" width="11.33203125" bestFit="1" customWidth="1"/>
    <col min="9757" max="9757" width="12.1640625" bestFit="1" customWidth="1"/>
    <col min="9760" max="9760" width="14.83203125" bestFit="1" customWidth="1"/>
    <col min="9761" max="9761" width="18.6640625" customWidth="1"/>
    <col min="9762" max="9762" width="11.1640625" customWidth="1"/>
    <col min="9763" max="9763" width="19.33203125" customWidth="1"/>
    <col min="9764" max="9764" width="11.33203125" bestFit="1" customWidth="1"/>
    <col min="9986" max="9986" width="12.5" bestFit="1" customWidth="1"/>
    <col min="9988" max="9989" width="10.6640625" customWidth="1"/>
    <col min="9990" max="9990" width="10.5" customWidth="1"/>
    <col min="9993" max="9993" width="8.5" customWidth="1"/>
    <col min="9996" max="9997" width="11.6640625" bestFit="1" customWidth="1"/>
    <col min="9999" max="9999" width="10.83203125" customWidth="1"/>
    <col min="10000" max="10000" width="9.1640625" customWidth="1"/>
    <col min="10001" max="10001" width="11" customWidth="1"/>
    <col min="10002" max="10002" width="9.5" bestFit="1" customWidth="1"/>
    <col min="10005" max="10005" width="13.33203125" customWidth="1"/>
    <col min="10007" max="10007" width="10.83203125" customWidth="1"/>
    <col min="10008" max="10008" width="9.5" bestFit="1" customWidth="1"/>
    <col min="10009" max="10009" width="15" customWidth="1"/>
    <col min="10010" max="10011" width="9.5" customWidth="1"/>
    <col min="10012" max="10012" width="11.33203125" bestFit="1" customWidth="1"/>
    <col min="10013" max="10013" width="12.1640625" bestFit="1" customWidth="1"/>
    <col min="10016" max="10016" width="14.83203125" bestFit="1" customWidth="1"/>
    <col min="10017" max="10017" width="18.6640625" customWidth="1"/>
    <col min="10018" max="10018" width="11.1640625" customWidth="1"/>
    <col min="10019" max="10019" width="19.33203125" customWidth="1"/>
    <col min="10020" max="10020" width="11.33203125" bestFit="1" customWidth="1"/>
    <col min="10242" max="10242" width="12.5" bestFit="1" customWidth="1"/>
    <col min="10244" max="10245" width="10.6640625" customWidth="1"/>
    <col min="10246" max="10246" width="10.5" customWidth="1"/>
    <col min="10249" max="10249" width="8.5" customWidth="1"/>
    <col min="10252" max="10253" width="11.6640625" bestFit="1" customWidth="1"/>
    <col min="10255" max="10255" width="10.83203125" customWidth="1"/>
    <col min="10256" max="10256" width="9.1640625" customWidth="1"/>
    <col min="10257" max="10257" width="11" customWidth="1"/>
    <col min="10258" max="10258" width="9.5" bestFit="1" customWidth="1"/>
    <col min="10261" max="10261" width="13.33203125" customWidth="1"/>
    <col min="10263" max="10263" width="10.83203125" customWidth="1"/>
    <col min="10264" max="10264" width="9.5" bestFit="1" customWidth="1"/>
    <col min="10265" max="10265" width="15" customWidth="1"/>
    <col min="10266" max="10267" width="9.5" customWidth="1"/>
    <col min="10268" max="10268" width="11.33203125" bestFit="1" customWidth="1"/>
    <col min="10269" max="10269" width="12.1640625" bestFit="1" customWidth="1"/>
    <col min="10272" max="10272" width="14.83203125" bestFit="1" customWidth="1"/>
    <col min="10273" max="10273" width="18.6640625" customWidth="1"/>
    <col min="10274" max="10274" width="11.1640625" customWidth="1"/>
    <col min="10275" max="10275" width="19.33203125" customWidth="1"/>
    <col min="10276" max="10276" width="11.33203125" bestFit="1" customWidth="1"/>
    <col min="10498" max="10498" width="12.5" bestFit="1" customWidth="1"/>
    <col min="10500" max="10501" width="10.6640625" customWidth="1"/>
    <col min="10502" max="10502" width="10.5" customWidth="1"/>
    <col min="10505" max="10505" width="8.5" customWidth="1"/>
    <col min="10508" max="10509" width="11.6640625" bestFit="1" customWidth="1"/>
    <col min="10511" max="10511" width="10.83203125" customWidth="1"/>
    <col min="10512" max="10512" width="9.1640625" customWidth="1"/>
    <col min="10513" max="10513" width="11" customWidth="1"/>
    <col min="10514" max="10514" width="9.5" bestFit="1" customWidth="1"/>
    <col min="10517" max="10517" width="13.33203125" customWidth="1"/>
    <col min="10519" max="10519" width="10.83203125" customWidth="1"/>
    <col min="10520" max="10520" width="9.5" bestFit="1" customWidth="1"/>
    <col min="10521" max="10521" width="15" customWidth="1"/>
    <col min="10522" max="10523" width="9.5" customWidth="1"/>
    <col min="10524" max="10524" width="11.33203125" bestFit="1" customWidth="1"/>
    <col min="10525" max="10525" width="12.1640625" bestFit="1" customWidth="1"/>
    <col min="10528" max="10528" width="14.83203125" bestFit="1" customWidth="1"/>
    <col min="10529" max="10529" width="18.6640625" customWidth="1"/>
    <col min="10530" max="10530" width="11.1640625" customWidth="1"/>
    <col min="10531" max="10531" width="19.33203125" customWidth="1"/>
    <col min="10532" max="10532" width="11.33203125" bestFit="1" customWidth="1"/>
    <col min="10754" max="10754" width="12.5" bestFit="1" customWidth="1"/>
    <col min="10756" max="10757" width="10.6640625" customWidth="1"/>
    <col min="10758" max="10758" width="10.5" customWidth="1"/>
    <col min="10761" max="10761" width="8.5" customWidth="1"/>
    <col min="10764" max="10765" width="11.6640625" bestFit="1" customWidth="1"/>
    <col min="10767" max="10767" width="10.83203125" customWidth="1"/>
    <col min="10768" max="10768" width="9.1640625" customWidth="1"/>
    <col min="10769" max="10769" width="11" customWidth="1"/>
    <col min="10770" max="10770" width="9.5" bestFit="1" customWidth="1"/>
    <col min="10773" max="10773" width="13.33203125" customWidth="1"/>
    <col min="10775" max="10775" width="10.83203125" customWidth="1"/>
    <col min="10776" max="10776" width="9.5" bestFit="1" customWidth="1"/>
    <col min="10777" max="10777" width="15" customWidth="1"/>
    <col min="10778" max="10779" width="9.5" customWidth="1"/>
    <col min="10780" max="10780" width="11.33203125" bestFit="1" customWidth="1"/>
    <col min="10781" max="10781" width="12.1640625" bestFit="1" customWidth="1"/>
    <col min="10784" max="10784" width="14.83203125" bestFit="1" customWidth="1"/>
    <col min="10785" max="10785" width="18.6640625" customWidth="1"/>
    <col min="10786" max="10786" width="11.1640625" customWidth="1"/>
    <col min="10787" max="10787" width="19.33203125" customWidth="1"/>
    <col min="10788" max="10788" width="11.33203125" bestFit="1" customWidth="1"/>
    <col min="11010" max="11010" width="12.5" bestFit="1" customWidth="1"/>
    <col min="11012" max="11013" width="10.6640625" customWidth="1"/>
    <col min="11014" max="11014" width="10.5" customWidth="1"/>
    <col min="11017" max="11017" width="8.5" customWidth="1"/>
    <col min="11020" max="11021" width="11.6640625" bestFit="1" customWidth="1"/>
    <col min="11023" max="11023" width="10.83203125" customWidth="1"/>
    <col min="11024" max="11024" width="9.1640625" customWidth="1"/>
    <col min="11025" max="11025" width="11" customWidth="1"/>
    <col min="11026" max="11026" width="9.5" bestFit="1" customWidth="1"/>
    <col min="11029" max="11029" width="13.33203125" customWidth="1"/>
    <col min="11031" max="11031" width="10.83203125" customWidth="1"/>
    <col min="11032" max="11032" width="9.5" bestFit="1" customWidth="1"/>
    <col min="11033" max="11033" width="15" customWidth="1"/>
    <col min="11034" max="11035" width="9.5" customWidth="1"/>
    <col min="11036" max="11036" width="11.33203125" bestFit="1" customWidth="1"/>
    <col min="11037" max="11037" width="12.1640625" bestFit="1" customWidth="1"/>
    <col min="11040" max="11040" width="14.83203125" bestFit="1" customWidth="1"/>
    <col min="11041" max="11041" width="18.6640625" customWidth="1"/>
    <col min="11042" max="11042" width="11.1640625" customWidth="1"/>
    <col min="11043" max="11043" width="19.33203125" customWidth="1"/>
    <col min="11044" max="11044" width="11.33203125" bestFit="1" customWidth="1"/>
    <col min="11266" max="11266" width="12.5" bestFit="1" customWidth="1"/>
    <col min="11268" max="11269" width="10.6640625" customWidth="1"/>
    <col min="11270" max="11270" width="10.5" customWidth="1"/>
    <col min="11273" max="11273" width="8.5" customWidth="1"/>
    <col min="11276" max="11277" width="11.6640625" bestFit="1" customWidth="1"/>
    <col min="11279" max="11279" width="10.83203125" customWidth="1"/>
    <col min="11280" max="11280" width="9.1640625" customWidth="1"/>
    <col min="11281" max="11281" width="11" customWidth="1"/>
    <col min="11282" max="11282" width="9.5" bestFit="1" customWidth="1"/>
    <col min="11285" max="11285" width="13.33203125" customWidth="1"/>
    <col min="11287" max="11287" width="10.83203125" customWidth="1"/>
    <col min="11288" max="11288" width="9.5" bestFit="1" customWidth="1"/>
    <col min="11289" max="11289" width="15" customWidth="1"/>
    <col min="11290" max="11291" width="9.5" customWidth="1"/>
    <col min="11292" max="11292" width="11.33203125" bestFit="1" customWidth="1"/>
    <col min="11293" max="11293" width="12.1640625" bestFit="1" customWidth="1"/>
    <col min="11296" max="11296" width="14.83203125" bestFit="1" customWidth="1"/>
    <col min="11297" max="11297" width="18.6640625" customWidth="1"/>
    <col min="11298" max="11298" width="11.1640625" customWidth="1"/>
    <col min="11299" max="11299" width="19.33203125" customWidth="1"/>
    <col min="11300" max="11300" width="11.33203125" bestFit="1" customWidth="1"/>
    <col min="11522" max="11522" width="12.5" bestFit="1" customWidth="1"/>
    <col min="11524" max="11525" width="10.6640625" customWidth="1"/>
    <col min="11526" max="11526" width="10.5" customWidth="1"/>
    <col min="11529" max="11529" width="8.5" customWidth="1"/>
    <col min="11532" max="11533" width="11.6640625" bestFit="1" customWidth="1"/>
    <col min="11535" max="11535" width="10.83203125" customWidth="1"/>
    <col min="11536" max="11536" width="9.1640625" customWidth="1"/>
    <col min="11537" max="11537" width="11" customWidth="1"/>
    <col min="11538" max="11538" width="9.5" bestFit="1" customWidth="1"/>
    <col min="11541" max="11541" width="13.33203125" customWidth="1"/>
    <col min="11543" max="11543" width="10.83203125" customWidth="1"/>
    <col min="11544" max="11544" width="9.5" bestFit="1" customWidth="1"/>
    <col min="11545" max="11545" width="15" customWidth="1"/>
    <col min="11546" max="11547" width="9.5" customWidth="1"/>
    <col min="11548" max="11548" width="11.33203125" bestFit="1" customWidth="1"/>
    <col min="11549" max="11549" width="12.1640625" bestFit="1" customWidth="1"/>
    <col min="11552" max="11552" width="14.83203125" bestFit="1" customWidth="1"/>
    <col min="11553" max="11553" width="18.6640625" customWidth="1"/>
    <col min="11554" max="11554" width="11.1640625" customWidth="1"/>
    <col min="11555" max="11555" width="19.33203125" customWidth="1"/>
    <col min="11556" max="11556" width="11.33203125" bestFit="1" customWidth="1"/>
    <col min="11778" max="11778" width="12.5" bestFit="1" customWidth="1"/>
    <col min="11780" max="11781" width="10.6640625" customWidth="1"/>
    <col min="11782" max="11782" width="10.5" customWidth="1"/>
    <col min="11785" max="11785" width="8.5" customWidth="1"/>
    <col min="11788" max="11789" width="11.6640625" bestFit="1" customWidth="1"/>
    <col min="11791" max="11791" width="10.83203125" customWidth="1"/>
    <col min="11792" max="11792" width="9.1640625" customWidth="1"/>
    <col min="11793" max="11793" width="11" customWidth="1"/>
    <col min="11794" max="11794" width="9.5" bestFit="1" customWidth="1"/>
    <col min="11797" max="11797" width="13.33203125" customWidth="1"/>
    <col min="11799" max="11799" width="10.83203125" customWidth="1"/>
    <col min="11800" max="11800" width="9.5" bestFit="1" customWidth="1"/>
    <col min="11801" max="11801" width="15" customWidth="1"/>
    <col min="11802" max="11803" width="9.5" customWidth="1"/>
    <col min="11804" max="11804" width="11.33203125" bestFit="1" customWidth="1"/>
    <col min="11805" max="11805" width="12.1640625" bestFit="1" customWidth="1"/>
    <col min="11808" max="11808" width="14.83203125" bestFit="1" customWidth="1"/>
    <col min="11809" max="11809" width="18.6640625" customWidth="1"/>
    <col min="11810" max="11810" width="11.1640625" customWidth="1"/>
    <col min="11811" max="11811" width="19.33203125" customWidth="1"/>
    <col min="11812" max="11812" width="11.33203125" bestFit="1" customWidth="1"/>
    <col min="12034" max="12034" width="12.5" bestFit="1" customWidth="1"/>
    <col min="12036" max="12037" width="10.6640625" customWidth="1"/>
    <col min="12038" max="12038" width="10.5" customWidth="1"/>
    <col min="12041" max="12041" width="8.5" customWidth="1"/>
    <col min="12044" max="12045" width="11.6640625" bestFit="1" customWidth="1"/>
    <col min="12047" max="12047" width="10.83203125" customWidth="1"/>
    <col min="12048" max="12048" width="9.1640625" customWidth="1"/>
    <col min="12049" max="12049" width="11" customWidth="1"/>
    <col min="12050" max="12050" width="9.5" bestFit="1" customWidth="1"/>
    <col min="12053" max="12053" width="13.33203125" customWidth="1"/>
    <col min="12055" max="12055" width="10.83203125" customWidth="1"/>
    <col min="12056" max="12056" width="9.5" bestFit="1" customWidth="1"/>
    <col min="12057" max="12057" width="15" customWidth="1"/>
    <col min="12058" max="12059" width="9.5" customWidth="1"/>
    <col min="12060" max="12060" width="11.33203125" bestFit="1" customWidth="1"/>
    <col min="12061" max="12061" width="12.1640625" bestFit="1" customWidth="1"/>
    <col min="12064" max="12064" width="14.83203125" bestFit="1" customWidth="1"/>
    <col min="12065" max="12065" width="18.6640625" customWidth="1"/>
    <col min="12066" max="12066" width="11.1640625" customWidth="1"/>
    <col min="12067" max="12067" width="19.33203125" customWidth="1"/>
    <col min="12068" max="12068" width="11.33203125" bestFit="1" customWidth="1"/>
    <col min="12290" max="12290" width="12.5" bestFit="1" customWidth="1"/>
    <col min="12292" max="12293" width="10.6640625" customWidth="1"/>
    <col min="12294" max="12294" width="10.5" customWidth="1"/>
    <col min="12297" max="12297" width="8.5" customWidth="1"/>
    <col min="12300" max="12301" width="11.6640625" bestFit="1" customWidth="1"/>
    <col min="12303" max="12303" width="10.83203125" customWidth="1"/>
    <col min="12304" max="12304" width="9.1640625" customWidth="1"/>
    <col min="12305" max="12305" width="11" customWidth="1"/>
    <col min="12306" max="12306" width="9.5" bestFit="1" customWidth="1"/>
    <col min="12309" max="12309" width="13.33203125" customWidth="1"/>
    <col min="12311" max="12311" width="10.83203125" customWidth="1"/>
    <col min="12312" max="12312" width="9.5" bestFit="1" customWidth="1"/>
    <col min="12313" max="12313" width="15" customWidth="1"/>
    <col min="12314" max="12315" width="9.5" customWidth="1"/>
    <col min="12316" max="12316" width="11.33203125" bestFit="1" customWidth="1"/>
    <col min="12317" max="12317" width="12.1640625" bestFit="1" customWidth="1"/>
    <col min="12320" max="12320" width="14.83203125" bestFit="1" customWidth="1"/>
    <col min="12321" max="12321" width="18.6640625" customWidth="1"/>
    <col min="12322" max="12322" width="11.1640625" customWidth="1"/>
    <col min="12323" max="12323" width="19.33203125" customWidth="1"/>
    <col min="12324" max="12324" width="11.33203125" bestFit="1" customWidth="1"/>
    <col min="12546" max="12546" width="12.5" bestFit="1" customWidth="1"/>
    <col min="12548" max="12549" width="10.6640625" customWidth="1"/>
    <col min="12550" max="12550" width="10.5" customWidth="1"/>
    <col min="12553" max="12553" width="8.5" customWidth="1"/>
    <col min="12556" max="12557" width="11.6640625" bestFit="1" customWidth="1"/>
    <col min="12559" max="12559" width="10.83203125" customWidth="1"/>
    <col min="12560" max="12560" width="9.1640625" customWidth="1"/>
    <col min="12561" max="12561" width="11" customWidth="1"/>
    <col min="12562" max="12562" width="9.5" bestFit="1" customWidth="1"/>
    <col min="12565" max="12565" width="13.33203125" customWidth="1"/>
    <col min="12567" max="12567" width="10.83203125" customWidth="1"/>
    <col min="12568" max="12568" width="9.5" bestFit="1" customWidth="1"/>
    <col min="12569" max="12569" width="15" customWidth="1"/>
    <col min="12570" max="12571" width="9.5" customWidth="1"/>
    <col min="12572" max="12572" width="11.33203125" bestFit="1" customWidth="1"/>
    <col min="12573" max="12573" width="12.1640625" bestFit="1" customWidth="1"/>
    <col min="12576" max="12576" width="14.83203125" bestFit="1" customWidth="1"/>
    <col min="12577" max="12577" width="18.6640625" customWidth="1"/>
    <col min="12578" max="12578" width="11.1640625" customWidth="1"/>
    <col min="12579" max="12579" width="19.33203125" customWidth="1"/>
    <col min="12580" max="12580" width="11.33203125" bestFit="1" customWidth="1"/>
    <col min="12802" max="12802" width="12.5" bestFit="1" customWidth="1"/>
    <col min="12804" max="12805" width="10.6640625" customWidth="1"/>
    <col min="12806" max="12806" width="10.5" customWidth="1"/>
    <col min="12809" max="12809" width="8.5" customWidth="1"/>
    <col min="12812" max="12813" width="11.6640625" bestFit="1" customWidth="1"/>
    <col min="12815" max="12815" width="10.83203125" customWidth="1"/>
    <col min="12816" max="12816" width="9.1640625" customWidth="1"/>
    <col min="12817" max="12817" width="11" customWidth="1"/>
    <col min="12818" max="12818" width="9.5" bestFit="1" customWidth="1"/>
    <col min="12821" max="12821" width="13.33203125" customWidth="1"/>
    <col min="12823" max="12823" width="10.83203125" customWidth="1"/>
    <col min="12824" max="12824" width="9.5" bestFit="1" customWidth="1"/>
    <col min="12825" max="12825" width="15" customWidth="1"/>
    <col min="12826" max="12827" width="9.5" customWidth="1"/>
    <col min="12828" max="12828" width="11.33203125" bestFit="1" customWidth="1"/>
    <col min="12829" max="12829" width="12.1640625" bestFit="1" customWidth="1"/>
    <col min="12832" max="12832" width="14.83203125" bestFit="1" customWidth="1"/>
    <col min="12833" max="12833" width="18.6640625" customWidth="1"/>
    <col min="12834" max="12834" width="11.1640625" customWidth="1"/>
    <col min="12835" max="12835" width="19.33203125" customWidth="1"/>
    <col min="12836" max="12836" width="11.33203125" bestFit="1" customWidth="1"/>
    <col min="13058" max="13058" width="12.5" bestFit="1" customWidth="1"/>
    <col min="13060" max="13061" width="10.6640625" customWidth="1"/>
    <col min="13062" max="13062" width="10.5" customWidth="1"/>
    <col min="13065" max="13065" width="8.5" customWidth="1"/>
    <col min="13068" max="13069" width="11.6640625" bestFit="1" customWidth="1"/>
    <col min="13071" max="13071" width="10.83203125" customWidth="1"/>
    <col min="13072" max="13072" width="9.1640625" customWidth="1"/>
    <col min="13073" max="13073" width="11" customWidth="1"/>
    <col min="13074" max="13074" width="9.5" bestFit="1" customWidth="1"/>
    <col min="13077" max="13077" width="13.33203125" customWidth="1"/>
    <col min="13079" max="13079" width="10.83203125" customWidth="1"/>
    <col min="13080" max="13080" width="9.5" bestFit="1" customWidth="1"/>
    <col min="13081" max="13081" width="15" customWidth="1"/>
    <col min="13082" max="13083" width="9.5" customWidth="1"/>
    <col min="13084" max="13084" width="11.33203125" bestFit="1" customWidth="1"/>
    <col min="13085" max="13085" width="12.1640625" bestFit="1" customWidth="1"/>
    <col min="13088" max="13088" width="14.83203125" bestFit="1" customWidth="1"/>
    <col min="13089" max="13089" width="18.6640625" customWidth="1"/>
    <col min="13090" max="13090" width="11.1640625" customWidth="1"/>
    <col min="13091" max="13091" width="19.33203125" customWidth="1"/>
    <col min="13092" max="13092" width="11.33203125" bestFit="1" customWidth="1"/>
    <col min="13314" max="13314" width="12.5" bestFit="1" customWidth="1"/>
    <col min="13316" max="13317" width="10.6640625" customWidth="1"/>
    <col min="13318" max="13318" width="10.5" customWidth="1"/>
    <col min="13321" max="13321" width="8.5" customWidth="1"/>
    <col min="13324" max="13325" width="11.6640625" bestFit="1" customWidth="1"/>
    <col min="13327" max="13327" width="10.83203125" customWidth="1"/>
    <col min="13328" max="13328" width="9.1640625" customWidth="1"/>
    <col min="13329" max="13329" width="11" customWidth="1"/>
    <col min="13330" max="13330" width="9.5" bestFit="1" customWidth="1"/>
    <col min="13333" max="13333" width="13.33203125" customWidth="1"/>
    <col min="13335" max="13335" width="10.83203125" customWidth="1"/>
    <col min="13336" max="13336" width="9.5" bestFit="1" customWidth="1"/>
    <col min="13337" max="13337" width="15" customWidth="1"/>
    <col min="13338" max="13339" width="9.5" customWidth="1"/>
    <col min="13340" max="13340" width="11.33203125" bestFit="1" customWidth="1"/>
    <col min="13341" max="13341" width="12.1640625" bestFit="1" customWidth="1"/>
    <col min="13344" max="13344" width="14.83203125" bestFit="1" customWidth="1"/>
    <col min="13345" max="13345" width="18.6640625" customWidth="1"/>
    <col min="13346" max="13346" width="11.1640625" customWidth="1"/>
    <col min="13347" max="13347" width="19.33203125" customWidth="1"/>
    <col min="13348" max="13348" width="11.33203125" bestFit="1" customWidth="1"/>
    <col min="13570" max="13570" width="12.5" bestFit="1" customWidth="1"/>
    <col min="13572" max="13573" width="10.6640625" customWidth="1"/>
    <col min="13574" max="13574" width="10.5" customWidth="1"/>
    <col min="13577" max="13577" width="8.5" customWidth="1"/>
    <col min="13580" max="13581" width="11.6640625" bestFit="1" customWidth="1"/>
    <col min="13583" max="13583" width="10.83203125" customWidth="1"/>
    <col min="13584" max="13584" width="9.1640625" customWidth="1"/>
    <col min="13585" max="13585" width="11" customWidth="1"/>
    <col min="13586" max="13586" width="9.5" bestFit="1" customWidth="1"/>
    <col min="13589" max="13589" width="13.33203125" customWidth="1"/>
    <col min="13591" max="13591" width="10.83203125" customWidth="1"/>
    <col min="13592" max="13592" width="9.5" bestFit="1" customWidth="1"/>
    <col min="13593" max="13593" width="15" customWidth="1"/>
    <col min="13594" max="13595" width="9.5" customWidth="1"/>
    <col min="13596" max="13596" width="11.33203125" bestFit="1" customWidth="1"/>
    <col min="13597" max="13597" width="12.1640625" bestFit="1" customWidth="1"/>
    <col min="13600" max="13600" width="14.83203125" bestFit="1" customWidth="1"/>
    <col min="13601" max="13601" width="18.6640625" customWidth="1"/>
    <col min="13602" max="13602" width="11.1640625" customWidth="1"/>
    <col min="13603" max="13603" width="19.33203125" customWidth="1"/>
    <col min="13604" max="13604" width="11.33203125" bestFit="1" customWidth="1"/>
    <col min="13826" max="13826" width="12.5" bestFit="1" customWidth="1"/>
    <col min="13828" max="13829" width="10.6640625" customWidth="1"/>
    <col min="13830" max="13830" width="10.5" customWidth="1"/>
    <col min="13833" max="13833" width="8.5" customWidth="1"/>
    <col min="13836" max="13837" width="11.6640625" bestFit="1" customWidth="1"/>
    <col min="13839" max="13839" width="10.83203125" customWidth="1"/>
    <col min="13840" max="13840" width="9.1640625" customWidth="1"/>
    <col min="13841" max="13841" width="11" customWidth="1"/>
    <col min="13842" max="13842" width="9.5" bestFit="1" customWidth="1"/>
    <col min="13845" max="13845" width="13.33203125" customWidth="1"/>
    <col min="13847" max="13847" width="10.83203125" customWidth="1"/>
    <col min="13848" max="13848" width="9.5" bestFit="1" customWidth="1"/>
    <col min="13849" max="13849" width="15" customWidth="1"/>
    <col min="13850" max="13851" width="9.5" customWidth="1"/>
    <col min="13852" max="13852" width="11.33203125" bestFit="1" customWidth="1"/>
    <col min="13853" max="13853" width="12.1640625" bestFit="1" customWidth="1"/>
    <col min="13856" max="13856" width="14.83203125" bestFit="1" customWidth="1"/>
    <col min="13857" max="13857" width="18.6640625" customWidth="1"/>
    <col min="13858" max="13858" width="11.1640625" customWidth="1"/>
    <col min="13859" max="13859" width="19.33203125" customWidth="1"/>
    <col min="13860" max="13860" width="11.33203125" bestFit="1" customWidth="1"/>
    <col min="14082" max="14082" width="12.5" bestFit="1" customWidth="1"/>
    <col min="14084" max="14085" width="10.6640625" customWidth="1"/>
    <col min="14086" max="14086" width="10.5" customWidth="1"/>
    <col min="14089" max="14089" width="8.5" customWidth="1"/>
    <col min="14092" max="14093" width="11.6640625" bestFit="1" customWidth="1"/>
    <col min="14095" max="14095" width="10.83203125" customWidth="1"/>
    <col min="14096" max="14096" width="9.1640625" customWidth="1"/>
    <col min="14097" max="14097" width="11" customWidth="1"/>
    <col min="14098" max="14098" width="9.5" bestFit="1" customWidth="1"/>
    <col min="14101" max="14101" width="13.33203125" customWidth="1"/>
    <col min="14103" max="14103" width="10.83203125" customWidth="1"/>
    <col min="14104" max="14104" width="9.5" bestFit="1" customWidth="1"/>
    <col min="14105" max="14105" width="15" customWidth="1"/>
    <col min="14106" max="14107" width="9.5" customWidth="1"/>
    <col min="14108" max="14108" width="11.33203125" bestFit="1" customWidth="1"/>
    <col min="14109" max="14109" width="12.1640625" bestFit="1" customWidth="1"/>
    <col min="14112" max="14112" width="14.83203125" bestFit="1" customWidth="1"/>
    <col min="14113" max="14113" width="18.6640625" customWidth="1"/>
    <col min="14114" max="14114" width="11.1640625" customWidth="1"/>
    <col min="14115" max="14115" width="19.33203125" customWidth="1"/>
    <col min="14116" max="14116" width="11.33203125" bestFit="1" customWidth="1"/>
    <col min="14338" max="14338" width="12.5" bestFit="1" customWidth="1"/>
    <col min="14340" max="14341" width="10.6640625" customWidth="1"/>
    <col min="14342" max="14342" width="10.5" customWidth="1"/>
    <col min="14345" max="14345" width="8.5" customWidth="1"/>
    <col min="14348" max="14349" width="11.6640625" bestFit="1" customWidth="1"/>
    <col min="14351" max="14351" width="10.83203125" customWidth="1"/>
    <col min="14352" max="14352" width="9.1640625" customWidth="1"/>
    <col min="14353" max="14353" width="11" customWidth="1"/>
    <col min="14354" max="14354" width="9.5" bestFit="1" customWidth="1"/>
    <col min="14357" max="14357" width="13.33203125" customWidth="1"/>
    <col min="14359" max="14359" width="10.83203125" customWidth="1"/>
    <col min="14360" max="14360" width="9.5" bestFit="1" customWidth="1"/>
    <col min="14361" max="14361" width="15" customWidth="1"/>
    <col min="14362" max="14363" width="9.5" customWidth="1"/>
    <col min="14364" max="14364" width="11.33203125" bestFit="1" customWidth="1"/>
    <col min="14365" max="14365" width="12.1640625" bestFit="1" customWidth="1"/>
    <col min="14368" max="14368" width="14.83203125" bestFit="1" customWidth="1"/>
    <col min="14369" max="14369" width="18.6640625" customWidth="1"/>
    <col min="14370" max="14370" width="11.1640625" customWidth="1"/>
    <col min="14371" max="14371" width="19.33203125" customWidth="1"/>
    <col min="14372" max="14372" width="11.33203125" bestFit="1" customWidth="1"/>
    <col min="14594" max="14594" width="12.5" bestFit="1" customWidth="1"/>
    <col min="14596" max="14597" width="10.6640625" customWidth="1"/>
    <col min="14598" max="14598" width="10.5" customWidth="1"/>
    <col min="14601" max="14601" width="8.5" customWidth="1"/>
    <col min="14604" max="14605" width="11.6640625" bestFit="1" customWidth="1"/>
    <col min="14607" max="14607" width="10.83203125" customWidth="1"/>
    <col min="14608" max="14608" width="9.1640625" customWidth="1"/>
    <col min="14609" max="14609" width="11" customWidth="1"/>
    <col min="14610" max="14610" width="9.5" bestFit="1" customWidth="1"/>
    <col min="14613" max="14613" width="13.33203125" customWidth="1"/>
    <col min="14615" max="14615" width="10.83203125" customWidth="1"/>
    <col min="14616" max="14616" width="9.5" bestFit="1" customWidth="1"/>
    <col min="14617" max="14617" width="15" customWidth="1"/>
    <col min="14618" max="14619" width="9.5" customWidth="1"/>
    <col min="14620" max="14620" width="11.33203125" bestFit="1" customWidth="1"/>
    <col min="14621" max="14621" width="12.1640625" bestFit="1" customWidth="1"/>
    <col min="14624" max="14624" width="14.83203125" bestFit="1" customWidth="1"/>
    <col min="14625" max="14625" width="18.6640625" customWidth="1"/>
    <col min="14626" max="14626" width="11.1640625" customWidth="1"/>
    <col min="14627" max="14627" width="19.33203125" customWidth="1"/>
    <col min="14628" max="14628" width="11.33203125" bestFit="1" customWidth="1"/>
    <col min="14850" max="14850" width="12.5" bestFit="1" customWidth="1"/>
    <col min="14852" max="14853" width="10.6640625" customWidth="1"/>
    <col min="14854" max="14854" width="10.5" customWidth="1"/>
    <col min="14857" max="14857" width="8.5" customWidth="1"/>
    <col min="14860" max="14861" width="11.6640625" bestFit="1" customWidth="1"/>
    <col min="14863" max="14863" width="10.83203125" customWidth="1"/>
    <col min="14864" max="14864" width="9.1640625" customWidth="1"/>
    <col min="14865" max="14865" width="11" customWidth="1"/>
    <col min="14866" max="14866" width="9.5" bestFit="1" customWidth="1"/>
    <col min="14869" max="14869" width="13.33203125" customWidth="1"/>
    <col min="14871" max="14871" width="10.83203125" customWidth="1"/>
    <col min="14872" max="14872" width="9.5" bestFit="1" customWidth="1"/>
    <col min="14873" max="14873" width="15" customWidth="1"/>
    <col min="14874" max="14875" width="9.5" customWidth="1"/>
    <col min="14876" max="14876" width="11.33203125" bestFit="1" customWidth="1"/>
    <col min="14877" max="14877" width="12.1640625" bestFit="1" customWidth="1"/>
    <col min="14880" max="14880" width="14.83203125" bestFit="1" customWidth="1"/>
    <col min="14881" max="14881" width="18.6640625" customWidth="1"/>
    <col min="14882" max="14882" width="11.1640625" customWidth="1"/>
    <col min="14883" max="14883" width="19.33203125" customWidth="1"/>
    <col min="14884" max="14884" width="11.33203125" bestFit="1" customWidth="1"/>
    <col min="15106" max="15106" width="12.5" bestFit="1" customWidth="1"/>
    <col min="15108" max="15109" width="10.6640625" customWidth="1"/>
    <col min="15110" max="15110" width="10.5" customWidth="1"/>
    <col min="15113" max="15113" width="8.5" customWidth="1"/>
    <col min="15116" max="15117" width="11.6640625" bestFit="1" customWidth="1"/>
    <col min="15119" max="15119" width="10.83203125" customWidth="1"/>
    <col min="15120" max="15120" width="9.1640625" customWidth="1"/>
    <col min="15121" max="15121" width="11" customWidth="1"/>
    <col min="15122" max="15122" width="9.5" bestFit="1" customWidth="1"/>
    <col min="15125" max="15125" width="13.33203125" customWidth="1"/>
    <col min="15127" max="15127" width="10.83203125" customWidth="1"/>
    <col min="15128" max="15128" width="9.5" bestFit="1" customWidth="1"/>
    <col min="15129" max="15129" width="15" customWidth="1"/>
    <col min="15130" max="15131" width="9.5" customWidth="1"/>
    <col min="15132" max="15132" width="11.33203125" bestFit="1" customWidth="1"/>
    <col min="15133" max="15133" width="12.1640625" bestFit="1" customWidth="1"/>
    <col min="15136" max="15136" width="14.83203125" bestFit="1" customWidth="1"/>
    <col min="15137" max="15137" width="18.6640625" customWidth="1"/>
    <col min="15138" max="15138" width="11.1640625" customWidth="1"/>
    <col min="15139" max="15139" width="19.33203125" customWidth="1"/>
    <col min="15140" max="15140" width="11.33203125" bestFit="1" customWidth="1"/>
    <col min="15362" max="15362" width="12.5" bestFit="1" customWidth="1"/>
    <col min="15364" max="15365" width="10.6640625" customWidth="1"/>
    <col min="15366" max="15366" width="10.5" customWidth="1"/>
    <col min="15369" max="15369" width="8.5" customWidth="1"/>
    <col min="15372" max="15373" width="11.6640625" bestFit="1" customWidth="1"/>
    <col min="15375" max="15375" width="10.83203125" customWidth="1"/>
    <col min="15376" max="15376" width="9.1640625" customWidth="1"/>
    <col min="15377" max="15377" width="11" customWidth="1"/>
    <col min="15378" max="15378" width="9.5" bestFit="1" customWidth="1"/>
    <col min="15381" max="15381" width="13.33203125" customWidth="1"/>
    <col min="15383" max="15383" width="10.83203125" customWidth="1"/>
    <col min="15384" max="15384" width="9.5" bestFit="1" customWidth="1"/>
    <col min="15385" max="15385" width="15" customWidth="1"/>
    <col min="15386" max="15387" width="9.5" customWidth="1"/>
    <col min="15388" max="15388" width="11.33203125" bestFit="1" customWidth="1"/>
    <col min="15389" max="15389" width="12.1640625" bestFit="1" customWidth="1"/>
    <col min="15392" max="15392" width="14.83203125" bestFit="1" customWidth="1"/>
    <col min="15393" max="15393" width="18.6640625" customWidth="1"/>
    <col min="15394" max="15394" width="11.1640625" customWidth="1"/>
    <col min="15395" max="15395" width="19.33203125" customWidth="1"/>
    <col min="15396" max="15396" width="11.33203125" bestFit="1" customWidth="1"/>
    <col min="15618" max="15618" width="12.5" bestFit="1" customWidth="1"/>
    <col min="15620" max="15621" width="10.6640625" customWidth="1"/>
    <col min="15622" max="15622" width="10.5" customWidth="1"/>
    <col min="15625" max="15625" width="8.5" customWidth="1"/>
    <col min="15628" max="15629" width="11.6640625" bestFit="1" customWidth="1"/>
    <col min="15631" max="15631" width="10.83203125" customWidth="1"/>
    <col min="15632" max="15632" width="9.1640625" customWidth="1"/>
    <col min="15633" max="15633" width="11" customWidth="1"/>
    <col min="15634" max="15634" width="9.5" bestFit="1" customWidth="1"/>
    <col min="15637" max="15637" width="13.33203125" customWidth="1"/>
    <col min="15639" max="15639" width="10.83203125" customWidth="1"/>
    <col min="15640" max="15640" width="9.5" bestFit="1" customWidth="1"/>
    <col min="15641" max="15641" width="15" customWidth="1"/>
    <col min="15642" max="15643" width="9.5" customWidth="1"/>
    <col min="15644" max="15644" width="11.33203125" bestFit="1" customWidth="1"/>
    <col min="15645" max="15645" width="12.1640625" bestFit="1" customWidth="1"/>
    <col min="15648" max="15648" width="14.83203125" bestFit="1" customWidth="1"/>
    <col min="15649" max="15649" width="18.6640625" customWidth="1"/>
    <col min="15650" max="15650" width="11.1640625" customWidth="1"/>
    <col min="15651" max="15651" width="19.33203125" customWidth="1"/>
    <col min="15652" max="15652" width="11.33203125" bestFit="1" customWidth="1"/>
    <col min="15874" max="15874" width="12.5" bestFit="1" customWidth="1"/>
    <col min="15876" max="15877" width="10.6640625" customWidth="1"/>
    <col min="15878" max="15878" width="10.5" customWidth="1"/>
    <col min="15881" max="15881" width="8.5" customWidth="1"/>
    <col min="15884" max="15885" width="11.6640625" bestFit="1" customWidth="1"/>
    <col min="15887" max="15887" width="10.83203125" customWidth="1"/>
    <col min="15888" max="15888" width="9.1640625" customWidth="1"/>
    <col min="15889" max="15889" width="11" customWidth="1"/>
    <col min="15890" max="15890" width="9.5" bestFit="1" customWidth="1"/>
    <col min="15893" max="15893" width="13.33203125" customWidth="1"/>
    <col min="15895" max="15895" width="10.83203125" customWidth="1"/>
    <col min="15896" max="15896" width="9.5" bestFit="1" customWidth="1"/>
    <col min="15897" max="15897" width="15" customWidth="1"/>
    <col min="15898" max="15899" width="9.5" customWidth="1"/>
    <col min="15900" max="15900" width="11.33203125" bestFit="1" customWidth="1"/>
    <col min="15901" max="15901" width="12.1640625" bestFit="1" customWidth="1"/>
    <col min="15904" max="15904" width="14.83203125" bestFit="1" customWidth="1"/>
    <col min="15905" max="15905" width="18.6640625" customWidth="1"/>
    <col min="15906" max="15906" width="11.1640625" customWidth="1"/>
    <col min="15907" max="15907" width="19.33203125" customWidth="1"/>
    <col min="15908" max="15908" width="11.33203125" bestFit="1" customWidth="1"/>
    <col min="16130" max="16130" width="12.5" bestFit="1" customWidth="1"/>
    <col min="16132" max="16133" width="10.6640625" customWidth="1"/>
    <col min="16134" max="16134" width="10.5" customWidth="1"/>
    <col min="16137" max="16137" width="8.5" customWidth="1"/>
    <col min="16140" max="16141" width="11.6640625" bestFit="1" customWidth="1"/>
    <col min="16143" max="16143" width="10.83203125" customWidth="1"/>
    <col min="16144" max="16144" width="9.1640625" customWidth="1"/>
    <col min="16145" max="16145" width="11" customWidth="1"/>
    <col min="16146" max="16146" width="9.5" bestFit="1" customWidth="1"/>
    <col min="16149" max="16149" width="13.33203125" customWidth="1"/>
    <col min="16151" max="16151" width="10.83203125" customWidth="1"/>
    <col min="16152" max="16152" width="9.5" bestFit="1" customWidth="1"/>
    <col min="16153" max="16153" width="15" customWidth="1"/>
    <col min="16154" max="16155" width="9.5" customWidth="1"/>
    <col min="16156" max="16156" width="11.33203125" bestFit="1" customWidth="1"/>
    <col min="16157" max="16157" width="12.1640625" bestFit="1" customWidth="1"/>
    <col min="16160" max="16160" width="14.83203125" bestFit="1" customWidth="1"/>
    <col min="16161" max="16161" width="18.6640625" customWidth="1"/>
    <col min="16162" max="16162" width="11.1640625" customWidth="1"/>
    <col min="16163" max="16163" width="19.33203125" customWidth="1"/>
    <col min="16164" max="16164" width="11.33203125" bestFit="1" customWidth="1"/>
  </cols>
  <sheetData>
    <row r="1" spans="1:36">
      <c r="A1" t="s">
        <v>0</v>
      </c>
      <c r="B1" t="s">
        <v>1</v>
      </c>
      <c r="G1" s="1" t="s">
        <v>2</v>
      </c>
      <c r="N1" t="s">
        <v>3</v>
      </c>
      <c r="O1" s="3" t="s">
        <v>1</v>
      </c>
      <c r="T1" s="4" t="s">
        <v>4</v>
      </c>
      <c r="U1" s="5" t="s">
        <v>5</v>
      </c>
      <c r="AE1" s="4"/>
      <c r="AF1" s="5"/>
    </row>
    <row r="2" spans="1:36">
      <c r="B2" t="s">
        <v>6</v>
      </c>
      <c r="C2" t="s">
        <v>7</v>
      </c>
      <c r="E2" t="s">
        <v>8</v>
      </c>
      <c r="F2">
        <v>0.5</v>
      </c>
      <c r="O2" s="3" t="s">
        <v>6</v>
      </c>
      <c r="P2" s="3" t="s">
        <v>7</v>
      </c>
      <c r="U2" s="6"/>
      <c r="V2" t="s">
        <v>7</v>
      </c>
      <c r="AF2" s="6"/>
    </row>
    <row r="3" spans="1:36">
      <c r="A3" t="s">
        <v>9</v>
      </c>
      <c r="B3" s="7">
        <v>0.12</v>
      </c>
      <c r="C3" s="8">
        <f>(1+B3)^(1/12)-1</f>
        <v>9.4887929345830457E-3</v>
      </c>
      <c r="D3" s="9">
        <f>(1+B3)^(1/12)*1-1</f>
        <v>9.4887929345830457E-3</v>
      </c>
      <c r="E3" t="s">
        <v>10</v>
      </c>
      <c r="F3">
        <v>0.79</v>
      </c>
      <c r="H3" t="s">
        <v>11</v>
      </c>
      <c r="J3">
        <v>1.647</v>
      </c>
      <c r="N3" t="s">
        <v>9</v>
      </c>
      <c r="O3" s="7">
        <v>0.12</v>
      </c>
      <c r="P3" s="7">
        <f>O3/12</f>
        <v>0.01</v>
      </c>
      <c r="T3" t="s">
        <v>9</v>
      </c>
      <c r="U3" s="6">
        <v>0.1</v>
      </c>
      <c r="V3" s="10">
        <f>U3/12</f>
        <v>8.3333333333333332E-3</v>
      </c>
      <c r="AB3" t="s">
        <v>12</v>
      </c>
      <c r="AC3">
        <v>200</v>
      </c>
      <c r="AF3" s="6"/>
      <c r="AG3" s="10"/>
    </row>
    <row r="4" spans="1:36">
      <c r="A4" t="s">
        <v>13</v>
      </c>
      <c r="B4">
        <v>24</v>
      </c>
      <c r="D4">
        <f>B9/2</f>
        <v>46.787507300082133</v>
      </c>
      <c r="F4" s="6"/>
      <c r="G4" s="6"/>
      <c r="H4" s="6" t="s">
        <v>14</v>
      </c>
      <c r="I4" s="6"/>
      <c r="J4" s="11">
        <v>0.01</v>
      </c>
      <c r="N4" t="s">
        <v>13</v>
      </c>
      <c r="O4" s="3">
        <v>80</v>
      </c>
      <c r="T4" t="s">
        <v>13</v>
      </c>
      <c r="U4" s="6">
        <v>120</v>
      </c>
      <c r="AB4" t="s">
        <v>15</v>
      </c>
      <c r="AC4">
        <v>350</v>
      </c>
      <c r="AD4">
        <f>AC4/AC3</f>
        <v>1.75</v>
      </c>
      <c r="AF4" s="3"/>
    </row>
    <row r="5" spans="1:36">
      <c r="A5" t="s">
        <v>16</v>
      </c>
      <c r="B5" s="6">
        <v>1000</v>
      </c>
      <c r="E5" s="12"/>
      <c r="F5" s="13"/>
      <c r="G5" s="13"/>
      <c r="H5" s="13"/>
      <c r="I5" s="13"/>
      <c r="J5" s="13"/>
      <c r="N5" t="s">
        <v>16</v>
      </c>
      <c r="O5" s="3">
        <v>500000</v>
      </c>
      <c r="T5" t="s">
        <v>17</v>
      </c>
      <c r="U5" s="6">
        <v>10000</v>
      </c>
      <c r="V5">
        <f>U5/AC4</f>
        <v>28.571428571428573</v>
      </c>
      <c r="AB5" t="s">
        <v>18</v>
      </c>
      <c r="AC5">
        <v>420</v>
      </c>
      <c r="AD5">
        <f>AC5/AC4</f>
        <v>1.2</v>
      </c>
      <c r="AF5" s="6"/>
      <c r="AJ5" s="6"/>
    </row>
    <row r="6" spans="1:36">
      <c r="B6" s="14" t="s">
        <v>19</v>
      </c>
      <c r="C6" s="14"/>
      <c r="D6" s="14"/>
      <c r="E6" s="14"/>
      <c r="I6" t="s">
        <v>20</v>
      </c>
      <c r="J6" t="s">
        <v>21</v>
      </c>
      <c r="T6" s="15" t="s">
        <v>22</v>
      </c>
      <c r="U6" s="6"/>
      <c r="AB6" t="s">
        <v>23</v>
      </c>
      <c r="AC6" s="6">
        <f>X44</f>
        <v>1327.1889400921648</v>
      </c>
      <c r="AE6" s="15"/>
      <c r="AF6" s="6"/>
    </row>
    <row r="7" spans="1:36">
      <c r="A7" s="16" t="s">
        <v>24</v>
      </c>
      <c r="B7" s="17" t="s">
        <v>25</v>
      </c>
      <c r="C7" s="16" t="s">
        <v>26</v>
      </c>
      <c r="D7" s="16" t="s">
        <v>27</v>
      </c>
      <c r="E7" s="16" t="s">
        <v>28</v>
      </c>
      <c r="F7" s="18" t="s">
        <v>29</v>
      </c>
      <c r="I7" t="s">
        <v>30</v>
      </c>
      <c r="J7" t="s">
        <v>31</v>
      </c>
      <c r="N7" s="16" t="s">
        <v>32</v>
      </c>
      <c r="O7" s="19" t="s">
        <v>25</v>
      </c>
      <c r="P7" s="19" t="s">
        <v>26</v>
      </c>
      <c r="Q7" s="19" t="s">
        <v>27</v>
      </c>
      <c r="R7" s="19" t="s">
        <v>33</v>
      </c>
      <c r="T7" s="16" t="s">
        <v>24</v>
      </c>
      <c r="U7" s="20" t="s">
        <v>34</v>
      </c>
      <c r="V7" s="16" t="s">
        <v>26</v>
      </c>
      <c r="W7" s="20" t="s">
        <v>35</v>
      </c>
      <c r="X7" s="21" t="s">
        <v>36</v>
      </c>
      <c r="Y7" s="22" t="s">
        <v>37</v>
      </c>
      <c r="AA7" s="22" t="s">
        <v>38</v>
      </c>
      <c r="AB7" s="23"/>
      <c r="AC7" s="24">
        <f>AC6*AC5</f>
        <v>557419.35483870923</v>
      </c>
      <c r="AE7" s="16"/>
      <c r="AF7" s="25"/>
      <c r="AG7" s="16"/>
      <c r="AH7" s="16"/>
      <c r="AI7" s="21"/>
    </row>
    <row r="8" spans="1:36">
      <c r="A8" s="16">
        <v>0</v>
      </c>
      <c r="B8" s="16"/>
      <c r="C8" s="16"/>
      <c r="D8" s="16"/>
      <c r="E8" s="19">
        <f>B5/F2</f>
        <v>2000</v>
      </c>
      <c r="H8">
        <f>A8</f>
        <v>0</v>
      </c>
      <c r="I8" s="26">
        <v>500000</v>
      </c>
      <c r="J8" t="s">
        <v>39</v>
      </c>
      <c r="N8" s="16">
        <v>0</v>
      </c>
      <c r="O8" s="19"/>
      <c r="P8" s="19"/>
      <c r="Q8" s="19"/>
      <c r="R8" s="19">
        <f>O5</f>
        <v>500000</v>
      </c>
      <c r="T8" s="16">
        <v>0</v>
      </c>
      <c r="U8" s="25"/>
      <c r="V8" s="16"/>
      <c r="W8" s="16"/>
      <c r="X8" s="25">
        <f>AA36</f>
        <v>1895.9842001316658</v>
      </c>
      <c r="Y8" s="27">
        <f>(((T9-T8)*X8))</f>
        <v>1895.9842001316658</v>
      </c>
      <c r="Z8" s="27"/>
      <c r="AA8" s="27"/>
      <c r="AB8" s="23"/>
      <c r="AC8" s="23"/>
      <c r="AE8" s="16"/>
      <c r="AF8" s="7"/>
      <c r="AG8" s="7"/>
      <c r="AH8" s="7"/>
      <c r="AI8" s="26"/>
      <c r="AJ8" s="28"/>
    </row>
    <row r="9" spans="1:36">
      <c r="A9" s="16">
        <f>A8+1</f>
        <v>1</v>
      </c>
      <c r="B9" s="25">
        <f>PMT($C$3,$B$4,$E$8)*-1</f>
        <v>93.575014600164266</v>
      </c>
      <c r="C9" s="29">
        <f>$C$3*E8</f>
        <v>18.977585869166091</v>
      </c>
      <c r="D9" s="25">
        <f>B9-C9</f>
        <v>74.597428730998175</v>
      </c>
      <c r="E9" s="19">
        <f>E8-D9</f>
        <v>1925.4025712690018</v>
      </c>
      <c r="F9">
        <f>F2*B9</f>
        <v>46.787507300082133</v>
      </c>
      <c r="G9" s="30">
        <f>PMT(C3,24,B5)</f>
        <v>-46.787507300082133</v>
      </c>
      <c r="H9">
        <f t="shared" ref="H9:H32" si="0">A9</f>
        <v>1</v>
      </c>
      <c r="J9">
        <v>5000</v>
      </c>
      <c r="K9">
        <f>$J$3*J9</f>
        <v>8235</v>
      </c>
      <c r="L9" s="2">
        <f>K9/(1+$J$4)^H9</f>
        <v>8153.4653465346537</v>
      </c>
      <c r="M9" s="31">
        <f>SUM(L9:L68)</f>
        <v>500713.39080116362</v>
      </c>
      <c r="N9" s="16">
        <f>N8+1</f>
        <v>1</v>
      </c>
      <c r="O9" s="19">
        <f>$O$5*$P$3/(1-POWER(1+$P$3,-80))</f>
        <v>9109.4250563660935</v>
      </c>
      <c r="P9" s="19">
        <f>$P$3*R8</f>
        <v>5000</v>
      </c>
      <c r="Q9" s="19">
        <f>O9-P9</f>
        <v>4109.4250563660935</v>
      </c>
      <c r="R9" s="19">
        <f>R8-Q9</f>
        <v>495890.57494363392</v>
      </c>
      <c r="T9" s="16">
        <f>1+T8</f>
        <v>1</v>
      </c>
      <c r="U9" s="25">
        <f>V9+W9</f>
        <v>31.599736668861098</v>
      </c>
      <c r="V9" s="25">
        <f>X8*$V$3</f>
        <v>15.799868334430549</v>
      </c>
      <c r="W9" s="25">
        <f>$X$8/120</f>
        <v>15.799868334430549</v>
      </c>
      <c r="X9" s="25">
        <f>X8-W9</f>
        <v>1880.1843317972352</v>
      </c>
      <c r="Y9" s="27">
        <f>(((T10-T9)*X9)/T9)</f>
        <v>1880.1843317972352</v>
      </c>
      <c r="Z9" s="27"/>
      <c r="AA9" s="27"/>
      <c r="AE9" s="16"/>
      <c r="AF9" s="26"/>
      <c r="AG9" s="7"/>
      <c r="AH9" s="7"/>
      <c r="AI9" s="2"/>
      <c r="AJ9" s="28"/>
    </row>
    <row r="10" spans="1:36">
      <c r="A10" s="16">
        <f t="shared" ref="A10:A32" si="1">A9+1</f>
        <v>2</v>
      </c>
      <c r="B10" s="25">
        <f t="shared" ref="B10:B32" si="2">PMT($C$3,$B$4,$E$8)*-1</f>
        <v>93.575014600164266</v>
      </c>
      <c r="C10" s="29">
        <f t="shared" ref="C10:C32" si="3">$C$3*E9</f>
        <v>18.269746314485332</v>
      </c>
      <c r="D10" s="25">
        <f t="shared" ref="D10:D32" si="4">B10-C10</f>
        <v>75.305268285678935</v>
      </c>
      <c r="E10" s="19">
        <f t="shared" ref="E10:E32" si="5">E9-D10</f>
        <v>1850.0973029833228</v>
      </c>
      <c r="H10">
        <f t="shared" si="0"/>
        <v>2</v>
      </c>
      <c r="J10">
        <v>5000</v>
      </c>
      <c r="K10">
        <f t="shared" ref="K10:K68" si="6">$J$3*J10</f>
        <v>8235</v>
      </c>
      <c r="L10" s="2">
        <f t="shared" ref="L10:L68" si="7">K10/(1+$J$4)^H10</f>
        <v>8072.7379668659933</v>
      </c>
      <c r="N10" s="16">
        <f t="shared" ref="N10:N73" si="8">N9+1</f>
        <v>2</v>
      </c>
      <c r="O10" s="19">
        <f t="shared" ref="O10:O73" si="9">$O$5*$P$3/(1-POWER(1+$P$3,-80))</f>
        <v>9109.4250563660935</v>
      </c>
      <c r="P10" s="19">
        <f t="shared" ref="P10:P73" si="10">$P$3*R9</f>
        <v>4958.9057494363396</v>
      </c>
      <c r="Q10" s="19">
        <f t="shared" ref="Q10:Q73" si="11">O10-P10</f>
        <v>4150.5193069297538</v>
      </c>
      <c r="R10" s="19">
        <f t="shared" ref="R10:R73" si="12">R9-Q10</f>
        <v>491740.05563670414</v>
      </c>
      <c r="T10" s="16">
        <f t="shared" ref="T10:T73" si="13">1+T9</f>
        <v>2</v>
      </c>
      <c r="U10" s="25">
        <f t="shared" ref="U10:U31" si="14">V10+W10</f>
        <v>31.46807109940751</v>
      </c>
      <c r="V10" s="25">
        <f t="shared" ref="V10:V73" si="15">X9*$V$3</f>
        <v>15.668202764976961</v>
      </c>
      <c r="W10" s="25">
        <f>$X$8/120</f>
        <v>15.799868334430549</v>
      </c>
      <c r="X10" s="25">
        <f t="shared" ref="X10:X73" si="16">X9-W10</f>
        <v>1864.3844634628047</v>
      </c>
      <c r="Y10" s="27"/>
      <c r="Z10" s="27"/>
      <c r="AA10" s="27"/>
      <c r="AE10" s="16"/>
      <c r="AF10" s="7"/>
      <c r="AG10" s="7"/>
      <c r="AH10" s="7"/>
      <c r="AI10" s="2"/>
    </row>
    <row r="11" spans="1:36">
      <c r="A11" s="16">
        <f t="shared" si="1"/>
        <v>3</v>
      </c>
      <c r="B11" s="25">
        <f t="shared" si="2"/>
        <v>93.575014600164266</v>
      </c>
      <c r="C11" s="29">
        <f t="shared" si="3"/>
        <v>17.555190216839303</v>
      </c>
      <c r="D11" s="25">
        <f t="shared" si="4"/>
        <v>76.019824383324959</v>
      </c>
      <c r="E11" s="19">
        <f t="shared" si="5"/>
        <v>1774.0774785999979</v>
      </c>
      <c r="H11">
        <f t="shared" si="0"/>
        <v>3</v>
      </c>
      <c r="J11">
        <v>5000</v>
      </c>
      <c r="K11">
        <f t="shared" si="6"/>
        <v>8235</v>
      </c>
      <c r="L11" s="2">
        <f t="shared" si="7"/>
        <v>7992.8098681841529</v>
      </c>
      <c r="N11" s="16">
        <f t="shared" si="8"/>
        <v>3</v>
      </c>
      <c r="O11" s="19">
        <f t="shared" si="9"/>
        <v>9109.4250563660935</v>
      </c>
      <c r="P11" s="19">
        <f t="shared" si="10"/>
        <v>4917.4005563670416</v>
      </c>
      <c r="Q11" s="19">
        <f t="shared" si="11"/>
        <v>4192.0244999990518</v>
      </c>
      <c r="R11" s="19">
        <f t="shared" si="12"/>
        <v>487548.03113670507</v>
      </c>
      <c r="T11" s="16">
        <f t="shared" si="13"/>
        <v>3</v>
      </c>
      <c r="U11" s="25">
        <f t="shared" si="14"/>
        <v>31.336405529953922</v>
      </c>
      <c r="V11" s="25">
        <f t="shared" si="15"/>
        <v>15.536537195523373</v>
      </c>
      <c r="W11" s="25">
        <f>$X$8/120</f>
        <v>15.799868334430549</v>
      </c>
      <c r="X11" s="25">
        <f t="shared" si="16"/>
        <v>1848.5845951283741</v>
      </c>
      <c r="Y11" s="27"/>
      <c r="Z11" s="27"/>
      <c r="AA11" s="27"/>
      <c r="AE11" s="16"/>
      <c r="AF11" s="7"/>
      <c r="AG11" s="7"/>
      <c r="AH11" s="7"/>
      <c r="AI11" s="2"/>
    </row>
    <row r="12" spans="1:36">
      <c r="A12" s="16">
        <f t="shared" si="1"/>
        <v>4</v>
      </c>
      <c r="B12" s="25">
        <f t="shared" si="2"/>
        <v>93.575014600164266</v>
      </c>
      <c r="C12" s="29">
        <f t="shared" si="3"/>
        <v>16.833853844342563</v>
      </c>
      <c r="D12" s="25">
        <f t="shared" si="4"/>
        <v>76.74116075582171</v>
      </c>
      <c r="E12" s="19">
        <f t="shared" si="5"/>
        <v>1697.3363178441762</v>
      </c>
      <c r="H12">
        <f t="shared" si="0"/>
        <v>4</v>
      </c>
      <c r="J12">
        <v>5000</v>
      </c>
      <c r="K12">
        <f t="shared" si="6"/>
        <v>8235</v>
      </c>
      <c r="L12" s="2">
        <f t="shared" si="7"/>
        <v>7913.6731368159917</v>
      </c>
      <c r="N12" s="16">
        <f t="shared" si="8"/>
        <v>4</v>
      </c>
      <c r="O12" s="19">
        <f t="shared" si="9"/>
        <v>9109.4250563660935</v>
      </c>
      <c r="P12" s="19">
        <f t="shared" si="10"/>
        <v>4875.4803113670505</v>
      </c>
      <c r="Q12" s="19">
        <f t="shared" si="11"/>
        <v>4233.944744999043</v>
      </c>
      <c r="R12" s="19">
        <f t="shared" si="12"/>
        <v>483314.08639170602</v>
      </c>
      <c r="T12" s="16">
        <f t="shared" si="13"/>
        <v>4</v>
      </c>
      <c r="U12" s="25">
        <f t="shared" si="14"/>
        <v>31.204739960500333</v>
      </c>
      <c r="V12" s="25">
        <f t="shared" si="15"/>
        <v>15.404871626069784</v>
      </c>
      <c r="W12" s="25">
        <f t="shared" ref="W12:W75" si="17">$X$8/120</f>
        <v>15.799868334430549</v>
      </c>
      <c r="X12" s="25">
        <f t="shared" si="16"/>
        <v>1832.7847267939435</v>
      </c>
      <c r="Y12" s="32" t="s">
        <v>40</v>
      </c>
      <c r="Z12" s="27"/>
      <c r="AA12" s="27"/>
      <c r="AE12" s="16"/>
      <c r="AF12" s="7"/>
      <c r="AG12" s="7"/>
      <c r="AH12" s="7"/>
      <c r="AI12" s="2"/>
    </row>
    <row r="13" spans="1:36">
      <c r="A13" s="16">
        <f t="shared" si="1"/>
        <v>5</v>
      </c>
      <c r="B13" s="25">
        <f t="shared" si="2"/>
        <v>93.575014600164266</v>
      </c>
      <c r="C13" s="29">
        <f t="shared" si="3"/>
        <v>16.105672860371023</v>
      </c>
      <c r="D13" s="25">
        <f t="shared" si="4"/>
        <v>77.469341739793236</v>
      </c>
      <c r="E13" s="19">
        <f t="shared" si="5"/>
        <v>1619.866976104383</v>
      </c>
      <c r="G13">
        <f>(1+0.01)^12</f>
        <v>1.1268250301319698</v>
      </c>
      <c r="H13">
        <f t="shared" si="0"/>
        <v>5</v>
      </c>
      <c r="J13">
        <v>5000</v>
      </c>
      <c r="K13">
        <f t="shared" si="6"/>
        <v>8235</v>
      </c>
      <c r="L13" s="2">
        <f t="shared" si="7"/>
        <v>7835.3199374415772</v>
      </c>
      <c r="N13" s="16">
        <f t="shared" si="8"/>
        <v>5</v>
      </c>
      <c r="O13" s="19">
        <f t="shared" si="9"/>
        <v>9109.4250563660935</v>
      </c>
      <c r="P13" s="19">
        <f t="shared" si="10"/>
        <v>4833.1408639170604</v>
      </c>
      <c r="Q13" s="19">
        <f t="shared" si="11"/>
        <v>4276.2841924490331</v>
      </c>
      <c r="R13" s="19">
        <f t="shared" si="12"/>
        <v>479037.80219925701</v>
      </c>
      <c r="T13" s="16">
        <f t="shared" si="13"/>
        <v>5</v>
      </c>
      <c r="U13" s="25">
        <f t="shared" si="14"/>
        <v>31.073074391046745</v>
      </c>
      <c r="V13" s="25">
        <f t="shared" si="15"/>
        <v>15.273206056616196</v>
      </c>
      <c r="W13" s="25">
        <f t="shared" si="17"/>
        <v>15.799868334430549</v>
      </c>
      <c r="X13" s="25">
        <f t="shared" si="16"/>
        <v>1816.9848584595129</v>
      </c>
      <c r="Y13" s="32" t="s">
        <v>41</v>
      </c>
      <c r="Z13" s="27"/>
      <c r="AA13" s="27"/>
      <c r="AE13" s="16"/>
      <c r="AF13" s="7"/>
      <c r="AG13" s="7"/>
      <c r="AH13" s="7"/>
      <c r="AI13" s="2"/>
    </row>
    <row r="14" spans="1:36">
      <c r="A14" s="16">
        <f t="shared" si="1"/>
        <v>6</v>
      </c>
      <c r="B14" s="25">
        <f t="shared" si="2"/>
        <v>93.575014600164266</v>
      </c>
      <c r="C14" s="29">
        <f t="shared" si="3"/>
        <v>15.370582317823672</v>
      </c>
      <c r="D14" s="25">
        <f t="shared" si="4"/>
        <v>78.204432282340591</v>
      </c>
      <c r="E14" s="19">
        <f t="shared" si="5"/>
        <v>1541.6625438220424</v>
      </c>
      <c r="G14">
        <f>G13-1</f>
        <v>0.12682503013196977</v>
      </c>
      <c r="H14">
        <f t="shared" si="0"/>
        <v>6</v>
      </c>
      <c r="J14">
        <v>5000</v>
      </c>
      <c r="K14">
        <f t="shared" si="6"/>
        <v>8235</v>
      </c>
      <c r="L14" s="2">
        <f t="shared" si="7"/>
        <v>7757.7425123183912</v>
      </c>
      <c r="N14" s="16">
        <f t="shared" si="8"/>
        <v>6</v>
      </c>
      <c r="O14" s="19">
        <f t="shared" si="9"/>
        <v>9109.4250563660935</v>
      </c>
      <c r="P14" s="19">
        <f t="shared" si="10"/>
        <v>4790.3780219925702</v>
      </c>
      <c r="Q14" s="19">
        <f t="shared" si="11"/>
        <v>4319.0470343735233</v>
      </c>
      <c r="R14" s="19">
        <f t="shared" si="12"/>
        <v>474718.75516488351</v>
      </c>
      <c r="T14" s="16">
        <f t="shared" si="13"/>
        <v>6</v>
      </c>
      <c r="U14" s="25">
        <f t="shared" si="14"/>
        <v>30.941408821593157</v>
      </c>
      <c r="V14" s="25">
        <f t="shared" si="15"/>
        <v>15.141540487162608</v>
      </c>
      <c r="W14" s="25">
        <f t="shared" si="17"/>
        <v>15.799868334430549</v>
      </c>
      <c r="X14" s="25">
        <f t="shared" si="16"/>
        <v>1801.1849901250823</v>
      </c>
      <c r="Y14" s="27"/>
      <c r="Z14" s="27"/>
      <c r="AA14" s="27"/>
      <c r="AE14" s="16"/>
      <c r="AF14" s="7"/>
      <c r="AG14" s="7"/>
      <c r="AH14" s="7"/>
      <c r="AI14" s="2"/>
    </row>
    <row r="15" spans="1:36">
      <c r="A15" s="16">
        <f t="shared" si="1"/>
        <v>7</v>
      </c>
      <c r="B15" s="25">
        <f t="shared" si="2"/>
        <v>93.575014600164266</v>
      </c>
      <c r="C15" s="29">
        <f t="shared" si="3"/>
        <v>14.628516653329921</v>
      </c>
      <c r="D15" s="25">
        <f t="shared" si="4"/>
        <v>78.946497946834342</v>
      </c>
      <c r="E15" s="19">
        <f t="shared" si="5"/>
        <v>1462.716045875208</v>
      </c>
      <c r="G15">
        <f>G14*100</f>
        <v>12.682503013196978</v>
      </c>
      <c r="H15">
        <f t="shared" si="0"/>
        <v>7</v>
      </c>
      <c r="J15">
        <v>5000</v>
      </c>
      <c r="K15">
        <f t="shared" si="6"/>
        <v>8235</v>
      </c>
      <c r="L15" s="2">
        <f t="shared" si="7"/>
        <v>7680.9331805132606</v>
      </c>
      <c r="N15" s="16">
        <f t="shared" si="8"/>
        <v>7</v>
      </c>
      <c r="O15" s="19">
        <f t="shared" si="9"/>
        <v>9109.4250563660935</v>
      </c>
      <c r="P15" s="19">
        <f t="shared" si="10"/>
        <v>4747.1875516488353</v>
      </c>
      <c r="Q15" s="19">
        <f t="shared" si="11"/>
        <v>4362.2375047172582</v>
      </c>
      <c r="R15" s="19">
        <f t="shared" si="12"/>
        <v>470356.51766016625</v>
      </c>
      <c r="T15" s="16">
        <f t="shared" si="13"/>
        <v>7</v>
      </c>
      <c r="U15" s="25">
        <f t="shared" si="14"/>
        <v>30.809743252139569</v>
      </c>
      <c r="V15" s="25">
        <f t="shared" si="15"/>
        <v>15.00987491770902</v>
      </c>
      <c r="W15" s="25">
        <f t="shared" si="17"/>
        <v>15.799868334430549</v>
      </c>
      <c r="X15" s="25">
        <f t="shared" si="16"/>
        <v>1785.3851217906517</v>
      </c>
      <c r="Y15" s="27"/>
      <c r="Z15" s="27"/>
      <c r="AA15" s="27"/>
      <c r="AE15" s="16"/>
      <c r="AF15" s="7"/>
      <c r="AG15" s="7"/>
      <c r="AH15" s="7"/>
      <c r="AI15" s="2"/>
    </row>
    <row r="16" spans="1:36">
      <c r="A16" s="16">
        <f t="shared" si="1"/>
        <v>8</v>
      </c>
      <c r="B16" s="25">
        <f t="shared" si="2"/>
        <v>93.575014600164266</v>
      </c>
      <c r="C16" s="29">
        <f t="shared" si="3"/>
        <v>13.879409681401924</v>
      </c>
      <c r="D16" s="25">
        <f t="shared" si="4"/>
        <v>79.695604918762342</v>
      </c>
      <c r="E16" s="19">
        <f t="shared" si="5"/>
        <v>1383.0204409564458</v>
      </c>
      <c r="H16">
        <f t="shared" si="0"/>
        <v>8</v>
      </c>
      <c r="J16">
        <v>5000</v>
      </c>
      <c r="K16">
        <f t="shared" si="6"/>
        <v>8235</v>
      </c>
      <c r="L16" s="2">
        <f t="shared" si="7"/>
        <v>7604.8843371418407</v>
      </c>
      <c r="N16" s="16">
        <f t="shared" si="8"/>
        <v>8</v>
      </c>
      <c r="O16" s="19">
        <f t="shared" si="9"/>
        <v>9109.4250563660935</v>
      </c>
      <c r="P16" s="19">
        <f t="shared" si="10"/>
        <v>4703.5651766016626</v>
      </c>
      <c r="Q16" s="19">
        <f t="shared" si="11"/>
        <v>4405.8598797644308</v>
      </c>
      <c r="R16" s="19">
        <f t="shared" si="12"/>
        <v>465950.65778040182</v>
      </c>
      <c r="T16" s="16">
        <f t="shared" si="13"/>
        <v>8</v>
      </c>
      <c r="U16" s="25">
        <f t="shared" si="14"/>
        <v>30.678077682685981</v>
      </c>
      <c r="V16" s="25">
        <f t="shared" si="15"/>
        <v>14.878209348255432</v>
      </c>
      <c r="W16" s="25">
        <f t="shared" si="17"/>
        <v>15.799868334430549</v>
      </c>
      <c r="X16" s="25">
        <f t="shared" si="16"/>
        <v>1769.5852534562212</v>
      </c>
      <c r="Y16" s="27"/>
      <c r="Z16" s="27"/>
      <c r="AA16" s="27"/>
      <c r="AE16" s="16"/>
      <c r="AF16" s="7"/>
      <c r="AG16" s="7"/>
      <c r="AH16" s="7"/>
      <c r="AI16" s="2"/>
    </row>
    <row r="17" spans="1:36">
      <c r="A17" s="16">
        <f t="shared" si="1"/>
        <v>9</v>
      </c>
      <c r="B17" s="25">
        <f t="shared" si="2"/>
        <v>93.575014600164266</v>
      </c>
      <c r="C17" s="29">
        <f t="shared" si="3"/>
        <v>13.123194588531451</v>
      </c>
      <c r="D17" s="25">
        <f t="shared" si="4"/>
        <v>80.451820011632819</v>
      </c>
      <c r="E17" s="19">
        <f t="shared" si="5"/>
        <v>1302.5686209448129</v>
      </c>
      <c r="H17">
        <f t="shared" si="0"/>
        <v>9</v>
      </c>
      <c r="J17">
        <v>5000</v>
      </c>
      <c r="K17">
        <f t="shared" si="6"/>
        <v>8235</v>
      </c>
      <c r="L17" s="2">
        <f t="shared" si="7"/>
        <v>7529.5884526156833</v>
      </c>
      <c r="N17" s="16">
        <f t="shared" si="8"/>
        <v>9</v>
      </c>
      <c r="O17" s="19">
        <f t="shared" si="9"/>
        <v>9109.4250563660935</v>
      </c>
      <c r="P17" s="19">
        <f t="shared" si="10"/>
        <v>4659.506577804018</v>
      </c>
      <c r="Q17" s="19">
        <f t="shared" si="11"/>
        <v>4449.9184785620755</v>
      </c>
      <c r="R17" s="19">
        <f t="shared" si="12"/>
        <v>461500.73930183973</v>
      </c>
      <c r="T17" s="16">
        <f t="shared" si="13"/>
        <v>9</v>
      </c>
      <c r="U17" s="25">
        <f t="shared" si="14"/>
        <v>30.546412113232392</v>
      </c>
      <c r="V17" s="25">
        <f t="shared" si="15"/>
        <v>14.746543778801843</v>
      </c>
      <c r="W17" s="25">
        <f t="shared" si="17"/>
        <v>15.799868334430549</v>
      </c>
      <c r="X17" s="25">
        <f t="shared" si="16"/>
        <v>1753.7853851217906</v>
      </c>
      <c r="Y17" s="27"/>
      <c r="Z17" s="27"/>
      <c r="AA17" s="27"/>
      <c r="AE17" s="16"/>
      <c r="AF17" s="7"/>
      <c r="AG17" s="7"/>
      <c r="AH17" s="7"/>
      <c r="AI17" s="2"/>
    </row>
    <row r="18" spans="1:36">
      <c r="A18" s="16">
        <f t="shared" si="1"/>
        <v>10</v>
      </c>
      <c r="B18" s="25">
        <f t="shared" si="2"/>
        <v>93.575014600164266</v>
      </c>
      <c r="C18" s="29">
        <f t="shared" si="3"/>
        <v>12.359803927230722</v>
      </c>
      <c r="D18" s="25">
        <f t="shared" si="4"/>
        <v>81.215210672933551</v>
      </c>
      <c r="E18" s="19">
        <f t="shared" si="5"/>
        <v>1221.3534102718793</v>
      </c>
      <c r="H18">
        <f t="shared" si="0"/>
        <v>10</v>
      </c>
      <c r="J18">
        <v>5000</v>
      </c>
      <c r="K18">
        <f t="shared" si="6"/>
        <v>8235</v>
      </c>
      <c r="L18" s="2">
        <f t="shared" si="7"/>
        <v>7455.0380718967153</v>
      </c>
      <c r="N18" s="16">
        <f t="shared" si="8"/>
        <v>10</v>
      </c>
      <c r="O18" s="19">
        <f t="shared" si="9"/>
        <v>9109.4250563660935</v>
      </c>
      <c r="P18" s="19">
        <f t="shared" si="10"/>
        <v>4615.0073930183971</v>
      </c>
      <c r="Q18" s="19">
        <f t="shared" si="11"/>
        <v>4494.4176633476964</v>
      </c>
      <c r="R18" s="19">
        <f t="shared" si="12"/>
        <v>457006.32163849205</v>
      </c>
      <c r="T18" s="16">
        <f t="shared" si="13"/>
        <v>10</v>
      </c>
      <c r="U18" s="25">
        <f t="shared" si="14"/>
        <v>30.414746543778804</v>
      </c>
      <c r="V18" s="25">
        <f t="shared" si="15"/>
        <v>14.614878209348255</v>
      </c>
      <c r="W18" s="25">
        <f t="shared" si="17"/>
        <v>15.799868334430549</v>
      </c>
      <c r="X18" s="25">
        <f t="shared" si="16"/>
        <v>1737.98551678736</v>
      </c>
      <c r="Y18" s="27"/>
      <c r="Z18" s="27"/>
      <c r="AA18" s="27"/>
      <c r="AE18" s="16"/>
      <c r="AF18" s="7"/>
      <c r="AG18" s="7"/>
      <c r="AH18" s="7"/>
      <c r="AI18" s="2"/>
    </row>
    <row r="19" spans="1:36">
      <c r="A19" s="33">
        <f t="shared" si="1"/>
        <v>11</v>
      </c>
      <c r="B19" s="25">
        <f>PMT($C$3,$B$4,$E$8)*-1</f>
        <v>93.575014600164266</v>
      </c>
      <c r="C19" s="34">
        <f t="shared" si="3"/>
        <v>11.589169610016716</v>
      </c>
      <c r="D19" s="35">
        <f t="shared" si="4"/>
        <v>81.985844990147555</v>
      </c>
      <c r="E19" s="36">
        <f>E18-D19</f>
        <v>1139.3675652817317</v>
      </c>
      <c r="F19" s="37">
        <f>B19*F3</f>
        <v>73.924261534129769</v>
      </c>
      <c r="G19" s="23">
        <v>74.37</v>
      </c>
      <c r="H19">
        <f t="shared" si="0"/>
        <v>11</v>
      </c>
      <c r="I19" s="23"/>
      <c r="J19">
        <v>5000</v>
      </c>
      <c r="K19">
        <f t="shared" si="6"/>
        <v>8235</v>
      </c>
      <c r="L19" s="2">
        <f t="shared" si="7"/>
        <v>7381.2258137591261</v>
      </c>
      <c r="N19" s="16">
        <f t="shared" si="8"/>
        <v>11</v>
      </c>
      <c r="O19" s="19">
        <f t="shared" si="9"/>
        <v>9109.4250563660935</v>
      </c>
      <c r="P19" s="19">
        <f t="shared" si="10"/>
        <v>4570.0632163849205</v>
      </c>
      <c r="Q19" s="19">
        <f t="shared" si="11"/>
        <v>4539.361839981173</v>
      </c>
      <c r="R19" s="19">
        <f t="shared" si="12"/>
        <v>452466.95979851088</v>
      </c>
      <c r="T19" s="16">
        <f t="shared" si="13"/>
        <v>11</v>
      </c>
      <c r="U19" s="25">
        <f t="shared" si="14"/>
        <v>30.283080974325216</v>
      </c>
      <c r="V19" s="25">
        <f t="shared" si="15"/>
        <v>14.483212639894667</v>
      </c>
      <c r="W19" s="25">
        <f t="shared" si="17"/>
        <v>15.799868334430549</v>
      </c>
      <c r="X19" s="25">
        <f t="shared" si="16"/>
        <v>1722.1856484529294</v>
      </c>
      <c r="Y19" s="27"/>
      <c r="Z19" s="27"/>
      <c r="AA19" s="27"/>
      <c r="AE19" s="16"/>
      <c r="AF19" s="7"/>
      <c r="AG19" s="7"/>
      <c r="AH19" s="7"/>
      <c r="AI19" s="2"/>
    </row>
    <row r="20" spans="1:36">
      <c r="A20" s="16">
        <f t="shared" si="1"/>
        <v>12</v>
      </c>
      <c r="B20" s="25">
        <f t="shared" si="2"/>
        <v>93.575014600164266</v>
      </c>
      <c r="C20" s="29">
        <f t="shared" si="3"/>
        <v>10.811222903338383</v>
      </c>
      <c r="D20" s="25">
        <f t="shared" si="4"/>
        <v>82.763791696825876</v>
      </c>
      <c r="E20" s="19">
        <f t="shared" si="5"/>
        <v>1056.6037735849059</v>
      </c>
      <c r="H20">
        <f t="shared" si="0"/>
        <v>12</v>
      </c>
      <c r="J20">
        <v>5000</v>
      </c>
      <c r="K20">
        <f t="shared" si="6"/>
        <v>8235</v>
      </c>
      <c r="L20" s="2">
        <f t="shared" si="7"/>
        <v>7308.1443700585405</v>
      </c>
      <c r="N20" s="16">
        <f t="shared" si="8"/>
        <v>12</v>
      </c>
      <c r="O20" s="19">
        <f t="shared" si="9"/>
        <v>9109.4250563660935</v>
      </c>
      <c r="P20" s="19">
        <f t="shared" si="10"/>
        <v>4524.6695979851092</v>
      </c>
      <c r="Q20" s="19">
        <f t="shared" si="11"/>
        <v>4584.7554583809842</v>
      </c>
      <c r="R20" s="19">
        <f t="shared" si="12"/>
        <v>447882.20434012992</v>
      </c>
      <c r="T20" s="16">
        <f t="shared" si="13"/>
        <v>12</v>
      </c>
      <c r="U20" s="25">
        <f t="shared" si="14"/>
        <v>30.151415404871628</v>
      </c>
      <c r="V20" s="25">
        <f t="shared" si="15"/>
        <v>14.351547070441079</v>
      </c>
      <c r="W20" s="25">
        <f t="shared" si="17"/>
        <v>15.799868334430549</v>
      </c>
      <c r="X20" s="25">
        <f t="shared" si="16"/>
        <v>1706.3857801184988</v>
      </c>
      <c r="Y20" s="27"/>
      <c r="Z20" s="27"/>
      <c r="AA20" s="27"/>
      <c r="AE20" s="16"/>
      <c r="AF20" s="7"/>
      <c r="AG20" s="7"/>
      <c r="AH20" s="7"/>
      <c r="AI20" s="2"/>
    </row>
    <row r="21" spans="1:36">
      <c r="A21" s="16">
        <f t="shared" si="1"/>
        <v>13</v>
      </c>
      <c r="B21" s="25">
        <f t="shared" si="2"/>
        <v>93.575014600164266</v>
      </c>
      <c r="C21" s="29">
        <f t="shared" si="3"/>
        <v>10.025894421446239</v>
      </c>
      <c r="D21" s="25">
        <f t="shared" si="4"/>
        <v>83.549120178718027</v>
      </c>
      <c r="E21" s="19">
        <f t="shared" si="5"/>
        <v>973.05465340618787</v>
      </c>
      <c r="H21">
        <f t="shared" si="0"/>
        <v>13</v>
      </c>
      <c r="J21">
        <v>6000</v>
      </c>
      <c r="K21">
        <f t="shared" si="6"/>
        <v>9882</v>
      </c>
      <c r="L21" s="2">
        <f t="shared" si="7"/>
        <v>8682.9438060101475</v>
      </c>
      <c r="N21" s="16">
        <f t="shared" si="8"/>
        <v>13</v>
      </c>
      <c r="O21" s="19">
        <f t="shared" si="9"/>
        <v>9109.4250563660935</v>
      </c>
      <c r="P21" s="19">
        <f t="shared" si="10"/>
        <v>4478.8220434012992</v>
      </c>
      <c r="Q21" s="19">
        <f t="shared" si="11"/>
        <v>4630.6030129647943</v>
      </c>
      <c r="R21" s="19">
        <f t="shared" si="12"/>
        <v>443251.60132716515</v>
      </c>
      <c r="T21" s="16">
        <f t="shared" si="13"/>
        <v>13</v>
      </c>
      <c r="U21" s="25">
        <f t="shared" si="14"/>
        <v>30.01974983541804</v>
      </c>
      <c r="V21" s="25">
        <f t="shared" si="15"/>
        <v>14.219881500987491</v>
      </c>
      <c r="W21" s="25">
        <f t="shared" si="17"/>
        <v>15.799868334430549</v>
      </c>
      <c r="X21" s="25">
        <f t="shared" si="16"/>
        <v>1690.5859117840682</v>
      </c>
      <c r="Y21" s="27"/>
      <c r="Z21" s="27"/>
      <c r="AA21" s="27"/>
      <c r="AE21" s="16"/>
      <c r="AF21" s="7"/>
      <c r="AG21" s="7"/>
      <c r="AH21" s="7"/>
      <c r="AI21" s="2"/>
    </row>
    <row r="22" spans="1:36">
      <c r="A22" s="16">
        <f t="shared" si="1"/>
        <v>14</v>
      </c>
      <c r="B22" s="25">
        <f t="shared" si="2"/>
        <v>93.575014600164266</v>
      </c>
      <c r="C22" s="29">
        <f t="shared" si="3"/>
        <v>9.2331141202037905</v>
      </c>
      <c r="D22" s="25">
        <f t="shared" si="4"/>
        <v>84.341900479960472</v>
      </c>
      <c r="E22" s="19">
        <f t="shared" si="5"/>
        <v>888.71275292622738</v>
      </c>
      <c r="H22">
        <f t="shared" si="0"/>
        <v>14</v>
      </c>
      <c r="J22">
        <v>6000</v>
      </c>
      <c r="K22">
        <f t="shared" si="6"/>
        <v>9882</v>
      </c>
      <c r="L22" s="2">
        <f t="shared" si="7"/>
        <v>8596.9740653565805</v>
      </c>
      <c r="N22" s="16">
        <f t="shared" si="8"/>
        <v>14</v>
      </c>
      <c r="O22" s="19">
        <f t="shared" si="9"/>
        <v>9109.4250563660935</v>
      </c>
      <c r="P22" s="19">
        <f t="shared" si="10"/>
        <v>4432.5160132716519</v>
      </c>
      <c r="Q22" s="19">
        <f t="shared" si="11"/>
        <v>4676.9090430944416</v>
      </c>
      <c r="R22" s="19">
        <f t="shared" si="12"/>
        <v>438574.69228407071</v>
      </c>
      <c r="T22" s="16">
        <f t="shared" si="13"/>
        <v>14</v>
      </c>
      <c r="U22" s="25">
        <f t="shared" si="14"/>
        <v>29.888084265964451</v>
      </c>
      <c r="V22" s="25">
        <f t="shared" si="15"/>
        <v>14.088215931533902</v>
      </c>
      <c r="W22" s="25">
        <f t="shared" si="17"/>
        <v>15.799868334430549</v>
      </c>
      <c r="X22" s="25">
        <f t="shared" si="16"/>
        <v>1674.7860434496376</v>
      </c>
      <c r="Y22" s="27"/>
      <c r="Z22" s="27"/>
      <c r="AA22" s="27"/>
      <c r="AE22" s="16"/>
      <c r="AF22" s="7"/>
      <c r="AG22" s="7"/>
      <c r="AH22" s="7"/>
      <c r="AI22" s="2"/>
    </row>
    <row r="23" spans="1:36">
      <c r="A23" s="16">
        <f t="shared" si="1"/>
        <v>15</v>
      </c>
      <c r="B23" s="25">
        <f t="shared" si="2"/>
        <v>93.575014600164266</v>
      </c>
      <c r="C23" s="29">
        <f t="shared" si="3"/>
        <v>8.4328112908402346</v>
      </c>
      <c r="D23" s="25">
        <f t="shared" si="4"/>
        <v>85.142203309324032</v>
      </c>
      <c r="E23" s="19">
        <f t="shared" si="5"/>
        <v>803.57054961690335</v>
      </c>
      <c r="F23" t="s">
        <v>42</v>
      </c>
      <c r="G23" s="38">
        <v>0.12</v>
      </c>
      <c r="H23">
        <f t="shared" si="0"/>
        <v>15</v>
      </c>
      <c r="J23">
        <v>6000</v>
      </c>
      <c r="K23">
        <f t="shared" si="6"/>
        <v>9882</v>
      </c>
      <c r="L23" s="2">
        <f t="shared" si="7"/>
        <v>8511.8555102540413</v>
      </c>
      <c r="N23" s="16">
        <f t="shared" si="8"/>
        <v>15</v>
      </c>
      <c r="O23" s="19">
        <f t="shared" si="9"/>
        <v>9109.4250563660935</v>
      </c>
      <c r="P23" s="19">
        <f t="shared" si="10"/>
        <v>4385.7469228407072</v>
      </c>
      <c r="Q23" s="19">
        <f t="shared" si="11"/>
        <v>4723.6781335253863</v>
      </c>
      <c r="R23" s="19">
        <f t="shared" si="12"/>
        <v>433851.01415054535</v>
      </c>
      <c r="T23" s="16">
        <f t="shared" si="13"/>
        <v>15</v>
      </c>
      <c r="U23" s="25">
        <f t="shared" si="14"/>
        <v>29.756418696510863</v>
      </c>
      <c r="V23" s="25">
        <f t="shared" si="15"/>
        <v>13.956550362080314</v>
      </c>
      <c r="W23" s="25">
        <f t="shared" si="17"/>
        <v>15.799868334430549</v>
      </c>
      <c r="X23" s="25">
        <f t="shared" si="16"/>
        <v>1658.9861751152071</v>
      </c>
      <c r="Y23" s="27"/>
      <c r="Z23" s="27"/>
      <c r="AA23" s="27"/>
      <c r="AE23" s="16"/>
      <c r="AF23" s="7"/>
      <c r="AG23" s="7"/>
      <c r="AH23" s="7"/>
      <c r="AI23" s="2"/>
    </row>
    <row r="24" spans="1:36">
      <c r="A24" s="16">
        <f t="shared" si="1"/>
        <v>16</v>
      </c>
      <c r="B24" s="25">
        <f t="shared" si="2"/>
        <v>93.575014600164266</v>
      </c>
      <c r="C24" s="29">
        <f t="shared" si="3"/>
        <v>7.6249145536438876</v>
      </c>
      <c r="D24" s="25">
        <f t="shared" si="4"/>
        <v>85.950100046520376</v>
      </c>
      <c r="E24" s="19">
        <f t="shared" si="5"/>
        <v>717.62044957038302</v>
      </c>
      <c r="F24" t="s">
        <v>43</v>
      </c>
      <c r="G24">
        <f>G23/12</f>
        <v>0.01</v>
      </c>
      <c r="H24">
        <f t="shared" si="0"/>
        <v>16</v>
      </c>
      <c r="J24">
        <v>6000</v>
      </c>
      <c r="K24">
        <f t="shared" si="6"/>
        <v>9882</v>
      </c>
      <c r="L24" s="2">
        <f t="shared" si="7"/>
        <v>8427.5797131228119</v>
      </c>
      <c r="N24" s="16">
        <f t="shared" si="8"/>
        <v>16</v>
      </c>
      <c r="O24" s="19">
        <f t="shared" si="9"/>
        <v>9109.4250563660935</v>
      </c>
      <c r="P24" s="19">
        <f t="shared" si="10"/>
        <v>4338.5101415054532</v>
      </c>
      <c r="Q24" s="19">
        <f t="shared" si="11"/>
        <v>4770.9149148606402</v>
      </c>
      <c r="R24" s="19">
        <f t="shared" si="12"/>
        <v>429080.09923568473</v>
      </c>
      <c r="T24" s="16">
        <f t="shared" si="13"/>
        <v>16</v>
      </c>
      <c r="U24" s="25">
        <f t="shared" si="14"/>
        <v>29.624753127057275</v>
      </c>
      <c r="V24" s="25">
        <f t="shared" si="15"/>
        <v>13.824884792626726</v>
      </c>
      <c r="W24" s="25">
        <f t="shared" si="17"/>
        <v>15.799868334430549</v>
      </c>
      <c r="X24" s="25">
        <f t="shared" si="16"/>
        <v>1643.1863067807765</v>
      </c>
      <c r="Y24" s="32" t="s">
        <v>44</v>
      </c>
      <c r="Z24" s="32" t="s">
        <v>45</v>
      </c>
      <c r="AA24" s="32" t="s">
        <v>46</v>
      </c>
      <c r="AE24" s="16"/>
      <c r="AF24" s="7"/>
      <c r="AG24" s="7"/>
      <c r="AH24" s="7"/>
      <c r="AI24" s="2"/>
    </row>
    <row r="25" spans="1:36">
      <c r="A25" s="16">
        <f t="shared" si="1"/>
        <v>17</v>
      </c>
      <c r="B25" s="25">
        <f t="shared" si="2"/>
        <v>93.575014600164266</v>
      </c>
      <c r="C25" s="29">
        <f t="shared" si="3"/>
        <v>6.8093518515957596</v>
      </c>
      <c r="D25" s="25">
        <f t="shared" si="4"/>
        <v>86.765662748568502</v>
      </c>
      <c r="E25" s="19">
        <f t="shared" si="5"/>
        <v>630.85478682181451</v>
      </c>
      <c r="G25">
        <f>(1+G24)^12</f>
        <v>1.1268250301319698</v>
      </c>
      <c r="H25">
        <f t="shared" si="0"/>
        <v>17</v>
      </c>
      <c r="J25">
        <v>6000</v>
      </c>
      <c r="K25">
        <f t="shared" si="6"/>
        <v>9882</v>
      </c>
      <c r="L25" s="2">
        <f t="shared" si="7"/>
        <v>8344.1383298245655</v>
      </c>
      <c r="N25" s="16">
        <f t="shared" si="8"/>
        <v>17</v>
      </c>
      <c r="O25" s="19">
        <f t="shared" si="9"/>
        <v>9109.4250563660935</v>
      </c>
      <c r="P25" s="19">
        <f t="shared" si="10"/>
        <v>4290.800992356847</v>
      </c>
      <c r="Q25" s="19">
        <f t="shared" si="11"/>
        <v>4818.6240640092465</v>
      </c>
      <c r="R25" s="19">
        <f t="shared" si="12"/>
        <v>424261.4751716755</v>
      </c>
      <c r="T25" s="16">
        <f t="shared" si="13"/>
        <v>17</v>
      </c>
      <c r="U25" s="25">
        <f t="shared" si="14"/>
        <v>29.493087557603687</v>
      </c>
      <c r="V25" s="25">
        <f t="shared" si="15"/>
        <v>13.693219223173138</v>
      </c>
      <c r="W25" s="25">
        <f t="shared" si="17"/>
        <v>15.799868334430549</v>
      </c>
      <c r="X25" s="25">
        <f t="shared" si="16"/>
        <v>1627.3864384463459</v>
      </c>
      <c r="Y25" s="27">
        <v>10000</v>
      </c>
      <c r="Z25" s="32">
        <f>AA25/200</f>
        <v>28.571428571428573</v>
      </c>
      <c r="AA25" s="27">
        <f>10000*200/350</f>
        <v>5714.2857142857147</v>
      </c>
      <c r="AE25" s="16"/>
      <c r="AF25" s="7"/>
      <c r="AG25" s="7"/>
      <c r="AH25" s="7"/>
      <c r="AI25" s="2"/>
    </row>
    <row r="26" spans="1:36">
      <c r="A26" s="16">
        <f t="shared" si="1"/>
        <v>18</v>
      </c>
      <c r="B26" s="25">
        <f t="shared" si="2"/>
        <v>93.575014600164266</v>
      </c>
      <c r="C26" s="29">
        <f t="shared" si="3"/>
        <v>5.9860504439427267</v>
      </c>
      <c r="D26" s="25">
        <f t="shared" si="4"/>
        <v>87.588964156221536</v>
      </c>
      <c r="E26" s="19">
        <f t="shared" si="5"/>
        <v>543.26582266559296</v>
      </c>
      <c r="G26">
        <f>G25-1</f>
        <v>0.12682503013196977</v>
      </c>
      <c r="H26">
        <f t="shared" si="0"/>
        <v>18</v>
      </c>
      <c r="J26">
        <v>6000</v>
      </c>
      <c r="K26">
        <f t="shared" si="6"/>
        <v>9882</v>
      </c>
      <c r="L26" s="2">
        <f t="shared" si="7"/>
        <v>8261.5230988362018</v>
      </c>
      <c r="N26" s="39">
        <f t="shared" si="8"/>
        <v>18</v>
      </c>
      <c r="O26" s="40">
        <f t="shared" si="9"/>
        <v>9109.4250563660935</v>
      </c>
      <c r="P26" s="40">
        <f t="shared" si="10"/>
        <v>4242.6147517167547</v>
      </c>
      <c r="Q26" s="40">
        <f t="shared" si="11"/>
        <v>4866.8103046493388</v>
      </c>
      <c r="R26" s="41">
        <f t="shared" si="12"/>
        <v>419394.66486702615</v>
      </c>
      <c r="S26" s="42">
        <f>R25+P26</f>
        <v>428504.08992339222</v>
      </c>
      <c r="T26" s="16">
        <f t="shared" si="13"/>
        <v>18</v>
      </c>
      <c r="U26" s="25">
        <f t="shared" si="14"/>
        <v>29.361421988150099</v>
      </c>
      <c r="V26" s="25">
        <f t="shared" si="15"/>
        <v>13.56155365371955</v>
      </c>
      <c r="W26" s="25">
        <f t="shared" si="17"/>
        <v>15.799868334430549</v>
      </c>
      <c r="X26" s="25">
        <f t="shared" si="16"/>
        <v>1611.5865701119153</v>
      </c>
      <c r="Y26" s="27"/>
      <c r="Z26" s="27"/>
      <c r="AA26" s="27"/>
      <c r="AE26" s="16"/>
      <c r="AF26" s="7"/>
      <c r="AG26" s="7"/>
      <c r="AH26" s="7"/>
      <c r="AI26" s="2"/>
    </row>
    <row r="27" spans="1:36">
      <c r="A27" s="16">
        <f t="shared" si="1"/>
        <v>19</v>
      </c>
      <c r="B27" s="25">
        <f t="shared" si="2"/>
        <v>93.575014600164266</v>
      </c>
      <c r="C27" s="29">
        <f t="shared" si="3"/>
        <v>5.1549368997097247</v>
      </c>
      <c r="D27" s="25">
        <f t="shared" si="4"/>
        <v>88.420077700454542</v>
      </c>
      <c r="E27" s="19">
        <f t="shared" si="5"/>
        <v>454.84574496513841</v>
      </c>
      <c r="F27" t="s">
        <v>47</v>
      </c>
      <c r="G27">
        <f>G26*100</f>
        <v>12.682503013196978</v>
      </c>
      <c r="H27">
        <f t="shared" si="0"/>
        <v>19</v>
      </c>
      <c r="J27">
        <v>6000</v>
      </c>
      <c r="K27">
        <f t="shared" si="6"/>
        <v>9882</v>
      </c>
      <c r="L27" s="2">
        <f t="shared" si="7"/>
        <v>8179.7258404318854</v>
      </c>
      <c r="N27" s="16">
        <f t="shared" si="8"/>
        <v>19</v>
      </c>
      <c r="O27" s="19">
        <f t="shared" si="9"/>
        <v>9109.4250563660935</v>
      </c>
      <c r="P27" s="19">
        <f t="shared" si="10"/>
        <v>4193.9466486702613</v>
      </c>
      <c r="Q27" s="19">
        <f t="shared" si="11"/>
        <v>4915.4784076958322</v>
      </c>
      <c r="R27" s="19">
        <f t="shared" si="12"/>
        <v>414479.18645933032</v>
      </c>
      <c r="T27" s="16">
        <f t="shared" si="13"/>
        <v>19</v>
      </c>
      <c r="U27" s="25">
        <f t="shared" si="14"/>
        <v>29.22975641869651</v>
      </c>
      <c r="V27" s="25">
        <f t="shared" si="15"/>
        <v>13.429888084265961</v>
      </c>
      <c r="W27" s="25">
        <f t="shared" si="17"/>
        <v>15.799868334430549</v>
      </c>
      <c r="X27" s="25">
        <f t="shared" si="16"/>
        <v>1595.7867017774847</v>
      </c>
      <c r="Y27" s="27"/>
      <c r="Z27" s="27"/>
      <c r="AA27" s="27"/>
      <c r="AE27" s="16"/>
      <c r="AF27" s="7"/>
      <c r="AG27" s="7"/>
      <c r="AH27" s="7"/>
      <c r="AI27" s="2"/>
    </row>
    <row r="28" spans="1:36">
      <c r="A28" s="16">
        <f t="shared" si="1"/>
        <v>20</v>
      </c>
      <c r="B28" s="25">
        <f t="shared" si="2"/>
        <v>93.575014600164266</v>
      </c>
      <c r="C28" s="29">
        <f t="shared" si="3"/>
        <v>4.3159370911503672</v>
      </c>
      <c r="D28" s="25">
        <f t="shared" si="4"/>
        <v>89.259077509013906</v>
      </c>
      <c r="E28" s="19">
        <f t="shared" si="5"/>
        <v>365.58666745612447</v>
      </c>
      <c r="H28">
        <f t="shared" si="0"/>
        <v>20</v>
      </c>
      <c r="J28">
        <v>6000</v>
      </c>
      <c r="K28">
        <f t="shared" si="6"/>
        <v>9882</v>
      </c>
      <c r="L28" s="2">
        <f t="shared" si="7"/>
        <v>8098.7384558731537</v>
      </c>
      <c r="N28" s="16">
        <f t="shared" si="8"/>
        <v>20</v>
      </c>
      <c r="O28" s="19">
        <f t="shared" si="9"/>
        <v>9109.4250563660935</v>
      </c>
      <c r="P28" s="19">
        <f t="shared" si="10"/>
        <v>4144.7918645933032</v>
      </c>
      <c r="Q28" s="19">
        <f t="shared" si="11"/>
        <v>4964.6331917727903</v>
      </c>
      <c r="R28" s="19">
        <f t="shared" si="12"/>
        <v>409514.55326755752</v>
      </c>
      <c r="T28" s="16">
        <f t="shared" si="13"/>
        <v>20</v>
      </c>
      <c r="U28" s="25">
        <f t="shared" si="14"/>
        <v>29.098090849242922</v>
      </c>
      <c r="V28" s="25">
        <f t="shared" si="15"/>
        <v>13.298222514812373</v>
      </c>
      <c r="W28" s="25">
        <f t="shared" si="17"/>
        <v>15.799868334430549</v>
      </c>
      <c r="X28" s="25">
        <f t="shared" si="16"/>
        <v>1579.9868334430541</v>
      </c>
      <c r="Y28" s="27"/>
      <c r="Z28" s="27"/>
      <c r="AA28" s="27"/>
      <c r="AE28" s="16"/>
      <c r="AF28" s="7"/>
      <c r="AG28" s="7"/>
      <c r="AH28" s="7"/>
      <c r="AI28" s="2"/>
    </row>
    <row r="29" spans="1:36">
      <c r="A29" s="16">
        <f t="shared" si="1"/>
        <v>21</v>
      </c>
      <c r="B29" s="25">
        <f t="shared" si="2"/>
        <v>93.575014600164266</v>
      </c>
      <c r="C29" s="29">
        <f t="shared" si="3"/>
        <v>3.4689761871354352</v>
      </c>
      <c r="D29" s="25">
        <f t="shared" si="4"/>
        <v>90.106038413028827</v>
      </c>
      <c r="E29" s="19">
        <f t="shared" si="5"/>
        <v>275.48062904309563</v>
      </c>
      <c r="H29">
        <f t="shared" si="0"/>
        <v>21</v>
      </c>
      <c r="J29">
        <v>6000</v>
      </c>
      <c r="K29">
        <f t="shared" si="6"/>
        <v>9882</v>
      </c>
      <c r="L29" s="2">
        <f t="shared" si="7"/>
        <v>8018.5529266070835</v>
      </c>
      <c r="N29" s="16">
        <f t="shared" si="8"/>
        <v>21</v>
      </c>
      <c r="O29" s="19">
        <f t="shared" si="9"/>
        <v>9109.4250563660935</v>
      </c>
      <c r="P29" s="19">
        <f t="shared" si="10"/>
        <v>4095.1455326755754</v>
      </c>
      <c r="Q29" s="19">
        <f t="shared" si="11"/>
        <v>5014.2795236905185</v>
      </c>
      <c r="R29" s="19">
        <f t="shared" si="12"/>
        <v>404500.273743867</v>
      </c>
      <c r="T29" s="16">
        <f t="shared" si="13"/>
        <v>21</v>
      </c>
      <c r="U29" s="25">
        <f t="shared" si="14"/>
        <v>28.966425279789334</v>
      </c>
      <c r="V29" s="25">
        <f t="shared" si="15"/>
        <v>13.166556945358785</v>
      </c>
      <c r="W29" s="25">
        <f t="shared" si="17"/>
        <v>15.799868334430549</v>
      </c>
      <c r="X29" s="25">
        <f t="shared" si="16"/>
        <v>1564.1869651086236</v>
      </c>
      <c r="Y29" s="27"/>
      <c r="Z29" s="27"/>
      <c r="AA29" s="27"/>
      <c r="AE29" s="16"/>
      <c r="AF29" s="7"/>
      <c r="AG29" s="7"/>
      <c r="AH29" s="7"/>
      <c r="AI29" s="2"/>
    </row>
    <row r="30" spans="1:36">
      <c r="A30" s="16">
        <f t="shared" si="1"/>
        <v>22</v>
      </c>
      <c r="B30" s="25">
        <f t="shared" si="2"/>
        <v>93.575014600164266</v>
      </c>
      <c r="C30" s="29">
        <f t="shared" si="3"/>
        <v>2.613978646478619</v>
      </c>
      <c r="D30" s="25">
        <f t="shared" si="4"/>
        <v>90.961035953685652</v>
      </c>
      <c r="E30" s="19">
        <f t="shared" si="5"/>
        <v>184.51959308940997</v>
      </c>
      <c r="H30">
        <f t="shared" si="0"/>
        <v>22</v>
      </c>
      <c r="J30">
        <v>6000</v>
      </c>
      <c r="K30">
        <f t="shared" si="6"/>
        <v>9882</v>
      </c>
      <c r="L30" s="2">
        <f t="shared" si="7"/>
        <v>7939.1613134723575</v>
      </c>
      <c r="N30" s="16">
        <f t="shared" si="8"/>
        <v>22</v>
      </c>
      <c r="O30" s="19">
        <f t="shared" si="9"/>
        <v>9109.4250563660935</v>
      </c>
      <c r="P30" s="19">
        <f t="shared" si="10"/>
        <v>4045.00273743867</v>
      </c>
      <c r="Q30" s="19">
        <f t="shared" si="11"/>
        <v>5064.4223189274235</v>
      </c>
      <c r="R30" s="19">
        <f t="shared" si="12"/>
        <v>399435.85142493958</v>
      </c>
      <c r="T30" s="16">
        <f t="shared" si="13"/>
        <v>22</v>
      </c>
      <c r="U30" s="25">
        <f t="shared" si="14"/>
        <v>28.834759710335746</v>
      </c>
      <c r="V30" s="25">
        <f t="shared" si="15"/>
        <v>13.034891375905197</v>
      </c>
      <c r="W30" s="25">
        <f t="shared" si="17"/>
        <v>15.799868334430549</v>
      </c>
      <c r="X30" s="25">
        <f t="shared" si="16"/>
        <v>1548.387096774193</v>
      </c>
      <c r="Y30" s="27"/>
      <c r="Z30" s="27"/>
      <c r="AA30" s="27"/>
      <c r="AE30" s="16"/>
      <c r="AF30" s="7"/>
      <c r="AG30" s="7"/>
      <c r="AH30" s="7"/>
      <c r="AI30" s="2"/>
    </row>
    <row r="31" spans="1:36">
      <c r="A31" s="16">
        <f t="shared" si="1"/>
        <v>23</v>
      </c>
      <c r="B31" s="25">
        <f t="shared" si="2"/>
        <v>93.575014600164266</v>
      </c>
      <c r="C31" s="29">
        <f t="shared" si="3"/>
        <v>1.7508682111989318</v>
      </c>
      <c r="D31" s="25">
        <f t="shared" si="4"/>
        <v>91.824146388965332</v>
      </c>
      <c r="E31" s="19">
        <f t="shared" si="5"/>
        <v>92.695446700444634</v>
      </c>
      <c r="H31">
        <f t="shared" si="0"/>
        <v>23</v>
      </c>
      <c r="J31">
        <v>6000</v>
      </c>
      <c r="K31">
        <f t="shared" si="6"/>
        <v>9882</v>
      </c>
      <c r="L31" s="2">
        <f t="shared" si="7"/>
        <v>7860.5557559132267</v>
      </c>
      <c r="N31" s="16">
        <f t="shared" si="8"/>
        <v>23</v>
      </c>
      <c r="O31" s="19">
        <f t="shared" si="9"/>
        <v>9109.4250563660935</v>
      </c>
      <c r="P31" s="19">
        <f t="shared" si="10"/>
        <v>3994.3585142493957</v>
      </c>
      <c r="Q31" s="19">
        <f t="shared" si="11"/>
        <v>5115.0665421166977</v>
      </c>
      <c r="R31" s="19">
        <f t="shared" si="12"/>
        <v>394320.78488282289</v>
      </c>
      <c r="T31" s="16">
        <f t="shared" si="13"/>
        <v>23</v>
      </c>
      <c r="U31" s="25">
        <f t="shared" si="14"/>
        <v>28.703094140882158</v>
      </c>
      <c r="V31" s="25">
        <f t="shared" si="15"/>
        <v>12.903225806451609</v>
      </c>
      <c r="W31" s="25">
        <f t="shared" si="17"/>
        <v>15.799868334430549</v>
      </c>
      <c r="X31" s="25">
        <f t="shared" si="16"/>
        <v>1532.5872284397624</v>
      </c>
      <c r="Y31" s="27"/>
      <c r="Z31" s="27"/>
      <c r="AA31" s="32" t="s">
        <v>48</v>
      </c>
      <c r="AB31" s="43" t="s">
        <v>48</v>
      </c>
      <c r="AC31" s="44" t="s">
        <v>49</v>
      </c>
      <c r="AE31" s="16"/>
      <c r="AF31" s="7"/>
      <c r="AG31" s="7"/>
      <c r="AH31" s="7"/>
      <c r="AI31" s="2"/>
      <c r="AJ31" s="45"/>
    </row>
    <row r="32" spans="1:36">
      <c r="A32" s="16">
        <f t="shared" si="1"/>
        <v>24</v>
      </c>
      <c r="B32" s="25">
        <f t="shared" si="2"/>
        <v>93.575014600164266</v>
      </c>
      <c r="C32" s="29">
        <f t="shared" si="3"/>
        <v>0.87956789971919835</v>
      </c>
      <c r="D32" s="25">
        <f t="shared" si="4"/>
        <v>92.695446700445075</v>
      </c>
      <c r="E32" s="19">
        <f t="shared" si="5"/>
        <v>-4.4053649617126212E-13</v>
      </c>
      <c r="H32">
        <f t="shared" si="0"/>
        <v>24</v>
      </c>
      <c r="J32">
        <v>6000</v>
      </c>
      <c r="K32">
        <f t="shared" si="6"/>
        <v>9882</v>
      </c>
      <c r="L32" s="2">
        <f t="shared" si="7"/>
        <v>7782.7284712012124</v>
      </c>
      <c r="N32" s="16">
        <f t="shared" si="8"/>
        <v>24</v>
      </c>
      <c r="O32" s="19">
        <f t="shared" si="9"/>
        <v>9109.4250563660935</v>
      </c>
      <c r="P32" s="19">
        <f t="shared" si="10"/>
        <v>3943.2078488282291</v>
      </c>
      <c r="Q32" s="19">
        <f t="shared" si="11"/>
        <v>5166.2172075378639</v>
      </c>
      <c r="R32" s="19">
        <f t="shared" si="12"/>
        <v>389154.56767528504</v>
      </c>
      <c r="T32" s="33">
        <f t="shared" si="13"/>
        <v>24</v>
      </c>
      <c r="U32" s="35">
        <f>AA32/AC4</f>
        <v>28.571428571428573</v>
      </c>
      <c r="V32" s="25">
        <f>X31*$V$3</f>
        <v>12.77156023699802</v>
      </c>
      <c r="W32" s="25">
        <f>$X$8/120</f>
        <v>15.799868334430549</v>
      </c>
      <c r="X32" s="25">
        <f>X31-W32</f>
        <v>1516.7873601053318</v>
      </c>
      <c r="Y32" s="46"/>
      <c r="Z32" s="46"/>
      <c r="AA32" s="47">
        <f>U5</f>
        <v>10000</v>
      </c>
      <c r="AB32" s="48">
        <f>120*U32</f>
        <v>3428.5714285714289</v>
      </c>
      <c r="AC32" s="49">
        <f>X32*AC4</f>
        <v>530875.57603686617</v>
      </c>
      <c r="AE32" s="33"/>
      <c r="AF32" s="7"/>
      <c r="AG32" s="7"/>
      <c r="AH32" s="7"/>
      <c r="AI32" s="2"/>
    </row>
    <row r="33" spans="1:35">
      <c r="A33" s="16" t="s">
        <v>50</v>
      </c>
      <c r="B33" s="25">
        <f>SUM(B9:B32)</f>
        <v>2245.8003504039416</v>
      </c>
      <c r="C33" s="16">
        <f>SUM(C9:C32)</f>
        <v>245.80035040394202</v>
      </c>
      <c r="D33" s="25">
        <f>SUM(D9:D32)</f>
        <v>2000.0000000000005</v>
      </c>
      <c r="E33" s="16"/>
      <c r="H33">
        <f>H32+1</f>
        <v>25</v>
      </c>
      <c r="J33">
        <v>7000</v>
      </c>
      <c r="K33">
        <f t="shared" si="6"/>
        <v>11529</v>
      </c>
      <c r="L33" s="2">
        <f t="shared" si="7"/>
        <v>8989.9503792753276</v>
      </c>
      <c r="N33" s="16">
        <f t="shared" si="8"/>
        <v>25</v>
      </c>
      <c r="O33" s="19">
        <f t="shared" si="9"/>
        <v>9109.4250563660935</v>
      </c>
      <c r="P33" s="19">
        <f t="shared" si="10"/>
        <v>3891.5456767528503</v>
      </c>
      <c r="Q33" s="19">
        <f t="shared" si="11"/>
        <v>5217.8793796132431</v>
      </c>
      <c r="R33" s="19">
        <f t="shared" si="12"/>
        <v>383936.68829567177</v>
      </c>
      <c r="T33" s="16">
        <f t="shared" si="13"/>
        <v>25</v>
      </c>
      <c r="U33" s="25">
        <f>V33+W33</f>
        <v>28.439763001974981</v>
      </c>
      <c r="V33" s="25">
        <f t="shared" si="15"/>
        <v>12.639894667544432</v>
      </c>
      <c r="W33" s="25">
        <f t="shared" si="17"/>
        <v>15.799868334430549</v>
      </c>
      <c r="X33" s="25">
        <f t="shared" si="16"/>
        <v>1500.9874917709012</v>
      </c>
      <c r="Y33" s="27"/>
      <c r="Z33" s="27"/>
      <c r="AA33" s="27"/>
      <c r="AB33" s="26"/>
      <c r="AE33" s="16"/>
      <c r="AF33" s="7"/>
      <c r="AG33" s="7"/>
      <c r="AH33" s="7"/>
      <c r="AI33" s="2"/>
    </row>
    <row r="34" spans="1:35">
      <c r="H34">
        <f t="shared" ref="H34:H68" si="18">H33+1</f>
        <v>26</v>
      </c>
      <c r="J34">
        <v>7000</v>
      </c>
      <c r="K34">
        <f t="shared" si="6"/>
        <v>11529</v>
      </c>
      <c r="L34" s="2">
        <f t="shared" si="7"/>
        <v>8900.940969579533</v>
      </c>
      <c r="N34" s="16">
        <f t="shared" si="8"/>
        <v>26</v>
      </c>
      <c r="O34" s="19">
        <f t="shared" si="9"/>
        <v>9109.4250563660935</v>
      </c>
      <c r="P34" s="19">
        <f t="shared" si="10"/>
        <v>3839.3668829567177</v>
      </c>
      <c r="Q34" s="19">
        <f t="shared" si="11"/>
        <v>5270.0581734093757</v>
      </c>
      <c r="R34" s="19">
        <f t="shared" si="12"/>
        <v>378666.6301222624</v>
      </c>
      <c r="T34" s="16">
        <f t="shared" si="13"/>
        <v>26</v>
      </c>
      <c r="U34" s="25">
        <f t="shared" ref="U34:U97" si="19">V34+W34</f>
        <v>28.308097432521393</v>
      </c>
      <c r="V34" s="25">
        <f t="shared" si="15"/>
        <v>12.508229098090844</v>
      </c>
      <c r="W34" s="25">
        <f t="shared" si="17"/>
        <v>15.799868334430549</v>
      </c>
      <c r="X34" s="25">
        <f t="shared" si="16"/>
        <v>1485.1876234364706</v>
      </c>
      <c r="Y34" s="27"/>
      <c r="Z34" s="27"/>
      <c r="AA34" s="27">
        <f>U32*120</f>
        <v>3428.5714285714289</v>
      </c>
      <c r="AB34" s="26" t="s">
        <v>51</v>
      </c>
      <c r="AE34" s="16"/>
      <c r="AF34" s="7"/>
      <c r="AG34" s="7"/>
      <c r="AH34" s="7"/>
      <c r="AI34" s="2"/>
    </row>
    <row r="35" spans="1:35">
      <c r="H35">
        <f t="shared" si="18"/>
        <v>27</v>
      </c>
      <c r="J35">
        <v>7000</v>
      </c>
      <c r="K35">
        <f t="shared" si="6"/>
        <v>11529</v>
      </c>
      <c r="L35" s="2">
        <f t="shared" si="7"/>
        <v>8812.8128411678572</v>
      </c>
      <c r="N35" s="16">
        <f t="shared" si="8"/>
        <v>27</v>
      </c>
      <c r="O35" s="19">
        <f t="shared" si="9"/>
        <v>9109.4250563660935</v>
      </c>
      <c r="P35" s="19">
        <f t="shared" si="10"/>
        <v>3786.666301222624</v>
      </c>
      <c r="Q35" s="19">
        <f t="shared" si="11"/>
        <v>5322.7587551434699</v>
      </c>
      <c r="R35" s="19">
        <f t="shared" si="12"/>
        <v>373343.8713671189</v>
      </c>
      <c r="T35" s="16">
        <f t="shared" si="13"/>
        <v>27</v>
      </c>
      <c r="U35" s="25">
        <f t="shared" si="19"/>
        <v>28.176431863067805</v>
      </c>
      <c r="V35" s="25">
        <f t="shared" si="15"/>
        <v>12.376563528637256</v>
      </c>
      <c r="W35" s="25">
        <f t="shared" si="17"/>
        <v>15.799868334430549</v>
      </c>
      <c r="X35" s="25">
        <f t="shared" si="16"/>
        <v>1469.38775510204</v>
      </c>
      <c r="Y35" s="27"/>
      <c r="Z35" s="27"/>
      <c r="AA35" s="27">
        <f>(1+(V3*(120-24+1)))</f>
        <v>1.8083333333333333</v>
      </c>
      <c r="AB35" s="26"/>
      <c r="AE35" s="16"/>
      <c r="AF35" s="7"/>
      <c r="AG35" s="7"/>
      <c r="AH35" s="7"/>
      <c r="AI35" s="2"/>
    </row>
    <row r="36" spans="1:35">
      <c r="H36">
        <f t="shared" si="18"/>
        <v>28</v>
      </c>
      <c r="J36">
        <v>7000</v>
      </c>
      <c r="K36">
        <f t="shared" si="6"/>
        <v>11529</v>
      </c>
      <c r="L36" s="2">
        <f t="shared" si="7"/>
        <v>8725.5572684830258</v>
      </c>
      <c r="N36" s="16">
        <f t="shared" si="8"/>
        <v>28</v>
      </c>
      <c r="O36" s="19">
        <f t="shared" si="9"/>
        <v>9109.4250563660935</v>
      </c>
      <c r="P36" s="19">
        <f t="shared" si="10"/>
        <v>3733.4387136711889</v>
      </c>
      <c r="Q36" s="19">
        <f t="shared" si="11"/>
        <v>5375.986342694905</v>
      </c>
      <c r="R36" s="19">
        <f t="shared" si="12"/>
        <v>367967.885024424</v>
      </c>
      <c r="T36" s="16">
        <f t="shared" si="13"/>
        <v>28</v>
      </c>
      <c r="U36" s="25">
        <f t="shared" si="19"/>
        <v>28.044766293614217</v>
      </c>
      <c r="V36" s="25">
        <f t="shared" si="15"/>
        <v>12.244897959183668</v>
      </c>
      <c r="W36" s="25">
        <f t="shared" si="17"/>
        <v>15.799868334430549</v>
      </c>
      <c r="X36" s="25">
        <f t="shared" si="16"/>
        <v>1453.5878867676095</v>
      </c>
      <c r="Y36" s="27"/>
      <c r="Z36" s="27"/>
      <c r="AA36" s="27">
        <f>AA34/AA35</f>
        <v>1895.9842001316658</v>
      </c>
      <c r="AB36" s="26"/>
      <c r="AE36" s="16"/>
      <c r="AF36" s="7"/>
      <c r="AG36" s="7"/>
      <c r="AH36" s="7"/>
      <c r="AI36" s="2"/>
    </row>
    <row r="37" spans="1:35">
      <c r="A37" s="43" t="s">
        <v>52</v>
      </c>
      <c r="H37">
        <f t="shared" si="18"/>
        <v>29</v>
      </c>
      <c r="J37">
        <v>7000</v>
      </c>
      <c r="K37">
        <f t="shared" si="6"/>
        <v>11529</v>
      </c>
      <c r="L37" s="2">
        <f t="shared" si="7"/>
        <v>8639.1656123594312</v>
      </c>
      <c r="N37" s="16">
        <f t="shared" si="8"/>
        <v>29</v>
      </c>
      <c r="O37" s="19">
        <f t="shared" si="9"/>
        <v>9109.4250563660935</v>
      </c>
      <c r="P37" s="19">
        <f t="shared" si="10"/>
        <v>3679.67885024424</v>
      </c>
      <c r="Q37" s="19">
        <f t="shared" si="11"/>
        <v>5429.7462061218539</v>
      </c>
      <c r="R37" s="19">
        <f t="shared" si="12"/>
        <v>362538.13881830213</v>
      </c>
      <c r="T37" s="16">
        <f t="shared" si="13"/>
        <v>29</v>
      </c>
      <c r="U37" s="25">
        <f t="shared" si="19"/>
        <v>27.913100724160628</v>
      </c>
      <c r="V37" s="25">
        <f t="shared" si="15"/>
        <v>12.113232389730079</v>
      </c>
      <c r="W37" s="25">
        <f t="shared" si="17"/>
        <v>15.799868334430549</v>
      </c>
      <c r="X37" s="25">
        <f t="shared" si="16"/>
        <v>1437.7880184331789</v>
      </c>
      <c r="Y37" s="27"/>
      <c r="Z37" s="27"/>
      <c r="AA37" s="27"/>
      <c r="AB37" s="26"/>
      <c r="AE37" s="16"/>
      <c r="AF37" s="7"/>
      <c r="AG37" s="7"/>
      <c r="AH37" s="7"/>
      <c r="AI37" s="2"/>
    </row>
    <row r="38" spans="1:35">
      <c r="A38" s="43" t="s">
        <v>53</v>
      </c>
      <c r="H38">
        <f t="shared" si="18"/>
        <v>30</v>
      </c>
      <c r="J38">
        <v>7000</v>
      </c>
      <c r="K38">
        <f t="shared" si="6"/>
        <v>11529</v>
      </c>
      <c r="L38" s="2">
        <f t="shared" si="7"/>
        <v>8553.6293191677523</v>
      </c>
      <c r="N38" s="16">
        <f t="shared" si="8"/>
        <v>30</v>
      </c>
      <c r="O38" s="19">
        <f t="shared" si="9"/>
        <v>9109.4250563660935</v>
      </c>
      <c r="P38" s="19">
        <f t="shared" si="10"/>
        <v>3625.3813881830215</v>
      </c>
      <c r="Q38" s="19">
        <f t="shared" si="11"/>
        <v>5484.0436681830724</v>
      </c>
      <c r="R38" s="19">
        <f t="shared" si="12"/>
        <v>357054.09515011904</v>
      </c>
      <c r="T38" s="16">
        <f t="shared" si="13"/>
        <v>30</v>
      </c>
      <c r="U38" s="25">
        <f t="shared" si="19"/>
        <v>27.78143515470704</v>
      </c>
      <c r="V38" s="25">
        <f t="shared" si="15"/>
        <v>11.981566820276491</v>
      </c>
      <c r="W38" s="25">
        <f t="shared" si="17"/>
        <v>15.799868334430549</v>
      </c>
      <c r="X38" s="25">
        <f t="shared" si="16"/>
        <v>1421.9881500987483</v>
      </c>
      <c r="Y38" s="27"/>
      <c r="Z38" s="27"/>
      <c r="AA38" s="27"/>
      <c r="AB38" s="26"/>
      <c r="AE38" s="16"/>
      <c r="AF38" s="7"/>
      <c r="AG38" s="7"/>
      <c r="AH38" s="7"/>
      <c r="AI38" s="2"/>
    </row>
    <row r="39" spans="1:35">
      <c r="H39">
        <f t="shared" si="18"/>
        <v>31</v>
      </c>
      <c r="J39">
        <v>7000</v>
      </c>
      <c r="K39">
        <f t="shared" si="6"/>
        <v>11529</v>
      </c>
      <c r="L39" s="2">
        <f t="shared" si="7"/>
        <v>8468.9399199680738</v>
      </c>
      <c r="N39" s="16">
        <f t="shared" si="8"/>
        <v>31</v>
      </c>
      <c r="O39" s="19">
        <f t="shared" si="9"/>
        <v>9109.4250563660935</v>
      </c>
      <c r="P39" s="19">
        <f t="shared" si="10"/>
        <v>3570.5409515011906</v>
      </c>
      <c r="Q39" s="19">
        <f t="shared" si="11"/>
        <v>5538.8841048649028</v>
      </c>
      <c r="R39" s="19">
        <f t="shared" si="12"/>
        <v>351515.21104525414</v>
      </c>
      <c r="T39" s="16">
        <f t="shared" si="13"/>
        <v>31</v>
      </c>
      <c r="U39" s="25">
        <f t="shared" si="19"/>
        <v>27.649769585253452</v>
      </c>
      <c r="V39" s="25">
        <f t="shared" si="15"/>
        <v>11.849901250822903</v>
      </c>
      <c r="W39" s="25">
        <f t="shared" si="17"/>
        <v>15.799868334430549</v>
      </c>
      <c r="X39" s="25">
        <f t="shared" si="16"/>
        <v>1406.1882817643177</v>
      </c>
      <c r="Y39" s="27"/>
      <c r="Z39" s="27"/>
      <c r="AA39" s="50" t="s">
        <v>54</v>
      </c>
      <c r="AB39" s="51">
        <f>(120-36)*(1896/120)</f>
        <v>1327.2</v>
      </c>
      <c r="AE39" s="16"/>
      <c r="AF39" s="7"/>
      <c r="AG39" s="7"/>
      <c r="AH39" s="7"/>
      <c r="AI39" s="2"/>
    </row>
    <row r="40" spans="1:35">
      <c r="H40">
        <f t="shared" si="18"/>
        <v>32</v>
      </c>
      <c r="J40">
        <v>7000</v>
      </c>
      <c r="K40">
        <f t="shared" si="6"/>
        <v>11529</v>
      </c>
      <c r="L40" s="2">
        <f t="shared" si="7"/>
        <v>8385.0890296713587</v>
      </c>
      <c r="N40" s="16">
        <f t="shared" si="8"/>
        <v>32</v>
      </c>
      <c r="O40" s="19">
        <f t="shared" si="9"/>
        <v>9109.4250563660935</v>
      </c>
      <c r="P40" s="19">
        <f t="shared" si="10"/>
        <v>3515.1521104525414</v>
      </c>
      <c r="Q40" s="19">
        <f t="shared" si="11"/>
        <v>5594.2729459135517</v>
      </c>
      <c r="R40" s="19">
        <f t="shared" si="12"/>
        <v>345920.93809934059</v>
      </c>
      <c r="T40" s="16">
        <f t="shared" si="13"/>
        <v>32</v>
      </c>
      <c r="U40" s="25">
        <f t="shared" si="19"/>
        <v>27.518104015799864</v>
      </c>
      <c r="V40" s="25">
        <f t="shared" si="15"/>
        <v>11.718235681369315</v>
      </c>
      <c r="W40" s="25">
        <f t="shared" si="17"/>
        <v>15.799868334430549</v>
      </c>
      <c r="X40" s="25">
        <f t="shared" si="16"/>
        <v>1390.3884134298871</v>
      </c>
      <c r="Y40" s="27"/>
      <c r="Z40" s="27"/>
      <c r="AA40" s="52"/>
      <c r="AB40" s="51">
        <f>AB39*AC5</f>
        <v>557424</v>
      </c>
      <c r="AE40" s="16"/>
      <c r="AF40" s="7"/>
      <c r="AG40" s="7"/>
      <c r="AH40" s="7"/>
      <c r="AI40" s="2"/>
    </row>
    <row r="41" spans="1:35">
      <c r="H41">
        <f t="shared" si="18"/>
        <v>33</v>
      </c>
      <c r="J41">
        <v>7000</v>
      </c>
      <c r="K41">
        <f t="shared" si="6"/>
        <v>11529</v>
      </c>
      <c r="L41" s="2">
        <f t="shared" si="7"/>
        <v>8302.0683462092657</v>
      </c>
      <c r="N41" s="16">
        <f t="shared" si="8"/>
        <v>33</v>
      </c>
      <c r="O41" s="19">
        <f t="shared" si="9"/>
        <v>9109.4250563660935</v>
      </c>
      <c r="P41" s="19">
        <f t="shared" si="10"/>
        <v>3459.2093809934058</v>
      </c>
      <c r="Q41" s="19">
        <f t="shared" si="11"/>
        <v>5650.2156753726877</v>
      </c>
      <c r="R41" s="19">
        <f t="shared" si="12"/>
        <v>340270.72242396791</v>
      </c>
      <c r="T41" s="16">
        <f t="shared" si="13"/>
        <v>33</v>
      </c>
      <c r="U41" s="25">
        <f t="shared" si="19"/>
        <v>27.386438446346276</v>
      </c>
      <c r="V41" s="25">
        <f t="shared" si="15"/>
        <v>11.586570111915726</v>
      </c>
      <c r="W41" s="25">
        <f t="shared" si="17"/>
        <v>15.799868334430549</v>
      </c>
      <c r="X41" s="25">
        <f t="shared" si="16"/>
        <v>1374.5885450954565</v>
      </c>
      <c r="Y41" s="27"/>
      <c r="Z41" s="27"/>
      <c r="AA41" s="27"/>
      <c r="AB41" s="26"/>
      <c r="AE41" s="16"/>
      <c r="AF41" s="7"/>
      <c r="AG41" s="7"/>
      <c r="AH41" s="7"/>
      <c r="AI41" s="2"/>
    </row>
    <row r="42" spans="1:35">
      <c r="H42">
        <f t="shared" si="18"/>
        <v>34</v>
      </c>
      <c r="J42">
        <v>7000</v>
      </c>
      <c r="K42">
        <f t="shared" si="6"/>
        <v>11529</v>
      </c>
      <c r="L42" s="2">
        <f t="shared" si="7"/>
        <v>8219.8696497121437</v>
      </c>
      <c r="N42" s="16">
        <f t="shared" si="8"/>
        <v>34</v>
      </c>
      <c r="O42" s="19">
        <f t="shared" si="9"/>
        <v>9109.4250563660935</v>
      </c>
      <c r="P42" s="19">
        <f t="shared" si="10"/>
        <v>3402.7072242396789</v>
      </c>
      <c r="Q42" s="19">
        <f t="shared" si="11"/>
        <v>5706.7178321264146</v>
      </c>
      <c r="R42" s="19">
        <f t="shared" si="12"/>
        <v>334564.00459184148</v>
      </c>
      <c r="T42" s="16">
        <f t="shared" si="13"/>
        <v>34</v>
      </c>
      <c r="U42" s="25">
        <f t="shared" si="19"/>
        <v>27.254772876892687</v>
      </c>
      <c r="V42" s="25">
        <f t="shared" si="15"/>
        <v>11.454904542462138</v>
      </c>
      <c r="W42" s="25">
        <f t="shared" si="17"/>
        <v>15.799868334430549</v>
      </c>
      <c r="X42" s="25">
        <f t="shared" si="16"/>
        <v>1358.788676761026</v>
      </c>
      <c r="Y42" s="27"/>
      <c r="Z42" s="27"/>
      <c r="AA42" s="27"/>
      <c r="AB42" s="26"/>
      <c r="AE42" s="16"/>
      <c r="AF42" s="7"/>
      <c r="AG42" s="7"/>
      <c r="AH42" s="7"/>
      <c r="AI42" s="2"/>
    </row>
    <row r="43" spans="1:35">
      <c r="H43">
        <f t="shared" si="18"/>
        <v>35</v>
      </c>
      <c r="J43">
        <v>7000</v>
      </c>
      <c r="K43">
        <f t="shared" si="6"/>
        <v>11529</v>
      </c>
      <c r="L43" s="2">
        <f t="shared" si="7"/>
        <v>8138.4848016951937</v>
      </c>
      <c r="N43" s="16">
        <f t="shared" si="8"/>
        <v>35</v>
      </c>
      <c r="O43" s="19">
        <f t="shared" si="9"/>
        <v>9109.4250563660935</v>
      </c>
      <c r="P43" s="19">
        <f t="shared" si="10"/>
        <v>3345.6400459184151</v>
      </c>
      <c r="Q43" s="19">
        <f t="shared" si="11"/>
        <v>5763.7850104476784</v>
      </c>
      <c r="R43" s="19">
        <f t="shared" si="12"/>
        <v>328800.21958139382</v>
      </c>
      <c r="T43" s="16">
        <f t="shared" si="13"/>
        <v>35</v>
      </c>
      <c r="U43" s="25">
        <f t="shared" si="19"/>
        <v>27.123107307439099</v>
      </c>
      <c r="V43" s="25">
        <f t="shared" si="15"/>
        <v>11.32323897300855</v>
      </c>
      <c r="W43" s="25">
        <f t="shared" si="17"/>
        <v>15.799868334430549</v>
      </c>
      <c r="X43" s="25">
        <f t="shared" si="16"/>
        <v>1342.9888084265954</v>
      </c>
      <c r="Y43" s="27"/>
      <c r="Z43" s="27"/>
      <c r="AA43" s="27"/>
      <c r="AB43" s="26"/>
      <c r="AE43" s="16"/>
      <c r="AF43" s="7"/>
      <c r="AG43" s="7"/>
      <c r="AH43" s="7"/>
      <c r="AI43" s="2"/>
    </row>
    <row r="44" spans="1:35">
      <c r="H44">
        <f t="shared" si="18"/>
        <v>36</v>
      </c>
      <c r="J44">
        <v>7000</v>
      </c>
      <c r="K44">
        <f t="shared" si="6"/>
        <v>11529</v>
      </c>
      <c r="L44" s="2">
        <f t="shared" si="7"/>
        <v>8057.9057442526655</v>
      </c>
      <c r="N44" s="16">
        <f t="shared" si="8"/>
        <v>36</v>
      </c>
      <c r="O44" s="19">
        <f t="shared" si="9"/>
        <v>9109.4250563660935</v>
      </c>
      <c r="P44" s="19">
        <f t="shared" si="10"/>
        <v>3288.0021958139382</v>
      </c>
      <c r="Q44" s="19">
        <f t="shared" si="11"/>
        <v>5821.4228605521548</v>
      </c>
      <c r="R44" s="19">
        <f t="shared" si="12"/>
        <v>322978.79672084167</v>
      </c>
      <c r="T44" s="33">
        <f t="shared" si="13"/>
        <v>36</v>
      </c>
      <c r="U44" s="25">
        <f t="shared" si="19"/>
        <v>26.991441737985511</v>
      </c>
      <c r="V44" s="25">
        <f t="shared" si="15"/>
        <v>11.191573403554962</v>
      </c>
      <c r="W44" s="25">
        <f t="shared" si="17"/>
        <v>15.799868334430549</v>
      </c>
      <c r="X44" s="25">
        <f>X43-W44</f>
        <v>1327.1889400921648</v>
      </c>
      <c r="Y44" s="27"/>
      <c r="Z44" s="27"/>
      <c r="AA44" s="27"/>
      <c r="AB44" s="53"/>
      <c r="AE44" s="33"/>
      <c r="AF44" s="7"/>
      <c r="AG44" s="7"/>
      <c r="AH44" s="7"/>
      <c r="AI44" s="2"/>
    </row>
    <row r="45" spans="1:35">
      <c r="H45">
        <f t="shared" si="18"/>
        <v>37</v>
      </c>
      <c r="J45">
        <v>8000</v>
      </c>
      <c r="K45">
        <f t="shared" si="6"/>
        <v>13176</v>
      </c>
      <c r="L45" s="2">
        <f t="shared" si="7"/>
        <v>9117.8565705829315</v>
      </c>
      <c r="N45" s="16">
        <f t="shared" si="8"/>
        <v>37</v>
      </c>
      <c r="O45" s="19">
        <f t="shared" si="9"/>
        <v>9109.4250563660935</v>
      </c>
      <c r="P45" s="19">
        <f t="shared" si="10"/>
        <v>3229.7879672084168</v>
      </c>
      <c r="Q45" s="19">
        <f t="shared" si="11"/>
        <v>5879.6370891576771</v>
      </c>
      <c r="R45" s="19">
        <f t="shared" si="12"/>
        <v>317099.15963168402</v>
      </c>
      <c r="T45" s="16">
        <f t="shared" si="13"/>
        <v>37</v>
      </c>
      <c r="U45" s="25">
        <f t="shared" si="19"/>
        <v>26.859776168531923</v>
      </c>
      <c r="V45" s="25">
        <f t="shared" si="15"/>
        <v>11.059907834101374</v>
      </c>
      <c r="W45" s="25">
        <f t="shared" si="17"/>
        <v>15.799868334430549</v>
      </c>
      <c r="X45" s="25">
        <f t="shared" si="16"/>
        <v>1311.3890717577342</v>
      </c>
      <c r="Y45" s="27"/>
      <c r="Z45" s="27"/>
      <c r="AA45" s="27"/>
      <c r="AE45" s="16"/>
      <c r="AF45" s="7"/>
      <c r="AG45" s="7"/>
      <c r="AH45" s="7"/>
      <c r="AI45" s="2"/>
    </row>
    <row r="46" spans="1:35">
      <c r="H46">
        <f t="shared" si="18"/>
        <v>38</v>
      </c>
      <c r="J46">
        <v>8000</v>
      </c>
      <c r="K46">
        <f t="shared" si="6"/>
        <v>13176</v>
      </c>
      <c r="L46" s="2">
        <f t="shared" si="7"/>
        <v>9027.5807629533974</v>
      </c>
      <c r="N46" s="16">
        <f t="shared" si="8"/>
        <v>38</v>
      </c>
      <c r="O46" s="19">
        <f t="shared" si="9"/>
        <v>9109.4250563660935</v>
      </c>
      <c r="P46" s="19">
        <f t="shared" si="10"/>
        <v>3170.9915963168401</v>
      </c>
      <c r="Q46" s="19">
        <f t="shared" si="11"/>
        <v>5938.433460049253</v>
      </c>
      <c r="R46" s="19">
        <f t="shared" si="12"/>
        <v>311160.72617163474</v>
      </c>
      <c r="T46" s="16">
        <f t="shared" si="13"/>
        <v>38</v>
      </c>
      <c r="U46" s="25">
        <f t="shared" si="19"/>
        <v>26.728110599078335</v>
      </c>
      <c r="V46" s="25">
        <f t="shared" si="15"/>
        <v>10.928242264647785</v>
      </c>
      <c r="W46" s="25">
        <f t="shared" si="17"/>
        <v>15.799868334430549</v>
      </c>
      <c r="X46" s="25">
        <f t="shared" si="16"/>
        <v>1295.5892034233036</v>
      </c>
      <c r="Y46" s="27"/>
      <c r="Z46" s="27"/>
      <c r="AA46" s="27"/>
      <c r="AE46" s="16"/>
      <c r="AF46" s="7"/>
      <c r="AG46" s="7"/>
      <c r="AH46" s="7"/>
      <c r="AI46" s="2"/>
    </row>
    <row r="47" spans="1:35">
      <c r="H47">
        <f t="shared" si="18"/>
        <v>39</v>
      </c>
      <c r="J47">
        <v>8000</v>
      </c>
      <c r="K47">
        <f t="shared" si="6"/>
        <v>13176</v>
      </c>
      <c r="L47" s="2">
        <f t="shared" si="7"/>
        <v>8938.1987752013847</v>
      </c>
      <c r="N47" s="16">
        <f t="shared" si="8"/>
        <v>39</v>
      </c>
      <c r="O47" s="19">
        <f t="shared" si="9"/>
        <v>9109.4250563660935</v>
      </c>
      <c r="P47" s="19">
        <f t="shared" si="10"/>
        <v>3111.6072617163477</v>
      </c>
      <c r="Q47" s="19">
        <f t="shared" si="11"/>
        <v>5997.8177946497453</v>
      </c>
      <c r="R47" s="19">
        <f t="shared" si="12"/>
        <v>305162.908376985</v>
      </c>
      <c r="T47" s="16">
        <f t="shared" si="13"/>
        <v>39</v>
      </c>
      <c r="U47" s="25">
        <f t="shared" si="19"/>
        <v>26.596445029624746</v>
      </c>
      <c r="V47" s="25">
        <f t="shared" si="15"/>
        <v>10.796576695194197</v>
      </c>
      <c r="W47" s="25">
        <f t="shared" si="17"/>
        <v>15.799868334430549</v>
      </c>
      <c r="X47" s="25">
        <f t="shared" si="16"/>
        <v>1279.789335088873</v>
      </c>
      <c r="Y47" s="27"/>
      <c r="Z47" s="27"/>
      <c r="AA47" s="27"/>
      <c r="AE47" s="16"/>
      <c r="AF47" s="7"/>
      <c r="AG47" s="7"/>
      <c r="AH47" s="7"/>
      <c r="AI47" s="2"/>
    </row>
    <row r="48" spans="1:35">
      <c r="H48">
        <f t="shared" si="18"/>
        <v>40</v>
      </c>
      <c r="J48">
        <v>8000</v>
      </c>
      <c r="K48">
        <f t="shared" si="6"/>
        <v>13176</v>
      </c>
      <c r="L48" s="2">
        <f t="shared" si="7"/>
        <v>8849.701757625131</v>
      </c>
      <c r="N48" s="16">
        <f t="shared" si="8"/>
        <v>40</v>
      </c>
      <c r="O48" s="19">
        <f t="shared" si="9"/>
        <v>9109.4250563660935</v>
      </c>
      <c r="P48" s="19">
        <f t="shared" si="10"/>
        <v>3051.6290837698502</v>
      </c>
      <c r="Q48" s="19">
        <f t="shared" si="11"/>
        <v>6057.7959725962428</v>
      </c>
      <c r="R48" s="19">
        <f t="shared" si="12"/>
        <v>299105.11240438872</v>
      </c>
      <c r="T48" s="16">
        <f t="shared" si="13"/>
        <v>40</v>
      </c>
      <c r="U48" s="25">
        <f t="shared" si="19"/>
        <v>26.464779460171158</v>
      </c>
      <c r="V48" s="25">
        <f t="shared" si="15"/>
        <v>10.664911125740609</v>
      </c>
      <c r="W48" s="25">
        <f t="shared" si="17"/>
        <v>15.799868334430549</v>
      </c>
      <c r="X48" s="25">
        <f t="shared" si="16"/>
        <v>1263.9894667544424</v>
      </c>
      <c r="Y48" s="27"/>
      <c r="Z48" s="27"/>
      <c r="AA48" s="27"/>
      <c r="AE48" s="16"/>
      <c r="AF48" s="7"/>
      <c r="AG48" s="7"/>
      <c r="AH48" s="7"/>
      <c r="AI48" s="2"/>
    </row>
    <row r="49" spans="8:35">
      <c r="H49">
        <f t="shared" si="18"/>
        <v>41</v>
      </c>
      <c r="J49">
        <v>8000</v>
      </c>
      <c r="K49">
        <f t="shared" si="6"/>
        <v>13176</v>
      </c>
      <c r="L49" s="2">
        <f t="shared" si="7"/>
        <v>8762.0809481436936</v>
      </c>
      <c r="N49" s="16">
        <f t="shared" si="8"/>
        <v>41</v>
      </c>
      <c r="O49" s="19">
        <f t="shared" si="9"/>
        <v>9109.4250563660935</v>
      </c>
      <c r="P49" s="19">
        <f t="shared" si="10"/>
        <v>2991.0511240438873</v>
      </c>
      <c r="Q49" s="19">
        <f t="shared" si="11"/>
        <v>6118.3739323222062</v>
      </c>
      <c r="R49" s="19">
        <f t="shared" si="12"/>
        <v>292986.73847206653</v>
      </c>
      <c r="T49" s="16">
        <f t="shared" si="13"/>
        <v>41</v>
      </c>
      <c r="U49" s="25">
        <f t="shared" si="19"/>
        <v>26.33311389071757</v>
      </c>
      <c r="V49" s="25">
        <f t="shared" si="15"/>
        <v>10.533245556287021</v>
      </c>
      <c r="W49" s="25">
        <f t="shared" si="17"/>
        <v>15.799868334430549</v>
      </c>
      <c r="X49" s="25">
        <f t="shared" si="16"/>
        <v>1248.1895984200119</v>
      </c>
      <c r="Y49" s="27"/>
      <c r="Z49" s="27"/>
      <c r="AA49" s="27"/>
      <c r="AE49" s="16"/>
      <c r="AF49" s="7"/>
      <c r="AG49" s="7"/>
      <c r="AH49" s="7"/>
      <c r="AI49" s="2"/>
    </row>
    <row r="50" spans="8:35">
      <c r="H50">
        <f t="shared" si="18"/>
        <v>42</v>
      </c>
      <c r="J50">
        <v>8000</v>
      </c>
      <c r="K50">
        <f t="shared" si="6"/>
        <v>13176</v>
      </c>
      <c r="L50" s="2">
        <f t="shared" si="7"/>
        <v>8675.3276714293988</v>
      </c>
      <c r="N50" s="16">
        <f t="shared" si="8"/>
        <v>42</v>
      </c>
      <c r="O50" s="19">
        <f t="shared" si="9"/>
        <v>9109.4250563660935</v>
      </c>
      <c r="P50" s="19">
        <f t="shared" si="10"/>
        <v>2929.8673847206655</v>
      </c>
      <c r="Q50" s="19">
        <f t="shared" si="11"/>
        <v>6179.5576716454279</v>
      </c>
      <c r="R50" s="19">
        <f t="shared" si="12"/>
        <v>286807.18080042111</v>
      </c>
      <c r="T50" s="16">
        <f t="shared" si="13"/>
        <v>42</v>
      </c>
      <c r="U50" s="25">
        <f t="shared" si="19"/>
        <v>26.201448321263982</v>
      </c>
      <c r="V50" s="25">
        <f t="shared" si="15"/>
        <v>10.401579986833433</v>
      </c>
      <c r="W50" s="25">
        <f t="shared" si="17"/>
        <v>15.799868334430549</v>
      </c>
      <c r="X50" s="25">
        <f t="shared" si="16"/>
        <v>1232.3897300855813</v>
      </c>
      <c r="Y50" s="27"/>
      <c r="Z50" s="27"/>
      <c r="AA50" s="27"/>
      <c r="AE50" s="16"/>
      <c r="AF50" s="7"/>
      <c r="AG50" s="7"/>
      <c r="AH50" s="7"/>
      <c r="AI50" s="2"/>
    </row>
    <row r="51" spans="8:35">
      <c r="H51">
        <f t="shared" si="18"/>
        <v>43</v>
      </c>
      <c r="J51">
        <v>8000</v>
      </c>
      <c r="K51">
        <f t="shared" si="6"/>
        <v>13176</v>
      </c>
      <c r="L51" s="2">
        <f t="shared" si="7"/>
        <v>8589.4333380489115</v>
      </c>
      <c r="N51" s="16">
        <f t="shared" si="8"/>
        <v>43</v>
      </c>
      <c r="O51" s="19">
        <f t="shared" si="9"/>
        <v>9109.4250563660935</v>
      </c>
      <c r="P51" s="19">
        <f t="shared" si="10"/>
        <v>2868.0718080042111</v>
      </c>
      <c r="Q51" s="19">
        <f t="shared" si="11"/>
        <v>6241.3532483618819</v>
      </c>
      <c r="R51" s="19">
        <f t="shared" si="12"/>
        <v>280565.8275520592</v>
      </c>
      <c r="T51" s="16">
        <f t="shared" si="13"/>
        <v>43</v>
      </c>
      <c r="U51" s="25">
        <f t="shared" si="19"/>
        <v>26.069782751810394</v>
      </c>
      <c r="V51" s="25">
        <f t="shared" si="15"/>
        <v>10.269914417379844</v>
      </c>
      <c r="W51" s="25">
        <f t="shared" si="17"/>
        <v>15.799868334430549</v>
      </c>
      <c r="X51" s="25">
        <f t="shared" si="16"/>
        <v>1216.5898617511507</v>
      </c>
      <c r="Y51" s="27"/>
      <c r="Z51" s="27"/>
      <c r="AA51" s="27"/>
      <c r="AE51" s="16"/>
      <c r="AF51" s="7"/>
      <c r="AG51" s="7"/>
      <c r="AH51" s="7"/>
      <c r="AI51" s="2"/>
    </row>
    <row r="52" spans="8:35">
      <c r="H52">
        <f t="shared" si="18"/>
        <v>44</v>
      </c>
      <c r="J52">
        <v>8000</v>
      </c>
      <c r="K52">
        <f t="shared" si="6"/>
        <v>13176</v>
      </c>
      <c r="L52" s="2">
        <f t="shared" si="7"/>
        <v>8504.3894436127848</v>
      </c>
      <c r="N52" s="16">
        <f t="shared" si="8"/>
        <v>44</v>
      </c>
      <c r="O52" s="19">
        <f t="shared" si="9"/>
        <v>9109.4250563660935</v>
      </c>
      <c r="P52" s="19">
        <f t="shared" si="10"/>
        <v>2805.6582755205923</v>
      </c>
      <c r="Q52" s="19">
        <f t="shared" si="11"/>
        <v>6303.7667808455008</v>
      </c>
      <c r="R52" s="19">
        <f t="shared" si="12"/>
        <v>274262.06077121373</v>
      </c>
      <c r="T52" s="16">
        <f t="shared" si="13"/>
        <v>44</v>
      </c>
      <c r="U52" s="25">
        <f t="shared" si="19"/>
        <v>25.938117182356805</v>
      </c>
      <c r="V52" s="25">
        <f t="shared" si="15"/>
        <v>10.138248847926256</v>
      </c>
      <c r="W52" s="25">
        <f t="shared" si="17"/>
        <v>15.799868334430549</v>
      </c>
      <c r="X52" s="25">
        <f t="shared" si="16"/>
        <v>1200.7899934167201</v>
      </c>
      <c r="Y52" s="27"/>
      <c r="Z52" s="27"/>
      <c r="AA52" s="27"/>
      <c r="AE52" s="16"/>
      <c r="AF52" s="7"/>
      <c r="AG52" s="7"/>
      <c r="AH52" s="7"/>
      <c r="AI52" s="2"/>
    </row>
    <row r="53" spans="8:35">
      <c r="H53">
        <f t="shared" si="18"/>
        <v>45</v>
      </c>
      <c r="J53">
        <v>8000</v>
      </c>
      <c r="K53">
        <f t="shared" si="6"/>
        <v>13176</v>
      </c>
      <c r="L53" s="2">
        <f t="shared" si="7"/>
        <v>8420.187567933448</v>
      </c>
      <c r="N53" s="16">
        <f t="shared" si="8"/>
        <v>45</v>
      </c>
      <c r="O53" s="19">
        <f t="shared" si="9"/>
        <v>9109.4250563660935</v>
      </c>
      <c r="P53" s="19">
        <f t="shared" si="10"/>
        <v>2742.6206077121374</v>
      </c>
      <c r="Q53" s="19">
        <f t="shared" si="11"/>
        <v>6366.8044486539566</v>
      </c>
      <c r="R53" s="19">
        <f t="shared" si="12"/>
        <v>267895.25632255978</v>
      </c>
      <c r="T53" s="16">
        <f t="shared" si="13"/>
        <v>45</v>
      </c>
      <c r="U53" s="25">
        <f t="shared" si="19"/>
        <v>25.806451612903217</v>
      </c>
      <c r="V53" s="25">
        <f t="shared" si="15"/>
        <v>10.006583278472668</v>
      </c>
      <c r="W53" s="25">
        <f t="shared" si="17"/>
        <v>15.799868334430549</v>
      </c>
      <c r="X53" s="25">
        <f t="shared" si="16"/>
        <v>1184.9901250822895</v>
      </c>
      <c r="Y53" s="27"/>
      <c r="Z53" s="27"/>
      <c r="AA53" s="27"/>
      <c r="AE53" s="16"/>
      <c r="AF53" s="7"/>
      <c r="AG53" s="7"/>
      <c r="AH53" s="7"/>
      <c r="AI53" s="2"/>
    </row>
    <row r="54" spans="8:35">
      <c r="H54">
        <f t="shared" si="18"/>
        <v>46</v>
      </c>
      <c r="J54">
        <v>8000</v>
      </c>
      <c r="K54">
        <f t="shared" si="6"/>
        <v>13176</v>
      </c>
      <c r="L54" s="2">
        <f t="shared" si="7"/>
        <v>8336.8193741915329</v>
      </c>
      <c r="N54" s="16">
        <f t="shared" si="8"/>
        <v>46</v>
      </c>
      <c r="O54" s="19">
        <f t="shared" si="9"/>
        <v>9109.4250563660935</v>
      </c>
      <c r="P54" s="19">
        <f t="shared" si="10"/>
        <v>2678.9525632255977</v>
      </c>
      <c r="Q54" s="19">
        <f t="shared" si="11"/>
        <v>6430.4724931404962</v>
      </c>
      <c r="R54" s="19">
        <f t="shared" si="12"/>
        <v>261464.78382941929</v>
      </c>
      <c r="T54" s="16">
        <f t="shared" si="13"/>
        <v>46</v>
      </c>
      <c r="U54" s="25">
        <f t="shared" si="19"/>
        <v>25.674786043449629</v>
      </c>
      <c r="V54" s="25">
        <f t="shared" si="15"/>
        <v>9.8749177090190798</v>
      </c>
      <c r="W54" s="25">
        <f t="shared" si="17"/>
        <v>15.799868334430549</v>
      </c>
      <c r="X54" s="25">
        <f t="shared" si="16"/>
        <v>1169.1902567478589</v>
      </c>
      <c r="Y54" s="27"/>
      <c r="Z54" s="27"/>
      <c r="AA54" s="27"/>
      <c r="AE54" s="16"/>
      <c r="AF54" s="7"/>
      <c r="AG54" s="7"/>
      <c r="AH54" s="7"/>
      <c r="AI54" s="2"/>
    </row>
    <row r="55" spans="8:35">
      <c r="H55">
        <f t="shared" si="18"/>
        <v>47</v>
      </c>
      <c r="J55">
        <v>8000</v>
      </c>
      <c r="K55">
        <f t="shared" si="6"/>
        <v>13176</v>
      </c>
      <c r="L55" s="2">
        <f t="shared" si="7"/>
        <v>8254.276608110431</v>
      </c>
      <c r="N55" s="16">
        <f t="shared" si="8"/>
        <v>47</v>
      </c>
      <c r="O55" s="19">
        <f t="shared" si="9"/>
        <v>9109.4250563660935</v>
      </c>
      <c r="P55" s="19">
        <f t="shared" si="10"/>
        <v>2614.6478382941928</v>
      </c>
      <c r="Q55" s="19">
        <f t="shared" si="11"/>
        <v>6494.7772180719003</v>
      </c>
      <c r="R55" s="19">
        <f t="shared" si="12"/>
        <v>254970.0066113474</v>
      </c>
      <c r="T55" s="16">
        <f t="shared" si="13"/>
        <v>47</v>
      </c>
      <c r="U55" s="25">
        <f t="shared" si="19"/>
        <v>25.543120473996041</v>
      </c>
      <c r="V55" s="25">
        <f t="shared" si="15"/>
        <v>9.7432521395654916</v>
      </c>
      <c r="W55" s="25">
        <f t="shared" si="17"/>
        <v>15.799868334430549</v>
      </c>
      <c r="X55" s="25">
        <f t="shared" si="16"/>
        <v>1153.3903884134284</v>
      </c>
      <c r="Y55" s="27"/>
      <c r="Z55" s="27"/>
      <c r="AA55" s="27"/>
      <c r="AE55" s="16"/>
      <c r="AF55" s="7"/>
      <c r="AG55" s="7"/>
      <c r="AH55" s="7"/>
      <c r="AI55" s="2"/>
    </row>
    <row r="56" spans="8:35">
      <c r="H56">
        <f t="shared" si="18"/>
        <v>48</v>
      </c>
      <c r="J56">
        <v>8000</v>
      </c>
      <c r="K56">
        <f t="shared" si="6"/>
        <v>13176</v>
      </c>
      <c r="L56" s="2">
        <f t="shared" si="7"/>
        <v>8172.5510971390386</v>
      </c>
      <c r="N56" s="16">
        <f t="shared" si="8"/>
        <v>48</v>
      </c>
      <c r="O56" s="19">
        <f t="shared" si="9"/>
        <v>9109.4250563660935</v>
      </c>
      <c r="P56" s="19">
        <f t="shared" si="10"/>
        <v>2549.7000661134739</v>
      </c>
      <c r="Q56" s="19">
        <f t="shared" si="11"/>
        <v>6559.72499025262</v>
      </c>
      <c r="R56" s="19">
        <f t="shared" si="12"/>
        <v>248410.28162109479</v>
      </c>
      <c r="T56" s="16">
        <f t="shared" si="13"/>
        <v>48</v>
      </c>
      <c r="U56" s="25">
        <f t="shared" si="19"/>
        <v>25.411454904542452</v>
      </c>
      <c r="V56" s="25">
        <f t="shared" si="15"/>
        <v>9.6115865701119034</v>
      </c>
      <c r="W56" s="25">
        <f t="shared" si="17"/>
        <v>15.799868334430549</v>
      </c>
      <c r="X56" s="25">
        <f t="shared" si="16"/>
        <v>1137.5905200789978</v>
      </c>
      <c r="Y56" s="27"/>
      <c r="Z56" s="27"/>
      <c r="AA56" s="27"/>
      <c r="AE56" s="16"/>
      <c r="AF56" s="7"/>
      <c r="AG56" s="7"/>
      <c r="AH56" s="7"/>
      <c r="AI56" s="2"/>
    </row>
    <row r="57" spans="8:35">
      <c r="H57">
        <f t="shared" si="18"/>
        <v>49</v>
      </c>
      <c r="J57">
        <v>9000</v>
      </c>
      <c r="K57">
        <f t="shared" si="6"/>
        <v>14823</v>
      </c>
      <c r="L57" s="2">
        <f t="shared" si="7"/>
        <v>9103.0890933479386</v>
      </c>
      <c r="N57" s="16">
        <f t="shared" si="8"/>
        <v>49</v>
      </c>
      <c r="O57" s="19">
        <f t="shared" si="9"/>
        <v>9109.4250563660935</v>
      </c>
      <c r="P57" s="19">
        <f t="shared" si="10"/>
        <v>2484.1028162109478</v>
      </c>
      <c r="Q57" s="19">
        <f t="shared" si="11"/>
        <v>6625.3222401551457</v>
      </c>
      <c r="R57" s="19">
        <f t="shared" si="12"/>
        <v>241784.95938093966</v>
      </c>
      <c r="T57" s="16">
        <f t="shared" si="13"/>
        <v>49</v>
      </c>
      <c r="U57" s="25">
        <f t="shared" si="19"/>
        <v>25.279789335088864</v>
      </c>
      <c r="V57" s="25">
        <f t="shared" si="15"/>
        <v>9.4799210006583152</v>
      </c>
      <c r="W57" s="25">
        <f t="shared" si="17"/>
        <v>15.799868334430549</v>
      </c>
      <c r="X57" s="25">
        <f t="shared" si="16"/>
        <v>1121.7906517445672</v>
      </c>
      <c r="Y57" s="27"/>
      <c r="Z57" s="27"/>
      <c r="AA57" s="27"/>
      <c r="AE57" s="16"/>
      <c r="AF57" s="7"/>
      <c r="AG57" s="7"/>
      <c r="AH57" s="7"/>
      <c r="AI57" s="2"/>
    </row>
    <row r="58" spans="8:35">
      <c r="H58">
        <f t="shared" si="18"/>
        <v>50</v>
      </c>
      <c r="J58">
        <v>9000</v>
      </c>
      <c r="K58">
        <f t="shared" si="6"/>
        <v>14823</v>
      </c>
      <c r="L58" s="2">
        <f t="shared" si="7"/>
        <v>9012.9594983642946</v>
      </c>
      <c r="N58" s="16">
        <f t="shared" si="8"/>
        <v>50</v>
      </c>
      <c r="O58" s="19">
        <f t="shared" si="9"/>
        <v>9109.4250563660935</v>
      </c>
      <c r="P58" s="19">
        <f t="shared" si="10"/>
        <v>2417.8495938093965</v>
      </c>
      <c r="Q58" s="19">
        <f t="shared" si="11"/>
        <v>6691.5754625566969</v>
      </c>
      <c r="R58" s="19">
        <f t="shared" si="12"/>
        <v>235093.38391838296</v>
      </c>
      <c r="T58" s="16">
        <f t="shared" si="13"/>
        <v>50</v>
      </c>
      <c r="U58" s="25">
        <f t="shared" si="19"/>
        <v>25.148123765635276</v>
      </c>
      <c r="V58" s="25">
        <f t="shared" si="15"/>
        <v>9.348255431204727</v>
      </c>
      <c r="W58" s="25">
        <f t="shared" si="17"/>
        <v>15.799868334430549</v>
      </c>
      <c r="X58" s="25">
        <f t="shared" si="16"/>
        <v>1105.9907834101366</v>
      </c>
      <c r="Y58" s="27"/>
      <c r="Z58" s="27"/>
      <c r="AA58" s="27"/>
      <c r="AE58" s="16"/>
      <c r="AF58" s="7"/>
      <c r="AG58" s="7"/>
      <c r="AH58" s="7"/>
      <c r="AI58" s="2"/>
    </row>
    <row r="59" spans="8:35">
      <c r="H59">
        <f t="shared" si="18"/>
        <v>51</v>
      </c>
      <c r="J59">
        <v>9000</v>
      </c>
      <c r="K59">
        <f t="shared" si="6"/>
        <v>14823</v>
      </c>
      <c r="L59" s="2">
        <f t="shared" si="7"/>
        <v>8923.7222756082137</v>
      </c>
      <c r="N59" s="16">
        <f t="shared" si="8"/>
        <v>51</v>
      </c>
      <c r="O59" s="19">
        <f t="shared" si="9"/>
        <v>9109.4250563660935</v>
      </c>
      <c r="P59" s="19">
        <f t="shared" si="10"/>
        <v>2350.9338391838296</v>
      </c>
      <c r="Q59" s="19">
        <f t="shared" si="11"/>
        <v>6758.4912171822634</v>
      </c>
      <c r="R59" s="19">
        <f t="shared" si="12"/>
        <v>228334.8927012007</v>
      </c>
      <c r="T59" s="16">
        <f t="shared" si="13"/>
        <v>51</v>
      </c>
      <c r="U59" s="25">
        <f t="shared" si="19"/>
        <v>25.016458196181688</v>
      </c>
      <c r="V59" s="25">
        <f t="shared" si="15"/>
        <v>9.2165898617511388</v>
      </c>
      <c r="W59" s="25">
        <f t="shared" si="17"/>
        <v>15.799868334430549</v>
      </c>
      <c r="X59" s="25">
        <f t="shared" si="16"/>
        <v>1090.190915075706</v>
      </c>
      <c r="Y59" s="27"/>
      <c r="Z59" s="27"/>
      <c r="AA59" s="27"/>
      <c r="AE59" s="16"/>
      <c r="AF59" s="7"/>
      <c r="AG59" s="7"/>
      <c r="AH59" s="7"/>
      <c r="AI59" s="2"/>
    </row>
    <row r="60" spans="8:35">
      <c r="H60">
        <f t="shared" si="18"/>
        <v>52</v>
      </c>
      <c r="J60">
        <v>9000</v>
      </c>
      <c r="K60">
        <f t="shared" si="6"/>
        <v>14823</v>
      </c>
      <c r="L60" s="2">
        <f t="shared" si="7"/>
        <v>8835.3685897111027</v>
      </c>
      <c r="N60" s="16">
        <f>N59+1</f>
        <v>52</v>
      </c>
      <c r="O60" s="19">
        <f t="shared" si="9"/>
        <v>9109.4250563660935</v>
      </c>
      <c r="P60" s="19">
        <f t="shared" si="10"/>
        <v>2283.3489270120072</v>
      </c>
      <c r="Q60" s="19">
        <f t="shared" si="11"/>
        <v>6826.0761293540863</v>
      </c>
      <c r="R60" s="19">
        <f t="shared" si="12"/>
        <v>221508.8165718466</v>
      </c>
      <c r="T60" s="16">
        <f t="shared" si="13"/>
        <v>52</v>
      </c>
      <c r="U60" s="25">
        <f t="shared" si="19"/>
        <v>24.8847926267281</v>
      </c>
      <c r="V60" s="25">
        <f t="shared" si="15"/>
        <v>9.0849242922975506</v>
      </c>
      <c r="W60" s="25">
        <f t="shared" si="17"/>
        <v>15.799868334430549</v>
      </c>
      <c r="X60" s="25">
        <f t="shared" si="16"/>
        <v>1074.3910467412754</v>
      </c>
      <c r="Y60" s="27"/>
      <c r="Z60" s="27"/>
      <c r="AA60" s="27"/>
      <c r="AE60" s="16"/>
      <c r="AF60" s="7"/>
      <c r="AG60" s="7"/>
      <c r="AH60" s="7"/>
      <c r="AI60" s="2"/>
    </row>
    <row r="61" spans="8:35">
      <c r="H61">
        <f t="shared" si="18"/>
        <v>53</v>
      </c>
      <c r="J61">
        <v>9000</v>
      </c>
      <c r="K61">
        <f t="shared" si="6"/>
        <v>14823</v>
      </c>
      <c r="L61" s="2">
        <f t="shared" si="7"/>
        <v>8747.889692783272</v>
      </c>
      <c r="N61" s="16">
        <f t="shared" si="8"/>
        <v>53</v>
      </c>
      <c r="O61" s="19">
        <f t="shared" si="9"/>
        <v>9109.4250563660935</v>
      </c>
      <c r="P61" s="19">
        <f t="shared" si="10"/>
        <v>2215.0881657184659</v>
      </c>
      <c r="Q61" s="19">
        <f t="shared" si="11"/>
        <v>6894.336890647628</v>
      </c>
      <c r="R61" s="19">
        <f t="shared" si="12"/>
        <v>214614.47968119898</v>
      </c>
      <c r="T61" s="16">
        <f t="shared" si="13"/>
        <v>53</v>
      </c>
      <c r="U61" s="25">
        <f t="shared" si="19"/>
        <v>24.753127057274511</v>
      </c>
      <c r="V61" s="25">
        <f t="shared" si="15"/>
        <v>8.9532587228439624</v>
      </c>
      <c r="W61" s="25">
        <f t="shared" si="17"/>
        <v>15.799868334430549</v>
      </c>
      <c r="X61" s="25">
        <f t="shared" si="16"/>
        <v>1058.5911784068448</v>
      </c>
      <c r="Y61" s="27"/>
      <c r="Z61" s="27"/>
      <c r="AA61" s="27"/>
      <c r="AE61" s="16"/>
      <c r="AF61" s="7"/>
      <c r="AG61" s="7"/>
      <c r="AH61" s="7"/>
      <c r="AI61" s="2"/>
    </row>
    <row r="62" spans="8:35">
      <c r="H62">
        <f t="shared" si="18"/>
        <v>54</v>
      </c>
      <c r="J62">
        <v>9000</v>
      </c>
      <c r="K62">
        <f t="shared" si="6"/>
        <v>14823</v>
      </c>
      <c r="L62" s="2">
        <f t="shared" si="7"/>
        <v>8661.2769235477899</v>
      </c>
      <c r="N62" s="16">
        <f t="shared" si="8"/>
        <v>54</v>
      </c>
      <c r="O62" s="19">
        <f t="shared" si="9"/>
        <v>9109.4250563660935</v>
      </c>
      <c r="P62" s="19">
        <f t="shared" si="10"/>
        <v>2146.1447968119896</v>
      </c>
      <c r="Q62" s="19">
        <f t="shared" si="11"/>
        <v>6963.2802595541034</v>
      </c>
      <c r="R62" s="19">
        <f t="shared" si="12"/>
        <v>207651.19942164488</v>
      </c>
      <c r="T62" s="16">
        <f t="shared" si="13"/>
        <v>54</v>
      </c>
      <c r="U62" s="25">
        <f t="shared" si="19"/>
        <v>24.621461487820923</v>
      </c>
      <c r="V62" s="25">
        <f t="shared" si="15"/>
        <v>8.8215931533903742</v>
      </c>
      <c r="W62" s="25">
        <f t="shared" si="17"/>
        <v>15.799868334430549</v>
      </c>
      <c r="X62" s="25">
        <f t="shared" si="16"/>
        <v>1042.7913100724143</v>
      </c>
      <c r="Y62" s="27"/>
      <c r="Z62" s="27"/>
      <c r="AA62" s="27"/>
      <c r="AE62" s="16"/>
      <c r="AF62" s="7"/>
      <c r="AG62" s="7"/>
      <c r="AH62" s="7"/>
      <c r="AI62" s="2"/>
    </row>
    <row r="63" spans="8:35">
      <c r="H63">
        <f t="shared" si="18"/>
        <v>55</v>
      </c>
      <c r="J63">
        <v>9000</v>
      </c>
      <c r="K63">
        <f t="shared" si="6"/>
        <v>14823</v>
      </c>
      <c r="L63" s="2">
        <f t="shared" si="7"/>
        <v>8575.5217064829631</v>
      </c>
      <c r="N63" s="16">
        <f t="shared" si="8"/>
        <v>55</v>
      </c>
      <c r="O63" s="19">
        <f t="shared" si="9"/>
        <v>9109.4250563660935</v>
      </c>
      <c r="P63" s="19">
        <f t="shared" si="10"/>
        <v>2076.5119942164488</v>
      </c>
      <c r="Q63" s="19">
        <f t="shared" si="11"/>
        <v>7032.9130621496442</v>
      </c>
      <c r="R63" s="19">
        <f t="shared" si="12"/>
        <v>200618.28635949525</v>
      </c>
      <c r="T63" s="16">
        <f t="shared" si="13"/>
        <v>55</v>
      </c>
      <c r="U63" s="25">
        <f t="shared" si="19"/>
        <v>24.489795918367335</v>
      </c>
      <c r="V63" s="25">
        <f t="shared" si="15"/>
        <v>8.689927583936786</v>
      </c>
      <c r="W63" s="25">
        <f t="shared" si="17"/>
        <v>15.799868334430549</v>
      </c>
      <c r="X63" s="25">
        <f t="shared" si="16"/>
        <v>1026.9914417379837</v>
      </c>
      <c r="Y63" s="27"/>
      <c r="Z63" s="27"/>
      <c r="AA63" s="27"/>
      <c r="AE63" s="16"/>
      <c r="AF63" s="7"/>
      <c r="AG63" s="7"/>
      <c r="AH63" s="7"/>
      <c r="AI63" s="2"/>
    </row>
    <row r="64" spans="8:35">
      <c r="H64">
        <f t="shared" si="18"/>
        <v>56</v>
      </c>
      <c r="J64">
        <v>9000</v>
      </c>
      <c r="K64">
        <f t="shared" si="6"/>
        <v>14823</v>
      </c>
      <c r="L64" s="2">
        <f t="shared" si="7"/>
        <v>8490.6155509732289</v>
      </c>
      <c r="N64" s="16">
        <f t="shared" si="8"/>
        <v>56</v>
      </c>
      <c r="O64" s="19">
        <f t="shared" si="9"/>
        <v>9109.4250563660935</v>
      </c>
      <c r="P64" s="19">
        <f t="shared" si="10"/>
        <v>2006.1828635949526</v>
      </c>
      <c r="Q64" s="19">
        <f t="shared" si="11"/>
        <v>7103.2421927711412</v>
      </c>
      <c r="R64" s="19">
        <f t="shared" si="12"/>
        <v>193515.04416672411</v>
      </c>
      <c r="T64" s="16">
        <f t="shared" si="13"/>
        <v>56</v>
      </c>
      <c r="U64" s="25">
        <f t="shared" si="19"/>
        <v>24.358130348913747</v>
      </c>
      <c r="V64" s="25">
        <f t="shared" si="15"/>
        <v>8.5582620144831978</v>
      </c>
      <c r="W64" s="25">
        <f t="shared" si="17"/>
        <v>15.799868334430549</v>
      </c>
      <c r="X64" s="25">
        <f t="shared" si="16"/>
        <v>1011.1915734035531</v>
      </c>
      <c r="Y64" s="27"/>
      <c r="Z64" s="27"/>
      <c r="AA64" s="27"/>
      <c r="AE64" s="16"/>
      <c r="AF64" s="7"/>
      <c r="AG64" s="7"/>
      <c r="AH64" s="7"/>
      <c r="AI64" s="2"/>
    </row>
    <row r="65" spans="8:35">
      <c r="H65">
        <f t="shared" si="18"/>
        <v>57</v>
      </c>
      <c r="J65">
        <v>9000</v>
      </c>
      <c r="K65">
        <f t="shared" si="6"/>
        <v>14823</v>
      </c>
      <c r="L65" s="2">
        <f t="shared" si="7"/>
        <v>8406.5500504685424</v>
      </c>
      <c r="N65" s="16">
        <f t="shared" si="8"/>
        <v>57</v>
      </c>
      <c r="O65" s="19">
        <f t="shared" si="9"/>
        <v>9109.4250563660935</v>
      </c>
      <c r="P65" s="19">
        <f t="shared" si="10"/>
        <v>1935.1504416672412</v>
      </c>
      <c r="Q65" s="19">
        <f t="shared" si="11"/>
        <v>7174.274614698852</v>
      </c>
      <c r="R65" s="19">
        <f t="shared" si="12"/>
        <v>186340.76955202525</v>
      </c>
      <c r="T65" s="16">
        <f t="shared" si="13"/>
        <v>57</v>
      </c>
      <c r="U65" s="25">
        <f t="shared" si="19"/>
        <v>24.226464779460159</v>
      </c>
      <c r="V65" s="25">
        <f t="shared" si="15"/>
        <v>8.4265964450296096</v>
      </c>
      <c r="W65" s="25">
        <f t="shared" si="17"/>
        <v>15.799868334430549</v>
      </c>
      <c r="X65" s="25">
        <f t="shared" si="16"/>
        <v>995.39170506912251</v>
      </c>
      <c r="Y65" s="27"/>
      <c r="Z65" s="27"/>
      <c r="AA65" s="27"/>
      <c r="AE65" s="16"/>
      <c r="AF65" s="7"/>
      <c r="AG65" s="7"/>
      <c r="AH65" s="7"/>
      <c r="AI65" s="2"/>
    </row>
    <row r="66" spans="8:35">
      <c r="H66">
        <f t="shared" si="18"/>
        <v>58</v>
      </c>
      <c r="J66">
        <v>9000</v>
      </c>
      <c r="K66">
        <f t="shared" si="6"/>
        <v>14823</v>
      </c>
      <c r="L66" s="2">
        <f t="shared" si="7"/>
        <v>8323.3168816520229</v>
      </c>
      <c r="N66" s="16">
        <f t="shared" si="8"/>
        <v>58</v>
      </c>
      <c r="O66" s="19">
        <f t="shared" si="9"/>
        <v>9109.4250563660935</v>
      </c>
      <c r="P66" s="19">
        <f t="shared" si="10"/>
        <v>1863.4076955202524</v>
      </c>
      <c r="Q66" s="19">
        <f t="shared" si="11"/>
        <v>7246.0173608458408</v>
      </c>
      <c r="R66" s="19">
        <f t="shared" si="12"/>
        <v>179094.7521911794</v>
      </c>
      <c r="T66" s="16">
        <f t="shared" si="13"/>
        <v>58</v>
      </c>
      <c r="U66" s="25">
        <f t="shared" si="19"/>
        <v>24.09479921000657</v>
      </c>
      <c r="V66" s="25">
        <f t="shared" si="15"/>
        <v>8.2949308755760214</v>
      </c>
      <c r="W66" s="25">
        <f t="shared" si="17"/>
        <v>15.799868334430549</v>
      </c>
      <c r="X66" s="25">
        <f t="shared" si="16"/>
        <v>979.59183673469192</v>
      </c>
      <c r="Y66" s="27"/>
      <c r="Z66" s="27"/>
      <c r="AA66" s="27"/>
      <c r="AE66" s="16"/>
      <c r="AF66" s="7"/>
      <c r="AG66" s="7"/>
      <c r="AH66" s="7"/>
      <c r="AI66" s="2"/>
    </row>
    <row r="67" spans="8:35">
      <c r="H67">
        <f t="shared" si="18"/>
        <v>59</v>
      </c>
      <c r="J67">
        <v>9000</v>
      </c>
      <c r="K67">
        <f t="shared" si="6"/>
        <v>14823</v>
      </c>
      <c r="L67" s="2">
        <f t="shared" si="7"/>
        <v>8240.9078036158662</v>
      </c>
      <c r="N67" s="16">
        <f t="shared" si="8"/>
        <v>59</v>
      </c>
      <c r="O67" s="19">
        <f t="shared" si="9"/>
        <v>9109.4250563660935</v>
      </c>
      <c r="P67" s="19">
        <f t="shared" si="10"/>
        <v>1790.947521911794</v>
      </c>
      <c r="Q67" s="19">
        <f t="shared" si="11"/>
        <v>7318.4775344542995</v>
      </c>
      <c r="R67" s="19">
        <f t="shared" si="12"/>
        <v>171776.27465672512</v>
      </c>
      <c r="T67" s="16">
        <f t="shared" si="13"/>
        <v>59</v>
      </c>
      <c r="U67" s="25">
        <f t="shared" si="19"/>
        <v>23.963133640552982</v>
      </c>
      <c r="V67" s="25">
        <f t="shared" si="15"/>
        <v>8.1632653061224332</v>
      </c>
      <c r="W67" s="25">
        <f t="shared" si="17"/>
        <v>15.799868334430549</v>
      </c>
      <c r="X67" s="25">
        <f t="shared" si="16"/>
        <v>963.79196840026134</v>
      </c>
      <c r="Y67" s="27"/>
      <c r="Z67" s="27"/>
      <c r="AA67" s="27"/>
      <c r="AE67" s="16"/>
      <c r="AF67" s="7"/>
      <c r="AG67" s="7"/>
      <c r="AH67" s="7"/>
      <c r="AI67" s="2"/>
    </row>
    <row r="68" spans="8:35">
      <c r="H68">
        <f t="shared" si="18"/>
        <v>60</v>
      </c>
      <c r="J68">
        <v>9000</v>
      </c>
      <c r="K68">
        <f t="shared" si="6"/>
        <v>14823</v>
      </c>
      <c r="L68" s="2">
        <f t="shared" si="7"/>
        <v>8159.314657045411</v>
      </c>
      <c r="N68" s="16">
        <f t="shared" si="8"/>
        <v>60</v>
      </c>
      <c r="O68" s="19">
        <f t="shared" si="9"/>
        <v>9109.4250563660935</v>
      </c>
      <c r="P68" s="19">
        <f t="shared" si="10"/>
        <v>1717.7627465672513</v>
      </c>
      <c r="Q68" s="19">
        <f t="shared" si="11"/>
        <v>7391.6623097988422</v>
      </c>
      <c r="R68" s="19">
        <f t="shared" si="12"/>
        <v>164384.61234692627</v>
      </c>
      <c r="T68" s="16">
        <f t="shared" si="13"/>
        <v>60</v>
      </c>
      <c r="U68" s="25">
        <f t="shared" si="19"/>
        <v>23.831468071099394</v>
      </c>
      <c r="V68" s="25">
        <f t="shared" si="15"/>
        <v>8.031599736668845</v>
      </c>
      <c r="W68" s="25">
        <f t="shared" si="17"/>
        <v>15.799868334430549</v>
      </c>
      <c r="X68" s="25">
        <f t="shared" si="16"/>
        <v>947.99210006583075</v>
      </c>
      <c r="Y68" s="27"/>
      <c r="Z68" s="27"/>
      <c r="AA68" s="27"/>
      <c r="AE68" s="16"/>
      <c r="AF68" s="7"/>
      <c r="AG68" s="7"/>
      <c r="AH68" s="7"/>
      <c r="AI68" s="2"/>
    </row>
    <row r="69" spans="8:35">
      <c r="L69" s="2">
        <f>SUM(L9:L68)</f>
        <v>500713.39080116362</v>
      </c>
      <c r="N69" s="16">
        <f t="shared" si="8"/>
        <v>61</v>
      </c>
      <c r="O69" s="19">
        <f t="shared" si="9"/>
        <v>9109.4250563660935</v>
      </c>
      <c r="P69" s="19">
        <f t="shared" si="10"/>
        <v>1643.8461234692627</v>
      </c>
      <c r="Q69" s="19">
        <f t="shared" si="11"/>
        <v>7465.5789328968312</v>
      </c>
      <c r="R69" s="19">
        <f t="shared" si="12"/>
        <v>156919.03341402943</v>
      </c>
      <c r="T69" s="16">
        <f t="shared" si="13"/>
        <v>61</v>
      </c>
      <c r="U69" s="25">
        <f t="shared" si="19"/>
        <v>23.699802501645806</v>
      </c>
      <c r="V69" s="25">
        <f t="shared" si="15"/>
        <v>7.8999341672152559</v>
      </c>
      <c r="W69" s="25">
        <f t="shared" si="17"/>
        <v>15.799868334430549</v>
      </c>
      <c r="X69" s="25">
        <f t="shared" si="16"/>
        <v>932.19223173140017</v>
      </c>
      <c r="Y69" s="27"/>
      <c r="Z69" s="27"/>
      <c r="AA69" s="27"/>
      <c r="AE69" s="16"/>
      <c r="AF69" s="7"/>
      <c r="AG69" s="7"/>
      <c r="AH69" s="7"/>
      <c r="AI69" s="2"/>
    </row>
    <row r="70" spans="8:35">
      <c r="N70" s="16">
        <f t="shared" si="8"/>
        <v>62</v>
      </c>
      <c r="O70" s="19">
        <f t="shared" si="9"/>
        <v>9109.4250563660935</v>
      </c>
      <c r="P70" s="19">
        <f t="shared" si="10"/>
        <v>1569.1903341402942</v>
      </c>
      <c r="Q70" s="19">
        <f t="shared" si="11"/>
        <v>7540.2347222257995</v>
      </c>
      <c r="R70" s="19">
        <f t="shared" si="12"/>
        <v>149378.79869180362</v>
      </c>
      <c r="T70" s="16">
        <f t="shared" si="13"/>
        <v>62</v>
      </c>
      <c r="U70" s="25">
        <f t="shared" si="19"/>
        <v>23.568136932192218</v>
      </c>
      <c r="V70" s="25">
        <f t="shared" si="15"/>
        <v>7.7682685977616677</v>
      </c>
      <c r="W70" s="25">
        <f t="shared" si="17"/>
        <v>15.799868334430549</v>
      </c>
      <c r="X70" s="25">
        <f t="shared" si="16"/>
        <v>916.39236339696959</v>
      </c>
      <c r="Y70" s="27"/>
      <c r="Z70" s="27"/>
      <c r="AA70" s="27"/>
      <c r="AE70" s="16"/>
      <c r="AF70" s="7"/>
      <c r="AG70" s="7"/>
      <c r="AH70" s="7"/>
      <c r="AI70" s="2"/>
    </row>
    <row r="71" spans="8:35">
      <c r="N71" s="16">
        <f t="shared" si="8"/>
        <v>63</v>
      </c>
      <c r="O71" s="19">
        <f t="shared" si="9"/>
        <v>9109.4250563660935</v>
      </c>
      <c r="P71" s="19">
        <f t="shared" si="10"/>
        <v>1493.7879869180363</v>
      </c>
      <c r="Q71" s="19">
        <f t="shared" si="11"/>
        <v>7615.6370694480574</v>
      </c>
      <c r="R71" s="19">
        <f t="shared" si="12"/>
        <v>141763.16162235558</v>
      </c>
      <c r="T71" s="16">
        <f t="shared" si="13"/>
        <v>63</v>
      </c>
      <c r="U71" s="25">
        <f t="shared" si="19"/>
        <v>23.436471362738629</v>
      </c>
      <c r="V71" s="25">
        <f t="shared" si="15"/>
        <v>7.6366030283080795</v>
      </c>
      <c r="W71" s="25">
        <f t="shared" si="17"/>
        <v>15.799868334430549</v>
      </c>
      <c r="X71" s="25">
        <f t="shared" si="16"/>
        <v>900.592495062539</v>
      </c>
      <c r="Y71" s="27"/>
      <c r="Z71" s="27"/>
      <c r="AA71" s="27"/>
      <c r="AE71" s="16"/>
      <c r="AF71" s="7"/>
      <c r="AG71" s="7"/>
      <c r="AH71" s="7"/>
      <c r="AI71" s="2"/>
    </row>
    <row r="72" spans="8:35">
      <c r="N72" s="16">
        <f t="shared" si="8"/>
        <v>64</v>
      </c>
      <c r="O72" s="19">
        <f t="shared" si="9"/>
        <v>9109.4250563660935</v>
      </c>
      <c r="P72" s="19">
        <f t="shared" si="10"/>
        <v>1417.6316162235557</v>
      </c>
      <c r="Q72" s="19">
        <f t="shared" si="11"/>
        <v>7691.7934401425373</v>
      </c>
      <c r="R72" s="19">
        <f t="shared" si="12"/>
        <v>134071.36818221305</v>
      </c>
      <c r="T72" s="16">
        <f t="shared" si="13"/>
        <v>64</v>
      </c>
      <c r="U72" s="25">
        <f t="shared" si="19"/>
        <v>23.304805793285041</v>
      </c>
      <c r="V72" s="25">
        <f t="shared" si="15"/>
        <v>7.5049374588544913</v>
      </c>
      <c r="W72" s="25">
        <f t="shared" si="17"/>
        <v>15.799868334430549</v>
      </c>
      <c r="X72" s="25">
        <f t="shared" si="16"/>
        <v>884.79262672810842</v>
      </c>
      <c r="Y72" s="27"/>
      <c r="Z72" s="27"/>
      <c r="AA72" s="27"/>
      <c r="AE72" s="16"/>
      <c r="AF72" s="7"/>
      <c r="AG72" s="7"/>
      <c r="AH72" s="7"/>
      <c r="AI72" s="2"/>
    </row>
    <row r="73" spans="8:35">
      <c r="N73" s="16">
        <f t="shared" si="8"/>
        <v>65</v>
      </c>
      <c r="O73" s="19">
        <f t="shared" si="9"/>
        <v>9109.4250563660935</v>
      </c>
      <c r="P73" s="19">
        <f t="shared" si="10"/>
        <v>1340.7136818221304</v>
      </c>
      <c r="Q73" s="19">
        <f t="shared" si="11"/>
        <v>7768.7113745439628</v>
      </c>
      <c r="R73" s="19">
        <f t="shared" si="12"/>
        <v>126302.65680766909</v>
      </c>
      <c r="T73" s="16">
        <f t="shared" si="13"/>
        <v>65</v>
      </c>
      <c r="U73" s="25">
        <f t="shared" si="19"/>
        <v>23.173140223831453</v>
      </c>
      <c r="V73" s="25">
        <f t="shared" si="15"/>
        <v>7.3732718894009031</v>
      </c>
      <c r="W73" s="25">
        <f t="shared" si="17"/>
        <v>15.799868334430549</v>
      </c>
      <c r="X73" s="25">
        <f t="shared" si="16"/>
        <v>868.99275839367783</v>
      </c>
      <c r="Y73" s="27"/>
      <c r="Z73" s="27"/>
      <c r="AA73" s="27"/>
      <c r="AE73" s="16"/>
      <c r="AF73" s="7"/>
      <c r="AG73" s="7"/>
      <c r="AH73" s="7"/>
      <c r="AI73" s="2"/>
    </row>
    <row r="74" spans="8:35">
      <c r="N74" s="16">
        <f t="shared" ref="N74:N88" si="20">N73+1</f>
        <v>66</v>
      </c>
      <c r="O74" s="19">
        <f t="shared" ref="O74:O88" si="21">$O$5*$P$3/(1-POWER(1+$P$3,-80))</f>
        <v>9109.4250563660935</v>
      </c>
      <c r="P74" s="19">
        <f t="shared" ref="P74:P88" si="22">$P$3*R73</f>
        <v>1263.0265680766909</v>
      </c>
      <c r="Q74" s="19">
        <f t="shared" ref="Q74:Q88" si="23">O74-P74</f>
        <v>7846.3984882894028</v>
      </c>
      <c r="R74" s="19">
        <f t="shared" ref="R74:R88" si="24">R73-Q74</f>
        <v>118456.25831937969</v>
      </c>
      <c r="T74" s="16">
        <f t="shared" ref="T74:T119" si="25">1+T73</f>
        <v>66</v>
      </c>
      <c r="U74" s="25">
        <f t="shared" si="19"/>
        <v>23.041474654377865</v>
      </c>
      <c r="V74" s="25">
        <f t="shared" ref="V74:V128" si="26">X73*$V$3</f>
        <v>7.2416063199473149</v>
      </c>
      <c r="W74" s="25">
        <f t="shared" si="17"/>
        <v>15.799868334430549</v>
      </c>
      <c r="X74" s="25">
        <f t="shared" ref="X74:X128" si="27">X73-W74</f>
        <v>853.19289005924725</v>
      </c>
      <c r="Y74" s="27"/>
      <c r="Z74" s="27"/>
      <c r="AA74" s="27"/>
      <c r="AE74" s="16"/>
      <c r="AF74" s="7"/>
      <c r="AG74" s="7"/>
      <c r="AH74" s="7"/>
      <c r="AI74" s="2"/>
    </row>
    <row r="75" spans="8:35">
      <c r="N75" s="16">
        <f t="shared" si="20"/>
        <v>67</v>
      </c>
      <c r="O75" s="19">
        <f t="shared" si="21"/>
        <v>9109.4250563660935</v>
      </c>
      <c r="P75" s="19">
        <f t="shared" si="22"/>
        <v>1184.5625831937969</v>
      </c>
      <c r="Q75" s="19">
        <f t="shared" si="23"/>
        <v>7924.8624731722966</v>
      </c>
      <c r="R75" s="19">
        <f t="shared" si="24"/>
        <v>110531.39584620739</v>
      </c>
      <c r="T75" s="16">
        <f t="shared" si="25"/>
        <v>67</v>
      </c>
      <c r="U75" s="25">
        <f t="shared" si="19"/>
        <v>22.909809084924277</v>
      </c>
      <c r="V75" s="25">
        <f t="shared" si="26"/>
        <v>7.1099407504937266</v>
      </c>
      <c r="W75" s="25">
        <f t="shared" si="17"/>
        <v>15.799868334430549</v>
      </c>
      <c r="X75" s="25">
        <f t="shared" si="27"/>
        <v>837.39302172481666</v>
      </c>
      <c r="Y75" s="27"/>
      <c r="Z75" s="27"/>
      <c r="AA75" s="27"/>
      <c r="AE75" s="16"/>
      <c r="AF75" s="7"/>
      <c r="AG75" s="7"/>
      <c r="AH75" s="7"/>
      <c r="AI75" s="2"/>
    </row>
    <row r="76" spans="8:35">
      <c r="N76" s="16">
        <f t="shared" si="20"/>
        <v>68</v>
      </c>
      <c r="O76" s="19">
        <f t="shared" si="21"/>
        <v>9109.4250563660935</v>
      </c>
      <c r="P76" s="19">
        <f t="shared" si="22"/>
        <v>1105.313958462074</v>
      </c>
      <c r="Q76" s="19">
        <f t="shared" si="23"/>
        <v>8004.1110979040195</v>
      </c>
      <c r="R76" s="19">
        <f t="shared" si="24"/>
        <v>102527.28474830337</v>
      </c>
      <c r="T76" s="16">
        <f t="shared" si="25"/>
        <v>68</v>
      </c>
      <c r="U76" s="25">
        <f t="shared" si="19"/>
        <v>22.778143515470688</v>
      </c>
      <c r="V76" s="25">
        <f t="shared" si="26"/>
        <v>6.9782751810401384</v>
      </c>
      <c r="W76" s="25">
        <f t="shared" ref="W76:W130" si="28">$X$8/120</f>
        <v>15.799868334430549</v>
      </c>
      <c r="X76" s="25">
        <f t="shared" si="27"/>
        <v>821.59315339038608</v>
      </c>
      <c r="Y76" s="27"/>
      <c r="Z76" s="27"/>
      <c r="AA76" s="27"/>
      <c r="AE76" s="16"/>
      <c r="AF76" s="7"/>
      <c r="AG76" s="7"/>
      <c r="AH76" s="7"/>
      <c r="AI76" s="2"/>
    </row>
    <row r="77" spans="8:35">
      <c r="N77" s="16">
        <f t="shared" si="20"/>
        <v>69</v>
      </c>
      <c r="O77" s="19">
        <f t="shared" si="21"/>
        <v>9109.4250563660935</v>
      </c>
      <c r="P77" s="19">
        <f t="shared" si="22"/>
        <v>1025.2728474830337</v>
      </c>
      <c r="Q77" s="19">
        <f t="shared" si="23"/>
        <v>8084.1522088830598</v>
      </c>
      <c r="R77" s="19">
        <f t="shared" si="24"/>
        <v>94443.132539420316</v>
      </c>
      <c r="T77" s="16">
        <f t="shared" si="25"/>
        <v>69</v>
      </c>
      <c r="U77" s="25">
        <f t="shared" si="19"/>
        <v>22.6464779460171</v>
      </c>
      <c r="V77" s="25">
        <f t="shared" si="26"/>
        <v>6.8466096115865502</v>
      </c>
      <c r="W77" s="25">
        <f t="shared" si="28"/>
        <v>15.799868334430549</v>
      </c>
      <c r="X77" s="25">
        <f t="shared" si="27"/>
        <v>805.79328505595549</v>
      </c>
      <c r="Y77" s="27"/>
      <c r="Z77" s="27"/>
      <c r="AA77" s="27"/>
      <c r="AE77" s="16"/>
      <c r="AF77" s="7"/>
      <c r="AG77" s="7"/>
      <c r="AH77" s="7"/>
      <c r="AI77" s="2"/>
    </row>
    <row r="78" spans="8:35">
      <c r="N78" s="16">
        <f t="shared" si="20"/>
        <v>70</v>
      </c>
      <c r="O78" s="19">
        <f t="shared" si="21"/>
        <v>9109.4250563660935</v>
      </c>
      <c r="P78" s="19">
        <f t="shared" si="22"/>
        <v>944.43132539420321</v>
      </c>
      <c r="Q78" s="19">
        <f t="shared" si="23"/>
        <v>8164.9937309718898</v>
      </c>
      <c r="R78" s="19">
        <f t="shared" si="24"/>
        <v>86278.138808448421</v>
      </c>
      <c r="T78" s="16">
        <f t="shared" si="25"/>
        <v>70</v>
      </c>
      <c r="U78" s="25">
        <f t="shared" si="19"/>
        <v>22.514812376563512</v>
      </c>
      <c r="V78" s="25">
        <f t="shared" si="26"/>
        <v>6.714944042132962</v>
      </c>
      <c r="W78" s="25">
        <f t="shared" si="28"/>
        <v>15.799868334430549</v>
      </c>
      <c r="X78" s="25">
        <f t="shared" si="27"/>
        <v>789.99341672152491</v>
      </c>
      <c r="Y78" s="27"/>
      <c r="Z78" s="27"/>
      <c r="AA78" s="27"/>
      <c r="AE78" s="16"/>
      <c r="AF78" s="7"/>
      <c r="AG78" s="7"/>
      <c r="AH78" s="7"/>
      <c r="AI78" s="2"/>
    </row>
    <row r="79" spans="8:35">
      <c r="N79" s="16">
        <f t="shared" si="20"/>
        <v>71</v>
      </c>
      <c r="O79" s="19">
        <f t="shared" si="21"/>
        <v>9109.4250563660935</v>
      </c>
      <c r="P79" s="19">
        <f t="shared" si="22"/>
        <v>862.78138808448421</v>
      </c>
      <c r="Q79" s="19">
        <f t="shared" si="23"/>
        <v>8246.6436682816093</v>
      </c>
      <c r="R79" s="19">
        <f t="shared" si="24"/>
        <v>78031.495140166808</v>
      </c>
      <c r="T79" s="16">
        <f t="shared" si="25"/>
        <v>71</v>
      </c>
      <c r="U79" s="25">
        <f t="shared" si="19"/>
        <v>22.383146807109924</v>
      </c>
      <c r="V79" s="25">
        <f t="shared" si="26"/>
        <v>6.5832784726793738</v>
      </c>
      <c r="W79" s="25">
        <f t="shared" si="28"/>
        <v>15.799868334430549</v>
      </c>
      <c r="X79" s="25">
        <f t="shared" si="27"/>
        <v>774.19354838709432</v>
      </c>
      <c r="Y79" s="27"/>
      <c r="Z79" s="27"/>
      <c r="AA79" s="27"/>
      <c r="AE79" s="16"/>
      <c r="AF79" s="7"/>
      <c r="AG79" s="7"/>
      <c r="AH79" s="7"/>
      <c r="AI79" s="2"/>
    </row>
    <row r="80" spans="8:35">
      <c r="N80" s="16">
        <f t="shared" si="20"/>
        <v>72</v>
      </c>
      <c r="O80" s="19">
        <f t="shared" si="21"/>
        <v>9109.4250563660935</v>
      </c>
      <c r="P80" s="19">
        <f t="shared" si="22"/>
        <v>780.31495140166805</v>
      </c>
      <c r="Q80" s="19">
        <f t="shared" si="23"/>
        <v>8329.1101049644258</v>
      </c>
      <c r="R80" s="19">
        <f t="shared" si="24"/>
        <v>69702.385035202387</v>
      </c>
      <c r="T80" s="16">
        <f t="shared" si="25"/>
        <v>72</v>
      </c>
      <c r="U80" s="25">
        <f t="shared" si="19"/>
        <v>22.251481237656336</v>
      </c>
      <c r="V80" s="25">
        <f t="shared" si="26"/>
        <v>6.4516129032257856</v>
      </c>
      <c r="W80" s="25">
        <f t="shared" si="28"/>
        <v>15.799868334430549</v>
      </c>
      <c r="X80" s="25">
        <f t="shared" si="27"/>
        <v>758.39368005266374</v>
      </c>
      <c r="Y80" s="27"/>
      <c r="Z80" s="27"/>
      <c r="AA80" s="27"/>
      <c r="AE80" s="16"/>
      <c r="AF80" s="7"/>
      <c r="AG80" s="7"/>
      <c r="AH80" s="7"/>
      <c r="AI80" s="2"/>
    </row>
    <row r="81" spans="14:35">
      <c r="N81" s="16">
        <f t="shared" si="20"/>
        <v>73</v>
      </c>
      <c r="O81" s="19">
        <f t="shared" si="21"/>
        <v>9109.4250563660935</v>
      </c>
      <c r="P81" s="19">
        <f t="shared" si="22"/>
        <v>697.02385035202394</v>
      </c>
      <c r="Q81" s="19">
        <f t="shared" si="23"/>
        <v>8412.4012060140703</v>
      </c>
      <c r="R81" s="19">
        <f t="shared" si="24"/>
        <v>61289.983829188321</v>
      </c>
      <c r="T81" s="16">
        <f t="shared" si="25"/>
        <v>73</v>
      </c>
      <c r="U81" s="25">
        <f t="shared" si="19"/>
        <v>22.119815668202747</v>
      </c>
      <c r="V81" s="25">
        <f t="shared" si="26"/>
        <v>6.3199473337721974</v>
      </c>
      <c r="W81" s="25">
        <f t="shared" si="28"/>
        <v>15.799868334430549</v>
      </c>
      <c r="X81" s="25">
        <f t="shared" si="27"/>
        <v>742.59381171823316</v>
      </c>
      <c r="Y81" s="27"/>
      <c r="Z81" s="27"/>
      <c r="AA81" s="27"/>
      <c r="AE81" s="16"/>
      <c r="AF81" s="7"/>
      <c r="AG81" s="7"/>
      <c r="AH81" s="7"/>
      <c r="AI81" s="2"/>
    </row>
    <row r="82" spans="14:35">
      <c r="N82" s="16">
        <f t="shared" si="20"/>
        <v>74</v>
      </c>
      <c r="O82" s="19">
        <f t="shared" si="21"/>
        <v>9109.4250563660935</v>
      </c>
      <c r="P82" s="19">
        <f t="shared" si="22"/>
        <v>612.89983829188327</v>
      </c>
      <c r="Q82" s="19">
        <f t="shared" si="23"/>
        <v>8496.52521807421</v>
      </c>
      <c r="R82" s="19">
        <f t="shared" si="24"/>
        <v>52793.458611114111</v>
      </c>
      <c r="T82" s="16">
        <f t="shared" si="25"/>
        <v>74</v>
      </c>
      <c r="U82" s="25">
        <f t="shared" si="19"/>
        <v>21.988150098749159</v>
      </c>
      <c r="V82" s="25">
        <f t="shared" si="26"/>
        <v>6.1882817643186092</v>
      </c>
      <c r="W82" s="25">
        <f t="shared" si="28"/>
        <v>15.799868334430549</v>
      </c>
      <c r="X82" s="25">
        <f t="shared" si="27"/>
        <v>726.79394338380257</v>
      </c>
      <c r="Y82" s="27"/>
      <c r="Z82" s="27"/>
      <c r="AA82" s="27"/>
      <c r="AE82" s="16"/>
      <c r="AF82" s="7"/>
      <c r="AG82" s="7"/>
      <c r="AH82" s="7"/>
      <c r="AI82" s="2"/>
    </row>
    <row r="83" spans="14:35">
      <c r="N83" s="16">
        <f t="shared" si="20"/>
        <v>75</v>
      </c>
      <c r="O83" s="19">
        <f t="shared" si="21"/>
        <v>9109.4250563660935</v>
      </c>
      <c r="P83" s="19">
        <f t="shared" si="22"/>
        <v>527.93458611114113</v>
      </c>
      <c r="Q83" s="19">
        <f t="shared" si="23"/>
        <v>8581.490470254952</v>
      </c>
      <c r="R83" s="19">
        <f t="shared" si="24"/>
        <v>44211.968140859157</v>
      </c>
      <c r="T83" s="16">
        <f t="shared" si="25"/>
        <v>75</v>
      </c>
      <c r="U83" s="25">
        <f t="shared" si="19"/>
        <v>21.856484529295571</v>
      </c>
      <c r="V83" s="25">
        <f t="shared" si="26"/>
        <v>6.056616194865021</v>
      </c>
      <c r="W83" s="25">
        <f t="shared" si="28"/>
        <v>15.799868334430549</v>
      </c>
      <c r="X83" s="25">
        <f t="shared" si="27"/>
        <v>710.99407504937199</v>
      </c>
      <c r="Y83" s="27"/>
      <c r="Z83" s="27"/>
      <c r="AA83" s="27"/>
      <c r="AE83" s="16"/>
      <c r="AF83" s="7"/>
      <c r="AG83" s="7"/>
      <c r="AH83" s="7"/>
      <c r="AI83" s="2"/>
    </row>
    <row r="84" spans="14:35">
      <c r="N84" s="16">
        <f t="shared" si="20"/>
        <v>76</v>
      </c>
      <c r="O84" s="19">
        <f t="shared" si="21"/>
        <v>9109.4250563660935</v>
      </c>
      <c r="P84" s="19">
        <f t="shared" si="22"/>
        <v>442.11968140859159</v>
      </c>
      <c r="Q84" s="19">
        <f t="shared" si="23"/>
        <v>8667.305374957501</v>
      </c>
      <c r="R84" s="19">
        <f t="shared" si="24"/>
        <v>35544.662765901652</v>
      </c>
      <c r="T84" s="16">
        <f t="shared" si="25"/>
        <v>76</v>
      </c>
      <c r="U84" s="25">
        <f t="shared" si="19"/>
        <v>21.724818959841983</v>
      </c>
      <c r="V84" s="25">
        <f t="shared" si="26"/>
        <v>5.9249506254114328</v>
      </c>
      <c r="W84" s="25">
        <f t="shared" si="28"/>
        <v>15.799868334430549</v>
      </c>
      <c r="X84" s="25">
        <f t="shared" si="27"/>
        <v>695.1942067149414</v>
      </c>
      <c r="Y84" s="27"/>
      <c r="Z84" s="27"/>
      <c r="AA84" s="27"/>
      <c r="AE84" s="16"/>
      <c r="AF84" s="7"/>
      <c r="AG84" s="7"/>
      <c r="AH84" s="7"/>
      <c r="AI84" s="2"/>
    </row>
    <row r="85" spans="14:35">
      <c r="N85" s="16">
        <f t="shared" si="20"/>
        <v>77</v>
      </c>
      <c r="O85" s="19">
        <f t="shared" si="21"/>
        <v>9109.4250563660935</v>
      </c>
      <c r="P85" s="19">
        <f t="shared" si="22"/>
        <v>355.44662765901654</v>
      </c>
      <c r="Q85" s="19">
        <f t="shared" si="23"/>
        <v>8753.9784287070761</v>
      </c>
      <c r="R85" s="19">
        <f t="shared" si="24"/>
        <v>26790.684337194576</v>
      </c>
      <c r="T85" s="16">
        <f t="shared" si="25"/>
        <v>77</v>
      </c>
      <c r="U85" s="25">
        <f t="shared" si="19"/>
        <v>21.593153390388395</v>
      </c>
      <c r="V85" s="25">
        <f t="shared" si="26"/>
        <v>5.7932850559578446</v>
      </c>
      <c r="W85" s="25">
        <f t="shared" si="28"/>
        <v>15.799868334430549</v>
      </c>
      <c r="X85" s="25">
        <f t="shared" si="27"/>
        <v>679.39433838051082</v>
      </c>
      <c r="Y85" s="27"/>
      <c r="Z85" s="27"/>
      <c r="AA85" s="27"/>
      <c r="AE85" s="16"/>
      <c r="AF85" s="7"/>
      <c r="AG85" s="7"/>
      <c r="AH85" s="7"/>
      <c r="AI85" s="2"/>
    </row>
    <row r="86" spans="14:35">
      <c r="N86" s="16">
        <f t="shared" si="20"/>
        <v>78</v>
      </c>
      <c r="O86" s="19">
        <f t="shared" si="21"/>
        <v>9109.4250563660935</v>
      </c>
      <c r="P86" s="19">
        <f t="shared" si="22"/>
        <v>267.90684337194574</v>
      </c>
      <c r="Q86" s="19">
        <f t="shared" si="23"/>
        <v>8841.5182129941477</v>
      </c>
      <c r="R86" s="19">
        <f t="shared" si="24"/>
        <v>17949.166124200427</v>
      </c>
      <c r="T86" s="16">
        <f t="shared" si="25"/>
        <v>78</v>
      </c>
      <c r="U86" s="25">
        <f t="shared" si="19"/>
        <v>21.461487820934806</v>
      </c>
      <c r="V86" s="25">
        <f t="shared" si="26"/>
        <v>5.6616194865042564</v>
      </c>
      <c r="W86" s="25">
        <f t="shared" si="28"/>
        <v>15.799868334430549</v>
      </c>
      <c r="X86" s="25">
        <f t="shared" si="27"/>
        <v>663.59447004608023</v>
      </c>
      <c r="Y86" s="27"/>
      <c r="Z86" s="27"/>
      <c r="AA86" s="27"/>
      <c r="AE86" s="16"/>
      <c r="AF86" s="7"/>
      <c r="AG86" s="7"/>
      <c r="AH86" s="7"/>
      <c r="AI86" s="2"/>
    </row>
    <row r="87" spans="14:35">
      <c r="N87" s="16">
        <f t="shared" si="20"/>
        <v>79</v>
      </c>
      <c r="O87" s="19">
        <f t="shared" si="21"/>
        <v>9109.4250563660935</v>
      </c>
      <c r="P87" s="19">
        <f t="shared" si="22"/>
        <v>179.49166124200426</v>
      </c>
      <c r="Q87" s="19">
        <f t="shared" si="23"/>
        <v>8929.9333951240897</v>
      </c>
      <c r="R87" s="19">
        <f t="shared" si="24"/>
        <v>9019.2327290763369</v>
      </c>
      <c r="T87" s="16">
        <f t="shared" si="25"/>
        <v>79</v>
      </c>
      <c r="U87" s="25">
        <f t="shared" si="19"/>
        <v>21.329822251481218</v>
      </c>
      <c r="V87" s="25">
        <f t="shared" si="26"/>
        <v>5.5299539170506682</v>
      </c>
      <c r="W87" s="25">
        <f t="shared" si="28"/>
        <v>15.799868334430549</v>
      </c>
      <c r="X87" s="25">
        <f t="shared" si="27"/>
        <v>647.79460171164965</v>
      </c>
      <c r="Y87" s="27"/>
      <c r="Z87" s="27"/>
      <c r="AA87" s="27"/>
      <c r="AE87" s="16"/>
      <c r="AF87" s="7"/>
      <c r="AG87" s="7"/>
      <c r="AH87" s="7"/>
      <c r="AI87" s="2"/>
    </row>
    <row r="88" spans="14:35">
      <c r="N88" s="16">
        <f t="shared" si="20"/>
        <v>80</v>
      </c>
      <c r="O88" s="19">
        <f t="shared" si="21"/>
        <v>9109.4250563660935</v>
      </c>
      <c r="P88" s="19">
        <f t="shared" si="22"/>
        <v>90.192327290763373</v>
      </c>
      <c r="Q88" s="19">
        <f t="shared" si="23"/>
        <v>9019.232729075331</v>
      </c>
      <c r="R88" s="19">
        <f t="shared" si="24"/>
        <v>1.0059011401608586E-9</v>
      </c>
      <c r="T88" s="16">
        <f t="shared" si="25"/>
        <v>80</v>
      </c>
      <c r="U88" s="25">
        <f t="shared" si="19"/>
        <v>21.19815668202763</v>
      </c>
      <c r="V88" s="25">
        <f t="shared" si="26"/>
        <v>5.39828834759708</v>
      </c>
      <c r="W88" s="25">
        <f t="shared" si="28"/>
        <v>15.799868334430549</v>
      </c>
      <c r="X88" s="25">
        <f t="shared" si="27"/>
        <v>631.99473337721906</v>
      </c>
      <c r="Y88" s="27"/>
      <c r="Z88" s="27"/>
      <c r="AA88" s="27"/>
      <c r="AE88" s="16"/>
      <c r="AF88" s="7"/>
      <c r="AG88" s="7"/>
      <c r="AH88" s="7"/>
      <c r="AI88" s="2"/>
    </row>
    <row r="89" spans="14:35">
      <c r="N89" s="16" t="s">
        <v>55</v>
      </c>
      <c r="O89" s="19">
        <f>SUM(O9:O88)</f>
        <v>728754.004509288</v>
      </c>
      <c r="P89" s="19">
        <f>SUM(P9:P88)</f>
        <v>228754.00450928835</v>
      </c>
      <c r="Q89" s="19">
        <f>SUM(Q9:Q88)</f>
        <v>499999.99999999907</v>
      </c>
      <c r="R89" s="19"/>
      <c r="T89" s="16">
        <f t="shared" si="25"/>
        <v>81</v>
      </c>
      <c r="U89" s="25">
        <f t="shared" si="19"/>
        <v>21.066491112574042</v>
      </c>
      <c r="V89" s="25">
        <f t="shared" si="26"/>
        <v>5.2666227781434918</v>
      </c>
      <c r="W89" s="25">
        <f t="shared" si="28"/>
        <v>15.799868334430549</v>
      </c>
      <c r="X89" s="25">
        <f t="shared" si="27"/>
        <v>616.19486504278848</v>
      </c>
      <c r="Y89" s="27"/>
      <c r="Z89" s="27"/>
      <c r="AA89" s="27"/>
      <c r="AE89" s="16"/>
      <c r="AF89" s="7"/>
      <c r="AG89" s="7"/>
      <c r="AH89" s="7"/>
      <c r="AI89" s="2"/>
    </row>
    <row r="90" spans="14:35">
      <c r="T90" s="16">
        <f t="shared" si="25"/>
        <v>82</v>
      </c>
      <c r="U90" s="25">
        <f t="shared" si="19"/>
        <v>20.934825543120454</v>
      </c>
      <c r="V90" s="25">
        <f t="shared" si="26"/>
        <v>5.1349572086899036</v>
      </c>
      <c r="W90" s="25">
        <f t="shared" si="28"/>
        <v>15.799868334430549</v>
      </c>
      <c r="X90" s="25">
        <f t="shared" si="27"/>
        <v>600.39499670835789</v>
      </c>
      <c r="Y90" s="27"/>
      <c r="Z90" s="27"/>
      <c r="AA90" s="27"/>
      <c r="AE90" s="16"/>
      <c r="AF90" s="7"/>
      <c r="AG90" s="7"/>
      <c r="AH90" s="7"/>
      <c r="AI90" s="2"/>
    </row>
    <row r="91" spans="14:35">
      <c r="T91" s="16">
        <f t="shared" si="25"/>
        <v>83</v>
      </c>
      <c r="U91" s="25">
        <f t="shared" si="19"/>
        <v>20.803159973666865</v>
      </c>
      <c r="V91" s="25">
        <f t="shared" si="26"/>
        <v>5.0032916392363154</v>
      </c>
      <c r="W91" s="25">
        <f t="shared" si="28"/>
        <v>15.799868334430549</v>
      </c>
      <c r="X91" s="25">
        <f t="shared" si="27"/>
        <v>584.59512837392731</v>
      </c>
      <c r="Y91" s="27"/>
      <c r="Z91" s="27"/>
      <c r="AA91" s="27"/>
      <c r="AE91" s="16"/>
      <c r="AF91" s="7"/>
      <c r="AG91" s="7"/>
      <c r="AH91" s="7"/>
      <c r="AI91" s="2"/>
    </row>
    <row r="92" spans="14:35">
      <c r="T92" s="16">
        <f t="shared" si="25"/>
        <v>84</v>
      </c>
      <c r="U92" s="25">
        <f t="shared" si="19"/>
        <v>20.671494404213277</v>
      </c>
      <c r="V92" s="25">
        <f t="shared" si="26"/>
        <v>4.8716260697827272</v>
      </c>
      <c r="W92" s="25">
        <f t="shared" si="28"/>
        <v>15.799868334430549</v>
      </c>
      <c r="X92" s="25">
        <f t="shared" si="27"/>
        <v>568.79526003949672</v>
      </c>
      <c r="Y92" s="27"/>
      <c r="Z92" s="27"/>
      <c r="AA92" s="27"/>
      <c r="AE92" s="16"/>
      <c r="AF92" s="7"/>
      <c r="AG92" s="7"/>
      <c r="AH92" s="7"/>
      <c r="AI92" s="2"/>
    </row>
    <row r="93" spans="14:35">
      <c r="T93" s="16">
        <f t="shared" si="25"/>
        <v>85</v>
      </c>
      <c r="U93" s="25">
        <f t="shared" si="19"/>
        <v>20.539828834759689</v>
      </c>
      <c r="V93" s="25">
        <f t="shared" si="26"/>
        <v>4.739960500329139</v>
      </c>
      <c r="W93" s="25">
        <f t="shared" si="28"/>
        <v>15.799868334430549</v>
      </c>
      <c r="X93" s="25">
        <f t="shared" si="27"/>
        <v>552.99539170506614</v>
      </c>
      <c r="Y93" s="27"/>
      <c r="Z93" s="27"/>
      <c r="AA93" s="27"/>
      <c r="AE93" s="16"/>
      <c r="AF93" s="7"/>
      <c r="AG93" s="7"/>
      <c r="AH93" s="7"/>
      <c r="AI93" s="2"/>
    </row>
    <row r="94" spans="14:35">
      <c r="T94" s="16">
        <f t="shared" si="25"/>
        <v>86</v>
      </c>
      <c r="U94" s="25">
        <f t="shared" si="19"/>
        <v>20.408163265306101</v>
      </c>
      <c r="V94" s="25">
        <f t="shared" si="26"/>
        <v>4.6082949308755508</v>
      </c>
      <c r="W94" s="25">
        <f t="shared" si="28"/>
        <v>15.799868334430549</v>
      </c>
      <c r="X94" s="25">
        <f t="shared" si="27"/>
        <v>537.19552337063556</v>
      </c>
      <c r="Y94" s="27"/>
      <c r="Z94" s="27"/>
      <c r="AA94" s="27"/>
      <c r="AE94" s="16"/>
      <c r="AF94" s="7"/>
      <c r="AG94" s="7"/>
      <c r="AH94" s="7"/>
      <c r="AI94" s="2"/>
    </row>
    <row r="95" spans="14:35">
      <c r="T95" s="16">
        <f t="shared" si="25"/>
        <v>87</v>
      </c>
      <c r="U95" s="25">
        <f t="shared" si="19"/>
        <v>20.276497695852512</v>
      </c>
      <c r="V95" s="25">
        <f t="shared" si="26"/>
        <v>4.4766293614219625</v>
      </c>
      <c r="W95" s="25">
        <f t="shared" si="28"/>
        <v>15.799868334430549</v>
      </c>
      <c r="X95" s="25">
        <f t="shared" si="27"/>
        <v>521.39565503620497</v>
      </c>
      <c r="Y95" s="27"/>
      <c r="Z95" s="27"/>
      <c r="AA95" s="27"/>
      <c r="AE95" s="16"/>
      <c r="AF95" s="7"/>
      <c r="AG95" s="7"/>
      <c r="AH95" s="7"/>
      <c r="AI95" s="2"/>
    </row>
    <row r="96" spans="14:35">
      <c r="T96" s="16">
        <f t="shared" si="25"/>
        <v>88</v>
      </c>
      <c r="U96" s="25">
        <f t="shared" si="19"/>
        <v>20.144832126398924</v>
      </c>
      <c r="V96" s="25">
        <f t="shared" si="26"/>
        <v>4.3449637919683743</v>
      </c>
      <c r="W96" s="25">
        <f t="shared" si="28"/>
        <v>15.799868334430549</v>
      </c>
      <c r="X96" s="25">
        <f t="shared" si="27"/>
        <v>505.59578670177444</v>
      </c>
      <c r="Y96" s="27"/>
      <c r="Z96" s="27"/>
      <c r="AA96" s="27"/>
      <c r="AE96" s="16"/>
      <c r="AF96" s="7"/>
      <c r="AG96" s="7"/>
      <c r="AH96" s="7"/>
      <c r="AI96" s="2"/>
    </row>
    <row r="97" spans="20:35">
      <c r="T97" s="16">
        <f t="shared" si="25"/>
        <v>89</v>
      </c>
      <c r="U97" s="25">
        <f t="shared" si="19"/>
        <v>20.013166556945336</v>
      </c>
      <c r="V97" s="25">
        <f t="shared" si="26"/>
        <v>4.213298222514787</v>
      </c>
      <c r="W97" s="25">
        <f t="shared" si="28"/>
        <v>15.799868334430549</v>
      </c>
      <c r="X97" s="25">
        <f t="shared" si="27"/>
        <v>489.79591836734392</v>
      </c>
      <c r="Y97" s="27"/>
      <c r="Z97" s="27"/>
      <c r="AA97" s="27"/>
      <c r="AE97" s="16"/>
      <c r="AF97" s="7"/>
      <c r="AG97" s="7"/>
      <c r="AH97" s="7"/>
      <c r="AI97" s="2"/>
    </row>
    <row r="98" spans="20:35">
      <c r="T98" s="16">
        <f t="shared" si="25"/>
        <v>90</v>
      </c>
      <c r="U98" s="25">
        <f t="shared" ref="U98:U128" si="29">V98+W98</f>
        <v>19.881500987491748</v>
      </c>
      <c r="V98" s="25">
        <f t="shared" si="26"/>
        <v>4.0816326530611988</v>
      </c>
      <c r="W98" s="25">
        <f t="shared" si="28"/>
        <v>15.799868334430549</v>
      </c>
      <c r="X98" s="25">
        <f t="shared" si="27"/>
        <v>473.99605003291339</v>
      </c>
      <c r="Y98" s="27"/>
      <c r="Z98" s="27"/>
      <c r="AA98" s="27"/>
      <c r="AE98" s="16"/>
      <c r="AF98" s="7"/>
      <c r="AG98" s="7"/>
      <c r="AH98" s="7"/>
      <c r="AI98" s="2"/>
    </row>
    <row r="99" spans="20:35">
      <c r="T99" s="16">
        <f t="shared" si="25"/>
        <v>91</v>
      </c>
      <c r="U99" s="25">
        <f t="shared" si="29"/>
        <v>19.74983541803816</v>
      </c>
      <c r="V99" s="25">
        <f t="shared" si="26"/>
        <v>3.9499670836076115</v>
      </c>
      <c r="W99" s="25">
        <f t="shared" si="28"/>
        <v>15.799868334430549</v>
      </c>
      <c r="X99" s="25">
        <f t="shared" si="27"/>
        <v>458.19618169848286</v>
      </c>
      <c r="Y99" s="27"/>
      <c r="Z99" s="27"/>
      <c r="AA99" s="27"/>
      <c r="AE99" s="16"/>
      <c r="AF99" s="7"/>
      <c r="AG99" s="7"/>
      <c r="AH99" s="7"/>
      <c r="AI99" s="2"/>
    </row>
    <row r="100" spans="20:35">
      <c r="T100" s="16">
        <f t="shared" si="25"/>
        <v>92</v>
      </c>
      <c r="U100" s="25">
        <f t="shared" si="29"/>
        <v>19.618169848584571</v>
      </c>
      <c r="V100" s="25">
        <f t="shared" si="26"/>
        <v>3.8183015141540237</v>
      </c>
      <c r="W100" s="25">
        <f t="shared" si="28"/>
        <v>15.799868334430549</v>
      </c>
      <c r="X100" s="25">
        <f t="shared" si="27"/>
        <v>442.39631336405233</v>
      </c>
      <c r="Y100" s="27"/>
      <c r="Z100" s="27"/>
      <c r="AA100" s="27"/>
      <c r="AE100" s="16"/>
      <c r="AF100" s="7"/>
      <c r="AG100" s="7"/>
      <c r="AH100" s="7"/>
      <c r="AI100" s="2"/>
    </row>
    <row r="101" spans="20:35">
      <c r="T101" s="16">
        <f t="shared" si="25"/>
        <v>93</v>
      </c>
      <c r="U101" s="25">
        <f t="shared" si="29"/>
        <v>19.486504279130983</v>
      </c>
      <c r="V101" s="25">
        <f t="shared" si="26"/>
        <v>3.686635944700436</v>
      </c>
      <c r="W101" s="25">
        <f t="shared" si="28"/>
        <v>15.799868334430549</v>
      </c>
      <c r="X101" s="25">
        <f t="shared" si="27"/>
        <v>426.5964450296218</v>
      </c>
      <c r="Y101" s="27"/>
      <c r="Z101" s="27"/>
      <c r="AA101" s="27"/>
      <c r="AE101" s="16"/>
      <c r="AF101" s="7"/>
      <c r="AG101" s="7"/>
      <c r="AH101" s="7"/>
      <c r="AI101" s="2"/>
    </row>
    <row r="102" spans="20:35">
      <c r="T102" s="16">
        <f t="shared" si="25"/>
        <v>94</v>
      </c>
      <c r="U102" s="25">
        <f t="shared" si="29"/>
        <v>19.354838709677399</v>
      </c>
      <c r="V102" s="25">
        <f t="shared" si="26"/>
        <v>3.5549703752468482</v>
      </c>
      <c r="W102" s="25">
        <f t="shared" si="28"/>
        <v>15.799868334430549</v>
      </c>
      <c r="X102" s="25">
        <f t="shared" si="27"/>
        <v>410.79657669519128</v>
      </c>
      <c r="Y102" s="27"/>
      <c r="Z102" s="27"/>
      <c r="AA102" s="27"/>
      <c r="AE102" s="16"/>
      <c r="AF102" s="7"/>
      <c r="AG102" s="7"/>
      <c r="AH102" s="7"/>
      <c r="AI102" s="2"/>
    </row>
    <row r="103" spans="20:35">
      <c r="T103" s="16">
        <f t="shared" si="25"/>
        <v>95</v>
      </c>
      <c r="U103" s="25">
        <f t="shared" si="29"/>
        <v>19.22317314022381</v>
      </c>
      <c r="V103" s="25">
        <f t="shared" si="26"/>
        <v>3.4233048057932605</v>
      </c>
      <c r="W103" s="25">
        <f t="shared" si="28"/>
        <v>15.799868334430549</v>
      </c>
      <c r="X103" s="25">
        <f t="shared" si="27"/>
        <v>394.99670836076075</v>
      </c>
      <c r="Y103" s="27"/>
      <c r="Z103" s="27"/>
      <c r="AA103" s="27"/>
      <c r="AE103" s="16"/>
      <c r="AF103" s="7"/>
      <c r="AG103" s="7"/>
      <c r="AH103" s="7"/>
      <c r="AI103" s="2"/>
    </row>
    <row r="104" spans="20:35">
      <c r="T104" s="16">
        <f t="shared" si="25"/>
        <v>96</v>
      </c>
      <c r="U104" s="25">
        <f t="shared" si="29"/>
        <v>19.091507570770222</v>
      </c>
      <c r="V104" s="25">
        <f t="shared" si="26"/>
        <v>3.2916392363396727</v>
      </c>
      <c r="W104" s="25">
        <f t="shared" si="28"/>
        <v>15.799868334430549</v>
      </c>
      <c r="X104" s="25">
        <f t="shared" si="27"/>
        <v>379.19684002633022</v>
      </c>
      <c r="Y104" s="27"/>
      <c r="Z104" s="27"/>
      <c r="AA104" s="27"/>
      <c r="AE104" s="16"/>
      <c r="AF104" s="7"/>
      <c r="AG104" s="7"/>
      <c r="AH104" s="7"/>
      <c r="AI104" s="2"/>
    </row>
    <row r="105" spans="20:35">
      <c r="T105" s="16">
        <f t="shared" si="25"/>
        <v>97</v>
      </c>
      <c r="U105" s="25">
        <f t="shared" si="29"/>
        <v>18.959842001316634</v>
      </c>
      <c r="V105" s="25">
        <f t="shared" si="26"/>
        <v>3.1599736668860849</v>
      </c>
      <c r="W105" s="25">
        <f t="shared" si="28"/>
        <v>15.799868334430549</v>
      </c>
      <c r="X105" s="25">
        <f t="shared" si="27"/>
        <v>363.39697169189969</v>
      </c>
      <c r="Y105" s="27"/>
      <c r="Z105" s="27"/>
      <c r="AA105" s="27"/>
      <c r="AE105" s="16"/>
      <c r="AF105" s="7"/>
      <c r="AG105" s="7"/>
      <c r="AH105" s="7"/>
      <c r="AI105" s="2"/>
    </row>
    <row r="106" spans="20:35">
      <c r="T106" s="16">
        <f t="shared" si="25"/>
        <v>98</v>
      </c>
      <c r="U106" s="25">
        <f t="shared" si="29"/>
        <v>18.828176431863046</v>
      </c>
      <c r="V106" s="25">
        <f t="shared" si="26"/>
        <v>3.0283080974324976</v>
      </c>
      <c r="W106" s="25">
        <f t="shared" si="28"/>
        <v>15.799868334430549</v>
      </c>
      <c r="X106" s="25">
        <f t="shared" si="27"/>
        <v>347.59710335746917</v>
      </c>
      <c r="Y106" s="27"/>
      <c r="Z106" s="27"/>
      <c r="AA106" s="27"/>
      <c r="AE106" s="16"/>
      <c r="AF106" s="7"/>
      <c r="AG106" s="7"/>
      <c r="AH106" s="7"/>
      <c r="AI106" s="2"/>
    </row>
    <row r="107" spans="20:35">
      <c r="T107" s="16">
        <f t="shared" si="25"/>
        <v>99</v>
      </c>
      <c r="U107" s="25">
        <f t="shared" si="29"/>
        <v>18.696510862409458</v>
      </c>
      <c r="V107" s="25">
        <f t="shared" si="26"/>
        <v>2.8966425279789099</v>
      </c>
      <c r="W107" s="25">
        <f t="shared" si="28"/>
        <v>15.799868334430549</v>
      </c>
      <c r="X107" s="25">
        <f t="shared" si="27"/>
        <v>331.79723502303864</v>
      </c>
      <c r="Y107" s="27"/>
      <c r="Z107" s="27"/>
      <c r="AA107" s="27"/>
      <c r="AE107" s="16"/>
      <c r="AF107" s="7"/>
      <c r="AG107" s="7"/>
      <c r="AH107" s="7"/>
      <c r="AI107" s="2"/>
    </row>
    <row r="108" spans="20:35">
      <c r="T108" s="16">
        <f t="shared" si="25"/>
        <v>100</v>
      </c>
      <c r="U108" s="25">
        <f t="shared" si="29"/>
        <v>18.564845292955873</v>
      </c>
      <c r="V108" s="25">
        <f t="shared" si="26"/>
        <v>2.7649769585253221</v>
      </c>
      <c r="W108" s="25">
        <f t="shared" si="28"/>
        <v>15.799868334430549</v>
      </c>
      <c r="X108" s="25">
        <f t="shared" si="27"/>
        <v>315.99736668860811</v>
      </c>
      <c r="Y108" s="27"/>
      <c r="Z108" s="27"/>
      <c r="AA108" s="27"/>
      <c r="AE108" s="16"/>
      <c r="AF108" s="7"/>
      <c r="AG108" s="7"/>
      <c r="AH108" s="7"/>
      <c r="AI108" s="2"/>
    </row>
    <row r="109" spans="20:35">
      <c r="T109" s="16">
        <f t="shared" si="25"/>
        <v>101</v>
      </c>
      <c r="U109" s="25">
        <f t="shared" si="29"/>
        <v>18.433179723502285</v>
      </c>
      <c r="V109" s="25">
        <f t="shared" si="26"/>
        <v>2.6333113890717343</v>
      </c>
      <c r="W109" s="25">
        <f t="shared" si="28"/>
        <v>15.799868334430549</v>
      </c>
      <c r="X109" s="25">
        <f t="shared" si="27"/>
        <v>300.19749835417758</v>
      </c>
      <c r="Y109" s="27"/>
      <c r="Z109" s="27"/>
      <c r="AA109" s="27"/>
      <c r="AE109" s="16"/>
      <c r="AF109" s="7"/>
      <c r="AG109" s="7"/>
      <c r="AH109" s="7"/>
      <c r="AI109" s="2"/>
    </row>
    <row r="110" spans="20:35">
      <c r="T110" s="16">
        <f t="shared" si="25"/>
        <v>102</v>
      </c>
      <c r="U110" s="25">
        <f t="shared" si="29"/>
        <v>18.301514154048697</v>
      </c>
      <c r="V110" s="25">
        <f t="shared" si="26"/>
        <v>2.5016458196181466</v>
      </c>
      <c r="W110" s="25">
        <f t="shared" si="28"/>
        <v>15.799868334430549</v>
      </c>
      <c r="X110" s="25">
        <f t="shared" si="27"/>
        <v>284.39763001974706</v>
      </c>
      <c r="Y110" s="27"/>
      <c r="Z110" s="27"/>
      <c r="AA110" s="27"/>
      <c r="AE110" s="16"/>
      <c r="AF110" s="7"/>
      <c r="AG110" s="7"/>
      <c r="AH110" s="7"/>
      <c r="AI110" s="2"/>
    </row>
    <row r="111" spans="20:35">
      <c r="T111" s="16">
        <f t="shared" si="25"/>
        <v>103</v>
      </c>
      <c r="U111" s="25">
        <f t="shared" si="29"/>
        <v>18.169848584595108</v>
      </c>
      <c r="V111" s="25">
        <f t="shared" si="26"/>
        <v>2.3699802501645588</v>
      </c>
      <c r="W111" s="25">
        <f t="shared" si="28"/>
        <v>15.799868334430549</v>
      </c>
      <c r="X111" s="25">
        <f t="shared" si="27"/>
        <v>268.59776168531653</v>
      </c>
      <c r="Y111" s="27"/>
      <c r="Z111" s="27"/>
      <c r="AA111" s="27"/>
      <c r="AE111" s="16"/>
      <c r="AF111" s="7"/>
      <c r="AG111" s="7"/>
      <c r="AH111" s="7"/>
      <c r="AI111" s="2"/>
    </row>
    <row r="112" spans="20:35">
      <c r="T112" s="16">
        <f t="shared" si="25"/>
        <v>104</v>
      </c>
      <c r="U112" s="25">
        <f t="shared" si="29"/>
        <v>18.03818301514152</v>
      </c>
      <c r="V112" s="25">
        <f t="shared" si="26"/>
        <v>2.2383146807109711</v>
      </c>
      <c r="W112" s="25">
        <f t="shared" si="28"/>
        <v>15.799868334430549</v>
      </c>
      <c r="X112" s="25">
        <f t="shared" si="27"/>
        <v>252.79789335088597</v>
      </c>
      <c r="Y112" s="27"/>
      <c r="Z112" s="27"/>
      <c r="AA112" s="27"/>
      <c r="AE112" s="16"/>
      <c r="AF112" s="7"/>
      <c r="AG112" s="7"/>
      <c r="AH112" s="7"/>
      <c r="AI112" s="2"/>
    </row>
    <row r="113" spans="20:35">
      <c r="T113" s="16">
        <f t="shared" si="25"/>
        <v>105</v>
      </c>
      <c r="U113" s="25">
        <f t="shared" si="29"/>
        <v>17.906517445687932</v>
      </c>
      <c r="V113" s="25">
        <f t="shared" si="26"/>
        <v>2.1066491112573829</v>
      </c>
      <c r="W113" s="25">
        <f t="shared" si="28"/>
        <v>15.799868334430549</v>
      </c>
      <c r="X113" s="25">
        <f t="shared" si="27"/>
        <v>236.99802501645541</v>
      </c>
      <c r="Y113" s="27"/>
      <c r="Z113" s="27"/>
      <c r="AA113" s="27"/>
      <c r="AE113" s="16"/>
      <c r="AF113" s="7"/>
      <c r="AG113" s="7"/>
      <c r="AH113" s="7"/>
      <c r="AI113" s="2"/>
    </row>
    <row r="114" spans="20:35">
      <c r="T114" s="16">
        <f t="shared" si="25"/>
        <v>106</v>
      </c>
      <c r="U114" s="25">
        <f t="shared" si="29"/>
        <v>17.774851876234344</v>
      </c>
      <c r="V114" s="25">
        <f t="shared" si="26"/>
        <v>1.9749835418037951</v>
      </c>
      <c r="W114" s="25">
        <f t="shared" si="28"/>
        <v>15.799868334430549</v>
      </c>
      <c r="X114" s="25">
        <f t="shared" si="27"/>
        <v>221.19815668202486</v>
      </c>
      <c r="Y114" s="27"/>
      <c r="Z114" s="27"/>
      <c r="AA114" s="27"/>
      <c r="AE114" s="16"/>
      <c r="AF114" s="7"/>
      <c r="AG114" s="7"/>
      <c r="AH114" s="7"/>
      <c r="AI114" s="2"/>
    </row>
    <row r="115" spans="20:35">
      <c r="T115" s="16">
        <f t="shared" si="25"/>
        <v>107</v>
      </c>
      <c r="U115" s="25">
        <f t="shared" si="29"/>
        <v>17.643186306780756</v>
      </c>
      <c r="V115" s="25">
        <f t="shared" si="26"/>
        <v>1.8433179723502071</v>
      </c>
      <c r="W115" s="25">
        <f t="shared" si="28"/>
        <v>15.799868334430549</v>
      </c>
      <c r="X115" s="25">
        <f t="shared" si="27"/>
        <v>205.3982883475943</v>
      </c>
      <c r="Y115" s="27"/>
      <c r="Z115" s="27"/>
      <c r="AA115" s="27"/>
      <c r="AE115" s="16"/>
      <c r="AF115" s="7"/>
      <c r="AG115" s="7"/>
      <c r="AH115" s="7"/>
      <c r="AI115" s="2"/>
    </row>
    <row r="116" spans="20:35">
      <c r="T116" s="16">
        <f t="shared" si="25"/>
        <v>108</v>
      </c>
      <c r="U116" s="25">
        <f t="shared" si="29"/>
        <v>17.511520737327167</v>
      </c>
      <c r="V116" s="25">
        <f t="shared" si="26"/>
        <v>1.7116524028966191</v>
      </c>
      <c r="W116" s="25">
        <f t="shared" si="28"/>
        <v>15.799868334430549</v>
      </c>
      <c r="X116" s="25">
        <f t="shared" si="27"/>
        <v>189.59842001316375</v>
      </c>
      <c r="Y116" s="27"/>
      <c r="Z116" s="27"/>
      <c r="AA116" s="27"/>
      <c r="AE116" s="16"/>
      <c r="AF116" s="7"/>
      <c r="AG116" s="7"/>
      <c r="AH116" s="7"/>
      <c r="AI116" s="2"/>
    </row>
    <row r="117" spans="20:35">
      <c r="T117" s="16">
        <f t="shared" si="25"/>
        <v>109</v>
      </c>
      <c r="U117" s="25">
        <f t="shared" si="29"/>
        <v>17.379855167873579</v>
      </c>
      <c r="V117" s="25">
        <f t="shared" si="26"/>
        <v>1.5799868334430311</v>
      </c>
      <c r="W117" s="25">
        <f t="shared" si="28"/>
        <v>15.799868334430549</v>
      </c>
      <c r="X117" s="25">
        <f t="shared" si="27"/>
        <v>173.79855167873319</v>
      </c>
      <c r="Y117" s="27"/>
      <c r="Z117" s="27"/>
      <c r="AA117" s="27"/>
      <c r="AE117" s="16"/>
      <c r="AF117" s="7"/>
      <c r="AG117" s="7"/>
      <c r="AH117" s="7"/>
      <c r="AI117" s="2"/>
    </row>
    <row r="118" spans="20:35">
      <c r="T118" s="16">
        <f t="shared" si="25"/>
        <v>110</v>
      </c>
      <c r="U118" s="25">
        <f t="shared" si="29"/>
        <v>17.248189598419991</v>
      </c>
      <c r="V118" s="25">
        <f t="shared" si="26"/>
        <v>1.4483212639894432</v>
      </c>
      <c r="W118" s="25">
        <f t="shared" si="28"/>
        <v>15.799868334430549</v>
      </c>
      <c r="X118" s="25">
        <f t="shared" si="27"/>
        <v>157.99868334430263</v>
      </c>
      <c r="Y118" s="27"/>
      <c r="Z118" s="27"/>
      <c r="AA118" s="27"/>
      <c r="AE118" s="16"/>
      <c r="AF118" s="7"/>
      <c r="AG118" s="7"/>
      <c r="AH118" s="7"/>
      <c r="AI118" s="2"/>
    </row>
    <row r="119" spans="20:35">
      <c r="T119" s="16">
        <f t="shared" si="25"/>
        <v>111</v>
      </c>
      <c r="U119" s="25">
        <f t="shared" si="29"/>
        <v>17.116524028966403</v>
      </c>
      <c r="V119" s="25">
        <f t="shared" si="26"/>
        <v>1.3166556945358552</v>
      </c>
      <c r="W119" s="25">
        <f t="shared" si="28"/>
        <v>15.799868334430549</v>
      </c>
      <c r="X119" s="25">
        <f t="shared" si="27"/>
        <v>142.19881500987208</v>
      </c>
      <c r="Y119" s="27"/>
      <c r="Z119" s="27"/>
      <c r="AA119" s="27"/>
      <c r="AE119" s="16"/>
      <c r="AF119" s="7"/>
      <c r="AG119" s="7"/>
      <c r="AH119" s="7"/>
      <c r="AI119" s="2"/>
    </row>
    <row r="120" spans="20:35">
      <c r="T120" s="16">
        <f>1+T119</f>
        <v>112</v>
      </c>
      <c r="U120" s="25">
        <f t="shared" si="29"/>
        <v>16.984858459512814</v>
      </c>
      <c r="V120" s="25">
        <f t="shared" si="26"/>
        <v>1.1849901250822672</v>
      </c>
      <c r="W120" s="25">
        <f t="shared" si="28"/>
        <v>15.799868334430549</v>
      </c>
      <c r="X120" s="25">
        <f t="shared" si="27"/>
        <v>126.39894667544152</v>
      </c>
      <c r="Y120" s="27"/>
      <c r="Z120" s="27"/>
      <c r="AA120" s="27"/>
      <c r="AE120" s="16"/>
      <c r="AF120" s="7"/>
      <c r="AG120" s="7"/>
      <c r="AH120" s="7"/>
      <c r="AI120" s="2"/>
    </row>
    <row r="121" spans="20:35">
      <c r="T121" s="16">
        <f t="shared" ref="T121:T127" si="30">1+T120</f>
        <v>113</v>
      </c>
      <c r="U121" s="25">
        <f t="shared" si="29"/>
        <v>16.85319289005923</v>
      </c>
      <c r="V121" s="25">
        <f t="shared" si="26"/>
        <v>1.0533245556286794</v>
      </c>
      <c r="W121" s="25">
        <f t="shared" si="28"/>
        <v>15.799868334430549</v>
      </c>
      <c r="X121" s="25">
        <f t="shared" si="27"/>
        <v>110.59907834101097</v>
      </c>
      <c r="Y121" s="27"/>
      <c r="Z121" s="27"/>
      <c r="AA121" s="27"/>
      <c r="AE121" s="16"/>
      <c r="AF121" s="7"/>
      <c r="AG121" s="7"/>
      <c r="AH121" s="7"/>
      <c r="AI121" s="2"/>
    </row>
    <row r="122" spans="20:35">
      <c r="T122" s="16">
        <f t="shared" si="30"/>
        <v>114</v>
      </c>
      <c r="U122" s="25">
        <f t="shared" si="29"/>
        <v>16.721527320605642</v>
      </c>
      <c r="V122" s="25">
        <f t="shared" si="26"/>
        <v>0.92165898617509134</v>
      </c>
      <c r="W122" s="25">
        <f t="shared" si="28"/>
        <v>15.799868334430549</v>
      </c>
      <c r="X122" s="25">
        <f t="shared" si="27"/>
        <v>94.79921000658041</v>
      </c>
      <c r="Y122" s="27"/>
      <c r="Z122" s="27"/>
      <c r="AA122" s="27"/>
      <c r="AE122" s="16"/>
      <c r="AF122" s="7"/>
      <c r="AG122" s="7"/>
      <c r="AH122" s="7"/>
      <c r="AI122" s="2"/>
    </row>
    <row r="123" spans="20:35">
      <c r="T123" s="16">
        <f t="shared" si="30"/>
        <v>115</v>
      </c>
      <c r="U123" s="25">
        <f t="shared" si="29"/>
        <v>16.589861751152053</v>
      </c>
      <c r="V123" s="25">
        <f t="shared" si="26"/>
        <v>0.78999341672150336</v>
      </c>
      <c r="W123" s="25">
        <f t="shared" si="28"/>
        <v>15.799868334430549</v>
      </c>
      <c r="X123" s="25">
        <f t="shared" si="27"/>
        <v>78.999341672149853</v>
      </c>
      <c r="Y123" s="27"/>
      <c r="Z123" s="27"/>
      <c r="AA123" s="27"/>
      <c r="AE123" s="16"/>
      <c r="AF123" s="7"/>
      <c r="AG123" s="7"/>
      <c r="AH123" s="7"/>
      <c r="AI123" s="2"/>
    </row>
    <row r="124" spans="20:35">
      <c r="T124" s="16">
        <f t="shared" si="30"/>
        <v>116</v>
      </c>
      <c r="U124" s="25">
        <f t="shared" si="29"/>
        <v>16.458196181698465</v>
      </c>
      <c r="V124" s="25">
        <f t="shared" si="26"/>
        <v>0.65832784726791549</v>
      </c>
      <c r="W124" s="25">
        <f t="shared" si="28"/>
        <v>15.799868334430549</v>
      </c>
      <c r="X124" s="25">
        <f t="shared" si="27"/>
        <v>63.199473337719304</v>
      </c>
      <c r="Y124" s="27"/>
      <c r="Z124" s="27"/>
      <c r="AA124" s="27"/>
      <c r="AE124" s="16"/>
      <c r="AF124" s="7"/>
      <c r="AG124" s="7"/>
      <c r="AH124" s="7"/>
      <c r="AI124" s="2"/>
    </row>
    <row r="125" spans="20:35">
      <c r="T125" s="16">
        <f t="shared" si="30"/>
        <v>117</v>
      </c>
      <c r="U125" s="25">
        <f t="shared" si="29"/>
        <v>16.326530612244877</v>
      </c>
      <c r="V125" s="25">
        <f t="shared" si="26"/>
        <v>0.52666227781432751</v>
      </c>
      <c r="W125" s="25">
        <f t="shared" si="28"/>
        <v>15.799868334430549</v>
      </c>
      <c r="X125" s="25">
        <f t="shared" si="27"/>
        <v>47.399605003288755</v>
      </c>
      <c r="Y125" s="27"/>
      <c r="Z125" s="27"/>
      <c r="AA125" s="27"/>
      <c r="AE125" s="16"/>
      <c r="AF125" s="7"/>
      <c r="AG125" s="7"/>
      <c r="AH125" s="7"/>
      <c r="AI125" s="2"/>
    </row>
    <row r="126" spans="20:35">
      <c r="T126" s="16">
        <f t="shared" si="30"/>
        <v>118</v>
      </c>
      <c r="U126" s="25">
        <f t="shared" si="29"/>
        <v>16.194865042791289</v>
      </c>
      <c r="V126" s="25">
        <f t="shared" si="26"/>
        <v>0.39499670836073963</v>
      </c>
      <c r="W126" s="25">
        <f t="shared" si="28"/>
        <v>15.799868334430549</v>
      </c>
      <c r="X126" s="25">
        <f t="shared" si="27"/>
        <v>31.599736668858206</v>
      </c>
      <c r="Y126" s="27"/>
      <c r="Z126" s="27"/>
      <c r="AA126" s="27"/>
      <c r="AE126" s="16"/>
      <c r="AF126" s="7"/>
      <c r="AG126" s="7"/>
      <c r="AH126" s="7"/>
      <c r="AI126" s="2"/>
    </row>
    <row r="127" spans="20:35">
      <c r="T127" s="16">
        <f t="shared" si="30"/>
        <v>119</v>
      </c>
      <c r="U127" s="25">
        <f t="shared" si="29"/>
        <v>16.063199473337701</v>
      </c>
      <c r="V127" s="25">
        <f t="shared" si="26"/>
        <v>0.26333113890715171</v>
      </c>
      <c r="W127" s="25">
        <f t="shared" si="28"/>
        <v>15.799868334430549</v>
      </c>
      <c r="X127" s="25">
        <f t="shared" si="27"/>
        <v>15.799868334427657</v>
      </c>
      <c r="Y127" s="27"/>
      <c r="Z127" s="27"/>
      <c r="AA127" s="27"/>
      <c r="AE127" s="16"/>
      <c r="AF127" s="7"/>
      <c r="AG127" s="7"/>
      <c r="AH127" s="7"/>
      <c r="AI127" s="2"/>
    </row>
    <row r="128" spans="20:35">
      <c r="T128" s="16">
        <f>1+T127</f>
        <v>120</v>
      </c>
      <c r="U128" s="25">
        <f t="shared" si="29"/>
        <v>15.931533903884112</v>
      </c>
      <c r="V128" s="25">
        <f t="shared" si="26"/>
        <v>0.13166556945356381</v>
      </c>
      <c r="W128" s="25">
        <f t="shared" si="28"/>
        <v>15.799868334430549</v>
      </c>
      <c r="X128" s="25">
        <f t="shared" si="27"/>
        <v>-2.8919089345436078E-12</v>
      </c>
      <c r="Y128" s="27"/>
      <c r="Z128" s="27"/>
      <c r="AA128" s="27"/>
      <c r="AE128" s="16"/>
      <c r="AF128" s="7"/>
      <c r="AG128" s="7"/>
      <c r="AH128" s="7"/>
      <c r="AI128" s="2"/>
    </row>
    <row r="129" spans="20:24">
      <c r="T129" s="16" t="s">
        <v>55</v>
      </c>
      <c r="U129" s="25"/>
      <c r="V129" s="25"/>
      <c r="W129" s="25"/>
      <c r="X129" s="16"/>
    </row>
  </sheetData>
  <mergeCells count="1"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55F6-BDC5-6545-A055-95062268A777}">
  <dimension ref="B1:V91"/>
  <sheetViews>
    <sheetView tabSelected="1" topLeftCell="D1" workbookViewId="0">
      <selection activeCell="V69" sqref="V69"/>
    </sheetView>
  </sheetViews>
  <sheetFormatPr baseColWidth="10" defaultColWidth="8.83203125" defaultRowHeight="16"/>
  <cols>
    <col min="1" max="1" width="2.33203125" customWidth="1"/>
    <col min="2" max="12" width="6.5" customWidth="1"/>
    <col min="13" max="13" width="2.1640625" customWidth="1"/>
    <col min="14" max="14" width="9" customWidth="1"/>
    <col min="15" max="15" width="9.5" customWidth="1"/>
    <col min="16" max="16" width="6" customWidth="1"/>
    <col min="17" max="17" width="9.6640625" customWidth="1"/>
    <col min="18" max="18" width="13" customWidth="1"/>
    <col min="19" max="19" width="10.83203125" customWidth="1"/>
    <col min="20" max="20" width="11.1640625" customWidth="1"/>
    <col min="22" max="22" width="9.6640625" bestFit="1" customWidth="1"/>
    <col min="257" max="257" width="2.33203125" customWidth="1"/>
    <col min="258" max="268" width="6.5" customWidth="1"/>
    <col min="269" max="269" width="2.1640625" customWidth="1"/>
    <col min="270" max="270" width="9" customWidth="1"/>
    <col min="271" max="271" width="9.5" customWidth="1"/>
    <col min="272" max="272" width="6" customWidth="1"/>
    <col min="273" max="273" width="9.6640625" customWidth="1"/>
    <col min="274" max="274" width="13" customWidth="1"/>
    <col min="275" max="275" width="10.83203125" customWidth="1"/>
    <col min="276" max="276" width="11.1640625" customWidth="1"/>
    <col min="278" max="278" width="9.6640625" bestFit="1" customWidth="1"/>
    <col min="513" max="513" width="2.33203125" customWidth="1"/>
    <col min="514" max="524" width="6.5" customWidth="1"/>
    <col min="525" max="525" width="2.1640625" customWidth="1"/>
    <col min="526" max="526" width="9" customWidth="1"/>
    <col min="527" max="527" width="9.5" customWidth="1"/>
    <col min="528" max="528" width="6" customWidth="1"/>
    <col min="529" max="529" width="9.6640625" customWidth="1"/>
    <col min="530" max="530" width="13" customWidth="1"/>
    <col min="531" max="531" width="10.83203125" customWidth="1"/>
    <col min="532" max="532" width="11.1640625" customWidth="1"/>
    <col min="534" max="534" width="9.6640625" bestFit="1" customWidth="1"/>
    <col min="769" max="769" width="2.33203125" customWidth="1"/>
    <col min="770" max="780" width="6.5" customWidth="1"/>
    <col min="781" max="781" width="2.1640625" customWidth="1"/>
    <col min="782" max="782" width="9" customWidth="1"/>
    <col min="783" max="783" width="9.5" customWidth="1"/>
    <col min="784" max="784" width="6" customWidth="1"/>
    <col min="785" max="785" width="9.6640625" customWidth="1"/>
    <col min="786" max="786" width="13" customWidth="1"/>
    <col min="787" max="787" width="10.83203125" customWidth="1"/>
    <col min="788" max="788" width="11.1640625" customWidth="1"/>
    <col min="790" max="790" width="9.6640625" bestFit="1" customWidth="1"/>
    <col min="1025" max="1025" width="2.33203125" customWidth="1"/>
    <col min="1026" max="1036" width="6.5" customWidth="1"/>
    <col min="1037" max="1037" width="2.1640625" customWidth="1"/>
    <col min="1038" max="1038" width="9" customWidth="1"/>
    <col min="1039" max="1039" width="9.5" customWidth="1"/>
    <col min="1040" max="1040" width="6" customWidth="1"/>
    <col min="1041" max="1041" width="9.6640625" customWidth="1"/>
    <col min="1042" max="1042" width="13" customWidth="1"/>
    <col min="1043" max="1043" width="10.83203125" customWidth="1"/>
    <col min="1044" max="1044" width="11.1640625" customWidth="1"/>
    <col min="1046" max="1046" width="9.6640625" bestFit="1" customWidth="1"/>
    <col min="1281" max="1281" width="2.33203125" customWidth="1"/>
    <col min="1282" max="1292" width="6.5" customWidth="1"/>
    <col min="1293" max="1293" width="2.1640625" customWidth="1"/>
    <col min="1294" max="1294" width="9" customWidth="1"/>
    <col min="1295" max="1295" width="9.5" customWidth="1"/>
    <col min="1296" max="1296" width="6" customWidth="1"/>
    <col min="1297" max="1297" width="9.6640625" customWidth="1"/>
    <col min="1298" max="1298" width="13" customWidth="1"/>
    <col min="1299" max="1299" width="10.83203125" customWidth="1"/>
    <col min="1300" max="1300" width="11.1640625" customWidth="1"/>
    <col min="1302" max="1302" width="9.6640625" bestFit="1" customWidth="1"/>
    <col min="1537" max="1537" width="2.33203125" customWidth="1"/>
    <col min="1538" max="1548" width="6.5" customWidth="1"/>
    <col min="1549" max="1549" width="2.1640625" customWidth="1"/>
    <col min="1550" max="1550" width="9" customWidth="1"/>
    <col min="1551" max="1551" width="9.5" customWidth="1"/>
    <col min="1552" max="1552" width="6" customWidth="1"/>
    <col min="1553" max="1553" width="9.6640625" customWidth="1"/>
    <col min="1554" max="1554" width="13" customWidth="1"/>
    <col min="1555" max="1555" width="10.83203125" customWidth="1"/>
    <col min="1556" max="1556" width="11.1640625" customWidth="1"/>
    <col min="1558" max="1558" width="9.6640625" bestFit="1" customWidth="1"/>
    <col min="1793" max="1793" width="2.33203125" customWidth="1"/>
    <col min="1794" max="1804" width="6.5" customWidth="1"/>
    <col min="1805" max="1805" width="2.1640625" customWidth="1"/>
    <col min="1806" max="1806" width="9" customWidth="1"/>
    <col min="1807" max="1807" width="9.5" customWidth="1"/>
    <col min="1808" max="1808" width="6" customWidth="1"/>
    <col min="1809" max="1809" width="9.6640625" customWidth="1"/>
    <col min="1810" max="1810" width="13" customWidth="1"/>
    <col min="1811" max="1811" width="10.83203125" customWidth="1"/>
    <col min="1812" max="1812" width="11.1640625" customWidth="1"/>
    <col min="1814" max="1814" width="9.6640625" bestFit="1" customWidth="1"/>
    <col min="2049" max="2049" width="2.33203125" customWidth="1"/>
    <col min="2050" max="2060" width="6.5" customWidth="1"/>
    <col min="2061" max="2061" width="2.1640625" customWidth="1"/>
    <col min="2062" max="2062" width="9" customWidth="1"/>
    <col min="2063" max="2063" width="9.5" customWidth="1"/>
    <col min="2064" max="2064" width="6" customWidth="1"/>
    <col min="2065" max="2065" width="9.6640625" customWidth="1"/>
    <col min="2066" max="2066" width="13" customWidth="1"/>
    <col min="2067" max="2067" width="10.83203125" customWidth="1"/>
    <col min="2068" max="2068" width="11.1640625" customWidth="1"/>
    <col min="2070" max="2070" width="9.6640625" bestFit="1" customWidth="1"/>
    <col min="2305" max="2305" width="2.33203125" customWidth="1"/>
    <col min="2306" max="2316" width="6.5" customWidth="1"/>
    <col min="2317" max="2317" width="2.1640625" customWidth="1"/>
    <col min="2318" max="2318" width="9" customWidth="1"/>
    <col min="2319" max="2319" width="9.5" customWidth="1"/>
    <col min="2320" max="2320" width="6" customWidth="1"/>
    <col min="2321" max="2321" width="9.6640625" customWidth="1"/>
    <col min="2322" max="2322" width="13" customWidth="1"/>
    <col min="2323" max="2323" width="10.83203125" customWidth="1"/>
    <col min="2324" max="2324" width="11.1640625" customWidth="1"/>
    <col min="2326" max="2326" width="9.6640625" bestFit="1" customWidth="1"/>
    <col min="2561" max="2561" width="2.33203125" customWidth="1"/>
    <col min="2562" max="2572" width="6.5" customWidth="1"/>
    <col min="2573" max="2573" width="2.1640625" customWidth="1"/>
    <col min="2574" max="2574" width="9" customWidth="1"/>
    <col min="2575" max="2575" width="9.5" customWidth="1"/>
    <col min="2576" max="2576" width="6" customWidth="1"/>
    <col min="2577" max="2577" width="9.6640625" customWidth="1"/>
    <col min="2578" max="2578" width="13" customWidth="1"/>
    <col min="2579" max="2579" width="10.83203125" customWidth="1"/>
    <col min="2580" max="2580" width="11.1640625" customWidth="1"/>
    <col min="2582" max="2582" width="9.6640625" bestFit="1" customWidth="1"/>
    <col min="2817" max="2817" width="2.33203125" customWidth="1"/>
    <col min="2818" max="2828" width="6.5" customWidth="1"/>
    <col min="2829" max="2829" width="2.1640625" customWidth="1"/>
    <col min="2830" max="2830" width="9" customWidth="1"/>
    <col min="2831" max="2831" width="9.5" customWidth="1"/>
    <col min="2832" max="2832" width="6" customWidth="1"/>
    <col min="2833" max="2833" width="9.6640625" customWidth="1"/>
    <col min="2834" max="2834" width="13" customWidth="1"/>
    <col min="2835" max="2835" width="10.83203125" customWidth="1"/>
    <col min="2836" max="2836" width="11.1640625" customWidth="1"/>
    <col min="2838" max="2838" width="9.6640625" bestFit="1" customWidth="1"/>
    <col min="3073" max="3073" width="2.33203125" customWidth="1"/>
    <col min="3074" max="3084" width="6.5" customWidth="1"/>
    <col min="3085" max="3085" width="2.1640625" customWidth="1"/>
    <col min="3086" max="3086" width="9" customWidth="1"/>
    <col min="3087" max="3087" width="9.5" customWidth="1"/>
    <col min="3088" max="3088" width="6" customWidth="1"/>
    <col min="3089" max="3089" width="9.6640625" customWidth="1"/>
    <col min="3090" max="3090" width="13" customWidth="1"/>
    <col min="3091" max="3091" width="10.83203125" customWidth="1"/>
    <col min="3092" max="3092" width="11.1640625" customWidth="1"/>
    <col min="3094" max="3094" width="9.6640625" bestFit="1" customWidth="1"/>
    <col min="3329" max="3329" width="2.33203125" customWidth="1"/>
    <col min="3330" max="3340" width="6.5" customWidth="1"/>
    <col min="3341" max="3341" width="2.1640625" customWidth="1"/>
    <col min="3342" max="3342" width="9" customWidth="1"/>
    <col min="3343" max="3343" width="9.5" customWidth="1"/>
    <col min="3344" max="3344" width="6" customWidth="1"/>
    <col min="3345" max="3345" width="9.6640625" customWidth="1"/>
    <col min="3346" max="3346" width="13" customWidth="1"/>
    <col min="3347" max="3347" width="10.83203125" customWidth="1"/>
    <col min="3348" max="3348" width="11.1640625" customWidth="1"/>
    <col min="3350" max="3350" width="9.6640625" bestFit="1" customWidth="1"/>
    <col min="3585" max="3585" width="2.33203125" customWidth="1"/>
    <col min="3586" max="3596" width="6.5" customWidth="1"/>
    <col min="3597" max="3597" width="2.1640625" customWidth="1"/>
    <col min="3598" max="3598" width="9" customWidth="1"/>
    <col min="3599" max="3599" width="9.5" customWidth="1"/>
    <col min="3600" max="3600" width="6" customWidth="1"/>
    <col min="3601" max="3601" width="9.6640625" customWidth="1"/>
    <col min="3602" max="3602" width="13" customWidth="1"/>
    <col min="3603" max="3603" width="10.83203125" customWidth="1"/>
    <col min="3604" max="3604" width="11.1640625" customWidth="1"/>
    <col min="3606" max="3606" width="9.6640625" bestFit="1" customWidth="1"/>
    <col min="3841" max="3841" width="2.33203125" customWidth="1"/>
    <col min="3842" max="3852" width="6.5" customWidth="1"/>
    <col min="3853" max="3853" width="2.1640625" customWidth="1"/>
    <col min="3854" max="3854" width="9" customWidth="1"/>
    <col min="3855" max="3855" width="9.5" customWidth="1"/>
    <col min="3856" max="3856" width="6" customWidth="1"/>
    <col min="3857" max="3857" width="9.6640625" customWidth="1"/>
    <col min="3858" max="3858" width="13" customWidth="1"/>
    <col min="3859" max="3859" width="10.83203125" customWidth="1"/>
    <col min="3860" max="3860" width="11.1640625" customWidth="1"/>
    <col min="3862" max="3862" width="9.6640625" bestFit="1" customWidth="1"/>
    <col min="4097" max="4097" width="2.33203125" customWidth="1"/>
    <col min="4098" max="4108" width="6.5" customWidth="1"/>
    <col min="4109" max="4109" width="2.1640625" customWidth="1"/>
    <col min="4110" max="4110" width="9" customWidth="1"/>
    <col min="4111" max="4111" width="9.5" customWidth="1"/>
    <col min="4112" max="4112" width="6" customWidth="1"/>
    <col min="4113" max="4113" width="9.6640625" customWidth="1"/>
    <col min="4114" max="4114" width="13" customWidth="1"/>
    <col min="4115" max="4115" width="10.83203125" customWidth="1"/>
    <col min="4116" max="4116" width="11.1640625" customWidth="1"/>
    <col min="4118" max="4118" width="9.6640625" bestFit="1" customWidth="1"/>
    <col min="4353" max="4353" width="2.33203125" customWidth="1"/>
    <col min="4354" max="4364" width="6.5" customWidth="1"/>
    <col min="4365" max="4365" width="2.1640625" customWidth="1"/>
    <col min="4366" max="4366" width="9" customWidth="1"/>
    <col min="4367" max="4367" width="9.5" customWidth="1"/>
    <col min="4368" max="4368" width="6" customWidth="1"/>
    <col min="4369" max="4369" width="9.6640625" customWidth="1"/>
    <col min="4370" max="4370" width="13" customWidth="1"/>
    <col min="4371" max="4371" width="10.83203125" customWidth="1"/>
    <col min="4372" max="4372" width="11.1640625" customWidth="1"/>
    <col min="4374" max="4374" width="9.6640625" bestFit="1" customWidth="1"/>
    <col min="4609" max="4609" width="2.33203125" customWidth="1"/>
    <col min="4610" max="4620" width="6.5" customWidth="1"/>
    <col min="4621" max="4621" width="2.1640625" customWidth="1"/>
    <col min="4622" max="4622" width="9" customWidth="1"/>
    <col min="4623" max="4623" width="9.5" customWidth="1"/>
    <col min="4624" max="4624" width="6" customWidth="1"/>
    <col min="4625" max="4625" width="9.6640625" customWidth="1"/>
    <col min="4626" max="4626" width="13" customWidth="1"/>
    <col min="4627" max="4627" width="10.83203125" customWidth="1"/>
    <col min="4628" max="4628" width="11.1640625" customWidth="1"/>
    <col min="4630" max="4630" width="9.6640625" bestFit="1" customWidth="1"/>
    <col min="4865" max="4865" width="2.33203125" customWidth="1"/>
    <col min="4866" max="4876" width="6.5" customWidth="1"/>
    <col min="4877" max="4877" width="2.1640625" customWidth="1"/>
    <col min="4878" max="4878" width="9" customWidth="1"/>
    <col min="4879" max="4879" width="9.5" customWidth="1"/>
    <col min="4880" max="4880" width="6" customWidth="1"/>
    <col min="4881" max="4881" width="9.6640625" customWidth="1"/>
    <col min="4882" max="4882" width="13" customWidth="1"/>
    <col min="4883" max="4883" width="10.83203125" customWidth="1"/>
    <col min="4884" max="4884" width="11.1640625" customWidth="1"/>
    <col min="4886" max="4886" width="9.6640625" bestFit="1" customWidth="1"/>
    <col min="5121" max="5121" width="2.33203125" customWidth="1"/>
    <col min="5122" max="5132" width="6.5" customWidth="1"/>
    <col min="5133" max="5133" width="2.1640625" customWidth="1"/>
    <col min="5134" max="5134" width="9" customWidth="1"/>
    <col min="5135" max="5135" width="9.5" customWidth="1"/>
    <col min="5136" max="5136" width="6" customWidth="1"/>
    <col min="5137" max="5137" width="9.6640625" customWidth="1"/>
    <col min="5138" max="5138" width="13" customWidth="1"/>
    <col min="5139" max="5139" width="10.83203125" customWidth="1"/>
    <col min="5140" max="5140" width="11.1640625" customWidth="1"/>
    <col min="5142" max="5142" width="9.6640625" bestFit="1" customWidth="1"/>
    <col min="5377" max="5377" width="2.33203125" customWidth="1"/>
    <col min="5378" max="5388" width="6.5" customWidth="1"/>
    <col min="5389" max="5389" width="2.1640625" customWidth="1"/>
    <col min="5390" max="5390" width="9" customWidth="1"/>
    <col min="5391" max="5391" width="9.5" customWidth="1"/>
    <col min="5392" max="5392" width="6" customWidth="1"/>
    <col min="5393" max="5393" width="9.6640625" customWidth="1"/>
    <col min="5394" max="5394" width="13" customWidth="1"/>
    <col min="5395" max="5395" width="10.83203125" customWidth="1"/>
    <col min="5396" max="5396" width="11.1640625" customWidth="1"/>
    <col min="5398" max="5398" width="9.6640625" bestFit="1" customWidth="1"/>
    <col min="5633" max="5633" width="2.33203125" customWidth="1"/>
    <col min="5634" max="5644" width="6.5" customWidth="1"/>
    <col min="5645" max="5645" width="2.1640625" customWidth="1"/>
    <col min="5646" max="5646" width="9" customWidth="1"/>
    <col min="5647" max="5647" width="9.5" customWidth="1"/>
    <col min="5648" max="5648" width="6" customWidth="1"/>
    <col min="5649" max="5649" width="9.6640625" customWidth="1"/>
    <col min="5650" max="5650" width="13" customWidth="1"/>
    <col min="5651" max="5651" width="10.83203125" customWidth="1"/>
    <col min="5652" max="5652" width="11.1640625" customWidth="1"/>
    <col min="5654" max="5654" width="9.6640625" bestFit="1" customWidth="1"/>
    <col min="5889" max="5889" width="2.33203125" customWidth="1"/>
    <col min="5890" max="5900" width="6.5" customWidth="1"/>
    <col min="5901" max="5901" width="2.1640625" customWidth="1"/>
    <col min="5902" max="5902" width="9" customWidth="1"/>
    <col min="5903" max="5903" width="9.5" customWidth="1"/>
    <col min="5904" max="5904" width="6" customWidth="1"/>
    <col min="5905" max="5905" width="9.6640625" customWidth="1"/>
    <col min="5906" max="5906" width="13" customWidth="1"/>
    <col min="5907" max="5907" width="10.83203125" customWidth="1"/>
    <col min="5908" max="5908" width="11.1640625" customWidth="1"/>
    <col min="5910" max="5910" width="9.6640625" bestFit="1" customWidth="1"/>
    <col min="6145" max="6145" width="2.33203125" customWidth="1"/>
    <col min="6146" max="6156" width="6.5" customWidth="1"/>
    <col min="6157" max="6157" width="2.1640625" customWidth="1"/>
    <col min="6158" max="6158" width="9" customWidth="1"/>
    <col min="6159" max="6159" width="9.5" customWidth="1"/>
    <col min="6160" max="6160" width="6" customWidth="1"/>
    <col min="6161" max="6161" width="9.6640625" customWidth="1"/>
    <col min="6162" max="6162" width="13" customWidth="1"/>
    <col min="6163" max="6163" width="10.83203125" customWidth="1"/>
    <col min="6164" max="6164" width="11.1640625" customWidth="1"/>
    <col min="6166" max="6166" width="9.6640625" bestFit="1" customWidth="1"/>
    <col min="6401" max="6401" width="2.33203125" customWidth="1"/>
    <col min="6402" max="6412" width="6.5" customWidth="1"/>
    <col min="6413" max="6413" width="2.1640625" customWidth="1"/>
    <col min="6414" max="6414" width="9" customWidth="1"/>
    <col min="6415" max="6415" width="9.5" customWidth="1"/>
    <col min="6416" max="6416" width="6" customWidth="1"/>
    <col min="6417" max="6417" width="9.6640625" customWidth="1"/>
    <col min="6418" max="6418" width="13" customWidth="1"/>
    <col min="6419" max="6419" width="10.83203125" customWidth="1"/>
    <col min="6420" max="6420" width="11.1640625" customWidth="1"/>
    <col min="6422" max="6422" width="9.6640625" bestFit="1" customWidth="1"/>
    <col min="6657" max="6657" width="2.33203125" customWidth="1"/>
    <col min="6658" max="6668" width="6.5" customWidth="1"/>
    <col min="6669" max="6669" width="2.1640625" customWidth="1"/>
    <col min="6670" max="6670" width="9" customWidth="1"/>
    <col min="6671" max="6671" width="9.5" customWidth="1"/>
    <col min="6672" max="6672" width="6" customWidth="1"/>
    <col min="6673" max="6673" width="9.6640625" customWidth="1"/>
    <col min="6674" max="6674" width="13" customWidth="1"/>
    <col min="6675" max="6675" width="10.83203125" customWidth="1"/>
    <col min="6676" max="6676" width="11.1640625" customWidth="1"/>
    <col min="6678" max="6678" width="9.6640625" bestFit="1" customWidth="1"/>
    <col min="6913" max="6913" width="2.33203125" customWidth="1"/>
    <col min="6914" max="6924" width="6.5" customWidth="1"/>
    <col min="6925" max="6925" width="2.1640625" customWidth="1"/>
    <col min="6926" max="6926" width="9" customWidth="1"/>
    <col min="6927" max="6927" width="9.5" customWidth="1"/>
    <col min="6928" max="6928" width="6" customWidth="1"/>
    <col min="6929" max="6929" width="9.6640625" customWidth="1"/>
    <col min="6930" max="6930" width="13" customWidth="1"/>
    <col min="6931" max="6931" width="10.83203125" customWidth="1"/>
    <col min="6932" max="6932" width="11.1640625" customWidth="1"/>
    <col min="6934" max="6934" width="9.6640625" bestFit="1" customWidth="1"/>
    <col min="7169" max="7169" width="2.33203125" customWidth="1"/>
    <col min="7170" max="7180" width="6.5" customWidth="1"/>
    <col min="7181" max="7181" width="2.1640625" customWidth="1"/>
    <col min="7182" max="7182" width="9" customWidth="1"/>
    <col min="7183" max="7183" width="9.5" customWidth="1"/>
    <col min="7184" max="7184" width="6" customWidth="1"/>
    <col min="7185" max="7185" width="9.6640625" customWidth="1"/>
    <col min="7186" max="7186" width="13" customWidth="1"/>
    <col min="7187" max="7187" width="10.83203125" customWidth="1"/>
    <col min="7188" max="7188" width="11.1640625" customWidth="1"/>
    <col min="7190" max="7190" width="9.6640625" bestFit="1" customWidth="1"/>
    <col min="7425" max="7425" width="2.33203125" customWidth="1"/>
    <col min="7426" max="7436" width="6.5" customWidth="1"/>
    <col min="7437" max="7437" width="2.1640625" customWidth="1"/>
    <col min="7438" max="7438" width="9" customWidth="1"/>
    <col min="7439" max="7439" width="9.5" customWidth="1"/>
    <col min="7440" max="7440" width="6" customWidth="1"/>
    <col min="7441" max="7441" width="9.6640625" customWidth="1"/>
    <col min="7442" max="7442" width="13" customWidth="1"/>
    <col min="7443" max="7443" width="10.83203125" customWidth="1"/>
    <col min="7444" max="7444" width="11.1640625" customWidth="1"/>
    <col min="7446" max="7446" width="9.6640625" bestFit="1" customWidth="1"/>
    <col min="7681" max="7681" width="2.33203125" customWidth="1"/>
    <col min="7682" max="7692" width="6.5" customWidth="1"/>
    <col min="7693" max="7693" width="2.1640625" customWidth="1"/>
    <col min="7694" max="7694" width="9" customWidth="1"/>
    <col min="7695" max="7695" width="9.5" customWidth="1"/>
    <col min="7696" max="7696" width="6" customWidth="1"/>
    <col min="7697" max="7697" width="9.6640625" customWidth="1"/>
    <col min="7698" max="7698" width="13" customWidth="1"/>
    <col min="7699" max="7699" width="10.83203125" customWidth="1"/>
    <col min="7700" max="7700" width="11.1640625" customWidth="1"/>
    <col min="7702" max="7702" width="9.6640625" bestFit="1" customWidth="1"/>
    <col min="7937" max="7937" width="2.33203125" customWidth="1"/>
    <col min="7938" max="7948" width="6.5" customWidth="1"/>
    <col min="7949" max="7949" width="2.1640625" customWidth="1"/>
    <col min="7950" max="7950" width="9" customWidth="1"/>
    <col min="7951" max="7951" width="9.5" customWidth="1"/>
    <col min="7952" max="7952" width="6" customWidth="1"/>
    <col min="7953" max="7953" width="9.6640625" customWidth="1"/>
    <col min="7954" max="7954" width="13" customWidth="1"/>
    <col min="7955" max="7955" width="10.83203125" customWidth="1"/>
    <col min="7956" max="7956" width="11.1640625" customWidth="1"/>
    <col min="7958" max="7958" width="9.6640625" bestFit="1" customWidth="1"/>
    <col min="8193" max="8193" width="2.33203125" customWidth="1"/>
    <col min="8194" max="8204" width="6.5" customWidth="1"/>
    <col min="8205" max="8205" width="2.1640625" customWidth="1"/>
    <col min="8206" max="8206" width="9" customWidth="1"/>
    <col min="8207" max="8207" width="9.5" customWidth="1"/>
    <col min="8208" max="8208" width="6" customWidth="1"/>
    <col min="8209" max="8209" width="9.6640625" customWidth="1"/>
    <col min="8210" max="8210" width="13" customWidth="1"/>
    <col min="8211" max="8211" width="10.83203125" customWidth="1"/>
    <col min="8212" max="8212" width="11.1640625" customWidth="1"/>
    <col min="8214" max="8214" width="9.6640625" bestFit="1" customWidth="1"/>
    <col min="8449" max="8449" width="2.33203125" customWidth="1"/>
    <col min="8450" max="8460" width="6.5" customWidth="1"/>
    <col min="8461" max="8461" width="2.1640625" customWidth="1"/>
    <col min="8462" max="8462" width="9" customWidth="1"/>
    <col min="8463" max="8463" width="9.5" customWidth="1"/>
    <col min="8464" max="8464" width="6" customWidth="1"/>
    <col min="8465" max="8465" width="9.6640625" customWidth="1"/>
    <col min="8466" max="8466" width="13" customWidth="1"/>
    <col min="8467" max="8467" width="10.83203125" customWidth="1"/>
    <col min="8468" max="8468" width="11.1640625" customWidth="1"/>
    <col min="8470" max="8470" width="9.6640625" bestFit="1" customWidth="1"/>
    <col min="8705" max="8705" width="2.33203125" customWidth="1"/>
    <col min="8706" max="8716" width="6.5" customWidth="1"/>
    <col min="8717" max="8717" width="2.1640625" customWidth="1"/>
    <col min="8718" max="8718" width="9" customWidth="1"/>
    <col min="8719" max="8719" width="9.5" customWidth="1"/>
    <col min="8720" max="8720" width="6" customWidth="1"/>
    <col min="8721" max="8721" width="9.6640625" customWidth="1"/>
    <col min="8722" max="8722" width="13" customWidth="1"/>
    <col min="8723" max="8723" width="10.83203125" customWidth="1"/>
    <col min="8724" max="8724" width="11.1640625" customWidth="1"/>
    <col min="8726" max="8726" width="9.6640625" bestFit="1" customWidth="1"/>
    <col min="8961" max="8961" width="2.33203125" customWidth="1"/>
    <col min="8962" max="8972" width="6.5" customWidth="1"/>
    <col min="8973" max="8973" width="2.1640625" customWidth="1"/>
    <col min="8974" max="8974" width="9" customWidth="1"/>
    <col min="8975" max="8975" width="9.5" customWidth="1"/>
    <col min="8976" max="8976" width="6" customWidth="1"/>
    <col min="8977" max="8977" width="9.6640625" customWidth="1"/>
    <col min="8978" max="8978" width="13" customWidth="1"/>
    <col min="8979" max="8979" width="10.83203125" customWidth="1"/>
    <col min="8980" max="8980" width="11.1640625" customWidth="1"/>
    <col min="8982" max="8982" width="9.6640625" bestFit="1" customWidth="1"/>
    <col min="9217" max="9217" width="2.33203125" customWidth="1"/>
    <col min="9218" max="9228" width="6.5" customWidth="1"/>
    <col min="9229" max="9229" width="2.1640625" customWidth="1"/>
    <col min="9230" max="9230" width="9" customWidth="1"/>
    <col min="9231" max="9231" width="9.5" customWidth="1"/>
    <col min="9232" max="9232" width="6" customWidth="1"/>
    <col min="9233" max="9233" width="9.6640625" customWidth="1"/>
    <col min="9234" max="9234" width="13" customWidth="1"/>
    <col min="9235" max="9235" width="10.83203125" customWidth="1"/>
    <col min="9236" max="9236" width="11.1640625" customWidth="1"/>
    <col min="9238" max="9238" width="9.6640625" bestFit="1" customWidth="1"/>
    <col min="9473" max="9473" width="2.33203125" customWidth="1"/>
    <col min="9474" max="9484" width="6.5" customWidth="1"/>
    <col min="9485" max="9485" width="2.1640625" customWidth="1"/>
    <col min="9486" max="9486" width="9" customWidth="1"/>
    <col min="9487" max="9487" width="9.5" customWidth="1"/>
    <col min="9488" max="9488" width="6" customWidth="1"/>
    <col min="9489" max="9489" width="9.6640625" customWidth="1"/>
    <col min="9490" max="9490" width="13" customWidth="1"/>
    <col min="9491" max="9491" width="10.83203125" customWidth="1"/>
    <col min="9492" max="9492" width="11.1640625" customWidth="1"/>
    <col min="9494" max="9494" width="9.6640625" bestFit="1" customWidth="1"/>
    <col min="9729" max="9729" width="2.33203125" customWidth="1"/>
    <col min="9730" max="9740" width="6.5" customWidth="1"/>
    <col min="9741" max="9741" width="2.1640625" customWidth="1"/>
    <col min="9742" max="9742" width="9" customWidth="1"/>
    <col min="9743" max="9743" width="9.5" customWidth="1"/>
    <col min="9744" max="9744" width="6" customWidth="1"/>
    <col min="9745" max="9745" width="9.6640625" customWidth="1"/>
    <col min="9746" max="9746" width="13" customWidth="1"/>
    <col min="9747" max="9747" width="10.83203125" customWidth="1"/>
    <col min="9748" max="9748" width="11.1640625" customWidth="1"/>
    <col min="9750" max="9750" width="9.6640625" bestFit="1" customWidth="1"/>
    <col min="9985" max="9985" width="2.33203125" customWidth="1"/>
    <col min="9986" max="9996" width="6.5" customWidth="1"/>
    <col min="9997" max="9997" width="2.1640625" customWidth="1"/>
    <col min="9998" max="9998" width="9" customWidth="1"/>
    <col min="9999" max="9999" width="9.5" customWidth="1"/>
    <col min="10000" max="10000" width="6" customWidth="1"/>
    <col min="10001" max="10001" width="9.6640625" customWidth="1"/>
    <col min="10002" max="10002" width="13" customWidth="1"/>
    <col min="10003" max="10003" width="10.83203125" customWidth="1"/>
    <col min="10004" max="10004" width="11.1640625" customWidth="1"/>
    <col min="10006" max="10006" width="9.6640625" bestFit="1" customWidth="1"/>
    <col min="10241" max="10241" width="2.33203125" customWidth="1"/>
    <col min="10242" max="10252" width="6.5" customWidth="1"/>
    <col min="10253" max="10253" width="2.1640625" customWidth="1"/>
    <col min="10254" max="10254" width="9" customWidth="1"/>
    <col min="10255" max="10255" width="9.5" customWidth="1"/>
    <col min="10256" max="10256" width="6" customWidth="1"/>
    <col min="10257" max="10257" width="9.6640625" customWidth="1"/>
    <col min="10258" max="10258" width="13" customWidth="1"/>
    <col min="10259" max="10259" width="10.83203125" customWidth="1"/>
    <col min="10260" max="10260" width="11.1640625" customWidth="1"/>
    <col min="10262" max="10262" width="9.6640625" bestFit="1" customWidth="1"/>
    <col min="10497" max="10497" width="2.33203125" customWidth="1"/>
    <col min="10498" max="10508" width="6.5" customWidth="1"/>
    <col min="10509" max="10509" width="2.1640625" customWidth="1"/>
    <col min="10510" max="10510" width="9" customWidth="1"/>
    <col min="10511" max="10511" width="9.5" customWidth="1"/>
    <col min="10512" max="10512" width="6" customWidth="1"/>
    <col min="10513" max="10513" width="9.6640625" customWidth="1"/>
    <col min="10514" max="10514" width="13" customWidth="1"/>
    <col min="10515" max="10515" width="10.83203125" customWidth="1"/>
    <col min="10516" max="10516" width="11.1640625" customWidth="1"/>
    <col min="10518" max="10518" width="9.6640625" bestFit="1" customWidth="1"/>
    <col min="10753" max="10753" width="2.33203125" customWidth="1"/>
    <col min="10754" max="10764" width="6.5" customWidth="1"/>
    <col min="10765" max="10765" width="2.1640625" customWidth="1"/>
    <col min="10766" max="10766" width="9" customWidth="1"/>
    <col min="10767" max="10767" width="9.5" customWidth="1"/>
    <col min="10768" max="10768" width="6" customWidth="1"/>
    <col min="10769" max="10769" width="9.6640625" customWidth="1"/>
    <col min="10770" max="10770" width="13" customWidth="1"/>
    <col min="10771" max="10771" width="10.83203125" customWidth="1"/>
    <col min="10772" max="10772" width="11.1640625" customWidth="1"/>
    <col min="10774" max="10774" width="9.6640625" bestFit="1" customWidth="1"/>
    <col min="11009" max="11009" width="2.33203125" customWidth="1"/>
    <col min="11010" max="11020" width="6.5" customWidth="1"/>
    <col min="11021" max="11021" width="2.1640625" customWidth="1"/>
    <col min="11022" max="11022" width="9" customWidth="1"/>
    <col min="11023" max="11023" width="9.5" customWidth="1"/>
    <col min="11024" max="11024" width="6" customWidth="1"/>
    <col min="11025" max="11025" width="9.6640625" customWidth="1"/>
    <col min="11026" max="11026" width="13" customWidth="1"/>
    <col min="11027" max="11027" width="10.83203125" customWidth="1"/>
    <col min="11028" max="11028" width="11.1640625" customWidth="1"/>
    <col min="11030" max="11030" width="9.6640625" bestFit="1" customWidth="1"/>
    <col min="11265" max="11265" width="2.33203125" customWidth="1"/>
    <col min="11266" max="11276" width="6.5" customWidth="1"/>
    <col min="11277" max="11277" width="2.1640625" customWidth="1"/>
    <col min="11278" max="11278" width="9" customWidth="1"/>
    <col min="11279" max="11279" width="9.5" customWidth="1"/>
    <col min="11280" max="11280" width="6" customWidth="1"/>
    <col min="11281" max="11281" width="9.6640625" customWidth="1"/>
    <col min="11282" max="11282" width="13" customWidth="1"/>
    <col min="11283" max="11283" width="10.83203125" customWidth="1"/>
    <col min="11284" max="11284" width="11.1640625" customWidth="1"/>
    <col min="11286" max="11286" width="9.6640625" bestFit="1" customWidth="1"/>
    <col min="11521" max="11521" width="2.33203125" customWidth="1"/>
    <col min="11522" max="11532" width="6.5" customWidth="1"/>
    <col min="11533" max="11533" width="2.1640625" customWidth="1"/>
    <col min="11534" max="11534" width="9" customWidth="1"/>
    <col min="11535" max="11535" width="9.5" customWidth="1"/>
    <col min="11536" max="11536" width="6" customWidth="1"/>
    <col min="11537" max="11537" width="9.6640625" customWidth="1"/>
    <col min="11538" max="11538" width="13" customWidth="1"/>
    <col min="11539" max="11539" width="10.83203125" customWidth="1"/>
    <col min="11540" max="11540" width="11.1640625" customWidth="1"/>
    <col min="11542" max="11542" width="9.6640625" bestFit="1" customWidth="1"/>
    <col min="11777" max="11777" width="2.33203125" customWidth="1"/>
    <col min="11778" max="11788" width="6.5" customWidth="1"/>
    <col min="11789" max="11789" width="2.1640625" customWidth="1"/>
    <col min="11790" max="11790" width="9" customWidth="1"/>
    <col min="11791" max="11791" width="9.5" customWidth="1"/>
    <col min="11792" max="11792" width="6" customWidth="1"/>
    <col min="11793" max="11793" width="9.6640625" customWidth="1"/>
    <col min="11794" max="11794" width="13" customWidth="1"/>
    <col min="11795" max="11795" width="10.83203125" customWidth="1"/>
    <col min="11796" max="11796" width="11.1640625" customWidth="1"/>
    <col min="11798" max="11798" width="9.6640625" bestFit="1" customWidth="1"/>
    <col min="12033" max="12033" width="2.33203125" customWidth="1"/>
    <col min="12034" max="12044" width="6.5" customWidth="1"/>
    <col min="12045" max="12045" width="2.1640625" customWidth="1"/>
    <col min="12046" max="12046" width="9" customWidth="1"/>
    <col min="12047" max="12047" width="9.5" customWidth="1"/>
    <col min="12048" max="12048" width="6" customWidth="1"/>
    <col min="12049" max="12049" width="9.6640625" customWidth="1"/>
    <col min="12050" max="12050" width="13" customWidth="1"/>
    <col min="12051" max="12051" width="10.83203125" customWidth="1"/>
    <col min="12052" max="12052" width="11.1640625" customWidth="1"/>
    <col min="12054" max="12054" width="9.6640625" bestFit="1" customWidth="1"/>
    <col min="12289" max="12289" width="2.33203125" customWidth="1"/>
    <col min="12290" max="12300" width="6.5" customWidth="1"/>
    <col min="12301" max="12301" width="2.1640625" customWidth="1"/>
    <col min="12302" max="12302" width="9" customWidth="1"/>
    <col min="12303" max="12303" width="9.5" customWidth="1"/>
    <col min="12304" max="12304" width="6" customWidth="1"/>
    <col min="12305" max="12305" width="9.6640625" customWidth="1"/>
    <col min="12306" max="12306" width="13" customWidth="1"/>
    <col min="12307" max="12307" width="10.83203125" customWidth="1"/>
    <col min="12308" max="12308" width="11.1640625" customWidth="1"/>
    <col min="12310" max="12310" width="9.6640625" bestFit="1" customWidth="1"/>
    <col min="12545" max="12545" width="2.33203125" customWidth="1"/>
    <col min="12546" max="12556" width="6.5" customWidth="1"/>
    <col min="12557" max="12557" width="2.1640625" customWidth="1"/>
    <col min="12558" max="12558" width="9" customWidth="1"/>
    <col min="12559" max="12559" width="9.5" customWidth="1"/>
    <col min="12560" max="12560" width="6" customWidth="1"/>
    <col min="12561" max="12561" width="9.6640625" customWidth="1"/>
    <col min="12562" max="12562" width="13" customWidth="1"/>
    <col min="12563" max="12563" width="10.83203125" customWidth="1"/>
    <col min="12564" max="12564" width="11.1640625" customWidth="1"/>
    <col min="12566" max="12566" width="9.6640625" bestFit="1" customWidth="1"/>
    <col min="12801" max="12801" width="2.33203125" customWidth="1"/>
    <col min="12802" max="12812" width="6.5" customWidth="1"/>
    <col min="12813" max="12813" width="2.1640625" customWidth="1"/>
    <col min="12814" max="12814" width="9" customWidth="1"/>
    <col min="12815" max="12815" width="9.5" customWidth="1"/>
    <col min="12816" max="12816" width="6" customWidth="1"/>
    <col min="12817" max="12817" width="9.6640625" customWidth="1"/>
    <col min="12818" max="12818" width="13" customWidth="1"/>
    <col min="12819" max="12819" width="10.83203125" customWidth="1"/>
    <col min="12820" max="12820" width="11.1640625" customWidth="1"/>
    <col min="12822" max="12822" width="9.6640625" bestFit="1" customWidth="1"/>
    <col min="13057" max="13057" width="2.33203125" customWidth="1"/>
    <col min="13058" max="13068" width="6.5" customWidth="1"/>
    <col min="13069" max="13069" width="2.1640625" customWidth="1"/>
    <col min="13070" max="13070" width="9" customWidth="1"/>
    <col min="13071" max="13071" width="9.5" customWidth="1"/>
    <col min="13072" max="13072" width="6" customWidth="1"/>
    <col min="13073" max="13073" width="9.6640625" customWidth="1"/>
    <col min="13074" max="13074" width="13" customWidth="1"/>
    <col min="13075" max="13075" width="10.83203125" customWidth="1"/>
    <col min="13076" max="13076" width="11.1640625" customWidth="1"/>
    <col min="13078" max="13078" width="9.6640625" bestFit="1" customWidth="1"/>
    <col min="13313" max="13313" width="2.33203125" customWidth="1"/>
    <col min="13314" max="13324" width="6.5" customWidth="1"/>
    <col min="13325" max="13325" width="2.1640625" customWidth="1"/>
    <col min="13326" max="13326" width="9" customWidth="1"/>
    <col min="13327" max="13327" width="9.5" customWidth="1"/>
    <col min="13328" max="13328" width="6" customWidth="1"/>
    <col min="13329" max="13329" width="9.6640625" customWidth="1"/>
    <col min="13330" max="13330" width="13" customWidth="1"/>
    <col min="13331" max="13331" width="10.83203125" customWidth="1"/>
    <col min="13332" max="13332" width="11.1640625" customWidth="1"/>
    <col min="13334" max="13334" width="9.6640625" bestFit="1" customWidth="1"/>
    <col min="13569" max="13569" width="2.33203125" customWidth="1"/>
    <col min="13570" max="13580" width="6.5" customWidth="1"/>
    <col min="13581" max="13581" width="2.1640625" customWidth="1"/>
    <col min="13582" max="13582" width="9" customWidth="1"/>
    <col min="13583" max="13583" width="9.5" customWidth="1"/>
    <col min="13584" max="13584" width="6" customWidth="1"/>
    <col min="13585" max="13585" width="9.6640625" customWidth="1"/>
    <col min="13586" max="13586" width="13" customWidth="1"/>
    <col min="13587" max="13587" width="10.83203125" customWidth="1"/>
    <col min="13588" max="13588" width="11.1640625" customWidth="1"/>
    <col min="13590" max="13590" width="9.6640625" bestFit="1" customWidth="1"/>
    <col min="13825" max="13825" width="2.33203125" customWidth="1"/>
    <col min="13826" max="13836" width="6.5" customWidth="1"/>
    <col min="13837" max="13837" width="2.1640625" customWidth="1"/>
    <col min="13838" max="13838" width="9" customWidth="1"/>
    <col min="13839" max="13839" width="9.5" customWidth="1"/>
    <col min="13840" max="13840" width="6" customWidth="1"/>
    <col min="13841" max="13841" width="9.6640625" customWidth="1"/>
    <col min="13842" max="13842" width="13" customWidth="1"/>
    <col min="13843" max="13843" width="10.83203125" customWidth="1"/>
    <col min="13844" max="13844" width="11.1640625" customWidth="1"/>
    <col min="13846" max="13846" width="9.6640625" bestFit="1" customWidth="1"/>
    <col min="14081" max="14081" width="2.33203125" customWidth="1"/>
    <col min="14082" max="14092" width="6.5" customWidth="1"/>
    <col min="14093" max="14093" width="2.1640625" customWidth="1"/>
    <col min="14094" max="14094" width="9" customWidth="1"/>
    <col min="14095" max="14095" width="9.5" customWidth="1"/>
    <col min="14096" max="14096" width="6" customWidth="1"/>
    <col min="14097" max="14097" width="9.6640625" customWidth="1"/>
    <col min="14098" max="14098" width="13" customWidth="1"/>
    <col min="14099" max="14099" width="10.83203125" customWidth="1"/>
    <col min="14100" max="14100" width="11.1640625" customWidth="1"/>
    <col min="14102" max="14102" width="9.6640625" bestFit="1" customWidth="1"/>
    <col min="14337" max="14337" width="2.33203125" customWidth="1"/>
    <col min="14338" max="14348" width="6.5" customWidth="1"/>
    <col min="14349" max="14349" width="2.1640625" customWidth="1"/>
    <col min="14350" max="14350" width="9" customWidth="1"/>
    <col min="14351" max="14351" width="9.5" customWidth="1"/>
    <col min="14352" max="14352" width="6" customWidth="1"/>
    <col min="14353" max="14353" width="9.6640625" customWidth="1"/>
    <col min="14354" max="14354" width="13" customWidth="1"/>
    <col min="14355" max="14355" width="10.83203125" customWidth="1"/>
    <col min="14356" max="14356" width="11.1640625" customWidth="1"/>
    <col min="14358" max="14358" width="9.6640625" bestFit="1" customWidth="1"/>
    <col min="14593" max="14593" width="2.33203125" customWidth="1"/>
    <col min="14594" max="14604" width="6.5" customWidth="1"/>
    <col min="14605" max="14605" width="2.1640625" customWidth="1"/>
    <col min="14606" max="14606" width="9" customWidth="1"/>
    <col min="14607" max="14607" width="9.5" customWidth="1"/>
    <col min="14608" max="14608" width="6" customWidth="1"/>
    <col min="14609" max="14609" width="9.6640625" customWidth="1"/>
    <col min="14610" max="14610" width="13" customWidth="1"/>
    <col min="14611" max="14611" width="10.83203125" customWidth="1"/>
    <col min="14612" max="14612" width="11.1640625" customWidth="1"/>
    <col min="14614" max="14614" width="9.6640625" bestFit="1" customWidth="1"/>
    <col min="14849" max="14849" width="2.33203125" customWidth="1"/>
    <col min="14850" max="14860" width="6.5" customWidth="1"/>
    <col min="14861" max="14861" width="2.1640625" customWidth="1"/>
    <col min="14862" max="14862" width="9" customWidth="1"/>
    <col min="14863" max="14863" width="9.5" customWidth="1"/>
    <col min="14864" max="14864" width="6" customWidth="1"/>
    <col min="14865" max="14865" width="9.6640625" customWidth="1"/>
    <col min="14866" max="14866" width="13" customWidth="1"/>
    <col min="14867" max="14867" width="10.83203125" customWidth="1"/>
    <col min="14868" max="14868" width="11.1640625" customWidth="1"/>
    <col min="14870" max="14870" width="9.6640625" bestFit="1" customWidth="1"/>
    <col min="15105" max="15105" width="2.33203125" customWidth="1"/>
    <col min="15106" max="15116" width="6.5" customWidth="1"/>
    <col min="15117" max="15117" width="2.1640625" customWidth="1"/>
    <col min="15118" max="15118" width="9" customWidth="1"/>
    <col min="15119" max="15119" width="9.5" customWidth="1"/>
    <col min="15120" max="15120" width="6" customWidth="1"/>
    <col min="15121" max="15121" width="9.6640625" customWidth="1"/>
    <col min="15122" max="15122" width="13" customWidth="1"/>
    <col min="15123" max="15123" width="10.83203125" customWidth="1"/>
    <col min="15124" max="15124" width="11.1640625" customWidth="1"/>
    <col min="15126" max="15126" width="9.6640625" bestFit="1" customWidth="1"/>
    <col min="15361" max="15361" width="2.33203125" customWidth="1"/>
    <col min="15362" max="15372" width="6.5" customWidth="1"/>
    <col min="15373" max="15373" width="2.1640625" customWidth="1"/>
    <col min="15374" max="15374" width="9" customWidth="1"/>
    <col min="15375" max="15375" width="9.5" customWidth="1"/>
    <col min="15376" max="15376" width="6" customWidth="1"/>
    <col min="15377" max="15377" width="9.6640625" customWidth="1"/>
    <col min="15378" max="15378" width="13" customWidth="1"/>
    <col min="15379" max="15379" width="10.83203125" customWidth="1"/>
    <col min="15380" max="15380" width="11.1640625" customWidth="1"/>
    <col min="15382" max="15382" width="9.6640625" bestFit="1" customWidth="1"/>
    <col min="15617" max="15617" width="2.33203125" customWidth="1"/>
    <col min="15618" max="15628" width="6.5" customWidth="1"/>
    <col min="15629" max="15629" width="2.1640625" customWidth="1"/>
    <col min="15630" max="15630" width="9" customWidth="1"/>
    <col min="15631" max="15631" width="9.5" customWidth="1"/>
    <col min="15632" max="15632" width="6" customWidth="1"/>
    <col min="15633" max="15633" width="9.6640625" customWidth="1"/>
    <col min="15634" max="15634" width="13" customWidth="1"/>
    <col min="15635" max="15635" width="10.83203125" customWidth="1"/>
    <col min="15636" max="15636" width="11.1640625" customWidth="1"/>
    <col min="15638" max="15638" width="9.6640625" bestFit="1" customWidth="1"/>
    <col min="15873" max="15873" width="2.33203125" customWidth="1"/>
    <col min="15874" max="15884" width="6.5" customWidth="1"/>
    <col min="15885" max="15885" width="2.1640625" customWidth="1"/>
    <col min="15886" max="15886" width="9" customWidth="1"/>
    <col min="15887" max="15887" width="9.5" customWidth="1"/>
    <col min="15888" max="15888" width="6" customWidth="1"/>
    <col min="15889" max="15889" width="9.6640625" customWidth="1"/>
    <col min="15890" max="15890" width="13" customWidth="1"/>
    <col min="15891" max="15891" width="10.83203125" customWidth="1"/>
    <col min="15892" max="15892" width="11.1640625" customWidth="1"/>
    <col min="15894" max="15894" width="9.6640625" bestFit="1" customWidth="1"/>
    <col min="16129" max="16129" width="2.33203125" customWidth="1"/>
    <col min="16130" max="16140" width="6.5" customWidth="1"/>
    <col min="16141" max="16141" width="2.1640625" customWidth="1"/>
    <col min="16142" max="16142" width="9" customWidth="1"/>
    <col min="16143" max="16143" width="9.5" customWidth="1"/>
    <col min="16144" max="16144" width="6" customWidth="1"/>
    <col min="16145" max="16145" width="9.6640625" customWidth="1"/>
    <col min="16146" max="16146" width="13" customWidth="1"/>
    <col min="16147" max="16147" width="10.83203125" customWidth="1"/>
    <col min="16148" max="16148" width="11.1640625" customWidth="1"/>
    <col min="16150" max="16150" width="9.6640625" bestFit="1" customWidth="1"/>
  </cols>
  <sheetData>
    <row r="1" spans="2:22" ht="17" thickBot="1"/>
    <row r="2" spans="2:22" ht="14.5" customHeight="1">
      <c r="B2" s="54" t="s">
        <v>56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2:22" ht="14.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</row>
    <row r="4" spans="2:22" ht="14.5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2:22" ht="14.5" customHeight="1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2:22">
      <c r="B6" s="60" t="s">
        <v>57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 t="s">
        <v>58</v>
      </c>
      <c r="O6" s="62"/>
      <c r="P6" s="62"/>
      <c r="Q6" s="62"/>
      <c r="R6" s="62"/>
      <c r="S6" s="62"/>
      <c r="T6" s="62"/>
      <c r="U6" s="62"/>
      <c r="V6" s="63"/>
    </row>
    <row r="7" spans="2:22" ht="17" thickBot="1">
      <c r="B7" s="64" t="s">
        <v>59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66"/>
      <c r="P7" s="66"/>
      <c r="Q7" s="66"/>
      <c r="R7" s="66"/>
      <c r="S7" s="66"/>
      <c r="T7" s="66"/>
      <c r="U7" s="66"/>
      <c r="V7" s="67"/>
    </row>
    <row r="9" spans="2:22">
      <c r="B9" s="68" t="s">
        <v>60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68" t="s">
        <v>61</v>
      </c>
      <c r="O9" s="68"/>
      <c r="P9" s="68"/>
      <c r="Q9" s="68"/>
      <c r="R9" s="68"/>
      <c r="S9" s="68"/>
      <c r="T9" s="68"/>
      <c r="U9" s="68"/>
      <c r="V9" s="68"/>
    </row>
    <row r="11" spans="2:22" ht="17" thickBot="1">
      <c r="N11" s="70"/>
      <c r="O11" s="70"/>
      <c r="P11" s="70"/>
      <c r="Q11" s="70"/>
      <c r="R11" s="70"/>
      <c r="S11" s="70"/>
      <c r="T11" s="70"/>
      <c r="U11" s="70"/>
      <c r="V11" s="70"/>
    </row>
    <row r="12" spans="2:22">
      <c r="B12" s="71" t="s">
        <v>62</v>
      </c>
      <c r="C12" s="72"/>
      <c r="D12" s="72"/>
      <c r="E12" s="72"/>
      <c r="F12" s="72"/>
      <c r="G12" s="72"/>
      <c r="H12" s="72"/>
      <c r="I12" s="72"/>
      <c r="J12" s="72"/>
      <c r="K12" s="72"/>
      <c r="L12" s="73"/>
      <c r="O12" s="70" t="s">
        <v>63</v>
      </c>
      <c r="P12" s="74">
        <v>-1000</v>
      </c>
      <c r="R12" s="75" t="s">
        <v>64</v>
      </c>
      <c r="S12" s="75"/>
      <c r="T12" s="76">
        <v>0.12</v>
      </c>
      <c r="U12" t="s">
        <v>65</v>
      </c>
    </row>
    <row r="13" spans="2:22"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/>
      <c r="O13" s="70" t="s">
        <v>66</v>
      </c>
      <c r="P13" s="74">
        <v>24</v>
      </c>
      <c r="R13" s="75" t="s">
        <v>67</v>
      </c>
      <c r="S13" s="75"/>
      <c r="T13" s="138">
        <f>T12/12</f>
        <v>0.01</v>
      </c>
      <c r="U13" s="70" t="s">
        <v>68</v>
      </c>
    </row>
    <row r="14" spans="2:22"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/>
      <c r="R14" s="81"/>
      <c r="U14" s="81"/>
    </row>
    <row r="15" spans="2:22"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/>
      <c r="O15" s="78" t="s">
        <v>69</v>
      </c>
      <c r="P15" s="78"/>
      <c r="Q15" s="82">
        <f>PMT(T13,P13,P12)</f>
        <v>47.073472223264702</v>
      </c>
      <c r="R15" s="70"/>
      <c r="U15" s="70"/>
      <c r="V15" s="70"/>
    </row>
    <row r="16" spans="2:22" ht="17" thickBot="1"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/>
      <c r="O16" s="70"/>
      <c r="P16" s="83"/>
      <c r="Q16" s="70"/>
      <c r="R16" s="70"/>
      <c r="U16" s="70"/>
      <c r="V16" s="70"/>
    </row>
    <row r="17" spans="2:22"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/>
      <c r="O17" s="84" t="s">
        <v>70</v>
      </c>
      <c r="P17" s="1" t="s">
        <v>71</v>
      </c>
      <c r="Q17" s="85">
        <v>0.5</v>
      </c>
      <c r="R17" s="78" t="s">
        <v>72</v>
      </c>
      <c r="S17" s="78"/>
      <c r="T17" s="86">
        <f>Q15*Q18/Q17</f>
        <v>74.37608611275823</v>
      </c>
      <c r="V17" s="70"/>
    </row>
    <row r="18" spans="2:22" ht="17" thickBot="1"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9"/>
      <c r="O18" s="84"/>
      <c r="P18" s="1" t="s">
        <v>73</v>
      </c>
      <c r="Q18" s="90">
        <v>0.79</v>
      </c>
      <c r="R18" s="78"/>
      <c r="S18" s="78"/>
      <c r="T18" s="91"/>
      <c r="V18" s="70"/>
    </row>
    <row r="19" spans="2:22" ht="17" thickBot="1">
      <c r="N19" s="70"/>
      <c r="O19" s="83"/>
      <c r="P19" s="70"/>
      <c r="Q19" s="70"/>
      <c r="R19" s="70"/>
      <c r="S19" s="70"/>
      <c r="T19" s="70"/>
      <c r="U19" s="70"/>
      <c r="V19" s="70"/>
    </row>
    <row r="20" spans="2:22" ht="17" thickBot="1">
      <c r="B20" s="71" t="s">
        <v>74</v>
      </c>
      <c r="C20" s="92"/>
      <c r="D20" s="92"/>
      <c r="E20" s="92"/>
      <c r="F20" s="92"/>
      <c r="G20" s="92"/>
      <c r="H20" s="92"/>
      <c r="I20" s="92"/>
      <c r="J20" s="92"/>
      <c r="K20" s="92"/>
      <c r="L20" s="93"/>
      <c r="O20" t="s">
        <v>75</v>
      </c>
      <c r="Q20" s="76">
        <v>0.01</v>
      </c>
      <c r="R20" t="s">
        <v>65</v>
      </c>
      <c r="S20" s="70" t="s">
        <v>76</v>
      </c>
      <c r="T20" s="94">
        <v>500000</v>
      </c>
      <c r="U20" s="70" t="s">
        <v>77</v>
      </c>
      <c r="V20" s="70"/>
    </row>
    <row r="21" spans="2:22" ht="17" thickBot="1">
      <c r="B21" s="95"/>
      <c r="C21" s="84"/>
      <c r="D21" s="84"/>
      <c r="E21" s="84"/>
      <c r="F21" s="84"/>
      <c r="G21" s="84"/>
      <c r="H21" s="84"/>
      <c r="I21" s="84"/>
      <c r="J21" s="84"/>
      <c r="K21" s="84"/>
      <c r="L21" s="96"/>
      <c r="O21" t="s">
        <v>67</v>
      </c>
      <c r="Q21" s="80">
        <f>(1+Q20)^12 - 1</f>
        <v>0.12682503013196977</v>
      </c>
      <c r="R21" s="70" t="s">
        <v>68</v>
      </c>
      <c r="S21" s="70" t="s">
        <v>78</v>
      </c>
      <c r="T21" s="97">
        <v>1.6446534387314129</v>
      </c>
      <c r="U21" s="70" t="s">
        <v>79</v>
      </c>
      <c r="V21" s="70"/>
    </row>
    <row r="22" spans="2:22">
      <c r="B22" s="95"/>
      <c r="C22" s="84"/>
      <c r="D22" s="84"/>
      <c r="E22" s="84"/>
      <c r="F22" s="84"/>
      <c r="G22" s="84"/>
      <c r="H22" s="84"/>
      <c r="I22" s="84"/>
      <c r="J22" s="84"/>
      <c r="K22" s="84"/>
      <c r="L22" s="96"/>
      <c r="O22" s="70"/>
      <c r="P22" s="83"/>
      <c r="Q22" s="70"/>
      <c r="R22" s="70"/>
      <c r="S22" s="70"/>
      <c r="T22" s="70"/>
      <c r="U22" s="70"/>
      <c r="V22" s="70"/>
    </row>
    <row r="23" spans="2:22">
      <c r="B23" s="95"/>
      <c r="C23" s="84"/>
      <c r="D23" s="84"/>
      <c r="E23" s="84"/>
      <c r="F23" s="84"/>
      <c r="G23" s="84"/>
      <c r="H23" s="84"/>
      <c r="I23" s="84"/>
      <c r="J23" s="84"/>
      <c r="K23" s="84"/>
      <c r="L23" s="96"/>
      <c r="O23" s="70" t="s">
        <v>80</v>
      </c>
      <c r="P23" s="98" t="s">
        <v>81</v>
      </c>
      <c r="Q23" s="98"/>
      <c r="R23" s="78" t="s">
        <v>82</v>
      </c>
      <c r="S23" s="78"/>
      <c r="T23" s="78" t="s">
        <v>83</v>
      </c>
      <c r="U23" s="78"/>
      <c r="V23" s="70"/>
    </row>
    <row r="24" spans="2:22">
      <c r="B24" s="95"/>
      <c r="C24" s="84"/>
      <c r="D24" s="84"/>
      <c r="E24" s="84"/>
      <c r="F24" s="84"/>
      <c r="G24" s="84"/>
      <c r="H24" s="84"/>
      <c r="I24" s="84"/>
      <c r="J24" s="84"/>
      <c r="K24" s="84"/>
      <c r="L24" s="96"/>
      <c r="O24" s="70">
        <v>1</v>
      </c>
      <c r="P24" s="99">
        <v>5000</v>
      </c>
      <c r="Q24" s="99"/>
      <c r="R24" s="98">
        <f>PV($Q$20,12,-P24*$T$21)</f>
        <v>92553.509349774817</v>
      </c>
      <c r="S24" s="98"/>
      <c r="T24" s="98">
        <f>R24/(1+$Q$21)^(O24-1)</f>
        <v>92553.509349774817</v>
      </c>
      <c r="U24" s="98"/>
      <c r="V24" s="100"/>
    </row>
    <row r="25" spans="2:22">
      <c r="B25" s="95"/>
      <c r="C25" s="84"/>
      <c r="D25" s="84"/>
      <c r="E25" s="84"/>
      <c r="F25" s="84"/>
      <c r="G25" s="84"/>
      <c r="H25" s="84"/>
      <c r="I25" s="84"/>
      <c r="J25" s="84"/>
      <c r="K25" s="84"/>
      <c r="L25" s="96"/>
      <c r="O25" s="70">
        <v>2</v>
      </c>
      <c r="P25" s="99">
        <v>6000</v>
      </c>
      <c r="Q25" s="99"/>
      <c r="R25" s="98">
        <f>PV($Q$20,12,-P25*$T$21)</f>
        <v>111064.21121972978</v>
      </c>
      <c r="S25" s="98"/>
      <c r="T25" s="98">
        <f>R25/(1+$Q$21)^(O25-1)</f>
        <v>98563.848201634581</v>
      </c>
      <c r="U25" s="98"/>
      <c r="V25" s="83"/>
    </row>
    <row r="26" spans="2:22">
      <c r="B26" s="95"/>
      <c r="C26" s="84"/>
      <c r="D26" s="84"/>
      <c r="E26" s="84"/>
      <c r="F26" s="84"/>
      <c r="G26" s="84"/>
      <c r="H26" s="84"/>
      <c r="I26" s="84"/>
      <c r="J26" s="84"/>
      <c r="K26" s="84"/>
      <c r="L26" s="96"/>
      <c r="O26" s="70">
        <v>3</v>
      </c>
      <c r="P26" s="99">
        <v>7000</v>
      </c>
      <c r="Q26" s="99"/>
      <c r="R26" s="98">
        <f>PV($Q$20,12,-P26*$T$21)</f>
        <v>129574.91308968476</v>
      </c>
      <c r="S26" s="98"/>
      <c r="T26" s="98">
        <f>R26/(1+$Q$21)^(O26-1)</f>
        <v>102048.81251330831</v>
      </c>
      <c r="U26" s="98"/>
      <c r="V26" s="83"/>
    </row>
    <row r="27" spans="2:22">
      <c r="B27" s="95"/>
      <c r="C27" s="84"/>
      <c r="D27" s="84"/>
      <c r="E27" s="84"/>
      <c r="F27" s="84"/>
      <c r="G27" s="84"/>
      <c r="H27" s="84"/>
      <c r="I27" s="84"/>
      <c r="J27" s="84"/>
      <c r="K27" s="84"/>
      <c r="L27" s="96"/>
      <c r="O27" s="70">
        <v>4</v>
      </c>
      <c r="P27" s="99">
        <v>8000</v>
      </c>
      <c r="Q27" s="99"/>
      <c r="R27" s="98">
        <f>PV($Q$20,12,-P27*$T$21)</f>
        <v>148085.61495963973</v>
      </c>
      <c r="S27" s="98"/>
      <c r="T27" s="98">
        <f>R27/(1+$Q$21)^(O27-1)</f>
        <v>103500.73097618786</v>
      </c>
      <c r="U27" s="98"/>
      <c r="V27" s="83"/>
    </row>
    <row r="28" spans="2:22">
      <c r="B28" s="95"/>
      <c r="C28" s="84"/>
      <c r="D28" s="84"/>
      <c r="E28" s="84"/>
      <c r="F28" s="84"/>
      <c r="G28" s="84"/>
      <c r="H28" s="84"/>
      <c r="I28" s="84"/>
      <c r="J28" s="84"/>
      <c r="K28" s="84"/>
      <c r="L28" s="96"/>
      <c r="O28" s="70">
        <v>5</v>
      </c>
      <c r="P28" s="99">
        <v>9000</v>
      </c>
      <c r="Q28" s="99"/>
      <c r="R28" s="98">
        <f>PV($Q$20,12,-P28*$T$21)</f>
        <v>166596.3168295947</v>
      </c>
      <c r="S28" s="98"/>
      <c r="T28" s="98">
        <f>R28/(1+$Q$21)^(O28-1)</f>
        <v>103333.09895909438</v>
      </c>
      <c r="U28" s="98"/>
      <c r="V28" s="83"/>
    </row>
    <row r="29" spans="2:22" ht="17" thickBot="1"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3"/>
      <c r="O29" s="70"/>
      <c r="P29" s="83"/>
      <c r="Q29" s="70"/>
      <c r="R29" s="70"/>
      <c r="S29" s="104" t="s">
        <v>84</v>
      </c>
      <c r="T29" s="105">
        <f>SUM(T24:U28)</f>
        <v>499999.99999999994</v>
      </c>
      <c r="U29" s="106"/>
      <c r="V29" s="83"/>
    </row>
    <row r="30" spans="2:22" ht="17" thickBot="1">
      <c r="U30" s="83"/>
      <c r="V30" s="70"/>
    </row>
    <row r="31" spans="2:22" ht="14.5" customHeight="1">
      <c r="B31" s="71" t="s">
        <v>85</v>
      </c>
      <c r="C31" s="92"/>
      <c r="D31" s="92"/>
      <c r="E31" s="92"/>
      <c r="F31" s="92"/>
      <c r="G31" s="92"/>
      <c r="H31" s="92"/>
      <c r="I31" s="92"/>
      <c r="J31" s="92"/>
      <c r="K31" s="92"/>
      <c r="L31" s="93"/>
      <c r="N31" t="s">
        <v>63</v>
      </c>
      <c r="O31" s="107">
        <v>500000</v>
      </c>
      <c r="Q31" s="108" t="s">
        <v>86</v>
      </c>
      <c r="R31" s="109"/>
      <c r="S31" s="109"/>
      <c r="T31" s="109"/>
      <c r="U31" s="109"/>
      <c r="V31" s="110"/>
    </row>
    <row r="32" spans="2:22">
      <c r="B32" s="95"/>
      <c r="C32" s="84"/>
      <c r="D32" s="84"/>
      <c r="E32" s="84"/>
      <c r="F32" s="84"/>
      <c r="G32" s="84"/>
      <c r="H32" s="84"/>
      <c r="I32" s="84"/>
      <c r="J32" s="84"/>
      <c r="K32" s="84"/>
      <c r="L32" s="96"/>
      <c r="N32" s="100" t="s">
        <v>66</v>
      </c>
      <c r="O32" s="94">
        <v>80</v>
      </c>
      <c r="Q32" s="111" t="s">
        <v>87</v>
      </c>
      <c r="R32" s="112" t="s">
        <v>88</v>
      </c>
      <c r="S32" s="113" t="s">
        <v>89</v>
      </c>
      <c r="T32" s="70" t="s">
        <v>90</v>
      </c>
      <c r="U32" s="114" t="s">
        <v>91</v>
      </c>
      <c r="V32" s="114"/>
    </row>
    <row r="33" spans="2:22">
      <c r="B33" s="95"/>
      <c r="C33" s="84"/>
      <c r="D33" s="84"/>
      <c r="E33" s="84"/>
      <c r="F33" s="84"/>
      <c r="G33" s="84"/>
      <c r="H33" s="84"/>
      <c r="I33" s="84"/>
      <c r="J33" s="84"/>
      <c r="K33" s="84"/>
      <c r="L33" s="96"/>
      <c r="N33" s="75" t="s">
        <v>92</v>
      </c>
      <c r="O33" s="75"/>
      <c r="Q33" s="111">
        <v>0</v>
      </c>
      <c r="R33" s="112"/>
      <c r="S33" s="113"/>
      <c r="T33" s="115"/>
      <c r="U33" s="75">
        <f>O31</f>
        <v>500000</v>
      </c>
      <c r="V33" s="75"/>
    </row>
    <row r="34" spans="2:22">
      <c r="B34" s="95"/>
      <c r="C34" s="84"/>
      <c r="D34" s="84"/>
      <c r="E34" s="84"/>
      <c r="F34" s="84"/>
      <c r="G34" s="84"/>
      <c r="H34" s="84"/>
      <c r="I34" s="84"/>
      <c r="J34" s="84"/>
      <c r="K34" s="84"/>
      <c r="L34" s="96"/>
      <c r="N34" s="116">
        <v>0.12</v>
      </c>
      <c r="O34" s="116"/>
      <c r="Q34" s="111">
        <v>1</v>
      </c>
      <c r="R34" s="112">
        <f>PMT(N37,O32,-O31)</f>
        <v>9109.4250563660989</v>
      </c>
      <c r="S34" s="113">
        <f t="shared" ref="S34:S51" si="0">U33*$N$37</f>
        <v>5000</v>
      </c>
      <c r="T34" s="115">
        <f>R34-S34</f>
        <v>4109.4250563660989</v>
      </c>
      <c r="U34" s="117">
        <f>U33-T34</f>
        <v>495890.57494363392</v>
      </c>
      <c r="V34" s="117"/>
    </row>
    <row r="35" spans="2:22">
      <c r="B35" s="95"/>
      <c r="C35" s="84"/>
      <c r="D35" s="84"/>
      <c r="E35" s="84"/>
      <c r="F35" s="84"/>
      <c r="G35" s="84"/>
      <c r="H35" s="84"/>
      <c r="I35" s="84"/>
      <c r="J35" s="84"/>
      <c r="K35" s="84"/>
      <c r="L35" s="96"/>
      <c r="Q35" s="111">
        <v>2</v>
      </c>
      <c r="R35" s="112">
        <f>R34</f>
        <v>9109.4250563660989</v>
      </c>
      <c r="S35" s="113">
        <f t="shared" si="0"/>
        <v>4958.9057494363396</v>
      </c>
      <c r="T35" s="115">
        <f>R35-S35</f>
        <v>4150.5193069297593</v>
      </c>
      <c r="U35" s="117">
        <f>U34-T35</f>
        <v>491740.05563670414</v>
      </c>
      <c r="V35" s="117"/>
    </row>
    <row r="36" spans="2:22">
      <c r="B36" s="95"/>
      <c r="C36" s="84"/>
      <c r="D36" s="84"/>
      <c r="E36" s="84"/>
      <c r="F36" s="84"/>
      <c r="G36" s="84"/>
      <c r="H36" s="84"/>
      <c r="I36" s="84"/>
      <c r="J36" s="84"/>
      <c r="K36" s="84"/>
      <c r="L36" s="96"/>
      <c r="N36" s="75" t="s">
        <v>93</v>
      </c>
      <c r="O36" s="75"/>
      <c r="Q36" s="111">
        <v>3</v>
      </c>
      <c r="R36" s="112">
        <f t="shared" ref="R36:R50" si="1">R35</f>
        <v>9109.4250563660989</v>
      </c>
      <c r="S36" s="113">
        <f t="shared" si="0"/>
        <v>4917.4005563670416</v>
      </c>
      <c r="T36" s="115">
        <f t="shared" ref="T36:T51" si="2">R36-S36</f>
        <v>4192.0244999990573</v>
      </c>
      <c r="U36" s="117">
        <f t="shared" ref="U36:U51" si="3">U35-T36</f>
        <v>487548.03113670507</v>
      </c>
      <c r="V36" s="117"/>
    </row>
    <row r="37" spans="2:22">
      <c r="B37" s="95"/>
      <c r="C37" s="84"/>
      <c r="D37" s="84"/>
      <c r="E37" s="84"/>
      <c r="F37" s="84"/>
      <c r="G37" s="84"/>
      <c r="H37" s="84"/>
      <c r="I37" s="84"/>
      <c r="J37" s="84"/>
      <c r="K37" s="84"/>
      <c r="L37" s="96"/>
      <c r="N37" s="118">
        <f>N34/12</f>
        <v>0.01</v>
      </c>
      <c r="O37" s="119"/>
      <c r="Q37" s="111">
        <v>4</v>
      </c>
      <c r="R37" s="112">
        <f t="shared" si="1"/>
        <v>9109.4250563660989</v>
      </c>
      <c r="S37" s="113">
        <f t="shared" si="0"/>
        <v>4875.4803113670505</v>
      </c>
      <c r="T37" s="115">
        <f t="shared" si="2"/>
        <v>4233.9447449990485</v>
      </c>
      <c r="U37" s="117">
        <f t="shared" si="3"/>
        <v>483314.08639170602</v>
      </c>
      <c r="V37" s="117"/>
    </row>
    <row r="38" spans="2:22">
      <c r="B38" s="95"/>
      <c r="C38" s="84"/>
      <c r="D38" s="84"/>
      <c r="E38" s="84"/>
      <c r="F38" s="84"/>
      <c r="G38" s="84"/>
      <c r="H38" s="84"/>
      <c r="I38" s="84"/>
      <c r="J38" s="84"/>
      <c r="K38" s="84"/>
      <c r="L38" s="96"/>
      <c r="Q38" s="111">
        <v>5</v>
      </c>
      <c r="R38" s="112">
        <f t="shared" si="1"/>
        <v>9109.4250563660989</v>
      </c>
      <c r="S38" s="113">
        <f t="shared" si="0"/>
        <v>4833.1408639170604</v>
      </c>
      <c r="T38" s="115">
        <f t="shared" si="2"/>
        <v>4276.2841924490385</v>
      </c>
      <c r="U38" s="117">
        <f t="shared" si="3"/>
        <v>479037.80219925696</v>
      </c>
      <c r="V38" s="117"/>
    </row>
    <row r="39" spans="2:22">
      <c r="B39" s="95"/>
      <c r="C39" s="84"/>
      <c r="D39" s="84"/>
      <c r="E39" s="84"/>
      <c r="F39" s="84"/>
      <c r="G39" s="84"/>
      <c r="H39" s="84"/>
      <c r="I39" s="84"/>
      <c r="J39" s="84"/>
      <c r="K39" s="84"/>
      <c r="L39" s="96"/>
      <c r="Q39" s="111">
        <v>6</v>
      </c>
      <c r="R39" s="112">
        <f t="shared" si="1"/>
        <v>9109.4250563660989</v>
      </c>
      <c r="S39" s="113">
        <f t="shared" si="0"/>
        <v>4790.3780219925693</v>
      </c>
      <c r="T39" s="115">
        <f t="shared" si="2"/>
        <v>4319.0470343735296</v>
      </c>
      <c r="U39" s="117">
        <f t="shared" si="3"/>
        <v>474718.75516488345</v>
      </c>
      <c r="V39" s="117"/>
    </row>
    <row r="40" spans="2:22">
      <c r="B40" s="95"/>
      <c r="C40" s="84"/>
      <c r="D40" s="84"/>
      <c r="E40" s="84"/>
      <c r="F40" s="84"/>
      <c r="G40" s="84"/>
      <c r="H40" s="84"/>
      <c r="I40" s="84"/>
      <c r="J40" s="84"/>
      <c r="K40" s="84"/>
      <c r="L40" s="96"/>
      <c r="Q40" s="111">
        <v>7</v>
      </c>
      <c r="R40" s="112">
        <f t="shared" si="1"/>
        <v>9109.4250563660989</v>
      </c>
      <c r="S40" s="113">
        <f t="shared" si="0"/>
        <v>4747.1875516488344</v>
      </c>
      <c r="T40" s="115">
        <f t="shared" si="2"/>
        <v>4362.2375047172645</v>
      </c>
      <c r="U40" s="117">
        <f t="shared" si="3"/>
        <v>470356.5176601662</v>
      </c>
      <c r="V40" s="117"/>
    </row>
    <row r="41" spans="2:22" ht="17" thickBot="1">
      <c r="B41" s="95"/>
      <c r="C41" s="84"/>
      <c r="D41" s="84"/>
      <c r="E41" s="84"/>
      <c r="F41" s="84"/>
      <c r="G41" s="84"/>
      <c r="H41" s="84"/>
      <c r="I41" s="84"/>
      <c r="J41" s="84"/>
      <c r="K41" s="84"/>
      <c r="L41" s="96"/>
      <c r="N41" s="75" t="s">
        <v>94</v>
      </c>
      <c r="O41" s="75"/>
      <c r="Q41" s="111">
        <v>8</v>
      </c>
      <c r="R41" s="112">
        <f t="shared" si="1"/>
        <v>9109.4250563660989</v>
      </c>
      <c r="S41" s="113">
        <f t="shared" si="0"/>
        <v>4703.5651766016617</v>
      </c>
      <c r="T41" s="115">
        <f t="shared" si="2"/>
        <v>4405.8598797644372</v>
      </c>
      <c r="U41" s="117">
        <f t="shared" si="3"/>
        <v>465950.65778040176</v>
      </c>
      <c r="V41" s="117"/>
    </row>
    <row r="42" spans="2:22" ht="17" thickBot="1">
      <c r="B42" s="95"/>
      <c r="C42" s="84"/>
      <c r="D42" s="84"/>
      <c r="E42" s="84"/>
      <c r="F42" s="84"/>
      <c r="G42" s="84"/>
      <c r="H42" s="84"/>
      <c r="I42" s="84"/>
      <c r="J42" s="84"/>
      <c r="K42" s="84"/>
      <c r="L42" s="96"/>
      <c r="N42" t="s">
        <v>95</v>
      </c>
      <c r="O42" s="120">
        <f>R51</f>
        <v>9109.4250563660989</v>
      </c>
      <c r="Q42" s="111">
        <v>9</v>
      </c>
      <c r="R42" s="112">
        <f t="shared" si="1"/>
        <v>9109.4250563660989</v>
      </c>
      <c r="S42" s="113">
        <f t="shared" si="0"/>
        <v>4659.506577804018</v>
      </c>
      <c r="T42" s="115">
        <f t="shared" si="2"/>
        <v>4449.918478562081</v>
      </c>
      <c r="U42" s="117">
        <f t="shared" si="3"/>
        <v>461500.73930183967</v>
      </c>
      <c r="V42" s="117"/>
    </row>
    <row r="43" spans="2:22" ht="17" thickBot="1">
      <c r="B43" s="95"/>
      <c r="C43" s="84"/>
      <c r="D43" s="84"/>
      <c r="E43" s="84"/>
      <c r="F43" s="84"/>
      <c r="G43" s="84"/>
      <c r="H43" s="84"/>
      <c r="I43" s="84"/>
      <c r="J43" s="84"/>
      <c r="K43" s="84"/>
      <c r="L43" s="96"/>
      <c r="N43" t="s">
        <v>89</v>
      </c>
      <c r="O43" s="121">
        <f>S51</f>
        <v>4242.6147517167537</v>
      </c>
      <c r="Q43" s="111">
        <v>10</v>
      </c>
      <c r="R43" s="112">
        <f t="shared" si="1"/>
        <v>9109.4250563660989</v>
      </c>
      <c r="S43" s="113">
        <f t="shared" si="0"/>
        <v>4615.0073930183971</v>
      </c>
      <c r="T43" s="115">
        <f t="shared" si="2"/>
        <v>4494.4176633477018</v>
      </c>
      <c r="U43" s="117">
        <f t="shared" si="3"/>
        <v>457006.32163849199</v>
      </c>
      <c r="V43" s="117"/>
    </row>
    <row r="44" spans="2:22" ht="17" thickBot="1">
      <c r="B44" s="95"/>
      <c r="C44" s="84"/>
      <c r="D44" s="84"/>
      <c r="E44" s="84"/>
      <c r="F44" s="84"/>
      <c r="G44" s="84"/>
      <c r="H44" s="84"/>
      <c r="I44" s="84"/>
      <c r="J44" s="84"/>
      <c r="K44" s="84"/>
      <c r="L44" s="96"/>
      <c r="N44" t="s">
        <v>96</v>
      </c>
      <c r="O44" s="122">
        <f>T51</f>
        <v>4866.8103046493452</v>
      </c>
      <c r="Q44" s="111">
        <v>11</v>
      </c>
      <c r="R44" s="112">
        <f t="shared" si="1"/>
        <v>9109.4250563660989</v>
      </c>
      <c r="S44" s="113">
        <f t="shared" si="0"/>
        <v>4570.0632163849205</v>
      </c>
      <c r="T44" s="115">
        <f t="shared" si="2"/>
        <v>4539.3618399811785</v>
      </c>
      <c r="U44" s="117">
        <f t="shared" si="3"/>
        <v>452466.95979851083</v>
      </c>
      <c r="V44" s="117"/>
    </row>
    <row r="45" spans="2:22">
      <c r="B45" s="95"/>
      <c r="C45" s="84"/>
      <c r="D45" s="84"/>
      <c r="E45" s="84"/>
      <c r="F45" s="84"/>
      <c r="G45" s="84"/>
      <c r="H45" s="84"/>
      <c r="I45" s="84"/>
      <c r="J45" s="84"/>
      <c r="K45" s="84"/>
      <c r="L45" s="96"/>
      <c r="Q45" s="111">
        <v>12</v>
      </c>
      <c r="R45" s="112">
        <f t="shared" si="1"/>
        <v>9109.4250563660989</v>
      </c>
      <c r="S45" s="113">
        <f t="shared" si="0"/>
        <v>4524.6695979851083</v>
      </c>
      <c r="T45" s="115">
        <f t="shared" si="2"/>
        <v>4584.7554583809906</v>
      </c>
      <c r="U45" s="117">
        <f t="shared" si="3"/>
        <v>447882.20434012986</v>
      </c>
      <c r="V45" s="117"/>
    </row>
    <row r="46" spans="2:22">
      <c r="B46" s="95"/>
      <c r="C46" s="84"/>
      <c r="D46" s="84"/>
      <c r="E46" s="84"/>
      <c r="F46" s="84"/>
      <c r="G46" s="84"/>
      <c r="H46" s="84"/>
      <c r="I46" s="84"/>
      <c r="J46" s="84"/>
      <c r="K46" s="84"/>
      <c r="L46" s="96"/>
      <c r="N46" s="123" t="s">
        <v>97</v>
      </c>
      <c r="O46" s="123"/>
      <c r="Q46" s="111">
        <v>13</v>
      </c>
      <c r="R46" s="112">
        <f t="shared" si="1"/>
        <v>9109.4250563660989</v>
      </c>
      <c r="S46" s="113">
        <f t="shared" si="0"/>
        <v>4478.8220434012983</v>
      </c>
      <c r="T46" s="115">
        <f t="shared" si="2"/>
        <v>4630.6030129648007</v>
      </c>
      <c r="U46" s="117">
        <f t="shared" si="3"/>
        <v>443251.60132716503</v>
      </c>
      <c r="V46" s="117"/>
    </row>
    <row r="47" spans="2:22" ht="17" thickBot="1">
      <c r="B47" s="95"/>
      <c r="C47" s="84"/>
      <c r="D47" s="84"/>
      <c r="E47" s="84"/>
      <c r="F47" s="84"/>
      <c r="G47" s="84"/>
      <c r="H47" s="84"/>
      <c r="I47" s="84"/>
      <c r="J47" s="84"/>
      <c r="K47" s="84"/>
      <c r="L47" s="96"/>
      <c r="N47" s="123"/>
      <c r="O47" s="123"/>
      <c r="Q47" s="111">
        <v>14</v>
      </c>
      <c r="R47" s="112">
        <f t="shared" si="1"/>
        <v>9109.4250563660989</v>
      </c>
      <c r="S47" s="113">
        <f t="shared" si="0"/>
        <v>4432.5160132716501</v>
      </c>
      <c r="T47" s="115">
        <f t="shared" si="2"/>
        <v>4676.9090430944489</v>
      </c>
      <c r="U47" s="117">
        <f t="shared" si="3"/>
        <v>438574.6922840706</v>
      </c>
      <c r="V47" s="117"/>
    </row>
    <row r="48" spans="2:22" ht="17" thickBot="1">
      <c r="B48" s="95"/>
      <c r="C48" s="84"/>
      <c r="D48" s="84"/>
      <c r="E48" s="84"/>
      <c r="F48" s="84"/>
      <c r="G48" s="84"/>
      <c r="H48" s="84"/>
      <c r="I48" s="84"/>
      <c r="J48" s="84"/>
      <c r="K48" s="84"/>
      <c r="L48" s="96"/>
      <c r="N48" s="124">
        <f>U50</f>
        <v>424261.47517167532</v>
      </c>
      <c r="O48" s="125"/>
      <c r="Q48" s="111">
        <v>15</v>
      </c>
      <c r="R48" s="112">
        <f t="shared" si="1"/>
        <v>9109.4250563660989</v>
      </c>
      <c r="S48" s="113">
        <f t="shared" si="0"/>
        <v>4385.7469228407062</v>
      </c>
      <c r="T48" s="115">
        <f t="shared" si="2"/>
        <v>4723.6781335253927</v>
      </c>
      <c r="U48" s="117">
        <f t="shared" si="3"/>
        <v>433851.01415054518</v>
      </c>
      <c r="V48" s="117"/>
    </row>
    <row r="49" spans="2:22">
      <c r="B49" s="95"/>
      <c r="C49" s="84"/>
      <c r="D49" s="84"/>
      <c r="E49" s="84"/>
      <c r="F49" s="84"/>
      <c r="G49" s="84"/>
      <c r="H49" s="84"/>
      <c r="I49" s="84"/>
      <c r="J49" s="84"/>
      <c r="K49" s="84"/>
      <c r="L49" s="96"/>
      <c r="Q49" s="111">
        <v>16</v>
      </c>
      <c r="R49" s="112">
        <f t="shared" si="1"/>
        <v>9109.4250563660989</v>
      </c>
      <c r="S49" s="113">
        <f t="shared" si="0"/>
        <v>4338.5101415054514</v>
      </c>
      <c r="T49" s="115">
        <f t="shared" si="2"/>
        <v>4770.9149148606475</v>
      </c>
      <c r="U49" s="117">
        <f t="shared" si="3"/>
        <v>429080.09923568455</v>
      </c>
      <c r="V49" s="117"/>
    </row>
    <row r="50" spans="2:22">
      <c r="B50" s="95"/>
      <c r="C50" s="84"/>
      <c r="D50" s="84"/>
      <c r="E50" s="84"/>
      <c r="F50" s="84"/>
      <c r="G50" s="84"/>
      <c r="H50" s="84"/>
      <c r="I50" s="84"/>
      <c r="J50" s="84"/>
      <c r="K50" s="84"/>
      <c r="L50" s="96"/>
      <c r="Q50" s="111">
        <v>17</v>
      </c>
      <c r="R50" s="112">
        <f t="shared" si="1"/>
        <v>9109.4250563660989</v>
      </c>
      <c r="S50" s="113">
        <f t="shared" si="0"/>
        <v>4290.8009923568452</v>
      </c>
      <c r="T50" s="115">
        <f t="shared" si="2"/>
        <v>4818.6240640092537</v>
      </c>
      <c r="U50" s="117">
        <f t="shared" si="3"/>
        <v>424261.47517167532</v>
      </c>
      <c r="V50" s="117"/>
    </row>
    <row r="51" spans="2:22" ht="17" thickBot="1"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3"/>
      <c r="Q51" s="111">
        <v>18</v>
      </c>
      <c r="R51" s="112">
        <f>R50</f>
        <v>9109.4250563660989</v>
      </c>
      <c r="S51" s="113">
        <f t="shared" si="0"/>
        <v>4242.6147517167537</v>
      </c>
      <c r="T51" s="115">
        <f t="shared" si="2"/>
        <v>4866.8103046493452</v>
      </c>
      <c r="U51" s="117">
        <f t="shared" si="3"/>
        <v>419394.66486702597</v>
      </c>
      <c r="V51" s="117"/>
    </row>
    <row r="52" spans="2:22" ht="17" thickBot="1">
      <c r="N52" s="70"/>
      <c r="O52" s="70"/>
      <c r="P52" s="115"/>
      <c r="Q52" s="70"/>
      <c r="R52" s="70"/>
    </row>
    <row r="53" spans="2:22" ht="14.5" customHeight="1">
      <c r="B53" s="71" t="s">
        <v>98</v>
      </c>
      <c r="C53" s="92"/>
      <c r="D53" s="92"/>
      <c r="E53" s="92"/>
      <c r="F53" s="92"/>
      <c r="G53" s="92"/>
      <c r="H53" s="92"/>
      <c r="I53" s="92"/>
      <c r="J53" s="92"/>
      <c r="K53" s="92"/>
      <c r="L53" s="93"/>
      <c r="O53" t="s">
        <v>64</v>
      </c>
      <c r="Q53" s="76">
        <v>0.1</v>
      </c>
      <c r="R53" t="s">
        <v>65</v>
      </c>
      <c r="S53" s="78" t="s">
        <v>99</v>
      </c>
      <c r="T53" s="1" t="s">
        <v>71</v>
      </c>
      <c r="U53" s="126">
        <v>200</v>
      </c>
    </row>
    <row r="54" spans="2:22">
      <c r="B54" s="95"/>
      <c r="C54" s="84"/>
      <c r="D54" s="84"/>
      <c r="E54" s="84"/>
      <c r="F54" s="84"/>
      <c r="G54" s="84"/>
      <c r="H54" s="84"/>
      <c r="I54" s="84"/>
      <c r="J54" s="84"/>
      <c r="K54" s="84"/>
      <c r="L54" s="96"/>
      <c r="O54" t="s">
        <v>67</v>
      </c>
      <c r="Q54" s="127">
        <f>Q53/12</f>
        <v>8.3333333333333332E-3</v>
      </c>
      <c r="R54" t="s">
        <v>68</v>
      </c>
      <c r="S54" s="78"/>
      <c r="T54" s="1" t="s">
        <v>100</v>
      </c>
      <c r="U54" s="90">
        <v>350</v>
      </c>
    </row>
    <row r="55" spans="2:22">
      <c r="B55" s="95"/>
      <c r="C55" s="84"/>
      <c r="D55" s="84"/>
      <c r="E55" s="84"/>
      <c r="F55" s="84"/>
      <c r="G55" s="84"/>
      <c r="H55" s="84"/>
      <c r="I55" s="84"/>
      <c r="J55" s="84"/>
      <c r="K55" s="84"/>
      <c r="L55" s="96"/>
      <c r="O55" s="112" t="s">
        <v>66</v>
      </c>
      <c r="P55" s="128">
        <v>120</v>
      </c>
      <c r="S55" s="78"/>
      <c r="T55" s="1" t="s">
        <v>101</v>
      </c>
      <c r="U55" s="90">
        <v>420</v>
      </c>
    </row>
    <row r="56" spans="2:22">
      <c r="B56" s="95"/>
      <c r="C56" s="84"/>
      <c r="D56" s="84"/>
      <c r="E56" s="84"/>
      <c r="F56" s="84"/>
      <c r="G56" s="84"/>
      <c r="H56" s="84"/>
      <c r="I56" s="84"/>
      <c r="J56" s="84"/>
      <c r="K56" s="84"/>
      <c r="L56" s="96"/>
      <c r="U56" s="75" t="s">
        <v>102</v>
      </c>
      <c r="V56" s="75"/>
    </row>
    <row r="57" spans="2:22">
      <c r="B57" s="95"/>
      <c r="C57" s="84"/>
      <c r="D57" s="84"/>
      <c r="E57" s="84"/>
      <c r="F57" s="84"/>
      <c r="G57" s="84"/>
      <c r="H57" s="84"/>
      <c r="I57" s="84"/>
      <c r="J57" s="84"/>
      <c r="K57" s="84"/>
      <c r="L57" s="96"/>
      <c r="N57" s="78" t="s">
        <v>103</v>
      </c>
      <c r="O57" s="78"/>
      <c r="P57" s="75"/>
      <c r="Q57" s="75"/>
      <c r="R57" s="75"/>
      <c r="S57" s="75"/>
      <c r="T57" s="75"/>
      <c r="U57" t="s">
        <v>15</v>
      </c>
      <c r="V57" s="107">
        <v>10000</v>
      </c>
    </row>
    <row r="58" spans="2:22">
      <c r="B58" s="95"/>
      <c r="C58" s="84"/>
      <c r="D58" s="84"/>
      <c r="E58" s="84"/>
      <c r="F58" s="84"/>
      <c r="G58" s="84"/>
      <c r="H58" s="84"/>
      <c r="I58" s="84"/>
      <c r="J58" s="84"/>
      <c r="K58" s="84"/>
      <c r="L58" s="96"/>
      <c r="N58" s="78"/>
      <c r="O58" s="78"/>
      <c r="P58" s="75"/>
      <c r="Q58" s="75"/>
      <c r="R58" s="75"/>
      <c r="S58" s="75"/>
      <c r="T58" s="75"/>
      <c r="U58" t="s">
        <v>104</v>
      </c>
      <c r="V58" s="129">
        <f>V57*U53/U54</f>
        <v>5714.2857142857147</v>
      </c>
    </row>
    <row r="59" spans="2:22">
      <c r="B59" s="95"/>
      <c r="C59" s="84"/>
      <c r="D59" s="84"/>
      <c r="E59" s="84"/>
      <c r="F59" s="84"/>
      <c r="G59" s="84"/>
      <c r="H59" s="84"/>
      <c r="I59" s="84"/>
      <c r="J59" s="84"/>
      <c r="K59" s="84"/>
      <c r="L59" s="96"/>
      <c r="N59" s="78" t="s">
        <v>105</v>
      </c>
      <c r="O59" s="78"/>
      <c r="P59" s="75"/>
      <c r="Q59" s="75"/>
      <c r="R59" s="75"/>
      <c r="S59" s="75"/>
      <c r="T59" s="75"/>
      <c r="U59" s="130">
        <f>V58/((1-(24-1)/P55)*Q54 +1/P55)</f>
        <v>379196.84002633317</v>
      </c>
      <c r="V59" s="131"/>
    </row>
    <row r="60" spans="2:22">
      <c r="B60" s="95"/>
      <c r="C60" s="84"/>
      <c r="D60" s="84"/>
      <c r="E60" s="84"/>
      <c r="F60" s="84"/>
      <c r="G60" s="84"/>
      <c r="H60" s="84"/>
      <c r="I60" s="84"/>
      <c r="J60" s="84"/>
      <c r="K60" s="84"/>
      <c r="L60" s="96"/>
      <c r="N60" s="78"/>
      <c r="O60" s="78"/>
      <c r="P60" s="75"/>
      <c r="Q60" s="75"/>
      <c r="R60" s="75"/>
      <c r="S60" s="75"/>
      <c r="T60" s="75"/>
      <c r="U60" s="132"/>
      <c r="V60" s="133"/>
    </row>
    <row r="61" spans="2:22">
      <c r="B61" s="95"/>
      <c r="C61" s="84"/>
      <c r="D61" s="84"/>
      <c r="E61" s="84"/>
      <c r="F61" s="84"/>
      <c r="G61" s="84"/>
      <c r="H61" s="84"/>
      <c r="I61" s="84"/>
      <c r="J61" s="84"/>
      <c r="K61" s="84"/>
      <c r="L61" s="96"/>
      <c r="N61" s="78"/>
      <c r="O61" s="78"/>
      <c r="P61" s="75"/>
      <c r="Q61" s="75"/>
      <c r="R61" s="75"/>
      <c r="S61" s="75"/>
      <c r="T61" s="75"/>
      <c r="U61" s="134"/>
      <c r="V61" s="135"/>
    </row>
    <row r="62" spans="2:22">
      <c r="B62" s="95"/>
      <c r="C62" s="84"/>
      <c r="D62" s="84"/>
      <c r="E62" s="84"/>
      <c r="F62" s="84"/>
      <c r="G62" s="84"/>
      <c r="H62" s="84"/>
      <c r="I62" s="84"/>
      <c r="J62" s="84"/>
      <c r="K62" s="84"/>
      <c r="L62" s="96"/>
    </row>
    <row r="63" spans="2:22">
      <c r="B63" s="95"/>
      <c r="C63" s="84"/>
      <c r="D63" s="84"/>
      <c r="E63" s="84"/>
      <c r="F63" s="84"/>
      <c r="G63" s="84"/>
      <c r="H63" s="84"/>
      <c r="I63" s="84"/>
      <c r="J63" s="84"/>
      <c r="K63" s="84"/>
      <c r="L63" s="96"/>
      <c r="N63" s="75"/>
      <c r="O63" s="75"/>
      <c r="P63" s="1"/>
      <c r="Q63" s="75" t="s">
        <v>88</v>
      </c>
      <c r="R63" s="75"/>
      <c r="S63" s="75" t="s">
        <v>106</v>
      </c>
      <c r="T63" s="75"/>
      <c r="U63" s="75"/>
      <c r="V63" s="75"/>
    </row>
    <row r="64" spans="2:22" ht="17" thickBot="1">
      <c r="B64" s="95"/>
      <c r="C64" s="84"/>
      <c r="D64" s="84"/>
      <c r="E64" s="84"/>
      <c r="F64" s="84"/>
      <c r="G64" s="84"/>
      <c r="H64" s="84"/>
      <c r="I64" s="84"/>
      <c r="J64" s="84"/>
      <c r="K64" s="84"/>
      <c r="L64" s="96"/>
      <c r="N64" s="75"/>
      <c r="O64" s="75"/>
      <c r="P64" s="1" t="s">
        <v>107</v>
      </c>
      <c r="Q64" s="1" t="s">
        <v>108</v>
      </c>
      <c r="R64" s="1" t="s">
        <v>109</v>
      </c>
      <c r="S64" s="1" t="s">
        <v>108</v>
      </c>
      <c r="T64" s="1" t="s">
        <v>109</v>
      </c>
      <c r="U64" s="75"/>
      <c r="V64" s="75"/>
    </row>
    <row r="65" spans="2:22" ht="17" thickBot="1">
      <c r="B65" s="95"/>
      <c r="C65" s="84"/>
      <c r="D65" s="84"/>
      <c r="E65" s="84"/>
      <c r="F65" s="84"/>
      <c r="G65" s="84"/>
      <c r="H65" s="84"/>
      <c r="I65" s="84"/>
      <c r="J65" s="84"/>
      <c r="K65" s="84"/>
      <c r="L65" s="96"/>
      <c r="N65" s="75"/>
      <c r="O65" s="75"/>
      <c r="P65" s="1">
        <v>24</v>
      </c>
      <c r="Q65" s="1">
        <f>V58</f>
        <v>5714.2857142857147</v>
      </c>
      <c r="R65" s="1">
        <f>V57</f>
        <v>10000</v>
      </c>
      <c r="S65" s="1">
        <f>$U$59-$U$59*P65/$P$55</f>
        <v>303357.47202106653</v>
      </c>
      <c r="T65" s="136">
        <f>S65*U54/U53</f>
        <v>530875.57603686641</v>
      </c>
      <c r="U65" s="75"/>
      <c r="V65" s="75"/>
    </row>
    <row r="66" spans="2:22" ht="17" thickBot="1"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3"/>
      <c r="N66" s="75"/>
      <c r="O66" s="75"/>
      <c r="P66" s="1">
        <v>36</v>
      </c>
      <c r="Q66" s="1">
        <f>U59*((1-(P66-1)/P55)*Q54 + 1/P55)</f>
        <v>5398.288347597103</v>
      </c>
      <c r="R66" s="1">
        <f>Q66*U55/U53</f>
        <v>11336.405529953916</v>
      </c>
      <c r="S66" s="1">
        <f>$U$59-$U$59*P66/$P$55</f>
        <v>265437.78801843326</v>
      </c>
      <c r="T66" s="137">
        <f>S66*U55/U53</f>
        <v>557419.35483870981</v>
      </c>
      <c r="U66" s="75"/>
      <c r="V66" s="75"/>
    </row>
    <row r="67" spans="2:22">
      <c r="N67" s="1"/>
    </row>
    <row r="68" spans="2:22">
      <c r="N68" s="1"/>
    </row>
    <row r="69" spans="2:22">
      <c r="N69" s="1"/>
    </row>
    <row r="70" spans="2:22">
      <c r="N70" s="1"/>
      <c r="T70">
        <f>10000*200/350</f>
        <v>5714.2857142857147</v>
      </c>
    </row>
    <row r="71" spans="2:22">
      <c r="N71" s="1"/>
      <c r="P71" s="43" t="s">
        <v>110</v>
      </c>
      <c r="Q71" s="43" t="s">
        <v>111</v>
      </c>
      <c r="T71">
        <f>T70/200</f>
        <v>28.571428571428573</v>
      </c>
    </row>
    <row r="72" spans="2:22">
      <c r="N72" s="1"/>
      <c r="P72" s="43" t="s">
        <v>112</v>
      </c>
      <c r="Q72" s="43">
        <v>10000</v>
      </c>
      <c r="R72">
        <f>Q72*U54/U53</f>
        <v>17500</v>
      </c>
    </row>
    <row r="73" spans="2:22">
      <c r="P73" s="43" t="s">
        <v>110</v>
      </c>
      <c r="Q73" s="43" t="s">
        <v>113</v>
      </c>
      <c r="R73" s="22" t="s">
        <v>114</v>
      </c>
      <c r="S73" s="43" t="s">
        <v>115</v>
      </c>
    </row>
    <row r="74" spans="2:22">
      <c r="O74" s="70"/>
      <c r="P74" s="70"/>
      <c r="R74" s="27">
        <f>'[1]lista 2'!W31</f>
        <v>15.799868334430549</v>
      </c>
      <c r="S74">
        <f>R74*120</f>
        <v>1895.9842001316658</v>
      </c>
    </row>
    <row r="76" spans="2:22">
      <c r="P76" s="43" t="s">
        <v>116</v>
      </c>
      <c r="R76">
        <f>R74*120</f>
        <v>1895.9842001316658</v>
      </c>
    </row>
    <row r="79" spans="2:22" ht="20" customHeight="1">
      <c r="N79" s="70"/>
      <c r="O79" s="70"/>
      <c r="P79" s="115"/>
      <c r="Q79" s="70"/>
      <c r="R79" s="70"/>
    </row>
    <row r="80" spans="2:22" ht="24" customHeight="1">
      <c r="N80" s="70"/>
      <c r="O80" s="70"/>
      <c r="P80" s="115"/>
      <c r="Q80" s="70"/>
      <c r="R80" s="70"/>
    </row>
    <row r="81" spans="14:19" ht="24" customHeight="1">
      <c r="N81" s="70"/>
      <c r="O81" s="70"/>
      <c r="P81" s="115"/>
      <c r="Q81" s="70"/>
      <c r="R81" s="70"/>
    </row>
    <row r="82" spans="14:19" ht="24" customHeight="1">
      <c r="N82" s="70"/>
      <c r="O82" s="70"/>
      <c r="P82" s="115"/>
      <c r="Q82" s="70"/>
      <c r="R82" s="70"/>
    </row>
    <row r="83" spans="14:19" ht="20" customHeight="1">
      <c r="N83" s="70"/>
      <c r="O83" s="70"/>
      <c r="P83" s="115"/>
      <c r="Q83" s="70"/>
      <c r="R83" s="70"/>
    </row>
    <row r="84" spans="14:19" ht="24" customHeight="1">
      <c r="N84" s="70"/>
      <c r="O84" s="70"/>
      <c r="P84" s="115"/>
      <c r="Q84" s="70"/>
      <c r="R84" s="70"/>
    </row>
    <row r="85" spans="14:19" ht="20" customHeight="1">
      <c r="N85" s="70"/>
      <c r="O85" s="70"/>
      <c r="P85" s="115"/>
      <c r="Q85" s="70"/>
      <c r="R85" s="70"/>
    </row>
    <row r="86" spans="14:19" ht="24" customHeight="1">
      <c r="N86" s="70"/>
      <c r="O86" s="70"/>
      <c r="P86" s="115"/>
      <c r="Q86" s="70"/>
      <c r="R86" s="70"/>
    </row>
    <row r="87" spans="14:19" ht="20" customHeight="1">
      <c r="N87" s="70"/>
      <c r="O87" s="70"/>
      <c r="P87" s="115"/>
      <c r="Q87" s="70"/>
      <c r="R87" s="70"/>
    </row>
    <row r="88" spans="14:19" ht="20" customHeight="1">
      <c r="N88" s="70"/>
      <c r="O88" s="70"/>
      <c r="P88" s="115"/>
      <c r="Q88" s="70"/>
      <c r="R88" s="70"/>
    </row>
    <row r="89" spans="14:19" ht="20" customHeight="1">
      <c r="N89" s="70"/>
      <c r="O89" s="70"/>
      <c r="P89" s="115"/>
      <c r="Q89" s="70"/>
      <c r="R89" s="70"/>
    </row>
    <row r="90" spans="14:19" ht="24" customHeight="1">
      <c r="N90" s="70"/>
      <c r="O90" s="70"/>
      <c r="P90" s="115"/>
      <c r="Q90" s="70"/>
      <c r="R90" s="70"/>
    </row>
    <row r="91" spans="14:19" ht="20" customHeight="1">
      <c r="Q91" s="70"/>
      <c r="R91" s="6"/>
      <c r="S91" s="6"/>
    </row>
  </sheetData>
  <mergeCells count="74">
    <mergeCell ref="N59:O61"/>
    <mergeCell ref="P59:T61"/>
    <mergeCell ref="U59:V61"/>
    <mergeCell ref="N63:O66"/>
    <mergeCell ref="Q63:R63"/>
    <mergeCell ref="S63:T63"/>
    <mergeCell ref="U63:V66"/>
    <mergeCell ref="N48:O48"/>
    <mergeCell ref="U48:V48"/>
    <mergeCell ref="U49:V49"/>
    <mergeCell ref="U50:V50"/>
    <mergeCell ref="U51:V51"/>
    <mergeCell ref="B53:L66"/>
    <mergeCell ref="S53:S55"/>
    <mergeCell ref="U56:V56"/>
    <mergeCell ref="N57:O58"/>
    <mergeCell ref="P57:T58"/>
    <mergeCell ref="U43:V43"/>
    <mergeCell ref="U44:V44"/>
    <mergeCell ref="U45:V45"/>
    <mergeCell ref="N46:O47"/>
    <mergeCell ref="U46:V46"/>
    <mergeCell ref="U47:V47"/>
    <mergeCell ref="U38:V38"/>
    <mergeCell ref="U39:V39"/>
    <mergeCell ref="U40:V40"/>
    <mergeCell ref="N41:O41"/>
    <mergeCell ref="U41:V41"/>
    <mergeCell ref="U42:V42"/>
    <mergeCell ref="U34:V34"/>
    <mergeCell ref="U35:V35"/>
    <mergeCell ref="N36:O36"/>
    <mergeCell ref="U36:V36"/>
    <mergeCell ref="N37:O37"/>
    <mergeCell ref="U37:V37"/>
    <mergeCell ref="P28:Q28"/>
    <mergeCell ref="R28:S28"/>
    <mergeCell ref="T28:U28"/>
    <mergeCell ref="T29:U29"/>
    <mergeCell ref="B31:L51"/>
    <mergeCell ref="Q31:V31"/>
    <mergeCell ref="U32:V32"/>
    <mergeCell ref="N33:O33"/>
    <mergeCell ref="U33:V33"/>
    <mergeCell ref="N34:O34"/>
    <mergeCell ref="T25:U25"/>
    <mergeCell ref="P26:Q26"/>
    <mergeCell ref="R26:S26"/>
    <mergeCell ref="T26:U26"/>
    <mergeCell ref="P27:Q27"/>
    <mergeCell ref="R27:S27"/>
    <mergeCell ref="T27:U27"/>
    <mergeCell ref="T17:T18"/>
    <mergeCell ref="B20:L29"/>
    <mergeCell ref="P23:Q23"/>
    <mergeCell ref="R23:S23"/>
    <mergeCell ref="T23:U23"/>
    <mergeCell ref="P24:Q24"/>
    <mergeCell ref="R24:S24"/>
    <mergeCell ref="T24:U24"/>
    <mergeCell ref="P25:Q25"/>
    <mergeCell ref="R25:S25"/>
    <mergeCell ref="B12:L18"/>
    <mergeCell ref="R12:S12"/>
    <mergeCell ref="R13:S13"/>
    <mergeCell ref="O15:P15"/>
    <mergeCell ref="O17:O18"/>
    <mergeCell ref="R17:S18"/>
    <mergeCell ref="B2:V5"/>
    <mergeCell ref="B6:M6"/>
    <mergeCell ref="N6:V7"/>
    <mergeCell ref="B7:M7"/>
    <mergeCell ref="B9:L9"/>
    <mergeCell ref="N9:V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2 RPC</vt:lpstr>
      <vt:lpstr>Lista 2 Maria Clara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2020-09-06T16:59:06Z</dcterms:created>
  <dcterms:modified xsi:type="dcterms:W3CDTF">2020-09-06T18:54:42Z</dcterms:modified>
</cp:coreProperties>
</file>